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REL603 - Moreland Apartments LIHTC TCAC CDLAC DDA Application 2024 (Sync)\"/>
    </mc:Choice>
  </mc:AlternateContent>
  <xr:revisionPtr revIDLastSave="0" documentId="13_ncr:1_{8AAB44D0-EA1F-462D-BB1A-87E345A5C1D9}" xr6:coauthVersionLast="47" xr6:coauthVersionMax="47" xr10:uidLastSave="{00000000-0000-0000-0000-000000000000}"/>
  <bookViews>
    <workbookView xWindow="-120" yWindow="-120" windowWidth="29040" windowHeight="1584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CalHFA Addendum" sheetId="27" r:id="rId9"/>
    <sheet name="Tie Breaker" sheetId="21"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Breaker'!$A$1:$I$114</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17" i="3" l="1"/>
  <c r="AB50" i="15"/>
  <c r="F10" i="8"/>
  <c r="F9" i="8"/>
  <c r="AO628" i="3"/>
  <c r="AA948" i="3" s="1"/>
  <c r="E9" i="4"/>
  <c r="F4" i="4"/>
  <c r="E25" i="4"/>
  <c r="E23" i="4"/>
  <c r="E21" i="4"/>
  <c r="E20" i="4"/>
  <c r="E19" i="4"/>
  <c r="E18" i="4"/>
  <c r="Q554" i="3"/>
  <c r="E93" i="4"/>
  <c r="G75" i="4"/>
  <c r="I99" i="4"/>
  <c r="J99" i="4"/>
  <c r="AO627" i="3"/>
  <c r="F13" i="4"/>
  <c r="C13" i="4"/>
  <c r="C4" i="4"/>
  <c r="C83" i="4"/>
  <c r="A41" i="7"/>
  <c r="Q629" i="3"/>
  <c r="Q628" i="3"/>
  <c r="Q627" i="3"/>
  <c r="T627" i="3"/>
  <c r="T628" i="3"/>
  <c r="T554" i="3"/>
  <c r="W877" i="3" l="1"/>
  <c r="F11" i="8"/>
  <c r="Z647" i="3"/>
  <c r="Z646" i="3"/>
  <c r="Z645" i="3"/>
  <c r="Z644" i="3"/>
  <c r="E41" i="7"/>
  <c r="Z579" i="3"/>
  <c r="Z578" i="3"/>
  <c r="H94" i="4"/>
  <c r="H45" i="4"/>
  <c r="O721" i="3"/>
  <c r="G721" i="3"/>
  <c r="O720" i="3"/>
  <c r="G720" i="3"/>
  <c r="O725" i="3"/>
  <c r="O724" i="3"/>
  <c r="O723" i="3"/>
  <c r="G725" i="3"/>
  <c r="G728" i="3"/>
  <c r="G729" i="3"/>
  <c r="O719" i="3"/>
  <c r="O718" i="3"/>
  <c r="G581" i="3"/>
  <c r="G580" i="3"/>
  <c r="G579" i="3"/>
  <c r="G578" i="3"/>
  <c r="H333" i="3"/>
  <c r="H331" i="3"/>
  <c r="H330" i="3"/>
  <c r="H329" i="3"/>
  <c r="H328" i="3"/>
  <c r="H327" i="3"/>
  <c r="G719" i="3"/>
  <c r="E99" i="4"/>
  <c r="C58" i="4"/>
  <c r="E58" i="4" s="1"/>
  <c r="C67" i="4"/>
  <c r="S65" i="4"/>
  <c r="E80" i="4"/>
  <c r="S80" i="4"/>
  <c r="F66" i="4"/>
  <c r="F65" i="4"/>
  <c r="G718" i="3"/>
  <c r="F27" i="4"/>
  <c r="S91" i="4"/>
  <c r="S84" i="4"/>
  <c r="S69" i="4"/>
  <c r="S46" i="4"/>
  <c r="C46" i="4"/>
  <c r="S90" i="4"/>
  <c r="S86" i="4"/>
  <c r="S41" i="4"/>
  <c r="E69" i="4"/>
  <c r="C65" i="4"/>
  <c r="E95" i="4"/>
  <c r="E91" i="4"/>
  <c r="E90" i="4"/>
  <c r="E89" i="4"/>
  <c r="E86" i="4"/>
  <c r="E83" i="4"/>
  <c r="E61" i="4"/>
  <c r="E41" i="4"/>
  <c r="E67" i="4"/>
  <c r="W859" i="3"/>
  <c r="W857" i="3"/>
  <c r="G645" i="3"/>
  <c r="G644" i="3"/>
  <c r="Z587" i="3"/>
  <c r="Z586" i="3"/>
  <c r="Z570" i="3"/>
  <c r="Z569" i="3"/>
  <c r="AG442" i="3"/>
  <c r="AG448" i="3"/>
  <c r="AA331" i="3"/>
  <c r="AA330" i="3"/>
  <c r="AA329" i="3"/>
  <c r="C66" i="4"/>
  <c r="C69" i="4"/>
  <c r="C89" i="4"/>
  <c r="C61" i="4"/>
  <c r="H56" i="4"/>
  <c r="H52" i="4"/>
  <c r="H51" i="4"/>
  <c r="H46" i="4"/>
  <c r="E84" i="4"/>
  <c r="C90" i="4"/>
  <c r="C80" i="4"/>
  <c r="E79" i="4"/>
  <c r="L65" i="21"/>
  <c r="F15" i="8" l="1"/>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I13" i="8"/>
  <c r="J13" i="8" s="1"/>
  <c r="I12" i="8"/>
  <c r="J12" i="8" s="1"/>
  <c r="I11" i="8"/>
  <c r="J11" i="8" s="1"/>
  <c r="I7" i="8"/>
  <c r="J7" i="8" s="1"/>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102" i="21"/>
  <c r="G88" i="21"/>
  <c r="G92" i="21" s="1"/>
  <c r="B10" i="8"/>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D102" i="11" s="1"/>
  <c r="B103" i="11"/>
  <c r="B104" i="11"/>
  <c r="C85" i="11"/>
  <c r="D85" i="11" s="1"/>
  <c r="C86" i="11"/>
  <c r="D86" i="11" s="1"/>
  <c r="C87" i="11"/>
  <c r="D87" i="11" s="1"/>
  <c r="C88" i="11"/>
  <c r="D88" i="11" s="1"/>
  <c r="C89" i="1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D32" i="11" s="1"/>
  <c r="C33" i="11"/>
  <c r="D33" i="11" s="1"/>
  <c r="C34" i="11"/>
  <c r="C35" i="11"/>
  <c r="C36" i="11"/>
  <c r="C37" i="11"/>
  <c r="C38" i="11"/>
  <c r="B31" i="11"/>
  <c r="B32" i="11"/>
  <c r="B33" i="11"/>
  <c r="B34" i="11"/>
  <c r="D34" i="11" s="1"/>
  <c r="B35" i="11"/>
  <c r="B39" i="11" s="1"/>
  <c r="B36" i="11"/>
  <c r="D36" i="11" s="1"/>
  <c r="B37" i="11"/>
  <c r="B38" i="11"/>
  <c r="C24" i="11"/>
  <c r="C25" i="11"/>
  <c r="C26" i="11"/>
  <c r="B25" i="11"/>
  <c r="B26" i="11"/>
  <c r="D70" i="4"/>
  <c r="C70" i="4"/>
  <c r="B70" i="4" s="1"/>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T81" i="4"/>
  <c r="H81" i="13"/>
  <c r="C81" i="4"/>
  <c r="B81" i="4" s="1"/>
  <c r="B80" i="4"/>
  <c r="A76" i="13"/>
  <c r="A61" i="13"/>
  <c r="A37" i="13"/>
  <c r="A25" i="13"/>
  <c r="A103" i="13"/>
  <c r="A95" i="13"/>
  <c r="A94" i="13"/>
  <c r="A93" i="13"/>
  <c r="B8" i="8"/>
  <c r="B9" i="8"/>
  <c r="G9" i="8" s="1"/>
  <c r="B11" i="8"/>
  <c r="G11" i="8" s="1"/>
  <c r="B12" i="8"/>
  <c r="G12" i="8" s="1"/>
  <c r="B13" i="8"/>
  <c r="G13" i="8" s="1"/>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6" i="13"/>
  <c r="E85" i="13"/>
  <c r="E84" i="13"/>
  <c r="E79" i="13"/>
  <c r="E65" i="13"/>
  <c r="E53" i="13"/>
  <c r="E52" i="13"/>
  <c r="E51" i="13"/>
  <c r="E50" i="13"/>
  <c r="E49" i="13"/>
  <c r="E48" i="13"/>
  <c r="E47" i="13"/>
  <c r="E45" i="13"/>
  <c r="E43" i="13"/>
  <c r="E41" i="13"/>
  <c r="E40" i="13"/>
  <c r="E37" i="13"/>
  <c r="E35" i="13"/>
  <c r="E34" i="13"/>
  <c r="E33" i="13"/>
  <c r="E32" i="13"/>
  <c r="E31" i="13"/>
  <c r="E30" i="13"/>
  <c r="E29" i="13"/>
  <c r="E27"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F97" i="13" s="1"/>
  <c r="F105" i="13" s="1"/>
  <c r="F107" i="13" s="1"/>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C11" i="13"/>
  <c r="C8" i="13"/>
  <c r="C63" i="13" s="1"/>
  <c r="C97" i="13" s="1"/>
  <c r="C105" i="13" s="1"/>
  <c r="D8" i="13"/>
  <c r="D12" i="13" s="1"/>
  <c r="T104" i="4"/>
  <c r="H104" i="13" s="1"/>
  <c r="R103" i="4"/>
  <c r="R102" i="4"/>
  <c r="R101" i="4"/>
  <c r="R99" i="4"/>
  <c r="R104" i="4" s="1"/>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E46" i="13" s="1"/>
  <c r="R45" i="4"/>
  <c r="R43" i="4"/>
  <c r="R41" i="4"/>
  <c r="R40" i="4"/>
  <c r="R37" i="4"/>
  <c r="R35" i="4"/>
  <c r="R34" i="4"/>
  <c r="R33" i="4"/>
  <c r="R32" i="4"/>
  <c r="R31" i="4"/>
  <c r="R30" i="4"/>
  <c r="R29" i="4"/>
  <c r="R27" i="4"/>
  <c r="R25" i="4"/>
  <c r="S25" i="4" s="1"/>
  <c r="R23" i="4"/>
  <c r="S23" i="4" s="1"/>
  <c r="E23" i="13" s="1"/>
  <c r="R22" i="4"/>
  <c r="R21" i="4"/>
  <c r="S21" i="4" s="1"/>
  <c r="E21" i="13" s="1"/>
  <c r="R20" i="4"/>
  <c r="S20" i="4" s="1"/>
  <c r="E20" i="13" s="1"/>
  <c r="R19" i="4"/>
  <c r="S19" i="4" s="1"/>
  <c r="E19" i="13" s="1"/>
  <c r="R18" i="4"/>
  <c r="S18" i="4" s="1"/>
  <c r="E18" i="13" s="1"/>
  <c r="R17" i="4"/>
  <c r="R15" i="4"/>
  <c r="R14" i="4"/>
  <c r="R13" i="4"/>
  <c r="R9" i="4"/>
  <c r="R7" i="4"/>
  <c r="R6" i="4"/>
  <c r="R5" i="4"/>
  <c r="R4" i="4"/>
  <c r="R8" i="4" s="1"/>
  <c r="B5" i="11"/>
  <c r="C5" i="11"/>
  <c r="B6" i="11"/>
  <c r="C6" i="11"/>
  <c r="B7" i="11"/>
  <c r="C7" i="11"/>
  <c r="D7" i="11" s="1"/>
  <c r="C8" i="11"/>
  <c r="D8" i="11" s="1"/>
  <c r="B8" i="11"/>
  <c r="B10" i="11"/>
  <c r="B11" i="11"/>
  <c r="C10" i="11"/>
  <c r="C11" i="11"/>
  <c r="B14" i="11"/>
  <c r="C14" i="11"/>
  <c r="D14" i="11" s="1"/>
  <c r="B15" i="11"/>
  <c r="C15" i="11"/>
  <c r="D15" i="11" s="1"/>
  <c r="B16" i="11"/>
  <c r="C16" i="11"/>
  <c r="D16" i="11" s="1"/>
  <c r="B18" i="11"/>
  <c r="C18" i="11"/>
  <c r="D18" i="11" s="1"/>
  <c r="B19" i="11"/>
  <c r="C19" i="11"/>
  <c r="B20" i="11"/>
  <c r="C20" i="11"/>
  <c r="B21" i="11"/>
  <c r="C21" i="11"/>
  <c r="D21" i="11" s="1"/>
  <c r="B22" i="11"/>
  <c r="C22" i="11"/>
  <c r="D22" i="11" s="1"/>
  <c r="B23" i="11"/>
  <c r="C23" i="11"/>
  <c r="D23" i="11" s="1"/>
  <c r="B24" i="11"/>
  <c r="B28" i="11"/>
  <c r="D28" i="11" s="1"/>
  <c r="C28" i="11"/>
  <c r="B30" i="11"/>
  <c r="C30" i="11"/>
  <c r="D30" i="11"/>
  <c r="B41" i="11"/>
  <c r="C41" i="11"/>
  <c r="D41" i="11" s="1"/>
  <c r="C42" i="11"/>
  <c r="B42" i="11"/>
  <c r="B44" i="11"/>
  <c r="C44" i="11"/>
  <c r="D44" i="11" s="1"/>
  <c r="B46" i="11"/>
  <c r="C46" i="11"/>
  <c r="D46" i="11" s="1"/>
  <c r="B47" i="11"/>
  <c r="C47" i="11"/>
  <c r="D47" i="11" s="1"/>
  <c r="B48" i="11"/>
  <c r="B49" i="11"/>
  <c r="B50" i="11"/>
  <c r="B51" i="11"/>
  <c r="D51" i="11"/>
  <c r="B52" i="11"/>
  <c r="B53" i="11"/>
  <c r="D53" i="11" s="1"/>
  <c r="C48" i="11"/>
  <c r="D48" i="11" s="1"/>
  <c r="C49" i="11"/>
  <c r="C50" i="11"/>
  <c r="C51" i="11"/>
  <c r="C52" i="11"/>
  <c r="C53" i="11"/>
  <c r="B57" i="11"/>
  <c r="C57" i="11"/>
  <c r="D57" i="11" s="1"/>
  <c r="B58" i="11"/>
  <c r="C58" i="11"/>
  <c r="D58" i="11" s="1"/>
  <c r="B59" i="11"/>
  <c r="C59" i="11"/>
  <c r="D59" i="11" s="1"/>
  <c r="B60" i="11"/>
  <c r="D60" i="11" s="1"/>
  <c r="C60" i="11"/>
  <c r="B61" i="11"/>
  <c r="C61" i="11"/>
  <c r="B62" i="11"/>
  <c r="C62" i="11"/>
  <c r="D62" i="11" s="1"/>
  <c r="B66" i="11"/>
  <c r="B71" i="11" s="1"/>
  <c r="C66" i="11"/>
  <c r="B73" i="11"/>
  <c r="C73" i="11"/>
  <c r="B74" i="11"/>
  <c r="C74" i="11"/>
  <c r="B75" i="11"/>
  <c r="D75" i="11" s="1"/>
  <c r="C75" i="11"/>
  <c r="B76" i="11"/>
  <c r="D76" i="11" s="1"/>
  <c r="C76" i="11"/>
  <c r="B77" i="11"/>
  <c r="C77" i="11"/>
  <c r="B84" i="11"/>
  <c r="C84" i="11"/>
  <c r="B100" i="11"/>
  <c r="B105" i="11" s="1"/>
  <c r="C100" i="11"/>
  <c r="C105" i="11" s="1"/>
  <c r="A4" i="8"/>
  <c r="D4" i="8"/>
  <c r="I4" i="8" s="1"/>
  <c r="A5" i="8"/>
  <c r="D5" i="8"/>
  <c r="I5" i="8" s="1"/>
  <c r="A6" i="8"/>
  <c r="D6" i="8"/>
  <c r="I6" i="8" s="1"/>
  <c r="A7" i="8"/>
  <c r="D7" i="8"/>
  <c r="A8" i="8"/>
  <c r="D8" i="8"/>
  <c r="I8" i="8" s="1"/>
  <c r="A9" i="8"/>
  <c r="D9" i="8"/>
  <c r="I9" i="8" s="1"/>
  <c r="J9" i="8" s="1"/>
  <c r="A10" i="8"/>
  <c r="D10" i="8"/>
  <c r="I10" i="8" s="1"/>
  <c r="A11" i="8"/>
  <c r="D11" i="8"/>
  <c r="A12" i="8"/>
  <c r="D12" i="8"/>
  <c r="A13" i="8"/>
  <c r="D13" i="8"/>
  <c r="A14" i="8"/>
  <c r="D14" i="8"/>
  <c r="I14" i="8" s="1"/>
  <c r="A15" i="8"/>
  <c r="D15" i="8"/>
  <c r="I15" i="8" s="1"/>
  <c r="J15" i="8" s="1"/>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s="1"/>
  <c r="T96" i="4"/>
  <c r="H96" i="13"/>
  <c r="C11" i="4"/>
  <c r="B11" i="4" s="1"/>
  <c r="B26" i="13"/>
  <c r="C38" i="4"/>
  <c r="B38" i="13"/>
  <c r="C54" i="4"/>
  <c r="B54" i="13" s="1"/>
  <c r="C62" i="4"/>
  <c r="B62" i="4" s="1"/>
  <c r="C77" i="4"/>
  <c r="B77" i="4" s="1"/>
  <c r="C96" i="4"/>
  <c r="B96" i="13" s="1"/>
  <c r="B104" i="13"/>
  <c r="D8" i="4"/>
  <c r="D11" i="4"/>
  <c r="D26" i="4"/>
  <c r="D38" i="4"/>
  <c r="D42" i="4"/>
  <c r="D54" i="4"/>
  <c r="D62" i="4"/>
  <c r="D77" i="4"/>
  <c r="D96" i="4"/>
  <c r="D104" i="4"/>
  <c r="B104" i="4"/>
  <c r="S38" i="4"/>
  <c r="E38" i="13"/>
  <c r="S42" i="4"/>
  <c r="E42" i="13" s="1"/>
  <c r="S96" i="4"/>
  <c r="E96" i="13" s="1"/>
  <c r="S104" i="4"/>
  <c r="E104" i="13" s="1"/>
  <c r="F2" i="4"/>
  <c r="G2" i="4"/>
  <c r="H2" i="4"/>
  <c r="I2" i="4"/>
  <c r="J2" i="4"/>
  <c r="K2" i="4"/>
  <c r="L2" i="4"/>
  <c r="M2" i="4"/>
  <c r="N2" i="4"/>
  <c r="O2" i="4"/>
  <c r="P2" i="4"/>
  <c r="Q2" i="4"/>
  <c r="B4" i="4"/>
  <c r="B5" i="4"/>
  <c r="B6" i="4"/>
  <c r="B7" i="4"/>
  <c r="E8" i="4"/>
  <c r="F8" i="4"/>
  <c r="G8" i="4"/>
  <c r="G11" i="4"/>
  <c r="G12" i="4" s="1"/>
  <c r="H8" i="4"/>
  <c r="H11" i="4"/>
  <c r="H12" i="4" s="1"/>
  <c r="I8" i="4"/>
  <c r="I11" i="4"/>
  <c r="J8" i="4"/>
  <c r="J11" i="4"/>
  <c r="J26" i="4"/>
  <c r="J38" i="4"/>
  <c r="J42" i="4"/>
  <c r="J54" i="4"/>
  <c r="J62" i="4"/>
  <c r="J70" i="4"/>
  <c r="J97" i="4" s="1"/>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97" i="4" s="1"/>
  <c r="N105" i="4" s="1"/>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97" i="4" s="1"/>
  <c r="O105" i="4" s="1"/>
  <c r="O77" i="4"/>
  <c r="O96" i="4"/>
  <c r="O104" i="4"/>
  <c r="Q62" i="4"/>
  <c r="B65" i="4"/>
  <c r="E70" i="4"/>
  <c r="F70" i="4"/>
  <c r="G70" i="4"/>
  <c r="H70" i="4"/>
  <c r="I70" i="4"/>
  <c r="K70" i="4"/>
  <c r="K97" i="4" s="1"/>
  <c r="K105" i="4" s="1"/>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I105" i="4" s="1"/>
  <c r="K104" i="4"/>
  <c r="L104" i="4"/>
  <c r="Q104" i="4"/>
  <c r="E108" i="4"/>
  <c r="F108" i="4"/>
  <c r="G108" i="4"/>
  <c r="H108" i="4"/>
  <c r="I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D50" i="11"/>
  <c r="I63" i="13"/>
  <c r="I97" i="13"/>
  <c r="I105" i="13"/>
  <c r="I107" i="13"/>
  <c r="J63" i="13"/>
  <c r="J97" i="13"/>
  <c r="J105" i="13"/>
  <c r="J107" i="13"/>
  <c r="L12" i="4"/>
  <c r="D93" i="11"/>
  <c r="D70" i="11"/>
  <c r="D80" i="11"/>
  <c r="I12" i="4"/>
  <c r="D6" i="11"/>
  <c r="L63" i="4"/>
  <c r="L97" i="4"/>
  <c r="L105" i="4"/>
  <c r="Q12" i="4"/>
  <c r="O63" i="4"/>
  <c r="D61" i="11"/>
  <c r="D20" i="11"/>
  <c r="D94" i="11"/>
  <c r="K12" i="4"/>
  <c r="C12" i="13"/>
  <c r="D63" i="4"/>
  <c r="D97" i="4"/>
  <c r="D105" i="4"/>
  <c r="J12" i="4"/>
  <c r="O12" i="4"/>
  <c r="I63" i="4"/>
  <c r="I97" i="4"/>
  <c r="D25" i="11"/>
  <c r="B82" i="11"/>
  <c r="D12" i="4"/>
  <c r="D19" i="11"/>
  <c r="D89" i="11"/>
  <c r="D73" i="11"/>
  <c r="D35" i="11"/>
  <c r="Q63" i="4"/>
  <c r="Q97" i="4"/>
  <c r="Q105" i="4"/>
  <c r="N63" i="4"/>
  <c r="N12" i="4"/>
  <c r="F12" i="4"/>
  <c r="M12" i="4"/>
  <c r="D84" i="11"/>
  <c r="D74" i="11"/>
  <c r="D38" i="11"/>
  <c r="R42" i="4"/>
  <c r="P63" i="4"/>
  <c r="P97" i="4"/>
  <c r="P105" i="4"/>
  <c r="B38" i="4"/>
  <c r="D101" i="11"/>
  <c r="D90" i="11"/>
  <c r="R38" i="4"/>
  <c r="D92" i="11"/>
  <c r="D103" i="11"/>
  <c r="B12" i="11"/>
  <c r="D81" i="11"/>
  <c r="F63" i="13"/>
  <c r="AD199" i="20"/>
  <c r="B42" i="4"/>
  <c r="D77" i="11"/>
  <c r="M63" i="4"/>
  <c r="M97" i="4"/>
  <c r="M105" i="4"/>
  <c r="J63" i="4"/>
  <c r="K63" i="4"/>
  <c r="D104" i="11"/>
  <c r="D11" i="11"/>
  <c r="AZ846" i="3"/>
  <c r="B77" i="13" l="1"/>
  <c r="E12" i="4"/>
  <c r="D10" i="11"/>
  <c r="R96" i="4"/>
  <c r="AH721" i="3"/>
  <c r="G8" i="8"/>
  <c r="J8" i="8"/>
  <c r="G10" i="8"/>
  <c r="J10" i="8"/>
  <c r="S26" i="4"/>
  <c r="E26" i="13" s="1"/>
  <c r="J105" i="4"/>
  <c r="R62" i="4"/>
  <c r="G4" i="8"/>
  <c r="J4" i="8"/>
  <c r="G6" i="8"/>
  <c r="J6" i="8"/>
  <c r="G14" i="8"/>
  <c r="J14" i="8"/>
  <c r="G5" i="8"/>
  <c r="J5" i="8"/>
  <c r="S54" i="4"/>
  <c r="E54" i="13" s="1"/>
  <c r="D42" i="11"/>
  <c r="B43" i="11"/>
  <c r="D96" i="11"/>
  <c r="D95" i="11"/>
  <c r="B96" i="4"/>
  <c r="H63" i="4"/>
  <c r="H97" i="4" s="1"/>
  <c r="H105" i="4" s="1"/>
  <c r="R54" i="4"/>
  <c r="G63" i="4"/>
  <c r="G97" i="4" s="1"/>
  <c r="G105" i="4" s="1"/>
  <c r="F63" i="4"/>
  <c r="F97" i="4" s="1"/>
  <c r="F105" i="4" s="1"/>
  <c r="D66" i="11"/>
  <c r="C97" i="11"/>
  <c r="B97" i="11"/>
  <c r="C82" i="11"/>
  <c r="B81" i="13"/>
  <c r="C78" i="11"/>
  <c r="B78" i="11"/>
  <c r="R81" i="4"/>
  <c r="B55" i="11"/>
  <c r="R70" i="4"/>
  <c r="C43" i="11"/>
  <c r="D43" i="11" s="1"/>
  <c r="D63" i="13"/>
  <c r="D97" i="13" s="1"/>
  <c r="D105" i="13" s="1"/>
  <c r="D52" i="11"/>
  <c r="B9" i="11"/>
  <c r="C9" i="11"/>
  <c r="C55" i="11"/>
  <c r="D55" i="11" s="1"/>
  <c r="B63" i="11"/>
  <c r="C39" i="11"/>
  <c r="D39" i="11" s="1"/>
  <c r="D24" i="11"/>
  <c r="R26" i="4"/>
  <c r="D105" i="11"/>
  <c r="B54" i="4"/>
  <c r="C63" i="11"/>
  <c r="B62" i="13"/>
  <c r="C71" i="11"/>
  <c r="D71" i="11" s="1"/>
  <c r="D100" i="11"/>
  <c r="D82" i="11"/>
  <c r="B70" i="13"/>
  <c r="C27" i="11"/>
  <c r="B13" i="11"/>
  <c r="B8" i="4"/>
  <c r="N187" i="27" s="1"/>
  <c r="N193" i="27" s="1"/>
  <c r="AH723" i="3"/>
  <c r="AH718" i="3"/>
  <c r="AH727" i="3"/>
  <c r="AH724" i="3"/>
  <c r="AH720" i="3"/>
  <c r="AH728" i="3"/>
  <c r="AH722" i="3"/>
  <c r="AH719" i="3"/>
  <c r="E63" i="4"/>
  <c r="E97" i="4" s="1"/>
  <c r="E105" i="4" s="1"/>
  <c r="R11" i="4"/>
  <c r="R12" i="4" s="1"/>
  <c r="T9" i="4"/>
  <c r="C12" i="11"/>
  <c r="D12" i="11" s="1"/>
  <c r="G67" i="21"/>
  <c r="E81" i="13"/>
  <c r="C12" i="4"/>
  <c r="B12" i="13" s="1"/>
  <c r="B11" i="13"/>
  <c r="D5" i="11"/>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S30" i="21"/>
  <c r="O40" i="21"/>
  <c r="T7" i="15"/>
  <c r="E43" i="7"/>
  <c r="G24" i="7" s="1"/>
  <c r="I24" i="7" s="1"/>
  <c r="K24" i="7" s="1"/>
  <c r="M24" i="7" s="1"/>
  <c r="O24" i="7" s="1"/>
  <c r="Q24" i="7" s="1"/>
  <c r="S24" i="7" s="1"/>
  <c r="U24" i="7" s="1"/>
  <c r="W24" i="7" s="1"/>
  <c r="Y24" i="7" s="1"/>
  <c r="AA24" i="7" s="1"/>
  <c r="AC24" i="7" s="1"/>
  <c r="AE24" i="7" s="1"/>
  <c r="AG24" i="7" s="1"/>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J40" i="8" l="1"/>
  <c r="Z809" i="3" s="1"/>
  <c r="M974" i="3" s="1"/>
  <c r="D78" i="11"/>
  <c r="B64" i="11"/>
  <c r="B98" i="11" s="1"/>
  <c r="B106" i="11" s="1"/>
  <c r="D9" i="11"/>
  <c r="G40" i="8"/>
  <c r="S63" i="4"/>
  <c r="D97" i="11"/>
  <c r="R63" i="4"/>
  <c r="R97" i="4" s="1"/>
  <c r="R105" i="4" s="1"/>
  <c r="D63" i="11"/>
  <c r="C64" i="11"/>
  <c r="C13" i="11"/>
  <c r="D13" i="11" s="1"/>
  <c r="B63" i="4"/>
  <c r="B12" i="4"/>
  <c r="T11" i="4"/>
  <c r="H9" i="13"/>
  <c r="C97" i="4"/>
  <c r="C105" i="4"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1" i="21" s="1"/>
  <c r="P31" i="21" s="1" a="1"/>
  <c r="P31" i="21" s="1"/>
  <c r="R31"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E6" i="7" l="1"/>
  <c r="E7" i="7" s="1"/>
  <c r="D64" i="11"/>
  <c r="AC455" i="3"/>
  <c r="AM559" i="3"/>
  <c r="O34" i="21"/>
  <c r="P34" i="21" s="1" a="1"/>
  <c r="P34" i="21" s="1"/>
  <c r="R34" i="21" s="1"/>
  <c r="O28" i="21"/>
  <c r="P28" i="21" s="1" a="1"/>
  <c r="P28" i="21" s="1"/>
  <c r="R28" i="21" s="1"/>
  <c r="O27" i="21"/>
  <c r="P27" i="21" s="1" a="1"/>
  <c r="P27" i="21" s="1"/>
  <c r="R27" i="21" s="1"/>
  <c r="E63" i="13"/>
  <c r="S97" i="4"/>
  <c r="C98" i="11"/>
  <c r="C106" i="11" s="1"/>
  <c r="D106" i="11" s="1"/>
  <c r="AG258" i="20"/>
  <c r="B97" i="13"/>
  <c r="B105" i="13"/>
  <c r="H11" i="13"/>
  <c r="T63" i="4"/>
  <c r="B105" i="4"/>
  <c r="AO631" i="3" s="1"/>
  <c r="B97" i="4"/>
  <c r="O30" i="21"/>
  <c r="P30" i="21" s="1" a="1"/>
  <c r="P30" i="21" s="1"/>
  <c r="R30" i="21" s="1"/>
  <c r="O29" i="21"/>
  <c r="P29" i="21" s="1" a="1"/>
  <c r="P29" i="21" s="1"/>
  <c r="R29" i="21" s="1"/>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M15" i="7"/>
  <c r="K22" i="7"/>
  <c r="K35" i="7" s="1"/>
  <c r="F25" i="21"/>
  <c r="G54" i="21"/>
  <c r="G56" i="21" s="1"/>
  <c r="G58" i="21" s="1"/>
  <c r="E12" i="21" s="1"/>
  <c r="F26" i="21"/>
  <c r="G26" i="21" s="1"/>
  <c r="G45" i="21"/>
  <c r="G47" i="21" s="1"/>
  <c r="G49" i="21" s="1"/>
  <c r="E11" i="21" s="1"/>
  <c r="G6" i="7" l="1"/>
  <c r="I6" i="7" s="1"/>
  <c r="D98" i="11"/>
  <c r="S105" i="4"/>
  <c r="E97" i="13"/>
  <c r="AC454" i="3"/>
  <c r="F457" i="3" s="1"/>
  <c r="AM566" i="3"/>
  <c r="AB255" i="20"/>
  <c r="AG257" i="20" s="1"/>
  <c r="AG259" i="20" s="1"/>
  <c r="AK262" i="20" s="1"/>
  <c r="T801" i="20" s="1"/>
  <c r="AF801" i="20" s="1"/>
  <c r="N183" i="27"/>
  <c r="N184" i="27" s="1"/>
  <c r="AB47" i="15"/>
  <c r="T97" i="4"/>
  <c r="H63" i="13"/>
  <c r="G38" i="21"/>
  <c r="G40" i="21" s="1"/>
  <c r="E10" i="21" s="1"/>
  <c r="AP694" i="20"/>
  <c r="AP695" i="20"/>
  <c r="I4" i="7"/>
  <c r="I5" i="7" s="1"/>
  <c r="K9" i="7"/>
  <c r="E11" i="7"/>
  <c r="E37" i="7" s="1"/>
  <c r="E49" i="7" s="1"/>
  <c r="AJ991" i="3"/>
  <c r="E132" i="20"/>
  <c r="E133" i="20" s="1"/>
  <c r="AK137" i="20" s="1"/>
  <c r="T796" i="20" s="1"/>
  <c r="AF796" i="20" s="1"/>
  <c r="AB990" i="3"/>
  <c r="CS660" i="3"/>
  <c r="U362" i="20" s="1"/>
  <c r="P421" i="3"/>
  <c r="M22" i="7"/>
  <c r="M35" i="7" s="1"/>
  <c r="O15" i="7"/>
  <c r="M9" i="7"/>
  <c r="O8" i="7"/>
  <c r="G25" i="21"/>
  <c r="F24" i="21"/>
  <c r="G7" i="7" l="1"/>
  <c r="G11" i="7" s="1"/>
  <c r="G37" i="7" s="1"/>
  <c r="G45" i="7" s="1"/>
  <c r="S107" i="4"/>
  <c r="E105" i="13"/>
  <c r="AO639" i="3"/>
  <c r="J108" i="4"/>
  <c r="B1059" i="3"/>
  <c r="AJ1044" i="3"/>
  <c r="AP541" i="20" s="1"/>
  <c r="AJ1048" i="3"/>
  <c r="AP542" i="20" s="1"/>
  <c r="N194" i="27"/>
  <c r="T105" i="4"/>
  <c r="H97" i="13"/>
  <c r="AP539" i="20"/>
  <c r="K4" i="7"/>
  <c r="M4" i="7" s="1"/>
  <c r="E45" i="7"/>
  <c r="E48" i="7" s="1"/>
  <c r="K6" i="7"/>
  <c r="I7" i="7"/>
  <c r="I11" i="7" s="1"/>
  <c r="I37" i="7" s="1"/>
  <c r="G24" i="21"/>
  <c r="F27" i="21"/>
  <c r="G27" i="21"/>
  <c r="O22" i="7"/>
  <c r="O35" i="7" s="1"/>
  <c r="Q15" i="7"/>
  <c r="O9" i="7"/>
  <c r="Q8" i="7"/>
  <c r="G49" i="7" l="1"/>
  <c r="AJ1052" i="3"/>
  <c r="T24" i="15" s="1"/>
  <c r="E107" i="13"/>
  <c r="AB48" i="15"/>
  <c r="AB49" i="15" s="1"/>
  <c r="AO641" i="3"/>
  <c r="AP543" i="20"/>
  <c r="H105" i="13"/>
  <c r="T107" i="4"/>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T11" i="15"/>
  <c r="T23" i="15" s="1"/>
  <c r="T26" i="15" s="1"/>
  <c r="T28" i="15" s="1"/>
  <c r="Y11" i="15"/>
  <c r="Y23" i="15" s="1"/>
  <c r="Y26" i="15" s="1"/>
  <c r="Y28" i="15" s="1"/>
  <c r="AC456" i="3"/>
  <c r="AF540" i="20"/>
  <c r="H107" i="1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7" i="20" s="1"/>
  <c r="AF807" i="20" s="1"/>
  <c r="Y64" i="15"/>
  <c r="Y68" i="15" s="1"/>
  <c r="AD11" i="15"/>
  <c r="AD23" i="15" s="1"/>
  <c r="AI11" i="15"/>
  <c r="AI23" i="15" s="1"/>
  <c r="AI26" i="15" s="1"/>
  <c r="AI28"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D26" i="15" l="1"/>
  <c r="AD28" i="15" s="1"/>
  <c r="T29" i="15" s="1"/>
  <c r="Y38" i="15"/>
  <c r="Y40" i="15" s="1"/>
  <c r="U4" i="7"/>
  <c r="S5" i="7"/>
  <c r="M48" i="7"/>
  <c r="M47" i="7"/>
  <c r="M60" i="7"/>
  <c r="O45" i="7"/>
  <c r="O49" i="7"/>
  <c r="K66" i="7"/>
  <c r="K67" i="7"/>
  <c r="K62" i="7"/>
  <c r="Q7" i="7"/>
  <c r="Q11" i="7" s="1"/>
  <c r="Q37" i="7" s="1"/>
  <c r="S6" i="7"/>
  <c r="I70" i="7"/>
  <c r="I72" i="7" s="1"/>
  <c r="W22" i="7"/>
  <c r="W35" i="7" s="1"/>
  <c r="Y15" i="7"/>
  <c r="W9" i="7"/>
  <c r="Y8" i="7"/>
  <c r="AD38" i="15" l="1"/>
  <c r="AD40" i="15" s="1"/>
  <c r="Y41" i="15" s="1"/>
  <c r="U5" i="7"/>
  <c r="W4" i="7"/>
  <c r="Q49" i="7"/>
  <c r="Q45" i="7"/>
  <c r="M62" i="7"/>
  <c r="M67" i="7"/>
  <c r="M66" i="7"/>
  <c r="O47" i="7"/>
  <c r="O48" i="7"/>
  <c r="O60" i="7"/>
  <c r="K70" i="7"/>
  <c r="K72" i="7" s="1"/>
  <c r="S7" i="7"/>
  <c r="S11" i="7" s="1"/>
  <c r="S37" i="7" s="1"/>
  <c r="U6" i="7"/>
  <c r="Y22" i="7"/>
  <c r="Y35" i="7" s="1"/>
  <c r="AA15" i="7"/>
  <c r="Y9" i="7"/>
  <c r="AA8" i="7"/>
  <c r="AB54" i="15" l="1"/>
  <c r="AB55" i="15" s="1"/>
  <c r="AB56" i="15" s="1"/>
  <c r="M70" i="7"/>
  <c r="M72" i="7" s="1"/>
  <c r="W5" i="7"/>
  <c r="Y4" i="7"/>
  <c r="U7" i="7"/>
  <c r="U11" i="7" s="1"/>
  <c r="U37" i="7" s="1"/>
  <c r="W6" i="7"/>
  <c r="O67" i="7"/>
  <c r="O66" i="7"/>
  <c r="O62" i="7"/>
  <c r="Q60" i="7"/>
  <c r="Q48" i="7"/>
  <c r="Q47" i="7"/>
  <c r="S49" i="7"/>
  <c r="S45" i="7"/>
  <c r="AC15" i="7"/>
  <c r="AA22" i="7"/>
  <c r="AA35" i="7" s="1"/>
  <c r="AC8" i="7"/>
  <c r="AA9" i="7"/>
  <c r="M26" i="3" l="1"/>
  <c r="P204" i="3" s="1"/>
  <c r="AB57" i="15"/>
  <c r="AB59" i="15" s="1"/>
  <c r="AB76" i="15" s="1"/>
  <c r="AB77" i="15" s="1"/>
  <c r="AB78" i="15" s="1"/>
  <c r="AB80" i="15" s="1"/>
  <c r="J81" i="15" s="1"/>
  <c r="AA4" i="7"/>
  <c r="Y5" i="7"/>
  <c r="Y6" i="7"/>
  <c r="W7" i="7"/>
  <c r="W11" i="7" s="1"/>
  <c r="W37" i="7" s="1"/>
  <c r="U45" i="7"/>
  <c r="U49" i="7"/>
  <c r="Q66" i="7"/>
  <c r="Q67" i="7"/>
  <c r="Q62" i="7"/>
  <c r="S48" i="7"/>
  <c r="S47" i="7"/>
  <c r="S60" i="7"/>
  <c r="O70" i="7"/>
  <c r="O72" i="7" s="1"/>
  <c r="AE15" i="7"/>
  <c r="AC22" i="7"/>
  <c r="AC35" i="7" s="1"/>
  <c r="AC9" i="7"/>
  <c r="AE8" i="7"/>
  <c r="I10" i="21" l="1"/>
  <c r="I11" i="21" s="1"/>
  <c r="I16" i="21" s="1"/>
  <c r="H4" i="21" s="1"/>
  <c r="H5" i="21" s="1"/>
  <c r="M27" i="3"/>
  <c r="P205" i="3"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F52B7385-6FF5-4890-ABB8-BFE42C8C29E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<sst xmlns="http://schemas.openxmlformats.org/spreadsheetml/2006/main" count="5273" uniqueCount="2766">
  <si>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</si>
  <si>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</si>
  <si>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</si>
  <si>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</si>
  <si>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</si>
  <si>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</si>
  <si>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</si>
  <si>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</si>
  <si>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</si>
  <si>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</si>
  <si>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</si>
  <si>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</si>
  <si>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</si>
  <si>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</si>
  <si>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</si>
  <si>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</si>
  <si>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</si>
  <si>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</si>
  <si>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</si>
  <si>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</si>
  <si>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</si>
  <si>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</si>
  <si>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</si>
  <si>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</si>
  <si>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</si>
  <si>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</si>
  <si>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</si>
  <si>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</si>
  <si>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</si>
  <si>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</si>
  <si>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</si>
  <si>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</si>
  <si>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</si>
  <si>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</si>
  <si>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</si>
  <si>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</si>
  <si>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</si>
  <si>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</si>
  <si>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</si>
  <si>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</si>
  <si>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</si>
  <si>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</si>
  <si>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</si>
  <si>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</si>
  <si>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</si>
  <si>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</si>
  <si>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</si>
  <si>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</si>
  <si>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</si>
  <si>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</si>
  <si>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</si>
  <si>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</si>
  <si>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</si>
  <si>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</si>
  <si>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</si>
  <si>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</si>
  <si>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</si>
  <si>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</si>
  <si>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</si>
  <si>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</si>
  <si>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</si>
  <si>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</si>
  <si>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</si>
  <si>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</si>
  <si>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</si>
  <si>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</si>
  <si>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</si>
  <si>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</si>
  <si>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</si>
  <si>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</si>
  <si>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</si>
  <si>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</si>
  <si>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</si>
  <si>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</si>
  <si>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</si>
  <si>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</si>
  <si>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</si>
  <si>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</si>
  <si>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</si>
  <si>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</si>
  <si>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</si>
  <si>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</si>
  <si>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</si>
  <si>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</si>
  <si>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</si>
  <si>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</si>
  <si>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</si>
  <si>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</si>
  <si>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</si>
  <si>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</si>
  <si>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</si>
  <si>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</si>
  <si>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</si>
  <si>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</si>
  <si>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</si>
  <si>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</si>
  <si>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</si>
  <si>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</si>
  <si>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</si>
  <si>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</si>
  <si>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</si>
  <si>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</si>
  <si>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</si>
  <si>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</si>
  <si>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</si>
  <si>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</si>
  <si>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</si>
  <si>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</si>
  <si>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</si>
  <si>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</si>
  <si>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</si>
  <si>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</si>
  <si>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</si>
  <si>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</si>
  <si>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</si>
  <si>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</si>
  <si>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</si>
  <si>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</si>
  <si>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</si>
  <si>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</si>
  <si>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</si>
  <si>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</si>
  <si>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</si>
  <si>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</si>
  <si>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</si>
  <si>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</si>
  <si>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</si>
  <si>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</si>
  <si>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</si>
  <si>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</si>
  <si>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</si>
  <si>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</si>
  <si>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</si>
  <si>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</si>
  <si>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</si>
  <si>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</si>
  <si>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</si>
  <si>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</si>
  <si>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</si>
  <si>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</si>
  <si>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</si>
  <si>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</si>
  <si>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</si>
  <si>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</si>
  <si>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</si>
  <si>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</si>
  <si>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</si>
  <si>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</si>
  <si>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</si>
  <si>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</si>
  <si>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</si>
  <si>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</si>
  <si>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</si>
  <si>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</si>
  <si>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</si>
  <si>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</si>
  <si>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</si>
  <si>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</si>
  <si>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</si>
  <si>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</si>
  <si>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</si>
  <si>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</si>
  <si>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</si>
  <si>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</si>
  <si>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</si>
  <si>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</si>
  <si>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</si>
  <si>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</si>
  <si>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</si>
  <si>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</si>
  <si>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</si>
  <si>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</si>
  <si>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</si>
  <si>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</si>
  <si>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</si>
  <si>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</si>
  <si>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</si>
  <si>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</si>
  <si>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</si>
  <si>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</si>
  <si>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</si>
  <si>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</si>
  <si>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</si>
  <si>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</si>
  <si>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</si>
  <si>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</si>
  <si>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</si>
  <si>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</si>
  <si>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</si>
  <si>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</si>
  <si>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</si>
  <si>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</si>
  <si>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</si>
  <si>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</si>
  <si>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</si>
  <si>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</si>
  <si>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</si>
  <si>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</si>
  <si>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</si>
  <si>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</si>
  <si>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</si>
  <si>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</si>
  <si>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</si>
  <si>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</si>
  <si>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</si>
  <si>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</si>
  <si>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</si>
  <si>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</si>
  <si>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</si>
  <si>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</si>
  <si>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</si>
  <si>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</si>
  <si>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</si>
  <si>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</si>
  <si>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</si>
  <si>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</si>
  <si>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</si>
  <si>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</si>
  <si>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</si>
  <si>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</si>
  <si>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</si>
  <si>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</si>
  <si>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</si>
  <si>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</si>
  <si>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</si>
  <si>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</si>
  <si>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</si>
  <si>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</si>
  <si>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</si>
  <si>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</si>
  <si>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</si>
  <si>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</si>
  <si>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</si>
  <si>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</si>
  <si>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</si>
  <si>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</si>
  <si>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</si>
  <si>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</si>
  <si>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</si>
  <si>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</si>
  <si>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</si>
  <si>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</si>
  <si>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</si>
  <si>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</si>
  <si>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</si>
  <si>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</si>
  <si>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</si>
  <si>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</si>
  <si>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</si>
  <si>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</si>
  <si>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</si>
  <si>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</si>
  <si>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</si>
  <si>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</si>
  <si>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</si>
  <si>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</si>
  <si>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</si>
  <si>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</si>
  <si>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</si>
  <si>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</si>
  <si>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</si>
  <si>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</si>
  <si>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</si>
  <si>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</si>
  <si>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</si>
  <si>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</si>
  <si>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</si>
  <si>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</si>
  <si>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</si>
  <si>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</si>
  <si>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</si>
  <si>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</si>
  <si>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</si>
  <si>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</si>
  <si>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</si>
  <si>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</si>
  <si>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</si>
  <si>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</si>
  <si>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</si>
  <si>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</si>
  <si>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</si>
  <si>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</si>
  <si>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</si>
  <si>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</si>
  <si>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</si>
  <si>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</si>
  <si>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</si>
  <si>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</si>
  <si>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</si>
  <si>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</si>
  <si>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</si>
  <si>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</si>
  <si>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</si>
  <si>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</si>
  <si>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</si>
  <si>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</si>
  <si>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</si>
  <si>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</si>
  <si>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</si>
  <si>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</si>
  <si>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</si>
  <si>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</si>
  <si>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</si>
  <si>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</si>
  <si>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</si>
  <si>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</si>
  <si>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</si>
  <si>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</si>
  <si>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</si>
  <si>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</si>
  <si>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</si>
  <si>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</si>
  <si>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</si>
  <si>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</si>
  <si>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</si>
  <si>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</si>
  <si>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</si>
  <si>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</si>
  <si>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</si>
  <si>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</si>
  <si>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</si>
  <si>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</si>
  <si>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</si>
  <si>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</si>
  <si>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</si>
  <si>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</si>
  <si>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</si>
  <si>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</si>
  <si>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</si>
  <si>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</si>
  <si>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</si>
  <si>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</si>
  <si>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</si>
  <si>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</si>
  <si>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</si>
  <si>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</si>
  <si>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</si>
  <si>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</si>
  <si>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</si>
  <si>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</si>
  <si>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</si>
  <si>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</si>
  <si>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</si>
  <si>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</si>
  <si>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</si>
  <si>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</si>
  <si>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</si>
  <si>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</si>
  <si>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</si>
  <si>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</si>
  <si>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</si>
  <si>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</si>
  <si>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</si>
  <si>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</si>
  <si>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</si>
  <si>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</si>
  <si>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</si>
  <si>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</si>
  <si>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</si>
  <si>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</si>
  <si>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</si>
  <si>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</si>
  <si>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</si>
  <si>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</si>
  <si>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</si>
  <si>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</si>
  <si>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</si>
  <si>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</si>
  <si>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</si>
  <si>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</si>
  <si>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</si>
  <si>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</si>
  <si>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</si>
  <si>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</si>
  <si>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</si>
  <si>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</si>
  <si>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</si>
  <si>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</si>
  <si>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</si>
  <si>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</si>
  <si>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</si>
  <si>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</si>
  <si>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</si>
  <si>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</si>
  <si>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</si>
  <si>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</si>
  <si>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</si>
  <si>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</si>
  <si>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</si>
  <si>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</si>
  <si>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</si>
  <si>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</si>
  <si>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</si>
  <si>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</si>
  <si>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</si>
  <si>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</si>
  <si>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</si>
  <si>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</si>
  <si>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</si>
  <si>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</si>
  <si>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</si>
  <si>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</si>
  <si>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</si>
  <si>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</si>
  <si>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</si>
  <si>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</si>
  <si>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</si>
  <si>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</si>
  <si>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</si>
  <si>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</si>
  <si>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</si>
  <si>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</si>
  <si>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</si>
  <si>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</si>
  <si>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</si>
  <si>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</si>
  <si>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</si>
  <si>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</si>
  <si>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</si>
  <si>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</si>
  <si>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</si>
  <si>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</si>
  <si>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</si>
  <si>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</si>
  <si>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</si>
  <si>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</si>
  <si>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</si>
  <si>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</si>
  <si>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</si>
  <si>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</si>
  <si>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</si>
  <si>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</si>
  <si>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</si>
  <si>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</si>
  <si>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</si>
  <si>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</si>
  <si>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</si>
  <si>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</si>
  <si>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</si>
  <si>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</si>
  <si>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</si>
  <si>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</si>
  <si>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</si>
  <si>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</si>
  <si>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</si>
  <si>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</si>
  <si>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</si>
  <si>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</si>
  <si>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</si>
  <si>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</si>
  <si>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</si>
  <si>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</si>
  <si>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</si>
  <si>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</si>
  <si>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</si>
  <si>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</si>
  <si>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</si>
  <si>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</si>
  <si>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</si>
  <si>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</si>
  <si>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</si>
  <si>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</si>
  <si>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</si>
  <si>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</si>
  <si>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</si>
  <si>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</si>
  <si>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</si>
  <si>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</si>
  <si>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</si>
  <si>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</si>
  <si>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</si>
  <si>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</si>
  <si>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</si>
  <si>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</si>
  <si>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</si>
  <si>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</si>
  <si>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</si>
  <si>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</si>
  <si>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</si>
  <si>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</si>
  <si>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</si>
  <si>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</si>
  <si>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</si>
  <si>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</si>
  <si>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</si>
  <si>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</si>
  <si>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</si>
  <si>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</si>
  <si>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</si>
  <si>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</si>
  <si>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</si>
  <si>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</si>
  <si>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</si>
  <si>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</si>
  <si>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</si>
  <si>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</si>
  <si>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</si>
  <si>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</si>
  <si>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</si>
  <si>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</si>
  <si>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</si>
  <si>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</si>
  <si>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</si>
  <si>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</si>
  <si>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</si>
  <si>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</si>
  <si>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</si>
  <si>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</si>
  <si>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</si>
  <si>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</si>
  <si>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</si>
  <si>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</si>
  <si>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</si>
  <si>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</si>
  <si>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</si>
  <si>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</si>
  <si>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</si>
  <si>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</si>
  <si>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</si>
  <si>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</si>
  <si>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</si>
  <si>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</si>
  <si>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</si>
  <si>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</si>
  <si>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</si>
  <si>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</si>
  <si>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</si>
  <si>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</si>
  <si>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</si>
  <si>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</si>
  <si>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</si>
  <si>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</si>
  <si>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</si>
  <si>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</si>
  <si>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</si>
  <si>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</si>
  <si>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</si>
  <si>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</si>
  <si>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</si>
  <si>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</si>
  <si>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</si>
  <si>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</si>
  <si>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</si>
  <si>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</si>
  <si>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</si>
  <si>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</si>
  <si>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</si>
  <si>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</si>
  <si>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</si>
  <si>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</si>
  <si>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</si>
  <si>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</si>
  <si>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</si>
  <si>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</si>
  <si>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</si>
  <si>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</si>
  <si>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</si>
  <si>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</si>
  <si>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</si>
  <si>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</si>
  <si>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</si>
  <si>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</si>
  <si>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</si>
  <si>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</si>
  <si>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</si>
  <si>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</si>
  <si>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</si>
  <si>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</si>
  <si>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</si>
  <si>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</si>
  <si>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</si>
  <si>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</si>
  <si>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</si>
  <si>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</si>
  <si>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</si>
  <si>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</si>
  <si>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</si>
  <si>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</si>
  <si>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</si>
  <si>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</si>
  <si>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</si>
  <si>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</si>
  <si>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</si>
  <si>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</si>
  <si>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</si>
  <si>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</si>
  <si>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</si>
  <si>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</si>
  <si>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</si>
  <si>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</si>
  <si>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</si>
  <si>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</si>
  <si>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</si>
  <si>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</si>
  <si>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</si>
  <si>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</si>
  <si>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</si>
  <si>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</si>
  <si>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</si>
  <si>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</si>
  <si>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</si>
  <si>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</si>
  <si>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</si>
  <si>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</si>
  <si>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</si>
  <si>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</si>
  <si>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</si>
  <si>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</si>
  <si>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</si>
  <si>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</si>
  <si>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</si>
  <si>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</si>
  <si>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</si>
  <si>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</si>
  <si>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</si>
  <si>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</si>
  <si>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</si>
  <si>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</si>
  <si>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</si>
  <si>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</si>
  <si>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</si>
  <si>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</si>
  <si>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</si>
  <si>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</si>
  <si>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</si>
  <si>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</si>
  <si>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</si>
  <si>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</si>
  <si>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</si>
  <si>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</si>
  <si>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</si>
  <si>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</si>
  <si>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</si>
  <si>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</si>
  <si>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</si>
  <si>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</si>
  <si>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</si>
  <si>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</si>
  <si>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</si>
  <si>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</si>
  <si>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</si>
  <si>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</si>
  <si>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</si>
  <si>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</si>
  <si>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</si>
  <si>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</si>
  <si>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</si>
  <si>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</si>
  <si>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</si>
  <si>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</si>
  <si>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</si>
  <si>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</si>
  <si>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</si>
  <si>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</si>
  <si>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</si>
  <si>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</si>
  <si>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</si>
  <si>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</si>
  <si>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</si>
  <si>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</si>
  <si>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</si>
  <si>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</si>
  <si>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</si>
  <si>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</si>
  <si>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</si>
  <si>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</si>
  <si>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</si>
  <si>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</si>
  <si>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</si>
  <si>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</si>
  <si>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</si>
  <si>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</si>
  <si>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</si>
  <si>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</si>
  <si>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</si>
  <si>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</si>
  <si>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</si>
  <si>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</si>
  <si>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</si>
  <si>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</si>
  <si>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</si>
  <si>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</si>
  <si>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</si>
  <si>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</si>
  <si>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</si>
  <si>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</si>
  <si>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</si>
  <si>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</si>
  <si>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</si>
  <si>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</si>
  <si>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</si>
  <si>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</si>
  <si>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</si>
  <si>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</si>
  <si>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</si>
  <si>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</si>
  <si>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</si>
  <si>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</si>
  <si>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</si>
  <si>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</si>
  <si>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</si>
  <si>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</si>
  <si>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</si>
  <si>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</si>
  <si>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</si>
  <si>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</si>
  <si>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</si>
  <si>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</si>
  <si>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</si>
  <si>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</si>
  <si>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</si>
  <si>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</si>
  <si>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</si>
  <si>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</si>
  <si>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</si>
  <si>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</si>
  <si>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</si>
  <si>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</si>
  <si>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</si>
  <si>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</si>
  <si>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</si>
  <si>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</si>
  <si>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</si>
  <si>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</si>
  <si>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</si>
  <si>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</si>
  <si>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</si>
  <si>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</si>
  <si>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</si>
  <si>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</si>
  <si>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</si>
  <si>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</si>
  <si>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</si>
  <si>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</si>
  <si>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</si>
  <si>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</si>
  <si>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</si>
  <si>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</si>
  <si>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</si>
  <si>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</si>
  <si>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</si>
  <si>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</si>
  <si>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</si>
  <si>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</si>
  <si>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</si>
  <si>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</si>
  <si>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</si>
  <si>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</si>
  <si>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</si>
  <si>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</si>
  <si>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</si>
  <si>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</si>
  <si>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</si>
  <si>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</si>
  <si>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</si>
  <si>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</si>
  <si>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</si>
  <si>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</si>
  <si>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</si>
  <si>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</si>
  <si>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</si>
  <si>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</si>
  <si>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</si>
  <si>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</si>
  <si>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</si>
  <si>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</si>
  <si>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</si>
  <si>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</si>
  <si>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</si>
  <si>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</si>
  <si>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</si>
  <si>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</si>
  <si>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</si>
  <si>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</si>
  <si>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</si>
  <si>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</si>
  <si>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</si>
  <si>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</si>
  <si>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</si>
  <si>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</si>
  <si>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</si>
  <si>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</si>
  <si>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</si>
  <si>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</si>
  <si>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</si>
  <si>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</si>
  <si>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</si>
  <si>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</si>
  <si>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</si>
  <si>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</si>
  <si>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</si>
  <si>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</si>
  <si>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</si>
  <si>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</si>
  <si>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</si>
  <si>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</si>
  <si>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</si>
  <si>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</si>
  <si>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</si>
  <si>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</si>
  <si>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</si>
  <si>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</si>
  <si>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</si>
  <si>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</si>
  <si>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</si>
  <si>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</si>
  <si>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</si>
  <si>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</si>
  <si>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</si>
  <si>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</si>
  <si>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</si>
  <si>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</si>
  <si>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</si>
  <si>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</si>
  <si>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</si>
  <si>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</si>
  <si>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</si>
  <si>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</si>
  <si>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</si>
  <si>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</si>
  <si>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</si>
  <si>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</si>
  <si>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</si>
  <si>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</si>
  <si>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</si>
  <si>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</si>
  <si>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</si>
  <si>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</si>
  <si>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</si>
  <si>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</si>
  <si>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</si>
  <si>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</si>
  <si>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</si>
  <si>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</si>
  <si>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</si>
  <si>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</si>
  <si>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</si>
  <si>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</si>
  <si>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</si>
  <si>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</si>
  <si>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</si>
  <si>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</si>
  <si>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</si>
  <si>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</si>
  <si>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</si>
  <si>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</si>
  <si>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</si>
  <si>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</si>
  <si>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</si>
  <si>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</si>
  <si>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</si>
  <si>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</si>
  <si>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</si>
  <si>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</si>
  <si>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</si>
  <si>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</si>
  <si>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</si>
  <si>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</si>
  <si>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</si>
  <si>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</si>
  <si>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</si>
  <si>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</si>
  <si>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</si>
  <si>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</si>
  <si>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</si>
  <si>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</si>
  <si>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</si>
  <si>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</si>
  <si>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</si>
  <si>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</si>
  <si>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</si>
  <si>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</si>
  <si>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</si>
  <si>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</si>
  <si>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</si>
  <si>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</si>
  <si>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</si>
  <si>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</si>
  <si>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</si>
  <si>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</si>
  <si>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</si>
  <si>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</si>
  <si>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</si>
  <si>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</si>
  <si>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</si>
  <si>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</si>
  <si>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</si>
  <si>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</si>
  <si>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</si>
  <si>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</si>
  <si>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</si>
  <si>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</si>
  <si>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</si>
  <si>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</si>
  <si>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</si>
  <si>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</si>
  <si>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</si>
  <si>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</si>
  <si>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</si>
  <si>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</si>
  <si>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</si>
  <si>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</si>
  <si>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</si>
  <si>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</si>
  <si>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</si>
  <si>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</si>
  <si>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</si>
  <si>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</si>
  <si>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</si>
  <si>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</si>
  <si>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</si>
  <si>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</si>
  <si>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</si>
  <si>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</si>
  <si>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</si>
  <si>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</si>
  <si>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</si>
  <si>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</si>
  <si>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</si>
  <si>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</si>
  <si>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</si>
  <si>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</si>
  <si>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</si>
  <si>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</si>
  <si>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</si>
  <si>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</si>
  <si>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</si>
  <si>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</si>
  <si>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</si>
  <si>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</si>
  <si>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</si>
  <si>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</si>
  <si>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</si>
  <si>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</si>
  <si>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</si>
  <si>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</si>
  <si>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</si>
  <si>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</si>
  <si>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</si>
  <si>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</si>
  <si>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</si>
  <si>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</si>
  <si>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</si>
  <si>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</si>
  <si>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</si>
  <si>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</si>
  <si>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</si>
  <si>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</si>
  <si>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</si>
  <si>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</si>
  <si>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</si>
  <si>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</si>
  <si>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</si>
  <si>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</si>
  <si>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</si>
  <si>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</si>
  <si>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</si>
  <si>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</si>
  <si>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</si>
  <si>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</si>
  <si>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</si>
  <si>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</si>
  <si>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</si>
  <si>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</si>
  <si>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</si>
  <si>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</si>
  <si>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</si>
  <si>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</si>
  <si>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</si>
  <si>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</si>
  <si>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</si>
  <si>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</si>
  <si>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</si>
  <si>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</si>
  <si>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</si>
  <si>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</si>
  <si>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</si>
  <si>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</si>
  <si>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</si>
  <si>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</si>
  <si>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</si>
  <si>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</si>
  <si>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</si>
  <si>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</si>
  <si>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</si>
  <si>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</si>
  <si>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</si>
  <si>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</si>
  <si>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</si>
  <si>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</si>
  <si>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</si>
  <si>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</si>
  <si>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</si>
  <si>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</si>
  <si>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</si>
  <si>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</si>
  <si>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</si>
  <si>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</si>
  <si>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</si>
  <si>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</si>
  <si>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</si>
  <si>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</si>
  <si>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</si>
  <si>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</si>
  <si>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</si>
  <si>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</si>
  <si>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</si>
  <si>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</si>
  <si>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</si>
  <si>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</si>
  <si>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</si>
  <si>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</si>
  <si>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</si>
  <si>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</si>
  <si>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</si>
  <si>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</si>
  <si>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</si>
  <si>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</si>
  <si>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</si>
  <si>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</si>
  <si>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</si>
  <si>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</si>
  <si>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</si>
  <si>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</si>
  <si>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</si>
  <si>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</si>
  <si>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</si>
  <si>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</si>
  <si>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</si>
  <si>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</si>
  <si>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</si>
  <si>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</si>
  <si>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</si>
  <si>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</si>
  <si>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</si>
  <si>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</si>
  <si>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</si>
  <si>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</si>
  <si>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</si>
  <si>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</si>
  <si>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</si>
  <si>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</si>
  <si>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</si>
  <si>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</si>
  <si>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</si>
  <si>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</si>
  <si>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</si>
  <si>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</si>
  <si>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</si>
  <si>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</si>
  <si>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</si>
  <si>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</si>
  <si>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</si>
  <si>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</si>
  <si>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</si>
  <si>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</si>
  <si>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</si>
  <si>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</si>
  <si>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</si>
  <si>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</si>
  <si>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</si>
  <si>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</si>
  <si>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</si>
  <si>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</si>
  <si>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</si>
  <si>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</si>
  <si>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</si>
  <si>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</si>
  <si>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</si>
  <si>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</si>
  <si>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</si>
  <si>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</si>
  <si>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</si>
  <si>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</si>
  <si>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</si>
  <si>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</si>
  <si>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</si>
  <si>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</si>
  <si>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</si>
  <si>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</si>
  <si>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</si>
  <si>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</si>
  <si>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</si>
  <si>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</si>
  <si>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</si>
  <si>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</si>
  <si>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</si>
  <si>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</si>
  <si>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</si>
  <si>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</si>
  <si>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</si>
  <si>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</si>
  <si>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</si>
  <si>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</si>
  <si>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</si>
  <si>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</si>
  <si>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</si>
  <si>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</si>
  <si>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</si>
  <si>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</si>
  <si>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</si>
  <si>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</si>
  <si>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</si>
  <si>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</si>
  <si>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</si>
  <si>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</si>
  <si>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</si>
  <si>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</si>
  <si>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</si>
  <si>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</si>
  <si>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</si>
  <si>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</si>
  <si>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</si>
  <si>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</si>
  <si>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</si>
  <si>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</si>
  <si>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</si>
  <si>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</si>
  <si>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</si>
  <si>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</si>
  <si>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</si>
  <si>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</si>
  <si>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</si>
  <si>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</si>
  <si>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</si>
  <si>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</si>
  <si>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</si>
  <si>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</si>
  <si>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</si>
  <si>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</si>
  <si>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</si>
  <si>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</si>
  <si>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</si>
  <si>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</si>
  <si>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</si>
  <si>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</si>
  <si>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</si>
  <si>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</si>
  <si>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</si>
  <si>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</si>
  <si>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</si>
  <si>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</si>
  <si>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</si>
  <si>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</si>
  <si>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</si>
  <si>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</si>
  <si>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</si>
  <si>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</si>
  <si>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</si>
  <si>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</si>
  <si>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</si>
  <si>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</si>
  <si>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</si>
  <si>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</si>
  <si>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</si>
  <si>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</si>
  <si>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</si>
  <si>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</si>
  <si>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</si>
  <si>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</si>
  <si>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</si>
  <si>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</si>
  <si>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</si>
  <si>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</si>
  <si>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</si>
  <si>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</si>
  <si>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</si>
  <si>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</si>
  <si>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</si>
  <si>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</si>
  <si>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</si>
  <si>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</si>
  <si>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</si>
  <si>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</si>
  <si>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</si>
  <si>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</si>
  <si>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</si>
  <si>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</si>
  <si>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</si>
  <si>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</si>
  <si>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</si>
  <si>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</si>
  <si>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</si>
  <si>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</si>
  <si>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</si>
  <si>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</si>
  <si>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</si>
  <si>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</si>
  <si>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</si>
  <si>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</si>
  <si>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</si>
  <si>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</si>
  <si>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</si>
  <si>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</si>
  <si>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</si>
  <si>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</si>
  <si>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</si>
  <si>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</si>
  <si>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</si>
  <si>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</si>
  <si>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</si>
  <si>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</si>
  <si>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</si>
  <si>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</si>
  <si>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</si>
  <si>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</si>
  <si>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</si>
  <si>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</si>
  <si>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</si>
  <si>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</si>
  <si>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</si>
  <si>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</si>
  <si>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</si>
  <si>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</si>
  <si>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</si>
  <si>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</si>
  <si>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</si>
  <si>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</si>
  <si>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</si>
  <si>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</si>
  <si>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</si>
  <si>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</si>
  <si>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</si>
  <si>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</si>
  <si>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</si>
  <si>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</si>
  <si>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</si>
  <si>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</si>
  <si>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</si>
  <si>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</si>
  <si>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</si>
  <si>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</si>
  <si>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</si>
  <si>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</si>
  <si>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</si>
  <si>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</si>
  <si>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</si>
  <si>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</si>
  <si>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</si>
  <si>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</si>
  <si>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</si>
  <si>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</si>
  <si>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</si>
  <si>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</si>
  <si>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</si>
  <si>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</si>
  <si>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</si>
  <si>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</si>
  <si>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</si>
  <si>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</si>
  <si>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</si>
  <si>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</si>
  <si>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</si>
  <si>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</si>
  <si>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</si>
  <si>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</si>
  <si>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</si>
  <si>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</si>
  <si>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</si>
  <si>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</si>
  <si>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</si>
  <si>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</si>
  <si>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</si>
  <si>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</si>
  <si>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</si>
  <si>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</si>
  <si>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</si>
  <si>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</si>
  <si>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</si>
  <si>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</si>
  <si>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</si>
  <si>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</si>
  <si>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</si>
  <si>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</si>
  <si>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</si>
  <si>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</si>
  <si>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</si>
  <si>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</si>
  <si>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</si>
  <si>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</si>
  <si>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</si>
  <si>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</si>
  <si>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</si>
  <si>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</si>
  <si>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</si>
  <si>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</si>
  <si>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</si>
  <si>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</si>
  <si>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</si>
  <si>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</si>
  <si>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</si>
  <si>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</si>
  <si>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</si>
  <si>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</si>
  <si>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</si>
  <si>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</si>
  <si>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</si>
  <si>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</si>
  <si>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</si>
  <si>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</si>
  <si>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</si>
  <si>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</si>
  <si>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</si>
  <si>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</si>
  <si>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</si>
  <si>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</si>
  <si>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</si>
  <si>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</si>
  <si>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</si>
  <si>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</si>
  <si>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</si>
  <si>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</si>
  <si>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</si>
  <si>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</si>
  <si>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</si>
  <si>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</si>
  <si>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</si>
  <si>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</si>
  <si>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</si>
  <si>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</si>
  <si>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</si>
  <si>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</si>
  <si>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</si>
  <si>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</si>
  <si>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</si>
  <si>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</si>
  <si>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</si>
  <si>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</si>
  <si>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</si>
  <si>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</si>
  <si>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</si>
  <si>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</si>
  <si>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</si>
  <si>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</si>
  <si>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</si>
  <si>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</si>
  <si>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</si>
  <si>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</si>
  <si>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</si>
  <si>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</si>
  <si>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</si>
  <si>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</si>
  <si>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</si>
  <si>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</si>
  <si>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</si>
  <si>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</si>
  <si>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</si>
  <si>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</si>
  <si>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</si>
  <si>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</si>
  <si>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</si>
  <si>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</si>
  <si>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</si>
  <si>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</si>
  <si>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</si>
  <si>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</si>
  <si>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</si>
  <si>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</si>
  <si>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</si>
  <si>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</si>
  <si>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</si>
  <si>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</si>
  <si>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</si>
  <si>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</si>
  <si>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</si>
  <si>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</si>
  <si>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</si>
  <si>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</si>
  <si>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</si>
  <si>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</si>
  <si>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</si>
  <si>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</si>
  <si>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</si>
  <si>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</si>
  <si>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</si>
  <si>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</si>
  <si>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</si>
  <si>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</si>
  <si>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</si>
  <si>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</si>
  <si>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</si>
  <si>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</si>
  <si>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</si>
  <si>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</si>
  <si>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</si>
  <si>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</si>
  <si>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</si>
  <si>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</si>
  <si>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</si>
  <si>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</si>
  <si>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</si>
  <si>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</si>
  <si>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</si>
  <si>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</si>
  <si>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</si>
  <si>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</si>
  <si>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</si>
  <si>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</si>
  <si>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</si>
  <si>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</si>
  <si>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</si>
  <si>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</si>
  <si>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</si>
  <si>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</si>
  <si>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</si>
  <si>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</si>
  <si>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</si>
  <si>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</si>
  <si>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</si>
  <si>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</si>
  <si>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</si>
  <si>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</si>
  <si>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</si>
  <si>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</si>
  <si>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</si>
  <si>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</si>
  <si>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</si>
  <si>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</si>
  <si>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</si>
  <si>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</si>
  <si>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</si>
  <si>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</si>
  <si>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</si>
  <si>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</si>
  <si>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</si>
  <si>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</si>
  <si>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</si>
  <si>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</si>
  <si>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</si>
  <si>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</si>
  <si>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</si>
  <si>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</si>
  <si>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</si>
  <si>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</si>
  <si>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</si>
  <si>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</si>
  <si>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</si>
  <si>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</si>
  <si>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</si>
  <si>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</si>
  <si>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</si>
  <si>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</si>
  <si>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</si>
  <si>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</si>
  <si>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</si>
  <si>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</si>
  <si>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</si>
  <si>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</si>
  <si>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</si>
  <si>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</si>
  <si>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</si>
  <si>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</si>
  <si>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</si>
  <si>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</si>
  <si>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</si>
  <si>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</si>
  <si>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</si>
  <si>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</si>
  <si>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</si>
  <si>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</si>
  <si>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</si>
  <si>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</si>
  <si>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</si>
  <si>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</si>
  <si>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</si>
  <si>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</si>
  <si>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</si>
  <si>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</si>
  <si>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</si>
  <si>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</si>
  <si>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</si>
  <si>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</si>
  <si>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</si>
  <si>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</si>
  <si>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</si>
  <si>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</si>
  <si>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</si>
  <si>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</si>
  <si>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</si>
  <si>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</si>
  <si>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</si>
  <si>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</si>
  <si>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</si>
  <si>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</si>
  <si>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</si>
  <si>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</si>
  <si>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</si>
  <si>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</si>
  <si>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</si>
  <si>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</si>
  <si>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</si>
  <si>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</si>
  <si>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</si>
  <si>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</si>
  <si>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</si>
  <si>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</si>
  <si>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</si>
  <si>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</si>
  <si>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</si>
  <si>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</si>
  <si>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</si>
  <si>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</si>
  <si>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</si>
  <si>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</si>
  <si>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</si>
  <si>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</si>
  <si>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</si>
  <si>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</si>
  <si>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</si>
  <si>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</si>
  <si>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</si>
  <si>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</si>
  <si>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</si>
  <si>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</si>
  <si>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</si>
  <si>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</si>
  <si>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</si>
  <si>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</si>
  <si>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</si>
  <si>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</si>
  <si>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</si>
  <si>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</si>
  <si>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</si>
  <si>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</si>
  <si>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</si>
  <si>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</si>
  <si>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</si>
  <si>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</si>
  <si>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</si>
  <si>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</si>
  <si>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</si>
  <si>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</si>
  <si>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</si>
  <si>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</si>
  <si>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</si>
  <si>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</si>
  <si>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</si>
  <si>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</si>
  <si>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</si>
  <si>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</si>
  <si>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</si>
  <si>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</si>
  <si>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</si>
  <si>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</si>
  <si>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</si>
  <si>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</si>
  <si>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</si>
  <si>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</si>
  <si>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</si>
  <si>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</si>
  <si>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</si>
  <si>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</si>
  <si>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</si>
  <si>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</si>
  <si>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</si>
  <si>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</si>
  <si>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</si>
  <si>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</si>
  <si>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</si>
  <si>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</si>
  <si>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</si>
  <si>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</si>
  <si>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</si>
  <si>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</si>
  <si>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</si>
  <si>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</si>
  <si>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</si>
  <si>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</si>
  <si>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</si>
  <si>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</si>
  <si>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</si>
  <si>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</si>
  <si>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</si>
  <si>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</si>
  <si>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</si>
  <si>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</si>
  <si>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</si>
  <si>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</si>
  <si>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</si>
  <si>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</si>
  <si>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</si>
  <si>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</si>
  <si>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</si>
  <si>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</si>
  <si>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</si>
  <si>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</si>
  <si>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</si>
  <si>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</si>
  <si>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</si>
  <si>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</si>
  <si>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</si>
  <si>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</si>
  <si>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</si>
  <si>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</si>
  <si>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</si>
  <si>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</si>
  <si>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</si>
  <si>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</si>
  <si>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</si>
  <si>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</si>
  <si>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</si>
  <si>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</si>
  <si>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</si>
  <si>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</si>
  <si>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</si>
  <si>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</si>
  <si>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</si>
  <si>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</si>
  <si>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</si>
  <si>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</si>
  <si>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</si>
  <si>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</si>
  <si>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</si>
  <si>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</si>
  <si>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</si>
  <si>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</si>
  <si>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</si>
  <si>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</si>
  <si>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</si>
  <si>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</si>
  <si>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</si>
  <si>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</si>
  <si>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</si>
  <si>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</si>
  <si>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</si>
  <si>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</si>
  <si>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</si>
  <si>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</si>
  <si>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</si>
  <si>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</si>
  <si>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</si>
  <si>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</si>
  <si>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</si>
  <si>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</si>
  <si>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</si>
  <si>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</si>
  <si>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</si>
  <si>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</si>
  <si>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</si>
  <si>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</si>
  <si>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</si>
  <si>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</si>
  <si>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</si>
  <si>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</si>
  <si>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</si>
  <si>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</si>
  <si>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</si>
  <si>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</si>
  <si>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</si>
  <si>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</si>
  <si>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</si>
  <si>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</si>
  <si>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</si>
  <si>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</si>
  <si>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</si>
  <si>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</si>
  <si>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</si>
  <si>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</si>
  <si>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</si>
  <si>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</si>
  <si>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</si>
  <si>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</si>
  <si>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</si>
  <si>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</si>
  <si>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</si>
  <si>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</si>
  <si>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</si>
  <si>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</si>
  <si>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</si>
  <si>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</si>
  <si>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</si>
  <si>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</si>
  <si>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</si>
  <si>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</si>
  <si>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</si>
  <si>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</si>
  <si>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</si>
  <si>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</si>
  <si>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</si>
  <si>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</si>
  <si>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</si>
  <si>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</si>
  <si>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</si>
  <si>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</si>
  <si>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</si>
  <si>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</si>
  <si>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</si>
  <si>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</si>
  <si>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</si>
  <si>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</si>
  <si>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</si>
  <si>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</si>
  <si>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</si>
  <si>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</si>
  <si>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</si>
  <si>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</si>
  <si>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</si>
  <si>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</si>
  <si>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</si>
  <si>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</si>
  <si>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</si>
  <si>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</si>
  <si>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</si>
  <si>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</si>
  <si>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</si>
  <si>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</si>
  <si>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</si>
  <si>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</si>
  <si>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</si>
  <si>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</si>
  <si>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</si>
  <si>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</si>
  <si>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</si>
  <si>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</si>
  <si>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</si>
  <si>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</si>
  <si>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</si>
  <si>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</si>
  <si>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</si>
  <si>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</si>
  <si>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</si>
  <si>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</si>
  <si>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</si>
  <si>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</si>
  <si>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</si>
  <si>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</si>
  <si>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</si>
  <si>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</si>
  <si>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</si>
  <si>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</si>
  <si>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</si>
  <si>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</si>
  <si>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</si>
  <si>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</si>
  <si>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</si>
  <si>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</si>
  <si>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</si>
  <si>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</si>
  <si>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</si>
  <si>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</si>
  <si>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</si>
  <si>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</si>
  <si>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</si>
  <si>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</si>
  <si>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</si>
  <si>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</si>
  <si>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</si>
  <si>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</si>
  <si>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</si>
  <si>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</si>
  <si>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</si>
  <si>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</si>
  <si>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</si>
  <si>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</si>
  <si>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</si>
  <si>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</si>
  <si>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</si>
  <si>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</si>
  <si>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</si>
  <si>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</si>
  <si>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</si>
  <si>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</si>
  <si>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</si>
  <si>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</si>
  <si>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</si>
  <si>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</si>
  <si>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</si>
  <si>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</si>
  <si>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</si>
  <si>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</si>
  <si>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</si>
  <si>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</si>
  <si>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</si>
  <si>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</si>
  <si>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</si>
  <si>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</si>
  <si>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</si>
  <si>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</si>
  <si>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</si>
  <si>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</si>
  <si>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</si>
  <si>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</si>
  <si>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</si>
  <si>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</si>
  <si>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</si>
  <si>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</si>
  <si>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</si>
  <si>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</si>
  <si>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</si>
  <si>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</si>
  <si>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</si>
  <si>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</si>
  <si>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</si>
  <si>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</si>
  <si>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</si>
  <si>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</si>
  <si>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</si>
  <si>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</si>
  <si>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</si>
  <si>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</si>
  <si>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</si>
  <si>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</si>
  <si>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</si>
  <si>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</si>
  <si>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</si>
  <si>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</si>
  <si>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</si>
  <si>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</si>
  <si>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</si>
  <si>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</si>
  <si>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</si>
  <si>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</si>
  <si>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</si>
  <si>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</si>
  <si>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</si>
  <si>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</si>
  <si>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</si>
  <si>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</si>
  <si>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</si>
  <si>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</si>
  <si>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</si>
  <si>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</si>
  <si>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</si>
  <si>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</si>
  <si>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</si>
  <si>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</si>
  <si>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</si>
  <si>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</si>
  <si>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</si>
  <si>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</si>
  <si>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</si>
  <si>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</si>
  <si>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</si>
  <si>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</si>
  <si>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</si>
  <si>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</si>
  <si>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</si>
  <si>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</si>
  <si>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</si>
  <si>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</si>
  <si>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</si>
  <si>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</si>
  <si>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</si>
  <si>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</si>
  <si>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</si>
  <si>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</si>
  <si>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</si>
  <si>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</si>
  <si>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</si>
  <si>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</si>
  <si>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</si>
  <si>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</si>
  <si>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</si>
  <si>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</si>
  <si>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</si>
  <si>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</si>
  <si>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</si>
  <si>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</si>
  <si>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</si>
  <si>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</si>
  <si>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</si>
  <si>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</si>
  <si>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</si>
  <si>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</si>
  <si>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</si>
  <si>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</si>
  <si>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</si>
  <si>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</si>
  <si>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</si>
  <si>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</si>
  <si>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</si>
  <si>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</si>
  <si>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</si>
  <si>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</si>
  <si>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</si>
  <si>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</si>
  <si>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</si>
  <si>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</si>
  <si>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</si>
  <si>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</si>
  <si>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</si>
  <si>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</si>
  <si>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</si>
  <si>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</si>
  <si>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</si>
  <si>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</si>
  <si>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</si>
  <si>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</si>
  <si>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</si>
  <si>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</si>
  <si>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</si>
  <si>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</si>
  <si>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</si>
  <si>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</si>
  <si>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</si>
  <si>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</si>
  <si>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</si>
  <si>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</si>
  <si>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</si>
  <si>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</si>
  <si>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</si>
  <si>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</si>
  <si>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</si>
  <si>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</si>
  <si>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</si>
  <si>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</si>
  <si>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</si>
  <si>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</si>
  <si>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</si>
  <si>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</si>
  <si>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</si>
  <si>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</si>
  <si>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</si>
  <si>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</si>
  <si>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</si>
  <si>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</si>
  <si>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</si>
  <si>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</si>
  <si>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</si>
  <si>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</si>
  <si>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</si>
  <si>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</si>
  <si>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</si>
  <si>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</si>
  <si>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</si>
  <si>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</si>
  <si>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</si>
  <si>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</si>
  <si>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</si>
  <si>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</si>
  <si>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</si>
  <si>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</si>
  <si>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</si>
  <si>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</si>
  <si>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</si>
  <si>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</si>
  <si>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</si>
  <si>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</si>
  <si>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</si>
  <si>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</si>
  <si>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</si>
  <si>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</si>
  <si>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</si>
  <si>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</si>
  <si>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</si>
  <si>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</si>
  <si>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</si>
  <si>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</si>
  <si>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</si>
  <si>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</si>
  <si>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</si>
  <si>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</si>
  <si>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</si>
  <si>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</si>
  <si>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</si>
  <si>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</si>
  <si>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</si>
  <si>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</si>
  <si>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</si>
  <si>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</si>
  <si>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</si>
  <si>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</si>
  <si>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</si>
  <si>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</si>
  <si>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</si>
  <si>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</si>
  <si>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</si>
  <si>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</si>
  <si>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</si>
  <si>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</si>
  <si>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</si>
  <si>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</si>
  <si>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</si>
  <si>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</si>
  <si>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</si>
  <si>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</si>
  <si>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</si>
  <si>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</si>
  <si>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</si>
  <si>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</si>
  <si>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</si>
  <si>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</si>
  <si>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</si>
  <si>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</si>
  <si>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</si>
  <si>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</si>
  <si>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</si>
  <si>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</si>
  <si>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</si>
  <si>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</si>
  <si>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</si>
  <si>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</si>
  <si>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</si>
  <si>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</si>
  <si>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</si>
  <si>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</si>
  <si>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</si>
  <si>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</si>
  <si>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</si>
  <si>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</si>
  <si>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</si>
  <si>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</si>
  <si>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</si>
  <si>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</si>
  <si>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</si>
  <si>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</si>
  <si>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</si>
  <si>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</si>
  <si>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</si>
  <si>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</si>
  <si>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</si>
  <si>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</si>
  <si>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</si>
  <si>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</si>
  <si>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</si>
  <si>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</si>
  <si>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</si>
  <si>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</si>
  <si>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</si>
  <si>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</si>
  <si>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</si>
  <si>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</si>
  <si>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</si>
  <si>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</si>
  <si>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</si>
  <si>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</si>
  <si>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</si>
  <si>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</si>
  <si>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</si>
  <si>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</si>
  <si>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</si>
  <si>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</si>
  <si>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</si>
  <si>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</si>
  <si>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</si>
  <si>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</si>
  <si>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</si>
  <si>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</si>
  <si>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</si>
  <si>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</si>
  <si>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</si>
  <si>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</si>
  <si>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</si>
  <si>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</si>
  <si>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</si>
  <si>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</si>
  <si>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</si>
  <si>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</si>
  <si>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</si>
  <si>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</si>
  <si>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</si>
  <si>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</si>
  <si>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</si>
  <si>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</si>
  <si>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</si>
  <si>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</si>
  <si>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</si>
  <si>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</si>
  <si>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</si>
  <si>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</si>
  <si>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</si>
  <si>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</si>
  <si>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</si>
  <si>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</si>
  <si>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</si>
  <si>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</si>
  <si>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</si>
  <si>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</si>
  <si>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</si>
  <si>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</si>
  <si>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</si>
  <si>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</si>
  <si>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</si>
  <si>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</si>
  <si>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</si>
  <si>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</si>
  <si>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</si>
  <si>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</si>
  <si>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</si>
  <si>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</si>
  <si>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</si>
  <si>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</si>
  <si>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</si>
  <si>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</si>
  <si>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</si>
  <si>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</si>
  <si>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</si>
  <si>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</si>
  <si>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</si>
  <si>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</si>
  <si>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</si>
  <si>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</si>
  <si>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</si>
  <si>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</si>
  <si>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</si>
  <si>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</si>
  <si>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</si>
  <si>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</si>
  <si>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</si>
  <si>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</si>
  <si>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</si>
  <si>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</si>
  <si>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</si>
  <si>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</si>
  <si>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</si>
  <si>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</si>
  <si>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</si>
  <si>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</si>
  <si>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</si>
  <si>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</si>
  <si>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</si>
  <si>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</si>
  <si>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</si>
  <si>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</si>
  <si>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</si>
  <si>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</si>
  <si>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</si>
  <si>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</si>
  <si>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</si>
  <si>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</si>
  <si>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</si>
  <si>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</si>
  <si>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</si>
  <si>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</si>
  <si>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</si>
  <si>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</si>
  <si>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</si>
  <si>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</si>
  <si>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</si>
  <si>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</si>
  <si>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</si>
  <si>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</si>
  <si>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</si>
  <si>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</si>
  <si>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</si>
  <si>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</si>
  <si>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</si>
  <si>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</si>
  <si>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</si>
  <si>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</si>
  <si>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</si>
  <si>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</si>
  <si>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</si>
  <si>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</si>
  <si>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</si>
  <si>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</si>
  <si>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</si>
  <si>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</si>
  <si>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</si>
  <si>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</si>
  <si>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</si>
  <si>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</si>
  <si>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</si>
  <si>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</si>
  <si>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</si>
  <si>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</si>
  <si>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</si>
  <si>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</si>
  <si>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</si>
  <si>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</si>
  <si>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</si>
  <si>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</si>
  <si>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</si>
  <si>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</si>
  <si>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</si>
  <si>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</si>
  <si>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</si>
  <si>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</si>
  <si>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</si>
  <si>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</si>
  <si>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</si>
  <si>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</si>
  <si>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</si>
  <si>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</si>
  <si>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</si>
  <si>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</si>
  <si>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</si>
  <si>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</si>
  <si>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</si>
  <si>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</si>
  <si>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</si>
  <si>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</si>
  <si>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</si>
  <si>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</si>
  <si>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</si>
  <si>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</si>
  <si>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</si>
  <si>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</si>
  <si>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</si>
  <si>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</si>
  <si>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</si>
  <si>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</si>
  <si>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</si>
  <si>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</si>
  <si>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</si>
  <si>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</si>
  <si>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</si>
  <si>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</si>
  <si>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</si>
  <si>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</si>
  <si>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</si>
  <si>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</si>
  <si>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</si>
  <si>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</si>
  <si>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</si>
  <si>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</si>
  <si>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</si>
  <si>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</si>
  <si>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</si>
  <si>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</si>
  <si>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</si>
  <si>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</si>
  <si>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</si>
  <si>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</si>
  <si>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</si>
  <si>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</si>
  <si>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</si>
  <si>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</si>
  <si>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</si>
  <si>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</si>
  <si>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</si>
  <si>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</si>
  <si>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</si>
  <si>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</si>
  <si>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</si>
  <si>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</si>
  <si>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</si>
  <si>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</si>
  <si>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</si>
  <si>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</si>
  <si>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</si>
  <si>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</si>
  <si>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</si>
  <si>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</si>
  <si>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</si>
  <si>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</si>
  <si>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</si>
  <si>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</si>
  <si>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</si>
  <si>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</si>
  <si>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</si>
  <si>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</si>
  <si>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</si>
  <si>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</si>
  <si>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</si>
  <si>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</si>
  <si>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</si>
  <si>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</si>
  <si>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</si>
  <si>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</si>
  <si>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</si>
  <si>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</si>
  <si>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</si>
  <si>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</si>
  <si>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</si>
  <si>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</si>
  <si>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</si>
  <si>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</si>
  <si>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</si>
  <si>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</si>
  <si>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</si>
  <si>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</si>
  <si>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</si>
  <si>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</si>
  <si>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</si>
  <si>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</si>
  <si>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</si>
  <si>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</si>
  <si>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</si>
  <si>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</si>
  <si>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</si>
  <si>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</si>
  <si>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</si>
  <si>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</si>
  <si>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</si>
  <si>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</si>
  <si>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</si>
  <si>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</si>
  <si>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</si>
  <si>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</si>
  <si>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</si>
  <si>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</si>
  <si>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</si>
  <si>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</si>
  <si>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</si>
  <si>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</si>
  <si>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</si>
  <si>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</si>
  <si>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</si>
  <si>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</si>
  <si>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</si>
  <si>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</si>
  <si>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</si>
  <si>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</si>
  <si>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</si>
  <si>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</si>
  <si>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</si>
  <si>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</si>
  <si>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</si>
  <si>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</si>
  <si>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</si>
  <si>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</si>
  <si>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</si>
  <si>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</si>
  <si>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</si>
  <si>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</si>
  <si>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</si>
  <si>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</si>
  <si>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</si>
  <si>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</si>
  <si>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</si>
  <si>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</si>
  <si>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</si>
  <si>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</si>
  <si>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</si>
  <si>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</si>
  <si>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</si>
  <si>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</si>
  <si>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</si>
  <si>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</si>
  <si>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</si>
  <si>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</si>
  <si>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</si>
  <si>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</si>
  <si>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</si>
  <si>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</si>
  <si>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</si>
  <si>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</si>
  <si>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</si>
  <si>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</si>
  <si>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</si>
  <si>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</si>
  <si>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</si>
  <si>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</si>
  <si>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</si>
  <si>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</si>
  <si>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</si>
  <si>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</si>
  <si>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</si>
  <si>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</si>
  <si>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</si>
  <si>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</si>
  <si>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</si>
  <si>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</si>
  <si>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</si>
  <si>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</si>
  <si>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</si>
  <si>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</si>
  <si>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</si>
  <si>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</si>
  <si>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</si>
  <si>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</si>
  <si>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</si>
  <si>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</si>
  <si>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</si>
  <si>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</si>
  <si>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</si>
  <si>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</si>
  <si>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</si>
  <si>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</si>
  <si>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</si>
  <si>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</si>
  <si>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</si>
  <si>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</si>
  <si>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</si>
  <si>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</si>
  <si>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</si>
  <si>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</si>
  <si>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</si>
  <si>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</si>
  <si>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</si>
  <si>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</si>
  <si>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</si>
  <si>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</si>
  <si>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</si>
  <si>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</si>
  <si>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</si>
  <si>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</si>
  <si>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</si>
  <si>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</si>
  <si>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</si>
  <si>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</si>
  <si>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</si>
  <si>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</si>
  <si>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</si>
  <si>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</si>
  <si>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</si>
  <si>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</si>
  <si>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</si>
  <si>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</si>
  <si>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</si>
  <si>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</si>
  <si>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</si>
  <si>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</si>
  <si>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</si>
  <si>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</si>
  <si>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</si>
  <si>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</si>
  <si>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</si>
  <si>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</si>
  <si>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</si>
  <si>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</si>
  <si>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</si>
  <si>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</si>
  <si>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</si>
  <si>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</si>
  <si>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</si>
  <si>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</si>
  <si>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</si>
  <si>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</si>
  <si>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</si>
  <si>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</si>
  <si>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</si>
  <si>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</si>
  <si>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</si>
  <si>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</si>
  <si>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</si>
  <si>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</si>
  <si>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</si>
  <si>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</si>
  <si>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</si>
  <si>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</si>
  <si>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</si>
  <si>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</si>
  <si>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</si>
  <si>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</si>
  <si>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</si>
  <si>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</si>
  <si>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</si>
  <si>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</si>
  <si>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</si>
  <si>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</si>
  <si>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</si>
  <si>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</si>
  <si>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</si>
  <si>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</si>
  <si>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</si>
  <si>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</si>
  <si>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</si>
  <si>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</si>
  <si>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</si>
  <si>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</si>
  <si>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</si>
  <si>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</si>
  <si>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</si>
  <si>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</si>
  <si>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</si>
  <si>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</si>
  <si>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</si>
  <si>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</si>
  <si>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</si>
  <si>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</si>
  <si>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</si>
  <si>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</si>
  <si>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</si>
  <si>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</si>
  <si>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</si>
  <si>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</si>
  <si>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</si>
  <si>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</si>
  <si>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</si>
  <si>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</si>
  <si>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</si>
  <si>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</si>
  <si>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</si>
  <si>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</si>
  <si>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</si>
  <si>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</si>
  <si>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</si>
  <si>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</si>
  <si>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</si>
  <si>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</si>
  <si>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</si>
  <si>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</si>
  <si>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</si>
  <si>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</si>
  <si>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</si>
  <si>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</si>
  <si>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</si>
  <si>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</si>
  <si>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</si>
  <si>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</si>
  <si>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</si>
  <si>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</si>
  <si>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</si>
  <si>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</si>
  <si>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</si>
  <si>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</si>
  <si>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</si>
  <si>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</si>
  <si>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</si>
  <si>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</si>
  <si>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</si>
  <si>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</si>
  <si>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</si>
  <si>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</si>
  <si>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</si>
  <si>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</si>
  <si>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</si>
  <si>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</si>
  <si>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</si>
  <si>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</si>
  <si>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</si>
  <si>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</si>
  <si>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</si>
  <si>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</si>
  <si>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</si>
  <si>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</si>
  <si>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</si>
  <si>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</si>
  <si>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</si>
  <si>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</si>
  <si>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</si>
  <si>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</si>
  <si>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</si>
  <si>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</si>
  <si>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</si>
  <si>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</si>
  <si>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</si>
  <si>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</si>
  <si>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</si>
  <si>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</si>
  <si>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</si>
  <si>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</si>
  <si>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</si>
  <si>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</si>
  <si>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</si>
  <si>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</si>
  <si>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</si>
  <si>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</si>
  <si>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</si>
  <si>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</si>
  <si>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</si>
  <si>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</si>
  <si>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</si>
  <si>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</si>
  <si>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</si>
  <si>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</si>
  <si>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</si>
  <si>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</si>
  <si>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</si>
  <si>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</si>
  <si>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</si>
  <si>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</si>
  <si>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</si>
  <si>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</si>
  <si>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</si>
  <si>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</si>
  <si>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</si>
  <si>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</si>
  <si>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</si>
  <si>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</si>
  <si>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</si>
  <si>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</si>
  <si>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</si>
  <si>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</si>
  <si>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</si>
  <si>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</si>
  <si>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</si>
  <si>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</si>
  <si>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</si>
  <si>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</si>
  <si>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</si>
  <si>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</si>
  <si>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</si>
  <si>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</si>
  <si>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</si>
  <si>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</si>
  <si>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</si>
  <si>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</si>
  <si>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</si>
  <si>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</si>
  <si>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</si>
  <si>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</si>
  <si>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</si>
  <si>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</si>
  <si>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</si>
  <si>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</si>
  <si>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</si>
  <si>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</si>
  <si>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</si>
  <si>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</si>
  <si>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</si>
  <si>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</si>
  <si>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</si>
  <si>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</si>
  <si>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</si>
  <si>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</si>
  <si>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</si>
  <si>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</si>
  <si>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</si>
  <si>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</si>
  <si>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</si>
  <si>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</si>
  <si>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</si>
  <si>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</si>
  <si>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</si>
  <si>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</si>
  <si>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</si>
  <si>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</si>
  <si>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</si>
  <si>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</si>
  <si>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</si>
  <si>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</si>
  <si>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</si>
  <si>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</si>
  <si>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</si>
  <si>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</si>
  <si>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</si>
  <si>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</si>
  <si>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</si>
  <si>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</si>
  <si>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</si>
  <si>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</si>
  <si>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</si>
  <si>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</si>
  <si>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</si>
  <si>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</si>
  <si>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</si>
  <si>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</si>
  <si>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</si>
  <si>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</si>
  <si>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</si>
  <si>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</si>
  <si>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</si>
  <si>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</si>
  <si>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</si>
  <si>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</si>
  <si>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</si>
  <si>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</si>
  <si>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</si>
  <si>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</si>
  <si>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</si>
  <si>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</si>
  <si>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</si>
  <si>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</si>
  <si>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</si>
  <si>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</si>
  <si>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</si>
  <si>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Moreland Apartments</t>
  </si>
  <si>
    <t>Reliant - Moreland, LP</t>
  </si>
  <si>
    <t>Santa Clara County</t>
  </si>
  <si>
    <t>Jennifer Maguire</t>
  </si>
  <si>
    <t>200 E. Santa Clara St.</t>
  </si>
  <si>
    <t>San Jose, CA</t>
  </si>
  <si>
    <t>405 535 3500</t>
  </si>
  <si>
    <t>800 735 2922</t>
  </si>
  <si>
    <t>manager@sanjoseca.gov</t>
  </si>
  <si>
    <t>San Jose</t>
  </si>
  <si>
    <t>Rainbow Housing</t>
  </si>
  <si>
    <t>601 California Street, Suite 1150</t>
  </si>
  <si>
    <t>CA</t>
  </si>
  <si>
    <t>Mike April</t>
  </si>
  <si>
    <t>(415) 501-9605</t>
  </si>
  <si>
    <t>mapril@reliantgroup.com</t>
  </si>
  <si>
    <t>Gung Ho Partners, LLC</t>
  </si>
  <si>
    <t>Administrative GP</t>
  </si>
  <si>
    <t>Gung Ho - Moreland, LLC</t>
  </si>
  <si>
    <t>Rainbow - Moreland, LLC</t>
  </si>
  <si>
    <t>18001 N 79th Ave Ste 72E</t>
  </si>
  <si>
    <t>Managing GP</t>
  </si>
  <si>
    <t>Glendale</t>
  </si>
  <si>
    <t>AZ</t>
  </si>
  <si>
    <t>Flyann Janisse</t>
  </si>
  <si>
    <t>(602) 903-1843</t>
  </si>
  <si>
    <t>fjanisse@rainbowhousing.org</t>
  </si>
  <si>
    <t>Rainbow Housing Assistance Corporation</t>
  </si>
  <si>
    <t>San Francisco, CA 94108</t>
  </si>
  <si>
    <t>Bertoldi Architects</t>
  </si>
  <si>
    <t>3632 N Wolf Creek Drive</t>
  </si>
  <si>
    <t>Eden, UT 84310</t>
  </si>
  <si>
    <t>Ray Bertoldi</t>
  </si>
  <si>
    <t>(801) 476 4330</t>
  </si>
  <si>
    <t>rbertoldi@bertoldiarchitects.com</t>
  </si>
  <si>
    <t>Nova Group, GBC</t>
  </si>
  <si>
    <t>Novogradac &amp; Company LLP</t>
  </si>
  <si>
    <t>Appraisal</t>
  </si>
  <si>
    <t>(natural gas)</t>
  </si>
  <si>
    <t>One or Two Story Garden</t>
  </si>
  <si>
    <t>Moreland Apartments Associates, LC</t>
  </si>
  <si>
    <t>2025 Gateway Place, Suite 270, San Jose, CA 95110</t>
  </si>
  <si>
    <t>(General Adminstrative)</t>
  </si>
  <si>
    <t>(General Maintenance)</t>
  </si>
  <si>
    <t>(Salaries and Benefits)</t>
  </si>
  <si>
    <t>Leasing</t>
  </si>
  <si>
    <t>Property Tax</t>
  </si>
  <si>
    <t>Turnover</t>
  </si>
  <si>
    <t>Tenant Laundry and Wifi Expense</t>
  </si>
  <si>
    <t>Rachel Denton</t>
  </si>
  <si>
    <t>913-312-4612</t>
  </si>
  <si>
    <t>Rachel.Denton@novoco.com</t>
  </si>
  <si>
    <t>6700 Antioch Rd #450</t>
  </si>
  <si>
    <t>Merriam, KS, 66204</t>
  </si>
  <si>
    <t>5320 West 23rd Street, Suite 270</t>
  </si>
  <si>
    <t>Residential Multi-Family Housing</t>
  </si>
  <si>
    <t>Pietro Brezzo</t>
  </si>
  <si>
    <t>Manager</t>
  </si>
  <si>
    <t>Fixed</t>
  </si>
  <si>
    <t>Deferred developer fee</t>
  </si>
  <si>
    <t>Other: (Performance Bond - GC)</t>
  </si>
  <si>
    <t>Other: Placement Fees &amp; Expenses</t>
  </si>
  <si>
    <t>Other: Early Redemption (Cap X Partnership Interest)</t>
  </si>
  <si>
    <t>Other: Bond Issuance Costs</t>
  </si>
  <si>
    <t>Other: Relocation</t>
  </si>
  <si>
    <t>Kristin Tate</t>
  </si>
  <si>
    <t>kristin.tate@novagroupgbc.com</t>
  </si>
  <si>
    <t>St. Louis Park, MN 55416</t>
  </si>
  <si>
    <t>(832) 541-4487</t>
  </si>
  <si>
    <t>R4 Capital</t>
  </si>
  <si>
    <t>895 Dove Street, Suite 450</t>
  </si>
  <si>
    <t>Newpork Beach, CA 92660</t>
  </si>
  <si>
    <t>California Municipal Finance Authority</t>
  </si>
  <si>
    <t>2111 Palomar Airport Rd, Suite 320</t>
  </si>
  <si>
    <t>Carlsbad, CA 92011</t>
  </si>
  <si>
    <t>(760) 930-1333</t>
  </si>
  <si>
    <t>Anthony Stubbs</t>
  </si>
  <si>
    <t>astubbs@cmfa-ca.com</t>
  </si>
  <si>
    <t>Net operating income</t>
  </si>
  <si>
    <t>HUD</t>
  </si>
  <si>
    <t>Other: inspections, reports, and surveys</t>
  </si>
  <si>
    <t>Project-based contract</t>
  </si>
  <si>
    <t>(late fees, damages income and misc income)</t>
  </si>
  <si>
    <t>Cory Bannister</t>
  </si>
  <si>
    <t>949-438-1056</t>
  </si>
  <si>
    <t>Jeremy Densmore</t>
  </si>
  <si>
    <t>Tidwell Group</t>
  </si>
  <si>
    <t>470.273.6619</t>
  </si>
  <si>
    <t>CAP X Tax-Exempt Bond</t>
  </si>
  <si>
    <t>One Market Street, 40th Floor</t>
  </si>
  <si>
    <t>San Francisco, CA 94111</t>
  </si>
  <si>
    <t>Jacob St. Onge</t>
  </si>
  <si>
    <t>CitiBank Tax-Exempt Bonds</t>
  </si>
  <si>
    <t>Investor Equity</t>
  </si>
  <si>
    <t>(415) 658-3118</t>
  </si>
  <si>
    <t>J. Caskie Collet</t>
  </si>
  <si>
    <t>Caskie Collet</t>
  </si>
  <si>
    <t>Authorized Signatory</t>
  </si>
  <si>
    <t>Cox Castle &amp; Nicholson, LLP</t>
  </si>
  <si>
    <t>50 Califronia Street</t>
  </si>
  <si>
    <t>Lisa Weil</t>
  </si>
  <si>
    <t>(415) 262-5175</t>
  </si>
  <si>
    <t>lweil@coxcastle.com</t>
  </si>
  <si>
    <t>TBD</t>
  </si>
  <si>
    <t>1277 Lennox Park Blvd NE Suite 400</t>
  </si>
  <si>
    <t>Atlanta, GA 30319</t>
  </si>
  <si>
    <t>jeremy.densmore@tidwellgroup.com</t>
  </si>
  <si>
    <t>cbannister@r4cap.com</t>
  </si>
  <si>
    <t>PD Zoning District</t>
  </si>
  <si>
    <t>PD-80-10-88, 160 units</t>
  </si>
  <si>
    <t>2 stories / Up to 26 feet</t>
  </si>
  <si>
    <t>1.25 per unit</t>
  </si>
  <si>
    <t>CitiBank - Recycled TE bonds</t>
  </si>
  <si>
    <t>Special Limited Partner</t>
  </si>
  <si>
    <t>Subordinate Tax Exempt Loan (CAP 10)</t>
  </si>
  <si>
    <t>Recycled Bonds</t>
  </si>
  <si>
    <t>40%/60% Average Income</t>
  </si>
  <si>
    <t>4375 Payne Avenue</t>
  </si>
  <si>
    <t>Tax-Exempt</t>
  </si>
  <si>
    <t xml:space="preserve">Recycled Bonds </t>
  </si>
  <si>
    <t>Equity</t>
  </si>
  <si>
    <t>NOI</t>
  </si>
  <si>
    <t>Provided</t>
  </si>
  <si>
    <t>Joe Sherman</t>
  </si>
  <si>
    <t>jsherman@reliantgroup.com</t>
  </si>
  <si>
    <t xml:space="preserve">Reliant Property Management </t>
  </si>
  <si>
    <t>415-305-5335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</si>
</sst>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64">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66" fontId="23" fillId="5" borderId="4" xfId="0" applyNumberFormat="1"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166" fontId="14" fillId="5" borderId="4" xfId="0" applyNumberFormat="1" applyFont="1" applyFill="1" applyBorder="1" applyAlignment="1" applyProtection="1">
      <alignment horizontal="left"/>
      <protection locked="0"/>
    </xf>
    <xf numFmtId="0" fontId="54" fillId="0" borderId="11" xfId="0" applyFont="1" applyBorder="1" applyAlignment="1" applyProtection="1">
      <alignment vertical="top" wrapText="1"/>
      <protection locked="0"/>
    </xf>
    <xf numFmtId="6" fontId="23" fillId="0" borderId="0" xfId="0" applyNumberFormat="1" applyFont="1" applyAlignment="1">
      <alignment horizontal="center"/>
    </xf>
    <xf numFmtId="8" fontId="23" fillId="0" borderId="0" xfId="0" applyNumberFormat="1" applyFont="1" applyAlignment="1">
      <alignment horizontal="center"/>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68" fontId="14" fillId="0" borderId="11" xfId="543" applyNumberFormat="1"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20" fillId="3" borderId="0" xfId="0" applyFont="1" applyFill="1" applyAlignment="1">
      <alignment horizontal="center" vertical="center"/>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3"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0" fillId="5" borderId="6"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wrapText="1"/>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23"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0" fontId="21" fillId="0" borderId="11" xfId="0" applyFont="1" applyBorder="1" applyAlignment="1">
      <alignment horizontal="center" vertical="center"/>
    </xf>
    <xf numFmtId="0" fontId="14"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0" fontId="23" fillId="0" borderId="11"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2" borderId="11" xfId="0" applyFont="1" applyFill="1" applyBorder="1" applyAlignment="1">
      <alignment horizontal="center"/>
    </xf>
    <xf numFmtId="0" fontId="14" fillId="0" borderId="11"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14" fillId="0" borderId="3" xfId="0" applyFont="1" applyBorder="1"/>
    <xf numFmtId="0" fontId="14" fillId="0" borderId="4" xfId="0" applyFont="1" applyBorder="1"/>
    <xf numFmtId="0" fontId="14" fillId="0" borderId="5" xfId="0" applyFont="1" applyBorder="1"/>
    <xf numFmtId="0" fontId="0" fillId="0" borderId="3" xfId="0" applyBorder="1"/>
    <xf numFmtId="0" fontId="0" fillId="0" borderId="4" xfId="0" applyBorder="1"/>
    <xf numFmtId="0" fontId="0" fillId="0" borderId="5" xfId="0" applyBorder="1"/>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1" fillId="0" borderId="0" xfId="0" applyFont="1" applyAlignment="1">
      <alignment horizontal="center" vertical="center"/>
    </xf>
    <xf numFmtId="0" fontId="23" fillId="0" borderId="1" xfId="0" applyFont="1" applyBorder="1" applyAlignment="1">
      <alignment horizontal="center" vertical="top" wrapText="1"/>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72" fontId="21" fillId="0" borderId="11" xfId="0" applyNumberFormat="1" applyFont="1" applyBorder="1" applyAlignment="1">
      <alignment horizontal="center" vertical="center" wrapText="1"/>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23" fillId="0" borderId="3" xfId="0" applyFont="1" applyBorder="1" applyAlignment="1">
      <alignment horizontal="left"/>
    </xf>
    <xf numFmtId="1" fontId="23" fillId="5" borderId="11" xfId="0" applyNumberFormat="1" applyFont="1" applyFill="1" applyBorder="1" applyAlignment="1" applyProtection="1">
      <alignment horizontal="center"/>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51" fillId="5" borderId="3" xfId="0" applyFont="1" applyFill="1" applyBorder="1" applyAlignment="1" applyProtection="1">
      <alignment horizontal="center"/>
      <protection locked="0"/>
    </xf>
    <xf numFmtId="0" fontId="51" fillId="5" borderId="4" xfId="0" applyFont="1" applyFill="1" applyBorder="1" applyAlignment="1" applyProtection="1">
      <alignment horizontal="center"/>
      <protection locked="0"/>
    </xf>
    <xf numFmtId="0" fontId="51"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6"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4" fillId="0" borderId="0" xfId="543"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14"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166" fontId="14" fillId="5" borderId="4"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66" fontId="23" fillId="5" borderId="6" xfId="0" applyNumberFormat="1" applyFont="1" applyFill="1" applyBorder="1" applyAlignment="1" applyProtection="1">
      <alignment horizontal="left"/>
      <protection locked="0"/>
    </xf>
    <xf numFmtId="0" fontId="14"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0" borderId="6" xfId="0" applyFon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3" fillId="5" borderId="11" xfId="0" applyFont="1" applyFill="1" applyBorder="1" applyAlignment="1" applyProtection="1">
      <alignment horizontal="center"/>
      <protection locked="0"/>
    </xf>
    <xf numFmtId="0" fontId="21" fillId="0" borderId="3" xfId="0" applyFont="1" applyBorder="1" applyAlignment="1">
      <alignment horizontal="center"/>
    </xf>
    <xf numFmtId="0" fontId="21" fillId="0" borderId="4" xfId="0" applyFont="1" applyBorder="1" applyAlignment="1">
      <alignment horizontal="center"/>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14" fillId="5" borderId="4" xfId="0" applyFont="1" applyFill="1" applyBorder="1" applyAlignment="1" applyProtection="1">
      <alignment wrapText="1"/>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2" fontId="14"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0" borderId="11" xfId="0" applyNumberFormat="1" applyBorder="1" applyAlignment="1">
      <alignment horizontal="center"/>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71" fontId="14" fillId="0" borderId="0" xfId="543" applyNumberFormat="1" applyAlignment="1">
      <alignment horizontal="right"/>
    </xf>
    <xf numFmtId="9" fontId="14" fillId="0" borderId="0" xfId="543" applyNumberFormat="1" applyAlignment="1">
      <alignment horizontal="center" vertical="center"/>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0" fontId="23" fillId="0" borderId="11" xfId="0" applyFont="1" applyBorder="1" applyAlignment="1">
      <alignment horizontal="center" vertical="top" wrapText="1"/>
    </xf>
    <xf numFmtId="0" fontId="14" fillId="43"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7" xfId="0" applyFont="1" applyBorder="1" applyAlignment="1">
      <alignment horizontal="center" wrapText="1"/>
    </xf>
    <xf numFmtId="0" fontId="21" fillId="5" borderId="11" xfId="0" applyFont="1" applyFill="1" applyBorder="1" applyAlignment="1" applyProtection="1">
      <alignment horizontal="center"/>
      <protection locked="0"/>
    </xf>
    <xf numFmtId="168" fontId="23"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0" fontId="21" fillId="0" borderId="9" xfId="0" applyFont="1" applyBorder="1" applyAlignment="1">
      <alignment horizontal="right"/>
    </xf>
    <xf numFmtId="0" fontId="21" fillId="0" borderId="10" xfId="0" applyFont="1" applyBorder="1" applyAlignment="1">
      <alignment horizontal="right"/>
    </xf>
    <xf numFmtId="0" fontId="14" fillId="43" borderId="4" xfId="0"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0" fontId="14" fillId="5" borderId="6" xfId="0"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23" fillId="5" borderId="6" xfId="0" applyFont="1" applyFill="1" applyBorder="1" applyAlignment="1" applyProtection="1">
      <alignment horizontal="left" wrapText="1"/>
      <protection locked="0"/>
    </xf>
    <xf numFmtId="0" fontId="14" fillId="0" borderId="6" xfId="0" applyFont="1" applyBorder="1" applyAlignment="1">
      <alignment horizontal="left"/>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4" fillId="0" borderId="6" xfId="0" applyNumberFormat="1" applyFont="1" applyBorder="1" applyAlignment="1">
      <alignment horizontal="center"/>
    </xf>
    <xf numFmtId="166" fontId="14" fillId="5" borderId="6" xfId="1192" applyNumberFormat="1" applyFill="1" applyBorder="1" applyAlignment="1" applyProtection="1">
      <alignment horizontal="left"/>
      <protection locked="0"/>
    </xf>
    <xf numFmtId="0" fontId="14" fillId="5" borderId="6" xfId="0" applyFont="1" applyFill="1" applyBorder="1" applyAlignment="1" applyProtection="1">
      <alignment horizontal="left" wrapText="1"/>
      <protection locked="0"/>
    </xf>
    <xf numFmtId="0" fontId="0" fillId="5" borderId="6" xfId="0" applyFill="1" applyBorder="1" applyAlignment="1" applyProtection="1">
      <alignment horizontal="right"/>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0" fontId="2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4" fillId="0" borderId="6" xfId="0" applyFont="1" applyBorder="1" applyAlignment="1" applyProtection="1">
      <alignment horizontal="center"/>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0" fontId="23"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3" fillId="0" borderId="6" xfId="0" applyFont="1" applyBorder="1" applyAlignment="1">
      <alignment horizontal="left" wrapText="1"/>
    </xf>
    <xf numFmtId="166" fontId="23" fillId="5" borderId="6" xfId="271" applyNumberFormat="1" applyFill="1" applyBorder="1" applyAlignment="1" applyProtection="1">
      <alignment horizontal="left"/>
      <protection locked="0"/>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0" fontId="22"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14" fillId="5" borderId="3" xfId="0" applyNumberFormat="1" applyFont="1" applyFill="1" applyBorder="1" applyAlignment="1" applyProtection="1">
      <alignment horizontal="center"/>
      <protection locked="0"/>
    </xf>
    <xf numFmtId="0" fontId="21" fillId="0" borderId="5" xfId="0" applyFont="1" applyBorder="1" applyAlignment="1">
      <alignment horizontal="center"/>
    </xf>
    <xf numFmtId="10" fontId="23" fillId="0" borderId="11" xfId="0" applyNumberFormat="1" applyFont="1" applyBorder="1" applyAlignment="1">
      <alignment horizontal="center"/>
    </xf>
    <xf numFmtId="0" fontId="167" fillId="0" borderId="0" xfId="0" applyFont="1" applyAlignment="1" applyProtection="1">
      <alignment horizontal="left" vertical="top" wrapText="1"/>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168" fontId="14" fillId="0" borderId="3" xfId="0" applyNumberFormat="1" applyFont="1" applyBorder="1" applyAlignment="1">
      <alignment horizontal="left" vertical="top"/>
    </xf>
    <xf numFmtId="3" fontId="23" fillId="0" borderId="11" xfId="0" applyNumberFormat="1" applyFont="1" applyBorder="1" applyAlignment="1">
      <alignment horizontal="center"/>
    </xf>
    <xf numFmtId="3" fontId="23" fillId="5" borderId="11" xfId="0" applyNumberFormat="1" applyFont="1" applyFill="1" applyBorder="1" applyAlignment="1" applyProtection="1">
      <alignment horizontal="center"/>
      <protection locked="0"/>
    </xf>
    <xf numFmtId="1" fontId="23" fillId="5" borderId="6" xfId="0" applyNumberFormat="1" applyFont="1" applyFill="1" applyBorder="1" applyAlignment="1" applyProtection="1">
      <alignment horizontal="right"/>
      <protection locked="0"/>
    </xf>
    <xf numFmtId="0" fontId="0" fillId="0" borderId="12" xfId="0" applyBorder="1" applyAlignment="1">
      <alignment horizontal="center"/>
    </xf>
    <xf numFmtId="0" fontId="0" fillId="0" borderId="5" xfId="0" applyBorder="1" applyAlignment="1">
      <alignment horizontal="left"/>
    </xf>
    <xf numFmtId="0" fontId="14" fillId="5" borderId="0" xfId="0" applyFont="1" applyFill="1" applyAlignment="1" applyProtection="1">
      <alignment horizontal="left" vertical="top" wrapText="1"/>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9" xfId="0" applyFont="1" applyBorder="1" applyAlignment="1">
      <alignment horizontal="center"/>
    </xf>
    <xf numFmtId="0" fontId="21" fillId="0" borderId="10" xfId="0" applyFont="1" applyBorder="1" applyAlignment="1">
      <alignment horizontal="center"/>
    </xf>
    <xf numFmtId="0" fontId="33" fillId="5" borderId="6" xfId="0" applyFont="1"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1" fontId="23" fillId="5" borderId="11" xfId="0" quotePrefix="1" applyNumberFormat="1" applyFont="1" applyFill="1" applyBorder="1" applyAlignment="1" applyProtection="1">
      <alignment horizontal="center"/>
      <protection locked="0"/>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64">
    <cellStyle name="20% - Accent1" xfId="1" builtinId="30" customBuiltin="1"/>
    <cellStyle name="20% - Accent1 10" xfId="4505" xr:uid="{00000000-0005-0000-0000-000001000000}"/>
    <cellStyle name="20% - Accent1 10 2" xfId="12947" xr:uid="{F09F9D9E-0CE0-4E14-B17A-77BF5AA73C0A}"/>
    <cellStyle name="20% - Accent1 11" xfId="8729" xr:uid="{E54407A9-66B2-43FC-980A-63FF34E3A54E}"/>
    <cellStyle name="20% - Accent1 2" xfId="2" xr:uid="{00000000-0005-0000-0000-000002000000}"/>
    <cellStyle name="20% - Accent1 2 10" xfId="8730" xr:uid="{F3FADE45-D402-4B6C-BEAB-741E1241AA72}"/>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ADED7083-B0CC-499F-A80C-2B1FDF61BF85}"/>
    <cellStyle name="20% - Accent1 2 2 2 2 2 3" xfId="11291" xr:uid="{2263BB01-8E98-4E74-9C14-4908E8FC1E00}"/>
    <cellStyle name="20% - Accent1 2 2 2 2 3" xfId="4922" xr:uid="{00000000-0005-0000-0000-000008000000}"/>
    <cellStyle name="20% - Accent1 2 2 2 2 3 2" xfId="13364" xr:uid="{1896995B-8051-466D-901E-138E50DBCAB5}"/>
    <cellStyle name="20% - Accent1 2 2 2 2 4" xfId="9146" xr:uid="{34FE0217-A98F-4A78-8DCD-D16587306EFF}"/>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16F87BB4-4FD9-4A7D-97BA-95AB06B8A488}"/>
    <cellStyle name="20% - Accent1 2 2 2 3 2 3" xfId="11704" xr:uid="{704B8CC3-550A-4EDD-A262-3CBA69A86901}"/>
    <cellStyle name="20% - Accent1 2 2 2 3 3" xfId="5335" xr:uid="{00000000-0005-0000-0000-00000C000000}"/>
    <cellStyle name="20% - Accent1 2 2 2 3 3 2" xfId="13777" xr:uid="{C2C35E62-517C-4089-8B1D-5CF9634B1A89}"/>
    <cellStyle name="20% - Accent1 2 2 2 3 4" xfId="9559" xr:uid="{12D49008-105F-4470-98D7-8819ED85088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1E6D9C26-57A2-4DA0-83A2-4F255CCDD5E7}"/>
    <cellStyle name="20% - Accent1 2 2 2 4 2 3" xfId="12117" xr:uid="{8EE5C5F2-FACD-47A7-9DCE-9C8D86960219}"/>
    <cellStyle name="20% - Accent1 2 2 2 4 3" xfId="5748" xr:uid="{00000000-0005-0000-0000-000010000000}"/>
    <cellStyle name="20% - Accent1 2 2 2 4 3 2" xfId="14190" xr:uid="{AA09936F-A7A0-419E-9171-6EBADFE194B4}"/>
    <cellStyle name="20% - Accent1 2 2 2 4 4" xfId="9972" xr:uid="{BEA1B5C0-2E09-49A5-B959-4AF2CB6981E1}"/>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D4AD30BA-5F3D-4A97-ABB8-B71A8AA03C8D}"/>
    <cellStyle name="20% - Accent1 2 2 2 5 2 3" xfId="12530" xr:uid="{DDBEAC96-35ED-4844-A421-A47B2D29A2B4}"/>
    <cellStyle name="20% - Accent1 2 2 2 5 3" xfId="6161" xr:uid="{00000000-0005-0000-0000-000014000000}"/>
    <cellStyle name="20% - Accent1 2 2 2 5 3 2" xfId="14603" xr:uid="{841D458D-152C-48F7-804E-2CA9E811D626}"/>
    <cellStyle name="20% - Accent1 2 2 2 5 4" xfId="10385" xr:uid="{C7C90927-5005-4164-B105-3A77FABC4420}"/>
    <cellStyle name="20% - Accent1 2 2 2 6" xfId="2267" xr:uid="{00000000-0005-0000-0000-000015000000}"/>
    <cellStyle name="20% - Accent1 2 2 2 6 2" xfId="6574" xr:uid="{00000000-0005-0000-0000-000016000000}"/>
    <cellStyle name="20% - Accent1 2 2 2 6 2 2" xfId="15016" xr:uid="{0D385366-FF15-4391-850C-5DFE74514B77}"/>
    <cellStyle name="20% - Accent1 2 2 2 6 3" xfId="10798" xr:uid="{C8DF27F0-00DB-453B-B8AE-778450C156B1}"/>
    <cellStyle name="20% - Accent1 2 2 2 7" xfId="4508" xr:uid="{00000000-0005-0000-0000-000017000000}"/>
    <cellStyle name="20% - Accent1 2 2 2 7 2" xfId="12950" xr:uid="{6F66AF28-530C-40BB-8108-9397C9322C11}"/>
    <cellStyle name="20% - Accent1 2 2 2 8" xfId="8732" xr:uid="{74737F68-1554-429B-95D9-38978B365DA5}"/>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9EF83150-CFFA-4CC1-82B8-35CD6120BDA5}"/>
    <cellStyle name="20% - Accent1 2 2 3 2 3" xfId="11290" xr:uid="{4A393F24-2398-49F5-9AD2-C6ECC40F0F44}"/>
    <cellStyle name="20% - Accent1 2 2 3 3" xfId="4921" xr:uid="{00000000-0005-0000-0000-00001B000000}"/>
    <cellStyle name="20% - Accent1 2 2 3 3 2" xfId="13363" xr:uid="{0982C246-3D5A-4FDF-9A5B-EA2CCD6C3A19}"/>
    <cellStyle name="20% - Accent1 2 2 3 4" xfId="9145" xr:uid="{914E9C1C-E9BB-437F-9785-EBEB3FFFB55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5C9E8ECA-3E46-4C76-9608-11FC8752406A}"/>
    <cellStyle name="20% - Accent1 2 2 4 2 3" xfId="11703" xr:uid="{9375108D-D4AD-4379-B9EB-F263037CFEB0}"/>
    <cellStyle name="20% - Accent1 2 2 4 3" xfId="5334" xr:uid="{00000000-0005-0000-0000-00001F000000}"/>
    <cellStyle name="20% - Accent1 2 2 4 3 2" xfId="13776" xr:uid="{7DCE24A7-05DD-4AFD-A5E1-DF556FF2D2D7}"/>
    <cellStyle name="20% - Accent1 2 2 4 4" xfId="9558" xr:uid="{4FDD64A5-051C-4489-B7FB-6C0834AE1A55}"/>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47AB1EB9-C4AA-43C0-8E07-F4C195F5DD44}"/>
    <cellStyle name="20% - Accent1 2 2 5 2 3" xfId="12116" xr:uid="{E089AC38-9CF8-480E-ABEC-D6C3E797862F}"/>
    <cellStyle name="20% - Accent1 2 2 5 3" xfId="5747" xr:uid="{00000000-0005-0000-0000-000023000000}"/>
    <cellStyle name="20% - Accent1 2 2 5 3 2" xfId="14189" xr:uid="{A996C4C1-A036-4677-95E7-ED01AF00A59F}"/>
    <cellStyle name="20% - Accent1 2 2 5 4" xfId="9971" xr:uid="{874C983D-5F2D-4A5A-8762-0A24334F6682}"/>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D31B0005-9CCE-45EE-A4A2-E5EB7A059254}"/>
    <cellStyle name="20% - Accent1 2 2 6 2 3" xfId="12529" xr:uid="{F41E3EEE-132C-48A6-932E-9CC8028F99AF}"/>
    <cellStyle name="20% - Accent1 2 2 6 3" xfId="6160" xr:uid="{00000000-0005-0000-0000-000027000000}"/>
    <cellStyle name="20% - Accent1 2 2 6 3 2" xfId="14602" xr:uid="{052EE8AD-F292-4E48-983D-E48F366BFB5E}"/>
    <cellStyle name="20% - Accent1 2 2 6 4" xfId="10384" xr:uid="{B35E048D-9389-465A-B32D-17B9058A7B64}"/>
    <cellStyle name="20% - Accent1 2 2 7" xfId="2266" xr:uid="{00000000-0005-0000-0000-000028000000}"/>
    <cellStyle name="20% - Accent1 2 2 7 2" xfId="6573" xr:uid="{00000000-0005-0000-0000-000029000000}"/>
    <cellStyle name="20% - Accent1 2 2 7 2 2" xfId="15015" xr:uid="{778C8D9E-9EA8-4F47-83EE-C561E28D5CAE}"/>
    <cellStyle name="20% - Accent1 2 2 7 3" xfId="10797" xr:uid="{4D8901B6-8423-46B8-862B-B588AEEC4340}"/>
    <cellStyle name="20% - Accent1 2 2 8" xfId="4507" xr:uid="{00000000-0005-0000-0000-00002A000000}"/>
    <cellStyle name="20% - Accent1 2 2 8 2" xfId="12949" xr:uid="{48D20646-65EE-4A09-BCB9-396EE268314B}"/>
    <cellStyle name="20% - Accent1 2 2 9" xfId="8731" xr:uid="{D518311E-70DD-49E0-B9DE-8D8397BC092E}"/>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52C83C92-A5AB-4E45-AF0C-C653F3C7866B}"/>
    <cellStyle name="20% - Accent1 2 3 2 2 3" xfId="11292" xr:uid="{A6E41FEA-5DE2-47D6-BD2F-42D11D22508C}"/>
    <cellStyle name="20% - Accent1 2 3 2 3" xfId="4923" xr:uid="{00000000-0005-0000-0000-00002F000000}"/>
    <cellStyle name="20% - Accent1 2 3 2 3 2" xfId="13365" xr:uid="{F24C55EC-F850-4431-AEF4-68BA9CECF066}"/>
    <cellStyle name="20% - Accent1 2 3 2 4" xfId="9147" xr:uid="{0864974F-4A7A-4AD2-99BB-9813F9612DF6}"/>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871A3CB3-55C1-496E-8F56-A39908E72C9D}"/>
    <cellStyle name="20% - Accent1 2 3 3 2 3" xfId="11705" xr:uid="{2249D0D5-7506-4848-A76F-FEFC920305D1}"/>
    <cellStyle name="20% - Accent1 2 3 3 3" xfId="5336" xr:uid="{00000000-0005-0000-0000-000033000000}"/>
    <cellStyle name="20% - Accent1 2 3 3 3 2" xfId="13778" xr:uid="{55366A5C-7A31-4079-AD12-E787DBAA9077}"/>
    <cellStyle name="20% - Accent1 2 3 3 4" xfId="9560" xr:uid="{EBC7E823-2F84-45A2-BAF2-0282CB7DB88E}"/>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88A64973-2243-46FC-AE61-3BD2EA0DF00B}"/>
    <cellStyle name="20% - Accent1 2 3 4 2 3" xfId="12118" xr:uid="{641BF42A-2E22-470E-9930-2976833AF1C0}"/>
    <cellStyle name="20% - Accent1 2 3 4 3" xfId="5749" xr:uid="{00000000-0005-0000-0000-000037000000}"/>
    <cellStyle name="20% - Accent1 2 3 4 3 2" xfId="14191" xr:uid="{874598AC-F2FD-4648-9EE4-7F739CB1F5FC}"/>
    <cellStyle name="20% - Accent1 2 3 4 4" xfId="9973" xr:uid="{E2679E53-F4FA-4796-99D0-218025025992}"/>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9C2147DE-6BA2-4F07-AD57-604C5F9DEBE1}"/>
    <cellStyle name="20% - Accent1 2 3 5 2 3" xfId="12531" xr:uid="{8BC03747-143F-43EC-9047-927BD440B321}"/>
    <cellStyle name="20% - Accent1 2 3 5 3" xfId="6162" xr:uid="{00000000-0005-0000-0000-00003B000000}"/>
    <cellStyle name="20% - Accent1 2 3 5 3 2" xfId="14604" xr:uid="{E0E6BE1A-220C-4A91-9460-A1FE1BB10452}"/>
    <cellStyle name="20% - Accent1 2 3 5 4" xfId="10386" xr:uid="{AC808BB5-08E2-4213-B4A1-3595D77DB79D}"/>
    <cellStyle name="20% - Accent1 2 3 6" xfId="2268" xr:uid="{00000000-0005-0000-0000-00003C000000}"/>
    <cellStyle name="20% - Accent1 2 3 6 2" xfId="6575" xr:uid="{00000000-0005-0000-0000-00003D000000}"/>
    <cellStyle name="20% - Accent1 2 3 6 2 2" xfId="15017" xr:uid="{2E0FD812-6FEA-4ECD-99E1-2AFF75936C8F}"/>
    <cellStyle name="20% - Accent1 2 3 6 3" xfId="10799" xr:uid="{62C825BE-ACF0-4459-AA46-54560C9A8A97}"/>
    <cellStyle name="20% - Accent1 2 3 7" xfId="4509" xr:uid="{00000000-0005-0000-0000-00003E000000}"/>
    <cellStyle name="20% - Accent1 2 3 7 2" xfId="12951" xr:uid="{389BFD8C-94FE-4000-BDD6-48BEC1C84837}"/>
    <cellStyle name="20% - Accent1 2 3 8" xfId="8733" xr:uid="{02D55BCA-CEC0-487B-95F7-EF46360B272B}"/>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CEC0418D-CFD4-40C1-9417-BED720322149}"/>
    <cellStyle name="20% - Accent1 2 4 2 3" xfId="11289" xr:uid="{5820A510-FBAE-4289-A23F-F81C3016C2BB}"/>
    <cellStyle name="20% - Accent1 2 4 3" xfId="4920" xr:uid="{00000000-0005-0000-0000-000042000000}"/>
    <cellStyle name="20% - Accent1 2 4 3 2" xfId="13362" xr:uid="{D2BEEC0E-F773-4716-B830-73803C3BC431}"/>
    <cellStyle name="20% - Accent1 2 4 4" xfId="9144" xr:uid="{50578DEE-BE4E-4EB1-AC35-EB528C2746C1}"/>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DA4294ED-5DBD-4E0A-98CA-58308E3BD2E5}"/>
    <cellStyle name="20% - Accent1 2 5 2 3" xfId="11702" xr:uid="{D07FE29E-332A-4C6C-B8BE-DFCCC34E897E}"/>
    <cellStyle name="20% - Accent1 2 5 3" xfId="5333" xr:uid="{00000000-0005-0000-0000-000046000000}"/>
    <cellStyle name="20% - Accent1 2 5 3 2" xfId="13775" xr:uid="{7BC4167F-A2EF-42D6-897A-E6DB742353C7}"/>
    <cellStyle name="20% - Accent1 2 5 4" xfId="9557" xr:uid="{B5D43123-3DB6-495D-8DD4-87DFD686151C}"/>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23DB977C-6191-4EB6-87CA-B91AA7F4D6E6}"/>
    <cellStyle name="20% - Accent1 2 6 2 3" xfId="12115" xr:uid="{0DA25C39-A3A6-4A7B-A440-E916FFCB2F5E}"/>
    <cellStyle name="20% - Accent1 2 6 3" xfId="5746" xr:uid="{00000000-0005-0000-0000-00004A000000}"/>
    <cellStyle name="20% - Accent1 2 6 3 2" xfId="14188" xr:uid="{F6CEF932-48F4-4344-AA9A-5F7B8E9D942B}"/>
    <cellStyle name="20% - Accent1 2 6 4" xfId="9970" xr:uid="{D809253C-4B49-43C6-95F1-9ED0FB9F27BA}"/>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D8F9C1E3-16C4-4E02-9D95-F0759889AA06}"/>
    <cellStyle name="20% - Accent1 2 7 2 3" xfId="12528" xr:uid="{048FBB6B-1E84-4B65-8377-DFEA5EA767FF}"/>
    <cellStyle name="20% - Accent1 2 7 3" xfId="6159" xr:uid="{00000000-0005-0000-0000-00004E000000}"/>
    <cellStyle name="20% - Accent1 2 7 3 2" xfId="14601" xr:uid="{7E0351D9-58C8-4E3C-8E91-992E847F105D}"/>
    <cellStyle name="20% - Accent1 2 7 4" xfId="10383" xr:uid="{43EAA2DD-93A8-4DED-BBFA-9A55C96D97B5}"/>
    <cellStyle name="20% - Accent1 2 8" xfId="2265" xr:uid="{00000000-0005-0000-0000-00004F000000}"/>
    <cellStyle name="20% - Accent1 2 8 2" xfId="6572" xr:uid="{00000000-0005-0000-0000-000050000000}"/>
    <cellStyle name="20% - Accent1 2 8 2 2" xfId="15014" xr:uid="{645EA7FE-9655-4EBA-8C9A-7238902FA878}"/>
    <cellStyle name="20% - Accent1 2 8 3" xfId="10796" xr:uid="{403FEE81-57F3-4336-B901-F315BCED6D28}"/>
    <cellStyle name="20% - Accent1 2 9" xfId="4506" xr:uid="{00000000-0005-0000-0000-000051000000}"/>
    <cellStyle name="20% - Accent1 2 9 2" xfId="12948" xr:uid="{3FF4E374-5737-4B3A-A108-5AA1A9A6D47D}"/>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DA6037EE-961D-49BE-9867-179061DD880A}"/>
    <cellStyle name="20% - Accent1 3 2 2 2 3" xfId="11294" xr:uid="{A57F0F8F-C594-41FC-B436-C7CC222754A0}"/>
    <cellStyle name="20% - Accent1 3 2 2 3" xfId="4925" xr:uid="{00000000-0005-0000-0000-000057000000}"/>
    <cellStyle name="20% - Accent1 3 2 2 3 2" xfId="13367" xr:uid="{399BECE9-2EAA-45F5-94B1-44E3722B9D64}"/>
    <cellStyle name="20% - Accent1 3 2 2 4" xfId="9149" xr:uid="{84CC8F6D-6843-4B69-BDF9-A2DB3FB9182E}"/>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70F71075-4EA7-4B13-822D-7C8B045F6E92}"/>
    <cellStyle name="20% - Accent1 3 2 3 2 3" xfId="11707" xr:uid="{3A968575-EE1E-4EB0-9FDF-F8DE528FE8A5}"/>
    <cellStyle name="20% - Accent1 3 2 3 3" xfId="5338" xr:uid="{00000000-0005-0000-0000-00005B000000}"/>
    <cellStyle name="20% - Accent1 3 2 3 3 2" xfId="13780" xr:uid="{CCBAE5EE-FD2A-4E46-B27E-3F4AF0633B92}"/>
    <cellStyle name="20% - Accent1 3 2 3 4" xfId="9562" xr:uid="{E2F41585-BF82-462E-93E6-FAEADBD7BCCF}"/>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EB73D510-2797-45AF-BCC9-964346B8752B}"/>
    <cellStyle name="20% - Accent1 3 2 4 2 3" xfId="12120" xr:uid="{4511C1C4-8875-4D50-A1AF-CB0D4DBC04E6}"/>
    <cellStyle name="20% - Accent1 3 2 4 3" xfId="5751" xr:uid="{00000000-0005-0000-0000-00005F000000}"/>
    <cellStyle name="20% - Accent1 3 2 4 3 2" xfId="14193" xr:uid="{5247B488-8993-44C5-9920-57AF2FA988CB}"/>
    <cellStyle name="20% - Accent1 3 2 4 4" xfId="9975" xr:uid="{26388910-33DA-4428-B9EC-C1ED49FC1F47}"/>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A278AF0D-8E0D-4D0B-9B3E-A512732C4E47}"/>
    <cellStyle name="20% - Accent1 3 2 5 2 3" xfId="12533" xr:uid="{91627C38-9CF3-432D-A0DE-308920502EED}"/>
    <cellStyle name="20% - Accent1 3 2 5 3" xfId="6164" xr:uid="{00000000-0005-0000-0000-000063000000}"/>
    <cellStyle name="20% - Accent1 3 2 5 3 2" xfId="14606" xr:uid="{47526808-15F3-45AF-B1D5-AC555D8E2E93}"/>
    <cellStyle name="20% - Accent1 3 2 5 4" xfId="10388" xr:uid="{9F62AB83-675B-42E0-8FC7-8EB7EA10D007}"/>
    <cellStyle name="20% - Accent1 3 2 6" xfId="2270" xr:uid="{00000000-0005-0000-0000-000064000000}"/>
    <cellStyle name="20% - Accent1 3 2 6 2" xfId="6577" xr:uid="{00000000-0005-0000-0000-000065000000}"/>
    <cellStyle name="20% - Accent1 3 2 6 2 2" xfId="15019" xr:uid="{FF50E665-DF9E-45A2-B0B9-1BDE53EEC310}"/>
    <cellStyle name="20% - Accent1 3 2 6 3" xfId="10801" xr:uid="{6F26E8E9-47DB-441B-8BB7-D2775270864B}"/>
    <cellStyle name="20% - Accent1 3 2 7" xfId="4511" xr:uid="{00000000-0005-0000-0000-000066000000}"/>
    <cellStyle name="20% - Accent1 3 2 7 2" xfId="12953" xr:uid="{670BBDC9-170A-4678-BA81-996112F66F73}"/>
    <cellStyle name="20% - Accent1 3 2 8" xfId="8735" xr:uid="{4EA86853-1E8E-4250-A000-C5D56F85E89B}"/>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68ACA7D3-E40D-41C7-A254-50A14760575F}"/>
    <cellStyle name="20% - Accent1 3 3 2 3" xfId="11293" xr:uid="{F44BFB49-6D8F-4B80-98B9-041F5941AC7B}"/>
    <cellStyle name="20% - Accent1 3 3 3" xfId="4924" xr:uid="{00000000-0005-0000-0000-00006A000000}"/>
    <cellStyle name="20% - Accent1 3 3 3 2" xfId="13366" xr:uid="{662C88F5-630A-4D59-A9AF-34D657145CEA}"/>
    <cellStyle name="20% - Accent1 3 3 4" xfId="9148" xr:uid="{F0775BD3-024F-4BD6-AD42-6DD3E1BD0BF4}"/>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7E7BEDF2-5462-4903-8F19-F15D27289AF9}"/>
    <cellStyle name="20% - Accent1 3 4 2 3" xfId="11706" xr:uid="{D4D965A1-C098-461D-828D-1213680B6631}"/>
    <cellStyle name="20% - Accent1 3 4 3" xfId="5337" xr:uid="{00000000-0005-0000-0000-00006E000000}"/>
    <cellStyle name="20% - Accent1 3 4 3 2" xfId="13779" xr:uid="{A3336F78-42E7-42B8-B531-B5DF72D395F6}"/>
    <cellStyle name="20% - Accent1 3 4 4" xfId="9561" xr:uid="{D3E837EE-B4CE-4799-8D9F-49F1CFB8BA43}"/>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2E159379-5E7A-4CA8-A91B-BB598BA77316}"/>
    <cellStyle name="20% - Accent1 3 5 2 3" xfId="12119" xr:uid="{00E15F94-375B-4A5B-BB41-3B6F0430E027}"/>
    <cellStyle name="20% - Accent1 3 5 3" xfId="5750" xr:uid="{00000000-0005-0000-0000-000072000000}"/>
    <cellStyle name="20% - Accent1 3 5 3 2" xfId="14192" xr:uid="{352393FE-F831-4045-A709-A536594B84BE}"/>
    <cellStyle name="20% - Accent1 3 5 4" xfId="9974" xr:uid="{5E13A4B0-82AC-4242-9AE7-0C7B09D6564F}"/>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3D2E40A4-9364-441F-8FDA-43B3922E574F}"/>
    <cellStyle name="20% - Accent1 3 6 2 3" xfId="12532" xr:uid="{5E3E1A2D-1C26-4F7C-A6EC-92F1F7D22FC4}"/>
    <cellStyle name="20% - Accent1 3 6 3" xfId="6163" xr:uid="{00000000-0005-0000-0000-000076000000}"/>
    <cellStyle name="20% - Accent1 3 6 3 2" xfId="14605" xr:uid="{C6CCBD0B-2FFA-44FE-AFA6-412F66D2437E}"/>
    <cellStyle name="20% - Accent1 3 6 4" xfId="10387" xr:uid="{7403AB56-B683-4494-AD80-76113B962F4B}"/>
    <cellStyle name="20% - Accent1 3 7" xfId="2269" xr:uid="{00000000-0005-0000-0000-000077000000}"/>
    <cellStyle name="20% - Accent1 3 7 2" xfId="6576" xr:uid="{00000000-0005-0000-0000-000078000000}"/>
    <cellStyle name="20% - Accent1 3 7 2 2" xfId="15018" xr:uid="{28C22A33-1517-4206-A767-73C16B9B4641}"/>
    <cellStyle name="20% - Accent1 3 7 3" xfId="10800" xr:uid="{E8F16CDC-0990-4A4F-8E82-EBA71B65EDA2}"/>
    <cellStyle name="20% - Accent1 3 8" xfId="4510" xr:uid="{00000000-0005-0000-0000-000079000000}"/>
    <cellStyle name="20% - Accent1 3 8 2" xfId="12952" xr:uid="{ADD64EC3-D070-4591-BCFE-088377555880}"/>
    <cellStyle name="20% - Accent1 3 9" xfId="8734" xr:uid="{D278A4E2-2F68-4278-922A-D9BE2FDF7FA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B0479EC3-367D-411A-ADC8-0C46474AE65F}"/>
    <cellStyle name="20% - Accent1 4 2 2 3" xfId="11295" xr:uid="{4B527FDE-962E-4010-AB2E-F1B6482AF102}"/>
    <cellStyle name="20% - Accent1 4 2 3" xfId="4926" xr:uid="{00000000-0005-0000-0000-00007E000000}"/>
    <cellStyle name="20% - Accent1 4 2 3 2" xfId="13368" xr:uid="{6C525993-77BC-451E-B23C-82E84A02DFEB}"/>
    <cellStyle name="20% - Accent1 4 2 4" xfId="9150" xr:uid="{7967C517-C0A1-468E-AFC2-632E55CD53AA}"/>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0FF4E170-1D20-499B-A39B-829B71C0F22A}"/>
    <cellStyle name="20% - Accent1 4 3 2 3" xfId="11708" xr:uid="{1F46E70B-1663-40A5-A0F3-731FEAC7365A}"/>
    <cellStyle name="20% - Accent1 4 3 3" xfId="5339" xr:uid="{00000000-0005-0000-0000-000082000000}"/>
    <cellStyle name="20% - Accent1 4 3 3 2" xfId="13781" xr:uid="{32C6D9AC-BAE0-4F14-90BF-5B729FCD159A}"/>
    <cellStyle name="20% - Accent1 4 3 4" xfId="9563" xr:uid="{8267381F-A605-4256-872D-4AEAAA0F3895}"/>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9FEA6FD5-4C15-4971-85A6-3291990E0286}"/>
    <cellStyle name="20% - Accent1 4 4 2 3" xfId="12121" xr:uid="{ED7CEBDF-BFED-4E59-BF16-93AF3EEA5972}"/>
    <cellStyle name="20% - Accent1 4 4 3" xfId="5752" xr:uid="{00000000-0005-0000-0000-000086000000}"/>
    <cellStyle name="20% - Accent1 4 4 3 2" xfId="14194" xr:uid="{A8523DB8-14AC-4D35-A31D-172AC1A4002E}"/>
    <cellStyle name="20% - Accent1 4 4 4" xfId="9976" xr:uid="{003A0C4F-0010-45D6-8859-A59F991BCF02}"/>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F5B76689-DD96-4373-8EF8-B2E13E586B31}"/>
    <cellStyle name="20% - Accent1 4 5 2 3" xfId="12534" xr:uid="{75AF4F3B-9B79-4D1D-A14E-2107785B8BD9}"/>
    <cellStyle name="20% - Accent1 4 5 3" xfId="6165" xr:uid="{00000000-0005-0000-0000-00008A000000}"/>
    <cellStyle name="20% - Accent1 4 5 3 2" xfId="14607" xr:uid="{FF517BED-9CD5-484C-BA34-FD49DFEE6E25}"/>
    <cellStyle name="20% - Accent1 4 5 4" xfId="10389" xr:uid="{F879AACC-706B-4822-9AE0-EE06637534BD}"/>
    <cellStyle name="20% - Accent1 4 6" xfId="2271" xr:uid="{00000000-0005-0000-0000-00008B000000}"/>
    <cellStyle name="20% - Accent1 4 6 2" xfId="6578" xr:uid="{00000000-0005-0000-0000-00008C000000}"/>
    <cellStyle name="20% - Accent1 4 6 2 2" xfId="15020" xr:uid="{9A2266AF-49AA-42A2-BAD9-1C3C530BB48C}"/>
    <cellStyle name="20% - Accent1 4 6 3" xfId="10802" xr:uid="{D2CE30D6-8325-4F00-9D5A-7751A73A9057}"/>
    <cellStyle name="20% - Accent1 4 7" xfId="4512" xr:uid="{00000000-0005-0000-0000-00008D000000}"/>
    <cellStyle name="20% - Accent1 4 7 2" xfId="12954" xr:uid="{50C972B3-CDEA-4DD6-885E-EFED9472E55E}"/>
    <cellStyle name="20% - Accent1 4 8" xfId="8736" xr:uid="{6028FB73-D4B1-492B-838E-239557C83BD8}"/>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5EFD66D2-A71E-4ED0-B720-ED795AF0F0A3}"/>
    <cellStyle name="20% - Accent1 5 2 3" xfId="11288" xr:uid="{9BCAAD31-0228-46EB-9AB6-9A2CC865C5FF}"/>
    <cellStyle name="20% - Accent1 5 3" xfId="4919" xr:uid="{00000000-0005-0000-0000-000091000000}"/>
    <cellStyle name="20% - Accent1 5 3 2" xfId="13361" xr:uid="{83816AE9-C1F1-41B3-B156-37FE46C3C9A7}"/>
    <cellStyle name="20% - Accent1 5 4" xfId="9143" xr:uid="{3740DE74-3B4B-4343-8977-0410D91098D4}"/>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D4EC0D1B-5482-4717-8941-87A59D05891C}"/>
    <cellStyle name="20% - Accent1 6 2 3" xfId="11701" xr:uid="{F9059C5F-3F22-4DC2-906B-FD7E5778F05D}"/>
    <cellStyle name="20% - Accent1 6 3" xfId="5332" xr:uid="{00000000-0005-0000-0000-000095000000}"/>
    <cellStyle name="20% - Accent1 6 3 2" xfId="13774" xr:uid="{766E3AC7-7F28-4EA8-AD1F-C3099A467F87}"/>
    <cellStyle name="20% - Accent1 6 4" xfId="9556" xr:uid="{D817B52D-F142-4FC0-B6EE-8F37FB424279}"/>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4EF99BB4-0960-4C86-849B-69C569C8A80E}"/>
    <cellStyle name="20% - Accent1 7 2 3" xfId="12114" xr:uid="{A0A47085-FAC6-4836-827E-EA5FD342E21E}"/>
    <cellStyle name="20% - Accent1 7 3" xfId="5745" xr:uid="{00000000-0005-0000-0000-000099000000}"/>
    <cellStyle name="20% - Accent1 7 3 2" xfId="14187" xr:uid="{3141864E-BFA6-4E17-8990-CFAD3F84D634}"/>
    <cellStyle name="20% - Accent1 7 4" xfId="9969" xr:uid="{69AEC85E-4833-4ECA-9013-3F3D894E1921}"/>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AA035B85-255B-494B-8865-5D958C6F8366}"/>
    <cellStyle name="20% - Accent1 8 2 3" xfId="12527" xr:uid="{43F9F7A4-034A-42C5-B817-C60AFE58F387}"/>
    <cellStyle name="20% - Accent1 8 3" xfId="6158" xr:uid="{00000000-0005-0000-0000-00009D000000}"/>
    <cellStyle name="20% - Accent1 8 3 2" xfId="14600" xr:uid="{E4985DB6-8F07-40EC-B938-2B51828CADAE}"/>
    <cellStyle name="20% - Accent1 8 4" xfId="10382" xr:uid="{EB5E10CA-7A0C-496D-9C03-D49783424584}"/>
    <cellStyle name="20% - Accent1 9" xfId="2264" xr:uid="{00000000-0005-0000-0000-00009E000000}"/>
    <cellStyle name="20% - Accent1 9 2" xfId="6571" xr:uid="{00000000-0005-0000-0000-00009F000000}"/>
    <cellStyle name="20% - Accent1 9 2 2" xfId="15013" xr:uid="{5BC92020-4DE0-4075-B4AA-A840F5AE7F1B}"/>
    <cellStyle name="20% - Accent1 9 3" xfId="10795" xr:uid="{B6BA3EAF-07AC-4AA9-935B-E5FE55E4193E}"/>
    <cellStyle name="20% - Accent2" xfId="9" builtinId="34" customBuiltin="1"/>
    <cellStyle name="20% - Accent2 10" xfId="4513" xr:uid="{00000000-0005-0000-0000-0000A1000000}"/>
    <cellStyle name="20% - Accent2 10 2" xfId="12955" xr:uid="{0887D040-1CFB-4A08-9C09-E7CB926DCC50}"/>
    <cellStyle name="20% - Accent2 11" xfId="8737" xr:uid="{A9676F35-984C-4A88-BA94-4F6F20A21947}"/>
    <cellStyle name="20% - Accent2 2" xfId="10" xr:uid="{00000000-0005-0000-0000-0000A2000000}"/>
    <cellStyle name="20% - Accent2 2 10" xfId="8738" xr:uid="{36366651-E0EC-4AF2-8866-EF1F3B1181BB}"/>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C26C861F-FE72-499C-BFF2-7B84197E74F3}"/>
    <cellStyle name="20% - Accent2 2 2 2 2 2 3" xfId="11299" xr:uid="{B1FE8AA6-9583-41AD-B00F-3F5F8BE41FE3}"/>
    <cellStyle name="20% - Accent2 2 2 2 2 3" xfId="4930" xr:uid="{00000000-0005-0000-0000-0000A8000000}"/>
    <cellStyle name="20% - Accent2 2 2 2 2 3 2" xfId="13372" xr:uid="{A0A62C91-F0D6-434A-8FE4-0FD0F680EE5F}"/>
    <cellStyle name="20% - Accent2 2 2 2 2 4" xfId="9154" xr:uid="{2DD54E6D-D5F5-404D-B116-5CBD76FFE519}"/>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BD4E88E4-F812-4178-B52C-A9E47A263EDA}"/>
    <cellStyle name="20% - Accent2 2 2 2 3 2 3" xfId="11712" xr:uid="{0C922A34-BF9A-4758-B153-8A274349D18C}"/>
    <cellStyle name="20% - Accent2 2 2 2 3 3" xfId="5343" xr:uid="{00000000-0005-0000-0000-0000AC000000}"/>
    <cellStyle name="20% - Accent2 2 2 2 3 3 2" xfId="13785" xr:uid="{CB59D397-195A-46BB-92F3-4022662C1A80}"/>
    <cellStyle name="20% - Accent2 2 2 2 3 4" xfId="9567" xr:uid="{4CA40911-33AB-4B9D-9451-4FBE340D55C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786F3A4C-1A9B-495A-BD6D-F45B4AEC0D57}"/>
    <cellStyle name="20% - Accent2 2 2 2 4 2 3" xfId="12125" xr:uid="{AC0A637B-B842-4F63-BE87-A4144E3B3EB4}"/>
    <cellStyle name="20% - Accent2 2 2 2 4 3" xfId="5756" xr:uid="{00000000-0005-0000-0000-0000B0000000}"/>
    <cellStyle name="20% - Accent2 2 2 2 4 3 2" xfId="14198" xr:uid="{27ABDE6E-588F-4581-A63B-06D18F56131C}"/>
    <cellStyle name="20% - Accent2 2 2 2 4 4" xfId="9980" xr:uid="{12C17D6E-D7ED-4312-889C-7F9FF961618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6D3BC2F2-9B5B-445A-86B3-72C13D3E5B84}"/>
    <cellStyle name="20% - Accent2 2 2 2 5 2 3" xfId="12538" xr:uid="{DAF7AA40-A1D9-403D-9F05-0AC4B507DEBD}"/>
    <cellStyle name="20% - Accent2 2 2 2 5 3" xfId="6169" xr:uid="{00000000-0005-0000-0000-0000B4000000}"/>
    <cellStyle name="20% - Accent2 2 2 2 5 3 2" xfId="14611" xr:uid="{359DFE29-203D-4345-8996-CB5614FCA6DB}"/>
    <cellStyle name="20% - Accent2 2 2 2 5 4" xfId="10393" xr:uid="{47095387-E2E7-4D64-B283-9BBBA512BCD0}"/>
    <cellStyle name="20% - Accent2 2 2 2 6" xfId="2275" xr:uid="{00000000-0005-0000-0000-0000B5000000}"/>
    <cellStyle name="20% - Accent2 2 2 2 6 2" xfId="6582" xr:uid="{00000000-0005-0000-0000-0000B6000000}"/>
    <cellStyle name="20% - Accent2 2 2 2 6 2 2" xfId="15024" xr:uid="{2C1ABF6F-3C86-4F27-9FC1-A0DF630D05D9}"/>
    <cellStyle name="20% - Accent2 2 2 2 6 3" xfId="10806" xr:uid="{9106206D-2EE6-4D94-84FD-C7FF3FC940F2}"/>
    <cellStyle name="20% - Accent2 2 2 2 7" xfId="4516" xr:uid="{00000000-0005-0000-0000-0000B7000000}"/>
    <cellStyle name="20% - Accent2 2 2 2 7 2" xfId="12958" xr:uid="{5BD0BE7E-69B5-427F-B4BF-D33359C41826}"/>
    <cellStyle name="20% - Accent2 2 2 2 8" xfId="8740" xr:uid="{524ACD87-295A-4B31-B994-F217A31BFA78}"/>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00A81549-1EB9-44E0-B806-341E023A7327}"/>
    <cellStyle name="20% - Accent2 2 2 3 2 3" xfId="11298" xr:uid="{157CDEB2-A06B-476A-B1A0-5FBE48325928}"/>
    <cellStyle name="20% - Accent2 2 2 3 3" xfId="4929" xr:uid="{00000000-0005-0000-0000-0000BB000000}"/>
    <cellStyle name="20% - Accent2 2 2 3 3 2" xfId="13371" xr:uid="{5BF9EA4D-345C-41AA-842C-58E8A9B75052}"/>
    <cellStyle name="20% - Accent2 2 2 3 4" xfId="9153" xr:uid="{2AF7FB49-3774-429E-BBBD-76B9223F7085}"/>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B7EBB259-372D-4737-8F54-F3FFD93D3CD8}"/>
    <cellStyle name="20% - Accent2 2 2 4 2 3" xfId="11711" xr:uid="{85D00E18-0C92-4135-8004-B78B18571C32}"/>
    <cellStyle name="20% - Accent2 2 2 4 3" xfId="5342" xr:uid="{00000000-0005-0000-0000-0000BF000000}"/>
    <cellStyle name="20% - Accent2 2 2 4 3 2" xfId="13784" xr:uid="{13D44CC4-60E4-46A4-A99C-C2242667C8D2}"/>
    <cellStyle name="20% - Accent2 2 2 4 4" xfId="9566" xr:uid="{1C3263C0-91BE-4199-B8D3-52B5652BA2FB}"/>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549A220F-E90F-46A2-B770-F2CB678BE7A4}"/>
    <cellStyle name="20% - Accent2 2 2 5 2 3" xfId="12124" xr:uid="{57408F98-9070-4368-8DE0-97D3595B1B1A}"/>
    <cellStyle name="20% - Accent2 2 2 5 3" xfId="5755" xr:uid="{00000000-0005-0000-0000-0000C3000000}"/>
    <cellStyle name="20% - Accent2 2 2 5 3 2" xfId="14197" xr:uid="{E7ED13A1-518E-4B85-981E-8CCD67A4787C}"/>
    <cellStyle name="20% - Accent2 2 2 5 4" xfId="9979" xr:uid="{E5AA00EF-F701-4096-816A-27756CD0329C}"/>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ECBB94C2-B27A-4CAF-BB3E-05E6338F0863}"/>
    <cellStyle name="20% - Accent2 2 2 6 2 3" xfId="12537" xr:uid="{41D4642F-A304-499B-B6C8-511183317640}"/>
    <cellStyle name="20% - Accent2 2 2 6 3" xfId="6168" xr:uid="{00000000-0005-0000-0000-0000C7000000}"/>
    <cellStyle name="20% - Accent2 2 2 6 3 2" xfId="14610" xr:uid="{3A219D6D-FA62-405E-9E7F-8921F7FED0D2}"/>
    <cellStyle name="20% - Accent2 2 2 6 4" xfId="10392" xr:uid="{D0BD2BE5-3E5E-4D42-B6E8-934D2A9FC386}"/>
    <cellStyle name="20% - Accent2 2 2 7" xfId="2274" xr:uid="{00000000-0005-0000-0000-0000C8000000}"/>
    <cellStyle name="20% - Accent2 2 2 7 2" xfId="6581" xr:uid="{00000000-0005-0000-0000-0000C9000000}"/>
    <cellStyle name="20% - Accent2 2 2 7 2 2" xfId="15023" xr:uid="{61E4E1BA-A37E-40D4-B25E-5F7EB4FD58A7}"/>
    <cellStyle name="20% - Accent2 2 2 7 3" xfId="10805" xr:uid="{B08DFFEA-CC77-4A9A-8CD3-FE6B8240AA96}"/>
    <cellStyle name="20% - Accent2 2 2 8" xfId="4515" xr:uid="{00000000-0005-0000-0000-0000CA000000}"/>
    <cellStyle name="20% - Accent2 2 2 8 2" xfId="12957" xr:uid="{18DA6264-A608-4E46-BB2D-2BABCD7666A2}"/>
    <cellStyle name="20% - Accent2 2 2 9" xfId="8739" xr:uid="{36407C2F-FCB5-4ABF-A39C-BAE1E64E73BE}"/>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8A9C6A98-5135-4465-A0A4-20D430BF2AE7}"/>
    <cellStyle name="20% - Accent2 2 3 2 2 3" xfId="11300" xr:uid="{DB19F5B1-1A8C-4A22-8D89-835AA1026D82}"/>
    <cellStyle name="20% - Accent2 2 3 2 3" xfId="4931" xr:uid="{00000000-0005-0000-0000-0000CF000000}"/>
    <cellStyle name="20% - Accent2 2 3 2 3 2" xfId="13373" xr:uid="{6195584C-50AA-46FB-95EC-703D47A287CE}"/>
    <cellStyle name="20% - Accent2 2 3 2 4" xfId="9155" xr:uid="{FD5994C5-B8EE-4252-80D2-A25CB913B009}"/>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ED20CC7D-4FA9-44D9-B5ED-BD01F67D3106}"/>
    <cellStyle name="20% - Accent2 2 3 3 2 3" xfId="11713" xr:uid="{529A02C9-CB3E-4705-99C7-719A6E5D15A4}"/>
    <cellStyle name="20% - Accent2 2 3 3 3" xfId="5344" xr:uid="{00000000-0005-0000-0000-0000D3000000}"/>
    <cellStyle name="20% - Accent2 2 3 3 3 2" xfId="13786" xr:uid="{60981E22-06B1-498D-86F6-73A409387F9F}"/>
    <cellStyle name="20% - Accent2 2 3 3 4" xfId="9568" xr:uid="{0665D5D3-AF1F-4D94-80DD-1DEF09CE62E7}"/>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AFBF2870-C5AB-4253-999D-6EF2850E8810}"/>
    <cellStyle name="20% - Accent2 2 3 4 2 3" xfId="12126" xr:uid="{7E149B7F-2C96-463F-95D6-0AB0306E79D4}"/>
    <cellStyle name="20% - Accent2 2 3 4 3" xfId="5757" xr:uid="{00000000-0005-0000-0000-0000D7000000}"/>
    <cellStyle name="20% - Accent2 2 3 4 3 2" xfId="14199" xr:uid="{A168A438-61CD-4F38-9170-61A8A9281841}"/>
    <cellStyle name="20% - Accent2 2 3 4 4" xfId="9981" xr:uid="{039A3EDF-7E4A-47FD-90EE-01A3BBBFC646}"/>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042D81AD-0603-460D-9894-0470E67DA5AF}"/>
    <cellStyle name="20% - Accent2 2 3 5 2 3" xfId="12539" xr:uid="{F50E8153-1713-4344-8C34-6A0E5E1B60A3}"/>
    <cellStyle name="20% - Accent2 2 3 5 3" xfId="6170" xr:uid="{00000000-0005-0000-0000-0000DB000000}"/>
    <cellStyle name="20% - Accent2 2 3 5 3 2" xfId="14612" xr:uid="{165C6850-7727-4A5A-8E09-B40581786655}"/>
    <cellStyle name="20% - Accent2 2 3 5 4" xfId="10394" xr:uid="{D375FD55-7297-46BB-81C3-74CE114CF844}"/>
    <cellStyle name="20% - Accent2 2 3 6" xfId="2276" xr:uid="{00000000-0005-0000-0000-0000DC000000}"/>
    <cellStyle name="20% - Accent2 2 3 6 2" xfId="6583" xr:uid="{00000000-0005-0000-0000-0000DD000000}"/>
    <cellStyle name="20% - Accent2 2 3 6 2 2" xfId="15025" xr:uid="{CD669E52-D339-42C7-A2A9-5A942D6729E0}"/>
    <cellStyle name="20% - Accent2 2 3 6 3" xfId="10807" xr:uid="{60B02B46-47A8-4CC6-B39F-58B9D49FF4D6}"/>
    <cellStyle name="20% - Accent2 2 3 7" xfId="4517" xr:uid="{00000000-0005-0000-0000-0000DE000000}"/>
    <cellStyle name="20% - Accent2 2 3 7 2" xfId="12959" xr:uid="{B4864B44-098B-48E1-9B29-312855FE5158}"/>
    <cellStyle name="20% - Accent2 2 3 8" xfId="8741" xr:uid="{63A79542-FFD1-401B-B51E-C9607D92588B}"/>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0B4869A3-CF91-4BD3-A267-78A92B98C0B8}"/>
    <cellStyle name="20% - Accent2 2 4 2 3" xfId="11297" xr:uid="{F2224458-6C8D-486E-B6A8-7936D0DFAE2E}"/>
    <cellStyle name="20% - Accent2 2 4 3" xfId="4928" xr:uid="{00000000-0005-0000-0000-0000E2000000}"/>
    <cellStyle name="20% - Accent2 2 4 3 2" xfId="13370" xr:uid="{068CFBEF-EC64-4372-B21C-15D25875B4B5}"/>
    <cellStyle name="20% - Accent2 2 4 4" xfId="9152" xr:uid="{415D88D1-3DFB-47FC-B336-7DBB58B109B8}"/>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29E4D050-5154-4E89-B8D3-97FA26A8E15C}"/>
    <cellStyle name="20% - Accent2 2 5 2 3" xfId="11710" xr:uid="{86FBD94A-D6DE-4E2F-9830-FC9B481268CD}"/>
    <cellStyle name="20% - Accent2 2 5 3" xfId="5341" xr:uid="{00000000-0005-0000-0000-0000E6000000}"/>
    <cellStyle name="20% - Accent2 2 5 3 2" xfId="13783" xr:uid="{AA818FD7-3863-40BF-AD32-886F5CE30234}"/>
    <cellStyle name="20% - Accent2 2 5 4" xfId="9565" xr:uid="{70D4039D-ADAB-4484-824A-32ADD0DB6604}"/>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37805AF0-7B77-4B01-89A0-4B7DFD836A69}"/>
    <cellStyle name="20% - Accent2 2 6 2 3" xfId="12123" xr:uid="{8E02DBFF-D44B-4450-86C2-FC216A039661}"/>
    <cellStyle name="20% - Accent2 2 6 3" xfId="5754" xr:uid="{00000000-0005-0000-0000-0000EA000000}"/>
    <cellStyle name="20% - Accent2 2 6 3 2" xfId="14196" xr:uid="{97A5C83D-05E0-4781-B8F9-29A250D81B86}"/>
    <cellStyle name="20% - Accent2 2 6 4" xfId="9978" xr:uid="{71E359DF-048D-4D9A-9EC2-22B3DB016D29}"/>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8ECFA37F-E024-400F-B57F-9446F9E0C3E4}"/>
    <cellStyle name="20% - Accent2 2 7 2 3" xfId="12536" xr:uid="{55446385-9F2E-4BB8-A325-15B81C759C6B}"/>
    <cellStyle name="20% - Accent2 2 7 3" xfId="6167" xr:uid="{00000000-0005-0000-0000-0000EE000000}"/>
    <cellStyle name="20% - Accent2 2 7 3 2" xfId="14609" xr:uid="{0E833C5B-76B0-4599-964A-8AFD6B2D994F}"/>
    <cellStyle name="20% - Accent2 2 7 4" xfId="10391" xr:uid="{ABB72176-904E-4479-806E-69DE03CCDD0D}"/>
    <cellStyle name="20% - Accent2 2 8" xfId="2273" xr:uid="{00000000-0005-0000-0000-0000EF000000}"/>
    <cellStyle name="20% - Accent2 2 8 2" xfId="6580" xr:uid="{00000000-0005-0000-0000-0000F0000000}"/>
    <cellStyle name="20% - Accent2 2 8 2 2" xfId="15022" xr:uid="{765C7F28-505F-44C3-946E-46B53A8DAC6F}"/>
    <cellStyle name="20% - Accent2 2 8 3" xfId="10804" xr:uid="{DCA56FCD-8B4E-465A-A407-DBC53C90ED70}"/>
    <cellStyle name="20% - Accent2 2 9" xfId="4514" xr:uid="{00000000-0005-0000-0000-0000F1000000}"/>
    <cellStyle name="20% - Accent2 2 9 2" xfId="12956" xr:uid="{88C9EE17-4245-4170-8D57-EA26581D2662}"/>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6291D4D0-CDE3-47A5-86D3-77AF702C5971}"/>
    <cellStyle name="20% - Accent2 3 2 2 2 3" xfId="11302" xr:uid="{E801D24E-E602-47A8-B649-3F791626481B}"/>
    <cellStyle name="20% - Accent2 3 2 2 3" xfId="4933" xr:uid="{00000000-0005-0000-0000-0000F7000000}"/>
    <cellStyle name="20% - Accent2 3 2 2 3 2" xfId="13375" xr:uid="{089C12DC-FBE8-4ADB-AB10-8C8372499D2C}"/>
    <cellStyle name="20% - Accent2 3 2 2 4" xfId="9157" xr:uid="{6FB65BAB-14FF-4DE1-831A-B802B9415B7A}"/>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80EC1AA0-6CD4-451F-8075-6A3DB0C36F84}"/>
    <cellStyle name="20% - Accent2 3 2 3 2 3" xfId="11715" xr:uid="{C11A19CC-AFE6-4DAA-9590-661B594816C9}"/>
    <cellStyle name="20% - Accent2 3 2 3 3" xfId="5346" xr:uid="{00000000-0005-0000-0000-0000FB000000}"/>
    <cellStyle name="20% - Accent2 3 2 3 3 2" xfId="13788" xr:uid="{A3028A0A-604B-499F-94B4-BE42C59727ED}"/>
    <cellStyle name="20% - Accent2 3 2 3 4" xfId="9570" xr:uid="{9D5C3C84-CA2B-48D7-897F-97C93C1EDD7B}"/>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448CC2CD-63F0-4402-AB6D-BE37101AAE09}"/>
    <cellStyle name="20% - Accent2 3 2 4 2 3" xfId="12128" xr:uid="{E3F7BC81-9B25-41EC-BABB-7E5C7C22F5CA}"/>
    <cellStyle name="20% - Accent2 3 2 4 3" xfId="5759" xr:uid="{00000000-0005-0000-0000-0000FF000000}"/>
    <cellStyle name="20% - Accent2 3 2 4 3 2" xfId="14201" xr:uid="{E67C131B-13B9-4C0C-88BC-9F6BF96D5567}"/>
    <cellStyle name="20% - Accent2 3 2 4 4" xfId="9983" xr:uid="{D88CD098-8D48-42C7-B1E3-EE5E12489C69}"/>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92D613D4-F49B-4575-9E8D-1BDB77236FFA}"/>
    <cellStyle name="20% - Accent2 3 2 5 2 3" xfId="12541" xr:uid="{0F646785-1FA5-445A-B0AF-DE2DC1F71ABE}"/>
    <cellStyle name="20% - Accent2 3 2 5 3" xfId="6172" xr:uid="{00000000-0005-0000-0000-000003010000}"/>
    <cellStyle name="20% - Accent2 3 2 5 3 2" xfId="14614" xr:uid="{D15C868F-1151-47A2-9CC5-40A2DF1D1287}"/>
    <cellStyle name="20% - Accent2 3 2 5 4" xfId="10396" xr:uid="{5BB37888-C385-4701-8460-D8372FD6CC47}"/>
    <cellStyle name="20% - Accent2 3 2 6" xfId="2278" xr:uid="{00000000-0005-0000-0000-000004010000}"/>
    <cellStyle name="20% - Accent2 3 2 6 2" xfId="6585" xr:uid="{00000000-0005-0000-0000-000005010000}"/>
    <cellStyle name="20% - Accent2 3 2 6 2 2" xfId="15027" xr:uid="{DFA8B645-2E6D-412F-884C-D36D58AEB4A8}"/>
    <cellStyle name="20% - Accent2 3 2 6 3" xfId="10809" xr:uid="{3C08EA19-35C8-4379-BD9D-3650A59A3CA1}"/>
    <cellStyle name="20% - Accent2 3 2 7" xfId="4519" xr:uid="{00000000-0005-0000-0000-000006010000}"/>
    <cellStyle name="20% - Accent2 3 2 7 2" xfId="12961" xr:uid="{E9EAB416-ED33-4C63-AD2A-D66CD7380566}"/>
    <cellStyle name="20% - Accent2 3 2 8" xfId="8743" xr:uid="{CE6D45B5-6D65-4096-A962-6F7907E98810}"/>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7F92194B-D370-405E-9776-9431F6135D5D}"/>
    <cellStyle name="20% - Accent2 3 3 2 3" xfId="11301" xr:uid="{03DF6745-7645-4009-BC7D-104629E4A341}"/>
    <cellStyle name="20% - Accent2 3 3 3" xfId="4932" xr:uid="{00000000-0005-0000-0000-00000A010000}"/>
    <cellStyle name="20% - Accent2 3 3 3 2" xfId="13374" xr:uid="{67EDB9D6-D5A0-41A4-8537-6BDE7F5CFA5C}"/>
    <cellStyle name="20% - Accent2 3 3 4" xfId="9156" xr:uid="{A59C7236-5349-4C96-B79C-D4BFF67B1E27}"/>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6EAFFD85-CC8E-42A3-837B-C7FA614ADB7F}"/>
    <cellStyle name="20% - Accent2 3 4 2 3" xfId="11714" xr:uid="{EBF685D8-1EB7-472B-83E3-F01786C98032}"/>
    <cellStyle name="20% - Accent2 3 4 3" xfId="5345" xr:uid="{00000000-0005-0000-0000-00000E010000}"/>
    <cellStyle name="20% - Accent2 3 4 3 2" xfId="13787" xr:uid="{A8E00A81-2BD8-49DA-B93A-2E1254C47888}"/>
    <cellStyle name="20% - Accent2 3 4 4" xfId="9569" xr:uid="{743D8424-2587-4F76-A8AD-31E7AEFAA4FA}"/>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7E9E752E-D155-49FF-A1B4-5AC7BCD5995F}"/>
    <cellStyle name="20% - Accent2 3 5 2 3" xfId="12127" xr:uid="{598B291B-031F-4329-9938-3C64A07F03A7}"/>
    <cellStyle name="20% - Accent2 3 5 3" xfId="5758" xr:uid="{00000000-0005-0000-0000-000012010000}"/>
    <cellStyle name="20% - Accent2 3 5 3 2" xfId="14200" xr:uid="{9A15CC2A-FA92-4710-BE62-B17B3CBB98BF}"/>
    <cellStyle name="20% - Accent2 3 5 4" xfId="9982" xr:uid="{69D4DDE3-FF7A-48A4-87C1-A9EF96E202D0}"/>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966C4B03-A2F4-40A1-AAE1-EFE1F7FE763F}"/>
    <cellStyle name="20% - Accent2 3 6 2 3" xfId="12540" xr:uid="{AF51A2C2-1143-4CA8-BFC2-4BBE32E0C063}"/>
    <cellStyle name="20% - Accent2 3 6 3" xfId="6171" xr:uid="{00000000-0005-0000-0000-000016010000}"/>
    <cellStyle name="20% - Accent2 3 6 3 2" xfId="14613" xr:uid="{A30973F9-5998-4904-B258-FBD0113B8929}"/>
    <cellStyle name="20% - Accent2 3 6 4" xfId="10395" xr:uid="{5745D40C-9268-4C50-9E30-F270B6FB221F}"/>
    <cellStyle name="20% - Accent2 3 7" xfId="2277" xr:uid="{00000000-0005-0000-0000-000017010000}"/>
    <cellStyle name="20% - Accent2 3 7 2" xfId="6584" xr:uid="{00000000-0005-0000-0000-000018010000}"/>
    <cellStyle name="20% - Accent2 3 7 2 2" xfId="15026" xr:uid="{F25E0F07-9E2D-4A8D-AE4B-07ACD5623300}"/>
    <cellStyle name="20% - Accent2 3 7 3" xfId="10808" xr:uid="{3DB253E4-0509-427E-A478-920DF992ECA6}"/>
    <cellStyle name="20% - Accent2 3 8" xfId="4518" xr:uid="{00000000-0005-0000-0000-000019010000}"/>
    <cellStyle name="20% - Accent2 3 8 2" xfId="12960" xr:uid="{CD2C4B9E-0DD3-45B9-8FF6-29EB5542FD7F}"/>
    <cellStyle name="20% - Accent2 3 9" xfId="8742" xr:uid="{0F93BFD7-8A22-4741-82C5-F42DAEAD0D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5BAF7D36-AA15-4EBD-B19C-9D3D7C8D2C80}"/>
    <cellStyle name="20% - Accent2 4 2 2 3" xfId="11303" xr:uid="{A24DB7EA-0902-4BCC-B078-4AFBE03B72F8}"/>
    <cellStyle name="20% - Accent2 4 2 3" xfId="4934" xr:uid="{00000000-0005-0000-0000-00001E010000}"/>
    <cellStyle name="20% - Accent2 4 2 3 2" xfId="13376" xr:uid="{2F058971-73C2-4C73-A4B9-6292769006B1}"/>
    <cellStyle name="20% - Accent2 4 2 4" xfId="9158" xr:uid="{FF11BEF1-F360-4BDC-B2C6-F2A497D11152}"/>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7BD14A8C-178A-4742-99A7-BBB894505D7A}"/>
    <cellStyle name="20% - Accent2 4 3 2 3" xfId="11716" xr:uid="{48DD89FA-81EC-4478-A2B7-35301B66610A}"/>
    <cellStyle name="20% - Accent2 4 3 3" xfId="5347" xr:uid="{00000000-0005-0000-0000-000022010000}"/>
    <cellStyle name="20% - Accent2 4 3 3 2" xfId="13789" xr:uid="{64446927-4E42-4028-A51E-A883B802E9AC}"/>
    <cellStyle name="20% - Accent2 4 3 4" xfId="9571" xr:uid="{CDA206EE-E35D-49B8-BA9B-EEE99FE3BF64}"/>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9C7E9330-DF78-4A63-B51E-D6D1385F0F65}"/>
    <cellStyle name="20% - Accent2 4 4 2 3" xfId="12129" xr:uid="{37BDC538-DA85-432A-9A18-7E5CD157D81A}"/>
    <cellStyle name="20% - Accent2 4 4 3" xfId="5760" xr:uid="{00000000-0005-0000-0000-000026010000}"/>
    <cellStyle name="20% - Accent2 4 4 3 2" xfId="14202" xr:uid="{68658F99-B582-4820-AC80-9B7C21DEB3E8}"/>
    <cellStyle name="20% - Accent2 4 4 4" xfId="9984" xr:uid="{70DFF0B7-3773-499D-83D1-F017FC86E434}"/>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53BDCAB3-6DED-48B4-BDE8-A7C25B97AFC0}"/>
    <cellStyle name="20% - Accent2 4 5 2 3" xfId="12542" xr:uid="{D820F504-817F-4FDF-BD7C-85C695E99898}"/>
    <cellStyle name="20% - Accent2 4 5 3" xfId="6173" xr:uid="{00000000-0005-0000-0000-00002A010000}"/>
    <cellStyle name="20% - Accent2 4 5 3 2" xfId="14615" xr:uid="{1FD23CF6-5723-4383-84D1-DB26529C05D8}"/>
    <cellStyle name="20% - Accent2 4 5 4" xfId="10397" xr:uid="{0B6783AF-D13D-47CE-8BF5-9AA6D8FF1D6D}"/>
    <cellStyle name="20% - Accent2 4 6" xfId="2279" xr:uid="{00000000-0005-0000-0000-00002B010000}"/>
    <cellStyle name="20% - Accent2 4 6 2" xfId="6586" xr:uid="{00000000-0005-0000-0000-00002C010000}"/>
    <cellStyle name="20% - Accent2 4 6 2 2" xfId="15028" xr:uid="{F39439DC-9B50-4739-AA50-1DFD1B8FC341}"/>
    <cellStyle name="20% - Accent2 4 6 3" xfId="10810" xr:uid="{C57844D5-E648-4BC5-B5E9-BA0549B99E45}"/>
    <cellStyle name="20% - Accent2 4 7" xfId="4520" xr:uid="{00000000-0005-0000-0000-00002D010000}"/>
    <cellStyle name="20% - Accent2 4 7 2" xfId="12962" xr:uid="{2B058367-1FFF-48CF-AF39-9C645BB8CFDA}"/>
    <cellStyle name="20% - Accent2 4 8" xfId="8744" xr:uid="{F11A54EE-4018-42C1-854E-DD03A8295F14}"/>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7DB754C3-8F77-4CA7-88D0-337B35A5CC49}"/>
    <cellStyle name="20% - Accent2 5 2 3" xfId="11296" xr:uid="{BEF86280-F4E8-4E60-BF60-56E1AC3D41BF}"/>
    <cellStyle name="20% - Accent2 5 3" xfId="4927" xr:uid="{00000000-0005-0000-0000-000031010000}"/>
    <cellStyle name="20% - Accent2 5 3 2" xfId="13369" xr:uid="{8583EB29-09D8-4D50-B155-F8C53B90ACC8}"/>
    <cellStyle name="20% - Accent2 5 4" xfId="9151" xr:uid="{7E06398D-07F1-435D-AC8E-E8762F99B141}"/>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8B906D1C-21D4-4D47-9DF3-0FD57D61CB4A}"/>
    <cellStyle name="20% - Accent2 6 2 3" xfId="11709" xr:uid="{BC21FA2B-064C-4A32-BABF-DB2CB82BC576}"/>
    <cellStyle name="20% - Accent2 6 3" xfId="5340" xr:uid="{00000000-0005-0000-0000-000035010000}"/>
    <cellStyle name="20% - Accent2 6 3 2" xfId="13782" xr:uid="{3796B848-6750-40D0-9000-007275213572}"/>
    <cellStyle name="20% - Accent2 6 4" xfId="9564" xr:uid="{8340BFAB-B269-41A9-8D97-639EF6F18922}"/>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1B9A4C0B-D4D1-4D48-96D3-2B38ACACA915}"/>
    <cellStyle name="20% - Accent2 7 2 3" xfId="12122" xr:uid="{9493825B-C90D-4961-A635-4A6D9029D9D6}"/>
    <cellStyle name="20% - Accent2 7 3" xfId="5753" xr:uid="{00000000-0005-0000-0000-000039010000}"/>
    <cellStyle name="20% - Accent2 7 3 2" xfId="14195" xr:uid="{C60815C5-AC4F-49EE-B09B-445BD3E99B14}"/>
    <cellStyle name="20% - Accent2 7 4" xfId="9977" xr:uid="{6EB494F2-7F4B-40FD-A034-D54256C96295}"/>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F87BA6FC-E5F8-47A6-8860-8631FE1C1C84}"/>
    <cellStyle name="20% - Accent2 8 2 3" xfId="12535" xr:uid="{9E05E0C8-52E9-4B38-B3B8-421775F53095}"/>
    <cellStyle name="20% - Accent2 8 3" xfId="6166" xr:uid="{00000000-0005-0000-0000-00003D010000}"/>
    <cellStyle name="20% - Accent2 8 3 2" xfId="14608" xr:uid="{65107D62-E2EB-4C2B-BA13-8E8349F80C8A}"/>
    <cellStyle name="20% - Accent2 8 4" xfId="10390" xr:uid="{516EAB6C-BC43-43FB-925B-864F2F8A825F}"/>
    <cellStyle name="20% - Accent2 9" xfId="2272" xr:uid="{00000000-0005-0000-0000-00003E010000}"/>
    <cellStyle name="20% - Accent2 9 2" xfId="6579" xr:uid="{00000000-0005-0000-0000-00003F010000}"/>
    <cellStyle name="20% - Accent2 9 2 2" xfId="15021" xr:uid="{ED6106C9-E3AB-4729-B6AD-762517D5F465}"/>
    <cellStyle name="20% - Accent2 9 3" xfId="10803" xr:uid="{F629DCF8-F2AD-40C8-B757-FD015BEB3625}"/>
    <cellStyle name="20% - Accent3" xfId="17" builtinId="38" customBuiltin="1"/>
    <cellStyle name="20% - Accent3 10" xfId="4521" xr:uid="{00000000-0005-0000-0000-000041010000}"/>
    <cellStyle name="20% - Accent3 10 2" xfId="12963" xr:uid="{DC73A4B4-8EC2-4E39-A5E3-E9028D800B82}"/>
    <cellStyle name="20% - Accent3 11" xfId="8745" xr:uid="{26789B19-20A8-44D4-A2A2-5B0204B90134}"/>
    <cellStyle name="20% - Accent3 2" xfId="18" xr:uid="{00000000-0005-0000-0000-000042010000}"/>
    <cellStyle name="20% - Accent3 2 10" xfId="8746" xr:uid="{E5BA0B66-5AE9-49FF-B3AB-8D78BBDCB977}"/>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A0005B5C-175F-48EC-B5AB-C23C21E81B82}"/>
    <cellStyle name="20% - Accent3 2 2 2 2 2 3" xfId="11307" xr:uid="{E2AD969E-DCB8-451B-A905-E7D97718624C}"/>
    <cellStyle name="20% - Accent3 2 2 2 2 3" xfId="4938" xr:uid="{00000000-0005-0000-0000-000048010000}"/>
    <cellStyle name="20% - Accent3 2 2 2 2 3 2" xfId="13380" xr:uid="{534E8A0A-9174-4181-A6D6-75D710A15263}"/>
    <cellStyle name="20% - Accent3 2 2 2 2 4" xfId="9162" xr:uid="{EFDAF515-C6FF-4F5B-BD13-738670987743}"/>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EDF97098-0BD9-4364-9DF9-8FF37552FFC3}"/>
    <cellStyle name="20% - Accent3 2 2 2 3 2 3" xfId="11720" xr:uid="{28404704-58EB-407D-BBC5-8C4BF5609E16}"/>
    <cellStyle name="20% - Accent3 2 2 2 3 3" xfId="5351" xr:uid="{00000000-0005-0000-0000-00004C010000}"/>
    <cellStyle name="20% - Accent3 2 2 2 3 3 2" xfId="13793" xr:uid="{A5A24321-C282-4EF3-9A2B-55302FB2B2D7}"/>
    <cellStyle name="20% - Accent3 2 2 2 3 4" xfId="9575" xr:uid="{3E91D34B-8197-4437-A49B-01E36AFDC6A9}"/>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2C365AFF-031B-48AA-8E63-1AF69055AAA3}"/>
    <cellStyle name="20% - Accent3 2 2 2 4 2 3" xfId="12133" xr:uid="{53CC6A36-AE11-467D-9B53-32EAC3182BF4}"/>
    <cellStyle name="20% - Accent3 2 2 2 4 3" xfId="5764" xr:uid="{00000000-0005-0000-0000-000050010000}"/>
    <cellStyle name="20% - Accent3 2 2 2 4 3 2" xfId="14206" xr:uid="{7DD6DCF0-3459-4732-90E0-1E5406847FC2}"/>
    <cellStyle name="20% - Accent3 2 2 2 4 4" xfId="9988" xr:uid="{1B5239E2-F192-482D-94FB-F13F185B9258}"/>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866893B5-A210-45D1-960E-C1F8F4F6300C}"/>
    <cellStyle name="20% - Accent3 2 2 2 5 2 3" xfId="12546" xr:uid="{8AAD8B79-2531-4BB0-97F5-AE27D9640B3E}"/>
    <cellStyle name="20% - Accent3 2 2 2 5 3" xfId="6177" xr:uid="{00000000-0005-0000-0000-000054010000}"/>
    <cellStyle name="20% - Accent3 2 2 2 5 3 2" xfId="14619" xr:uid="{2EA61490-461E-41D1-B02A-5732B4AAC762}"/>
    <cellStyle name="20% - Accent3 2 2 2 5 4" xfId="10401" xr:uid="{0E4BCF6D-7A20-4755-A878-088BC8127448}"/>
    <cellStyle name="20% - Accent3 2 2 2 6" xfId="2283" xr:uid="{00000000-0005-0000-0000-000055010000}"/>
    <cellStyle name="20% - Accent3 2 2 2 6 2" xfId="6590" xr:uid="{00000000-0005-0000-0000-000056010000}"/>
    <cellStyle name="20% - Accent3 2 2 2 6 2 2" xfId="15032" xr:uid="{32B27710-B867-435B-A9F4-99CE1ABC52B6}"/>
    <cellStyle name="20% - Accent3 2 2 2 6 3" xfId="10814" xr:uid="{4ED4728A-8C04-48A9-8C4F-B5AC19A1A42B}"/>
    <cellStyle name="20% - Accent3 2 2 2 7" xfId="4524" xr:uid="{00000000-0005-0000-0000-000057010000}"/>
    <cellStyle name="20% - Accent3 2 2 2 7 2" xfId="12966" xr:uid="{26E07EC8-4EEB-445C-80E2-41C1D435FC9C}"/>
    <cellStyle name="20% - Accent3 2 2 2 8" xfId="8748" xr:uid="{B0078EFB-96EA-41B1-94ED-75D6C6409486}"/>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067C5E64-C613-42B5-B117-F58CAE5AFEA6}"/>
    <cellStyle name="20% - Accent3 2 2 3 2 3" xfId="11306" xr:uid="{8151058D-F793-4B8A-BD8E-2018B1EEE48C}"/>
    <cellStyle name="20% - Accent3 2 2 3 3" xfId="4937" xr:uid="{00000000-0005-0000-0000-00005B010000}"/>
    <cellStyle name="20% - Accent3 2 2 3 3 2" xfId="13379" xr:uid="{4D58A1FD-CD7B-4DF1-9A12-42556D2C847A}"/>
    <cellStyle name="20% - Accent3 2 2 3 4" xfId="9161" xr:uid="{1C828C08-08E0-4DEB-8671-3ADB842AB96B}"/>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9E9E69B4-4B7A-4E9A-B48A-BC2584D022F9}"/>
    <cellStyle name="20% - Accent3 2 2 4 2 3" xfId="11719" xr:uid="{82043F39-DA48-42C2-967A-9A719ECA7640}"/>
    <cellStyle name="20% - Accent3 2 2 4 3" xfId="5350" xr:uid="{00000000-0005-0000-0000-00005F010000}"/>
    <cellStyle name="20% - Accent3 2 2 4 3 2" xfId="13792" xr:uid="{E92B8BD7-B747-443E-B71D-ED9F74499AF6}"/>
    <cellStyle name="20% - Accent3 2 2 4 4" xfId="9574" xr:uid="{0E57DDAD-BE21-4BEF-AD58-D089B05618A5}"/>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1A9C75EC-F030-4298-8AD9-B9C6ED0E06B5}"/>
    <cellStyle name="20% - Accent3 2 2 5 2 3" xfId="12132" xr:uid="{1F673005-4E84-41E0-874B-FF4317F7C11F}"/>
    <cellStyle name="20% - Accent3 2 2 5 3" xfId="5763" xr:uid="{00000000-0005-0000-0000-000063010000}"/>
    <cellStyle name="20% - Accent3 2 2 5 3 2" xfId="14205" xr:uid="{B6225AA6-B24F-4B69-8227-B46126C25BC0}"/>
    <cellStyle name="20% - Accent3 2 2 5 4" xfId="9987" xr:uid="{8A0F2983-B1F8-4315-936C-36CBB2B2050E}"/>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EAB2691C-980E-4498-84E4-714074CEDE02}"/>
    <cellStyle name="20% - Accent3 2 2 6 2 3" xfId="12545" xr:uid="{01C58863-8F61-4542-8C5A-9BA265F135C3}"/>
    <cellStyle name="20% - Accent3 2 2 6 3" xfId="6176" xr:uid="{00000000-0005-0000-0000-000067010000}"/>
    <cellStyle name="20% - Accent3 2 2 6 3 2" xfId="14618" xr:uid="{018104AA-845A-49AE-BE17-241E3F5F4F2B}"/>
    <cellStyle name="20% - Accent3 2 2 6 4" xfId="10400" xr:uid="{8166C42D-F164-48E1-95B1-E84CF99BCFD6}"/>
    <cellStyle name="20% - Accent3 2 2 7" xfId="2282" xr:uid="{00000000-0005-0000-0000-000068010000}"/>
    <cellStyle name="20% - Accent3 2 2 7 2" xfId="6589" xr:uid="{00000000-0005-0000-0000-000069010000}"/>
    <cellStyle name="20% - Accent3 2 2 7 2 2" xfId="15031" xr:uid="{0115161A-0617-47D9-A5D4-B37339675BDB}"/>
    <cellStyle name="20% - Accent3 2 2 7 3" xfId="10813" xr:uid="{53BD0964-0769-4FAB-882F-67DF97D1331D}"/>
    <cellStyle name="20% - Accent3 2 2 8" xfId="4523" xr:uid="{00000000-0005-0000-0000-00006A010000}"/>
    <cellStyle name="20% - Accent3 2 2 8 2" xfId="12965" xr:uid="{0FCF428F-B8BD-4FC6-85E3-6DBCE60EB3DA}"/>
    <cellStyle name="20% - Accent3 2 2 9" xfId="8747" xr:uid="{3FAD1B51-40A5-4780-89E4-48ACED73DDE6}"/>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0A2714C0-BBFA-4F0E-86D5-258AEE14BBA1}"/>
    <cellStyle name="20% - Accent3 2 3 2 2 3" xfId="11308" xr:uid="{D31ED56E-9AD7-4494-8565-029E77EA0BFE}"/>
    <cellStyle name="20% - Accent3 2 3 2 3" xfId="4939" xr:uid="{00000000-0005-0000-0000-00006F010000}"/>
    <cellStyle name="20% - Accent3 2 3 2 3 2" xfId="13381" xr:uid="{4BAFE3BF-94D9-4906-9FF5-C1416F232B64}"/>
    <cellStyle name="20% - Accent3 2 3 2 4" xfId="9163" xr:uid="{1036ADD2-7C14-4946-8408-A5B36D03FC3F}"/>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FACBC581-4665-4FB5-9890-4A01E95181F0}"/>
    <cellStyle name="20% - Accent3 2 3 3 2 3" xfId="11721" xr:uid="{D9571FC5-065D-41AF-A553-2C4BD6A10464}"/>
    <cellStyle name="20% - Accent3 2 3 3 3" xfId="5352" xr:uid="{00000000-0005-0000-0000-000073010000}"/>
    <cellStyle name="20% - Accent3 2 3 3 3 2" xfId="13794" xr:uid="{01E33772-F66A-47E1-98BD-5B50FE17ACE9}"/>
    <cellStyle name="20% - Accent3 2 3 3 4" xfId="9576" xr:uid="{F3D54F3C-C340-4DD3-94E3-506E6226531C}"/>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CABBA89A-5104-4F04-9A01-4E48B1A5B349}"/>
    <cellStyle name="20% - Accent3 2 3 4 2 3" xfId="12134" xr:uid="{8C0D735B-2E7D-4677-8F58-50C7EBD58A77}"/>
    <cellStyle name="20% - Accent3 2 3 4 3" xfId="5765" xr:uid="{00000000-0005-0000-0000-000077010000}"/>
    <cellStyle name="20% - Accent3 2 3 4 3 2" xfId="14207" xr:uid="{A0EC53D4-3EFE-4448-A0AF-F3F6A008197E}"/>
    <cellStyle name="20% - Accent3 2 3 4 4" xfId="9989" xr:uid="{7F880320-936A-4896-B3CE-62AB913E54C1}"/>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2974F5CA-7506-4328-8034-1C78DC2750BF}"/>
    <cellStyle name="20% - Accent3 2 3 5 2 3" xfId="12547" xr:uid="{8A97A6AC-655F-4D3B-A7C7-ACED9BF92D80}"/>
    <cellStyle name="20% - Accent3 2 3 5 3" xfId="6178" xr:uid="{00000000-0005-0000-0000-00007B010000}"/>
    <cellStyle name="20% - Accent3 2 3 5 3 2" xfId="14620" xr:uid="{8D9E4961-2F6B-44AC-93D5-A1632C99270A}"/>
    <cellStyle name="20% - Accent3 2 3 5 4" xfId="10402" xr:uid="{9E38FE9D-26E7-4AC0-8DC0-198F44FF9035}"/>
    <cellStyle name="20% - Accent3 2 3 6" xfId="2284" xr:uid="{00000000-0005-0000-0000-00007C010000}"/>
    <cellStyle name="20% - Accent3 2 3 6 2" xfId="6591" xr:uid="{00000000-0005-0000-0000-00007D010000}"/>
    <cellStyle name="20% - Accent3 2 3 6 2 2" xfId="15033" xr:uid="{50EA8B00-20DD-42C6-8312-531D8A3AB306}"/>
    <cellStyle name="20% - Accent3 2 3 6 3" xfId="10815" xr:uid="{CF886F66-1399-433C-A090-16093DD46338}"/>
    <cellStyle name="20% - Accent3 2 3 7" xfId="4525" xr:uid="{00000000-0005-0000-0000-00007E010000}"/>
    <cellStyle name="20% - Accent3 2 3 7 2" xfId="12967" xr:uid="{5A418988-EBA2-4625-AFE4-2433E87BEC3F}"/>
    <cellStyle name="20% - Accent3 2 3 8" xfId="8749" xr:uid="{D3CF2D74-7B03-42DD-866E-1B27DFA9EEE1}"/>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7DFCE2C0-CF5B-4841-86FF-5F8034171051}"/>
    <cellStyle name="20% - Accent3 2 4 2 3" xfId="11305" xr:uid="{84EE2D8B-D645-434D-909E-4FBF6DEAEA0C}"/>
    <cellStyle name="20% - Accent3 2 4 3" xfId="4936" xr:uid="{00000000-0005-0000-0000-000082010000}"/>
    <cellStyle name="20% - Accent3 2 4 3 2" xfId="13378" xr:uid="{220D633D-F35F-43CD-A7E2-DD5A82022D6E}"/>
    <cellStyle name="20% - Accent3 2 4 4" xfId="9160" xr:uid="{1A8516AB-A0DE-44D6-9CB3-69E167C2FBD5}"/>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E13FCE3F-E81E-4858-9102-2E922533D46B}"/>
    <cellStyle name="20% - Accent3 2 5 2 3" xfId="11718" xr:uid="{2FEF1A26-DD07-4F29-A387-1BAEC13568B5}"/>
    <cellStyle name="20% - Accent3 2 5 3" xfId="5349" xr:uid="{00000000-0005-0000-0000-000086010000}"/>
    <cellStyle name="20% - Accent3 2 5 3 2" xfId="13791" xr:uid="{75A25311-C216-44A6-B9CC-AB0AABB00C73}"/>
    <cellStyle name="20% - Accent3 2 5 4" xfId="9573" xr:uid="{544D561E-F603-47A8-A731-381630EBFF85}"/>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E301968B-839E-4BF7-A025-D94D9A83C385}"/>
    <cellStyle name="20% - Accent3 2 6 2 3" xfId="12131" xr:uid="{6A444D8A-8EBB-4955-A499-28297A5901FD}"/>
    <cellStyle name="20% - Accent3 2 6 3" xfId="5762" xr:uid="{00000000-0005-0000-0000-00008A010000}"/>
    <cellStyle name="20% - Accent3 2 6 3 2" xfId="14204" xr:uid="{05B03FE9-101E-4454-A982-1BFC7D447FBE}"/>
    <cellStyle name="20% - Accent3 2 6 4" xfId="9986" xr:uid="{B46A5D3C-AE66-43D2-BDA9-0C38CC61FB5C}"/>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0F9F13D4-F3E2-421D-BA7A-FA769BFFD3A7}"/>
    <cellStyle name="20% - Accent3 2 7 2 3" xfId="12544" xr:uid="{00433308-242B-4C0C-B077-F763141208DA}"/>
    <cellStyle name="20% - Accent3 2 7 3" xfId="6175" xr:uid="{00000000-0005-0000-0000-00008E010000}"/>
    <cellStyle name="20% - Accent3 2 7 3 2" xfId="14617" xr:uid="{2BEF37A0-F5B2-4994-9307-DAE72431BC81}"/>
    <cellStyle name="20% - Accent3 2 7 4" xfId="10399" xr:uid="{AEBB4F8E-CE72-42B7-A912-90F25D6F0D37}"/>
    <cellStyle name="20% - Accent3 2 8" xfId="2281" xr:uid="{00000000-0005-0000-0000-00008F010000}"/>
    <cellStyle name="20% - Accent3 2 8 2" xfId="6588" xr:uid="{00000000-0005-0000-0000-000090010000}"/>
    <cellStyle name="20% - Accent3 2 8 2 2" xfId="15030" xr:uid="{BE14EC87-A69C-4EE3-9F49-9BC1E76B3EAB}"/>
    <cellStyle name="20% - Accent3 2 8 3" xfId="10812" xr:uid="{A18DC8E6-8F89-4028-A4FB-741E879F80E0}"/>
    <cellStyle name="20% - Accent3 2 9" xfId="4522" xr:uid="{00000000-0005-0000-0000-000091010000}"/>
    <cellStyle name="20% - Accent3 2 9 2" xfId="12964" xr:uid="{742F8EB9-06C7-4BCA-8CE4-26C3B821EBAF}"/>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AF635479-C0F5-4682-AAAD-60DF6FC63D56}"/>
    <cellStyle name="20% - Accent3 3 2 2 2 3" xfId="11310" xr:uid="{FEC627DE-A3B2-4EDB-A847-5926644ACCC5}"/>
    <cellStyle name="20% - Accent3 3 2 2 3" xfId="4941" xr:uid="{00000000-0005-0000-0000-000097010000}"/>
    <cellStyle name="20% - Accent3 3 2 2 3 2" xfId="13383" xr:uid="{13B7AF95-0C73-49B6-BF43-0C283A46D3CA}"/>
    <cellStyle name="20% - Accent3 3 2 2 4" xfId="9165" xr:uid="{DA532A0C-C36F-4A9B-87D8-E6DF3886EB32}"/>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D405F966-8CC1-4C02-BA20-45A8A7B4FB7D}"/>
    <cellStyle name="20% - Accent3 3 2 3 2 3" xfId="11723" xr:uid="{2354E82E-D756-4E0B-BDD3-6E355ED7D4F3}"/>
    <cellStyle name="20% - Accent3 3 2 3 3" xfId="5354" xr:uid="{00000000-0005-0000-0000-00009B010000}"/>
    <cellStyle name="20% - Accent3 3 2 3 3 2" xfId="13796" xr:uid="{BC6DA27F-377A-442C-81B8-432274DF627E}"/>
    <cellStyle name="20% - Accent3 3 2 3 4" xfId="9578" xr:uid="{1E67D5D1-085B-4D9C-8BB6-080EE1FE48B8}"/>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AA4F52E9-B40C-4703-A62E-0895184DE5BB}"/>
    <cellStyle name="20% - Accent3 3 2 4 2 3" xfId="12136" xr:uid="{AE990B20-D5E2-4705-961A-4436BDE64E18}"/>
    <cellStyle name="20% - Accent3 3 2 4 3" xfId="5767" xr:uid="{00000000-0005-0000-0000-00009F010000}"/>
    <cellStyle name="20% - Accent3 3 2 4 3 2" xfId="14209" xr:uid="{0137BF96-8E73-48D8-A548-1CC11B9ACB70}"/>
    <cellStyle name="20% - Accent3 3 2 4 4" xfId="9991" xr:uid="{7E017408-E622-4635-8DA4-F733B393058D}"/>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4D0E1811-A344-401C-9886-675942F0FE3E}"/>
    <cellStyle name="20% - Accent3 3 2 5 2 3" xfId="12549" xr:uid="{D8A2A5ED-AA40-435D-8B08-95D0F5DA24DD}"/>
    <cellStyle name="20% - Accent3 3 2 5 3" xfId="6180" xr:uid="{00000000-0005-0000-0000-0000A3010000}"/>
    <cellStyle name="20% - Accent3 3 2 5 3 2" xfId="14622" xr:uid="{8701334D-147E-4144-A370-A3C3582C64AB}"/>
    <cellStyle name="20% - Accent3 3 2 5 4" xfId="10404" xr:uid="{214656ED-9133-4854-A586-0DAA6F305D5F}"/>
    <cellStyle name="20% - Accent3 3 2 6" xfId="2286" xr:uid="{00000000-0005-0000-0000-0000A4010000}"/>
    <cellStyle name="20% - Accent3 3 2 6 2" xfId="6593" xr:uid="{00000000-0005-0000-0000-0000A5010000}"/>
    <cellStyle name="20% - Accent3 3 2 6 2 2" xfId="15035" xr:uid="{7948E3C6-4B96-4A4B-AC15-1F7D8262B5DB}"/>
    <cellStyle name="20% - Accent3 3 2 6 3" xfId="10817" xr:uid="{DD8115E8-47C1-44BE-B9DF-5A3DF5285A65}"/>
    <cellStyle name="20% - Accent3 3 2 7" xfId="4527" xr:uid="{00000000-0005-0000-0000-0000A6010000}"/>
    <cellStyle name="20% - Accent3 3 2 7 2" xfId="12969" xr:uid="{FBCDA270-0D66-403A-85CD-882AD7ED6BD9}"/>
    <cellStyle name="20% - Accent3 3 2 8" xfId="8751" xr:uid="{FC104649-3C95-461F-9F07-D003651D9969}"/>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1DE0C3F9-FB4F-4856-AB34-C3411C0EE38A}"/>
    <cellStyle name="20% - Accent3 3 3 2 3" xfId="11309" xr:uid="{CA0B95FF-9E02-4D15-94D0-2F49756C543D}"/>
    <cellStyle name="20% - Accent3 3 3 3" xfId="4940" xr:uid="{00000000-0005-0000-0000-0000AA010000}"/>
    <cellStyle name="20% - Accent3 3 3 3 2" xfId="13382" xr:uid="{E8AB4A9F-1C87-4143-B86B-B8DEBAF4B07E}"/>
    <cellStyle name="20% - Accent3 3 3 4" xfId="9164" xr:uid="{B7A16C85-4F5C-4158-A178-73B84D7BA3D9}"/>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0CE5D580-63C4-433B-8E1E-20B9C94ED4A9}"/>
    <cellStyle name="20% - Accent3 3 4 2 3" xfId="11722" xr:uid="{4735055C-6182-4BE7-A943-08BB8DA04C27}"/>
    <cellStyle name="20% - Accent3 3 4 3" xfId="5353" xr:uid="{00000000-0005-0000-0000-0000AE010000}"/>
    <cellStyle name="20% - Accent3 3 4 3 2" xfId="13795" xr:uid="{BBC7139D-5304-468E-9438-F82A0577AFA1}"/>
    <cellStyle name="20% - Accent3 3 4 4" xfId="9577" xr:uid="{B02BD146-819F-4E7D-BF7A-ADD02B85D527}"/>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636149A6-DB3D-40B6-A68B-1FB3C6578F92}"/>
    <cellStyle name="20% - Accent3 3 5 2 3" xfId="12135" xr:uid="{01A22FD5-DE78-4BAF-AD67-C7EBCAFE15BA}"/>
    <cellStyle name="20% - Accent3 3 5 3" xfId="5766" xr:uid="{00000000-0005-0000-0000-0000B2010000}"/>
    <cellStyle name="20% - Accent3 3 5 3 2" xfId="14208" xr:uid="{D3F61D5A-2311-4E87-8394-EE199889F584}"/>
    <cellStyle name="20% - Accent3 3 5 4" xfId="9990" xr:uid="{45E453D3-0920-458C-8ABA-770D39522DEC}"/>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D3F4DDD1-8C83-4553-BB74-A9B46C8DCFFE}"/>
    <cellStyle name="20% - Accent3 3 6 2 3" xfId="12548" xr:uid="{B4FD8FB5-2F92-4EC7-8BF7-69FEC5A19244}"/>
    <cellStyle name="20% - Accent3 3 6 3" xfId="6179" xr:uid="{00000000-0005-0000-0000-0000B6010000}"/>
    <cellStyle name="20% - Accent3 3 6 3 2" xfId="14621" xr:uid="{D97B8052-93CF-48D5-8170-EE61C0933FCA}"/>
    <cellStyle name="20% - Accent3 3 6 4" xfId="10403" xr:uid="{0E8B908E-8D8F-4927-A9A9-395411DF0AD0}"/>
    <cellStyle name="20% - Accent3 3 7" xfId="2285" xr:uid="{00000000-0005-0000-0000-0000B7010000}"/>
    <cellStyle name="20% - Accent3 3 7 2" xfId="6592" xr:uid="{00000000-0005-0000-0000-0000B8010000}"/>
    <cellStyle name="20% - Accent3 3 7 2 2" xfId="15034" xr:uid="{FC45CC5D-96E1-47BD-A0AD-F02698DA77A9}"/>
    <cellStyle name="20% - Accent3 3 7 3" xfId="10816" xr:uid="{7257E4FA-87C3-402E-92EF-316853A44E81}"/>
    <cellStyle name="20% - Accent3 3 8" xfId="4526" xr:uid="{00000000-0005-0000-0000-0000B9010000}"/>
    <cellStyle name="20% - Accent3 3 8 2" xfId="12968" xr:uid="{A61B8E7C-0A21-4A29-888D-1300EF4486BF}"/>
    <cellStyle name="20% - Accent3 3 9" xfId="8750" xr:uid="{1D85CEF5-410A-41A3-BE91-47C808A0FA53}"/>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C79D48E3-E719-4410-8623-B49EDD008AF1}"/>
    <cellStyle name="20% - Accent3 4 2 2 3" xfId="11311" xr:uid="{EFA4A3CA-AD3B-4800-8A0E-3B39E963EB40}"/>
    <cellStyle name="20% - Accent3 4 2 3" xfId="4942" xr:uid="{00000000-0005-0000-0000-0000BE010000}"/>
    <cellStyle name="20% - Accent3 4 2 3 2" xfId="13384" xr:uid="{9A304E75-A73F-430A-9AC7-608ACF01AD7D}"/>
    <cellStyle name="20% - Accent3 4 2 4" xfId="9166" xr:uid="{85BC0EFA-1E12-45EA-81E1-FD5F4400C13D}"/>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F7276973-E15D-4147-AE0B-130CAD40726D}"/>
    <cellStyle name="20% - Accent3 4 3 2 3" xfId="11724" xr:uid="{ED505B33-6198-40FC-8AB4-88D481EB5D31}"/>
    <cellStyle name="20% - Accent3 4 3 3" xfId="5355" xr:uid="{00000000-0005-0000-0000-0000C2010000}"/>
    <cellStyle name="20% - Accent3 4 3 3 2" xfId="13797" xr:uid="{E62B592D-83D1-4AC7-BE35-31D94E63E969}"/>
    <cellStyle name="20% - Accent3 4 3 4" xfId="9579" xr:uid="{0055B591-1993-40DC-AB08-FEE3A5F49DB7}"/>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389BE341-6544-4FD0-A729-149B55A767A3}"/>
    <cellStyle name="20% - Accent3 4 4 2 3" xfId="12137" xr:uid="{DFF0C6D8-7178-4CBE-82D5-77EB3FAFB270}"/>
    <cellStyle name="20% - Accent3 4 4 3" xfId="5768" xr:uid="{00000000-0005-0000-0000-0000C6010000}"/>
    <cellStyle name="20% - Accent3 4 4 3 2" xfId="14210" xr:uid="{904CDF92-F0C4-4BE2-9EEB-8D7B0A8A8F5F}"/>
    <cellStyle name="20% - Accent3 4 4 4" xfId="9992" xr:uid="{00074DDC-72B0-491B-B447-0A713321F2F7}"/>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5114E372-EAEC-4733-90C9-B206AB4D62E9}"/>
    <cellStyle name="20% - Accent3 4 5 2 3" xfId="12550" xr:uid="{BEB3D3B4-E081-4B34-8AF3-B92D67178C95}"/>
    <cellStyle name="20% - Accent3 4 5 3" xfId="6181" xr:uid="{00000000-0005-0000-0000-0000CA010000}"/>
    <cellStyle name="20% - Accent3 4 5 3 2" xfId="14623" xr:uid="{7B6BDB3E-7E1B-4482-8349-4EA5709EF4CA}"/>
    <cellStyle name="20% - Accent3 4 5 4" xfId="10405" xr:uid="{E0F01235-BD31-4BC2-A70D-1765A8A1EA91}"/>
    <cellStyle name="20% - Accent3 4 6" xfId="2287" xr:uid="{00000000-0005-0000-0000-0000CB010000}"/>
    <cellStyle name="20% - Accent3 4 6 2" xfId="6594" xr:uid="{00000000-0005-0000-0000-0000CC010000}"/>
    <cellStyle name="20% - Accent3 4 6 2 2" xfId="15036" xr:uid="{5398AF95-4270-4017-BCBD-99826EC18611}"/>
    <cellStyle name="20% - Accent3 4 6 3" xfId="10818" xr:uid="{1666D51B-C71B-44A4-A5AF-A24BE3750212}"/>
    <cellStyle name="20% - Accent3 4 7" xfId="4528" xr:uid="{00000000-0005-0000-0000-0000CD010000}"/>
    <cellStyle name="20% - Accent3 4 7 2" xfId="12970" xr:uid="{39A2DC65-19AF-4F3F-8DFE-F0814A1CAD43}"/>
    <cellStyle name="20% - Accent3 4 8" xfId="8752" xr:uid="{BCD4FBD1-EB85-47E6-83D3-3B7E43D424C6}"/>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6A0AAE24-AECB-4896-88B4-1DCF006D0A66}"/>
    <cellStyle name="20% - Accent3 5 2 3" xfId="11304" xr:uid="{885E4123-8E8E-4567-A2A2-4AE0EA601F66}"/>
    <cellStyle name="20% - Accent3 5 3" xfId="4935" xr:uid="{00000000-0005-0000-0000-0000D1010000}"/>
    <cellStyle name="20% - Accent3 5 3 2" xfId="13377" xr:uid="{6C734DB5-4F6B-48BF-A96E-DC5EE5E3CC60}"/>
    <cellStyle name="20% - Accent3 5 4" xfId="9159" xr:uid="{C02848BE-B546-491E-83D1-2803BA127EB9}"/>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57096F06-8282-470E-8F2C-46F4A2404D3C}"/>
    <cellStyle name="20% - Accent3 6 2 3" xfId="11717" xr:uid="{C9D43EC2-9C93-4D4C-8408-C0DEA9BE42F8}"/>
    <cellStyle name="20% - Accent3 6 3" xfId="5348" xr:uid="{00000000-0005-0000-0000-0000D5010000}"/>
    <cellStyle name="20% - Accent3 6 3 2" xfId="13790" xr:uid="{D3ECD8C6-4A64-4744-B2CD-3574449E5580}"/>
    <cellStyle name="20% - Accent3 6 4" xfId="9572" xr:uid="{6EFFEF66-0A5F-4843-A825-1E144196304C}"/>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E12F521F-C439-437A-B34B-2776B3B152C3}"/>
    <cellStyle name="20% - Accent3 7 2 3" xfId="12130" xr:uid="{2A9670EA-6EC4-4D80-8E81-F84BA1AA48E6}"/>
    <cellStyle name="20% - Accent3 7 3" xfId="5761" xr:uid="{00000000-0005-0000-0000-0000D9010000}"/>
    <cellStyle name="20% - Accent3 7 3 2" xfId="14203" xr:uid="{058F90E0-548A-457A-BABE-9DBA3AB3D424}"/>
    <cellStyle name="20% - Accent3 7 4" xfId="9985" xr:uid="{5D9AD6AF-B19F-4651-AEDE-0530492BF5C6}"/>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F8912AB6-3DAA-42D7-A13E-D39837888F65}"/>
    <cellStyle name="20% - Accent3 8 2 3" xfId="12543" xr:uid="{9B3A99D8-09A1-4E46-9D9E-76F07BCE01B6}"/>
    <cellStyle name="20% - Accent3 8 3" xfId="6174" xr:uid="{00000000-0005-0000-0000-0000DD010000}"/>
    <cellStyle name="20% - Accent3 8 3 2" xfId="14616" xr:uid="{CD2A0A3B-FA7E-431C-970C-6E4E2C53F5D5}"/>
    <cellStyle name="20% - Accent3 8 4" xfId="10398" xr:uid="{E548BCD3-1C85-4679-877C-BBFD58BCEAC1}"/>
    <cellStyle name="20% - Accent3 9" xfId="2280" xr:uid="{00000000-0005-0000-0000-0000DE010000}"/>
    <cellStyle name="20% - Accent3 9 2" xfId="6587" xr:uid="{00000000-0005-0000-0000-0000DF010000}"/>
    <cellStyle name="20% - Accent3 9 2 2" xfId="15029" xr:uid="{81486A62-1853-45F0-BC82-D8D344019730}"/>
    <cellStyle name="20% - Accent3 9 3" xfId="10811" xr:uid="{2D97DB71-59E8-43E4-A207-65FFD975C8E4}"/>
    <cellStyle name="20% - Accent4" xfId="25" builtinId="42" customBuiltin="1"/>
    <cellStyle name="20% - Accent4 10" xfId="4529" xr:uid="{00000000-0005-0000-0000-0000E1010000}"/>
    <cellStyle name="20% - Accent4 10 2" xfId="12971" xr:uid="{0FCE047A-5910-4A80-B761-2EC1FFAEF0FC}"/>
    <cellStyle name="20% - Accent4 11" xfId="8753" xr:uid="{8F9DB404-F120-46F2-A62A-F428549079B1}"/>
    <cellStyle name="20% - Accent4 2" xfId="26" xr:uid="{00000000-0005-0000-0000-0000E2010000}"/>
    <cellStyle name="20% - Accent4 2 10" xfId="8754" xr:uid="{22978D83-F58E-4D85-B2BC-F8A2CBF5ED06}"/>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1B861CE4-121F-4A5C-A8C5-344A74469C41}"/>
    <cellStyle name="20% - Accent4 2 2 2 2 2 3" xfId="11315" xr:uid="{39FBBA93-0E65-4B00-B9D9-EB5A15FA4617}"/>
    <cellStyle name="20% - Accent4 2 2 2 2 3" xfId="4946" xr:uid="{00000000-0005-0000-0000-0000E8010000}"/>
    <cellStyle name="20% - Accent4 2 2 2 2 3 2" xfId="13388" xr:uid="{23004245-25FF-42DA-8B8F-DAD27DCFD7D7}"/>
    <cellStyle name="20% - Accent4 2 2 2 2 4" xfId="9170" xr:uid="{E3E50DE9-F8C1-49AF-8ACC-40BBA307839C}"/>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AE1D1E38-EF9D-4BAE-9E6C-2AF11C50FFDD}"/>
    <cellStyle name="20% - Accent4 2 2 2 3 2 3" xfId="11728" xr:uid="{3136F459-978A-406E-9487-4BDF49A1CD68}"/>
    <cellStyle name="20% - Accent4 2 2 2 3 3" xfId="5359" xr:uid="{00000000-0005-0000-0000-0000EC010000}"/>
    <cellStyle name="20% - Accent4 2 2 2 3 3 2" xfId="13801" xr:uid="{1F15E91B-4197-499A-B261-CCF98886C005}"/>
    <cellStyle name="20% - Accent4 2 2 2 3 4" xfId="9583" xr:uid="{EABC42DE-E416-4587-9965-EE9AE4738641}"/>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E6675E2C-66F7-47F7-9414-8FF472A6C6C5}"/>
    <cellStyle name="20% - Accent4 2 2 2 4 2 3" xfId="12141" xr:uid="{C705EE4F-D7B2-49FB-B371-48F774E0AACA}"/>
    <cellStyle name="20% - Accent4 2 2 2 4 3" xfId="5772" xr:uid="{00000000-0005-0000-0000-0000F0010000}"/>
    <cellStyle name="20% - Accent4 2 2 2 4 3 2" xfId="14214" xr:uid="{D2C27AC9-9148-4396-9CC5-D75623AE1A56}"/>
    <cellStyle name="20% - Accent4 2 2 2 4 4" xfId="9996" xr:uid="{230F2492-0D68-4605-8BDC-37006978660D}"/>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D22DADE5-369E-4072-8FCA-92757564F992}"/>
    <cellStyle name="20% - Accent4 2 2 2 5 2 3" xfId="12554" xr:uid="{8B4C0C6D-A8B4-46AF-9625-2CEE8234968A}"/>
    <cellStyle name="20% - Accent4 2 2 2 5 3" xfId="6185" xr:uid="{00000000-0005-0000-0000-0000F4010000}"/>
    <cellStyle name="20% - Accent4 2 2 2 5 3 2" xfId="14627" xr:uid="{069D8429-E977-4F7D-9962-5BBCA02ED4A5}"/>
    <cellStyle name="20% - Accent4 2 2 2 5 4" xfId="10409" xr:uid="{F7E8E18D-E8F6-41E2-BD20-EBCB57DD0CD4}"/>
    <cellStyle name="20% - Accent4 2 2 2 6" xfId="2291" xr:uid="{00000000-0005-0000-0000-0000F5010000}"/>
    <cellStyle name="20% - Accent4 2 2 2 6 2" xfId="6598" xr:uid="{00000000-0005-0000-0000-0000F6010000}"/>
    <cellStyle name="20% - Accent4 2 2 2 6 2 2" xfId="15040" xr:uid="{9E90C180-5F83-470C-9996-0CC89AD4612E}"/>
    <cellStyle name="20% - Accent4 2 2 2 6 3" xfId="10822" xr:uid="{0C081D5F-E43D-4506-97D5-8929413C2F37}"/>
    <cellStyle name="20% - Accent4 2 2 2 7" xfId="4532" xr:uid="{00000000-0005-0000-0000-0000F7010000}"/>
    <cellStyle name="20% - Accent4 2 2 2 7 2" xfId="12974" xr:uid="{0401AA41-2824-40B8-940A-F1ABF2DF82AF}"/>
    <cellStyle name="20% - Accent4 2 2 2 8" xfId="8756" xr:uid="{55029F02-C1F2-430D-A930-C7502F3304FD}"/>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CCED34D9-BEAD-4BFF-AA5C-A19A79C836A6}"/>
    <cellStyle name="20% - Accent4 2 2 3 2 3" xfId="11314" xr:uid="{10126072-7D3B-4595-B37E-DABC50DC4DA6}"/>
    <cellStyle name="20% - Accent4 2 2 3 3" xfId="4945" xr:uid="{00000000-0005-0000-0000-0000FB010000}"/>
    <cellStyle name="20% - Accent4 2 2 3 3 2" xfId="13387" xr:uid="{B9D06375-FCDA-47E8-84FD-F80E559959E5}"/>
    <cellStyle name="20% - Accent4 2 2 3 4" xfId="9169" xr:uid="{AA45C24B-2A16-4E1C-A20B-2F86F27D418F}"/>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A77839AD-64E1-42C2-92D5-64476472BA78}"/>
    <cellStyle name="20% - Accent4 2 2 4 2 3" xfId="11727" xr:uid="{62406FB3-95DF-4975-B902-048B724B1749}"/>
    <cellStyle name="20% - Accent4 2 2 4 3" xfId="5358" xr:uid="{00000000-0005-0000-0000-0000FF010000}"/>
    <cellStyle name="20% - Accent4 2 2 4 3 2" xfId="13800" xr:uid="{E38E30F2-D1E8-4A09-A031-6C2AC20FCAC9}"/>
    <cellStyle name="20% - Accent4 2 2 4 4" xfId="9582" xr:uid="{9C39FCC5-F823-46AC-BF6B-88C1EA7DB18B}"/>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6E706E50-7959-4987-B894-B762B4E1049A}"/>
    <cellStyle name="20% - Accent4 2 2 5 2 3" xfId="12140" xr:uid="{414C1261-2C78-47D3-82EC-FDA5B81F921B}"/>
    <cellStyle name="20% - Accent4 2 2 5 3" xfId="5771" xr:uid="{00000000-0005-0000-0000-000003020000}"/>
    <cellStyle name="20% - Accent4 2 2 5 3 2" xfId="14213" xr:uid="{5FB91FF2-500E-4DBB-AD0C-701F726FCA7D}"/>
    <cellStyle name="20% - Accent4 2 2 5 4" xfId="9995" xr:uid="{F515BF51-6BB5-4D70-B386-87DA2CC5FBF6}"/>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ECC43AD3-45BE-450F-B119-D6FF0BA1ADF0}"/>
    <cellStyle name="20% - Accent4 2 2 6 2 3" xfId="12553" xr:uid="{3290CBA8-2642-4EC9-839E-660AF71C4AB1}"/>
    <cellStyle name="20% - Accent4 2 2 6 3" xfId="6184" xr:uid="{00000000-0005-0000-0000-000007020000}"/>
    <cellStyle name="20% - Accent4 2 2 6 3 2" xfId="14626" xr:uid="{6EF2D140-AA39-4D60-B030-F8C1EDB67286}"/>
    <cellStyle name="20% - Accent4 2 2 6 4" xfId="10408" xr:uid="{36782DE0-9D38-424E-A100-4C90C9BA043E}"/>
    <cellStyle name="20% - Accent4 2 2 7" xfId="2290" xr:uid="{00000000-0005-0000-0000-000008020000}"/>
    <cellStyle name="20% - Accent4 2 2 7 2" xfId="6597" xr:uid="{00000000-0005-0000-0000-000009020000}"/>
    <cellStyle name="20% - Accent4 2 2 7 2 2" xfId="15039" xr:uid="{8A6FBAF4-C1CA-4DC5-8F9B-D4CD4FAE6019}"/>
    <cellStyle name="20% - Accent4 2 2 7 3" xfId="10821" xr:uid="{780A9E02-9327-4E7D-AC48-5390F2D40330}"/>
    <cellStyle name="20% - Accent4 2 2 8" xfId="4531" xr:uid="{00000000-0005-0000-0000-00000A020000}"/>
    <cellStyle name="20% - Accent4 2 2 8 2" xfId="12973" xr:uid="{71C7E146-A85D-4A3D-B13B-34C820E21417}"/>
    <cellStyle name="20% - Accent4 2 2 9" xfId="8755" xr:uid="{2A4F20BB-A3CB-47AA-ABA7-053407C7A8F6}"/>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E9EE44B2-320B-4A7A-A80E-C8B49E4F249F}"/>
    <cellStyle name="20% - Accent4 2 3 2 2 3" xfId="11316" xr:uid="{70ECA492-A706-43DD-AB4A-FAB847478B7D}"/>
    <cellStyle name="20% - Accent4 2 3 2 3" xfId="4947" xr:uid="{00000000-0005-0000-0000-00000F020000}"/>
    <cellStyle name="20% - Accent4 2 3 2 3 2" xfId="13389" xr:uid="{4E9910BA-5778-4F12-BD50-5140E69BAB11}"/>
    <cellStyle name="20% - Accent4 2 3 2 4" xfId="9171" xr:uid="{4CD0A76C-0D4E-44E7-907A-93BFAE442CAC}"/>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5FFD5480-C4C0-4336-AFEE-43440CE09AC6}"/>
    <cellStyle name="20% - Accent4 2 3 3 2 3" xfId="11729" xr:uid="{0B71DFF8-C8A4-4B9F-A48C-9F84A17A9BD8}"/>
    <cellStyle name="20% - Accent4 2 3 3 3" xfId="5360" xr:uid="{00000000-0005-0000-0000-000013020000}"/>
    <cellStyle name="20% - Accent4 2 3 3 3 2" xfId="13802" xr:uid="{4B54C22D-80E5-472B-8122-A3549327FBD9}"/>
    <cellStyle name="20% - Accent4 2 3 3 4" xfId="9584" xr:uid="{136CE114-3E87-4E3F-BE6F-72423E31691C}"/>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AFFD507A-969A-4DE4-9364-060427EBCC8C}"/>
    <cellStyle name="20% - Accent4 2 3 4 2 3" xfId="12142" xr:uid="{08BEE1E8-882F-4E72-A34D-4397A6096660}"/>
    <cellStyle name="20% - Accent4 2 3 4 3" xfId="5773" xr:uid="{00000000-0005-0000-0000-000017020000}"/>
    <cellStyle name="20% - Accent4 2 3 4 3 2" xfId="14215" xr:uid="{2FCCC64F-BD1A-4335-9852-D6B1396880D1}"/>
    <cellStyle name="20% - Accent4 2 3 4 4" xfId="9997" xr:uid="{EFD8D23C-1E46-4BA1-B8D6-6003139E6013}"/>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16A46114-F9D2-4B76-BEB7-BB76E044D401}"/>
    <cellStyle name="20% - Accent4 2 3 5 2 3" xfId="12555" xr:uid="{1FA63F41-5CB2-42C7-BFDF-1BF9469F80AE}"/>
    <cellStyle name="20% - Accent4 2 3 5 3" xfId="6186" xr:uid="{00000000-0005-0000-0000-00001B020000}"/>
    <cellStyle name="20% - Accent4 2 3 5 3 2" xfId="14628" xr:uid="{EDB336F1-0061-4D20-AE85-5CB1EDB9281B}"/>
    <cellStyle name="20% - Accent4 2 3 5 4" xfId="10410" xr:uid="{C096F811-9D6F-4145-A77F-47AC956B3AC0}"/>
    <cellStyle name="20% - Accent4 2 3 6" xfId="2292" xr:uid="{00000000-0005-0000-0000-00001C020000}"/>
    <cellStyle name="20% - Accent4 2 3 6 2" xfId="6599" xr:uid="{00000000-0005-0000-0000-00001D020000}"/>
    <cellStyle name="20% - Accent4 2 3 6 2 2" xfId="15041" xr:uid="{E2FE04F4-05DC-49EE-997E-278D9D7B4CFE}"/>
    <cellStyle name="20% - Accent4 2 3 6 3" xfId="10823" xr:uid="{B46C9369-4833-4929-B214-A919EB22E9DB}"/>
    <cellStyle name="20% - Accent4 2 3 7" xfId="4533" xr:uid="{00000000-0005-0000-0000-00001E020000}"/>
    <cellStyle name="20% - Accent4 2 3 7 2" xfId="12975" xr:uid="{47A56539-7C92-4EC3-AA12-1EA1D5A36BEA}"/>
    <cellStyle name="20% - Accent4 2 3 8" xfId="8757" xr:uid="{64F56DAE-481F-46C5-966B-A1EF90DE175F}"/>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BE6DBDA1-B9D8-4BCF-87C5-C85982E261BE}"/>
    <cellStyle name="20% - Accent4 2 4 2 3" xfId="11313" xr:uid="{F4139C0E-AA53-41C6-BBB9-60188FE8E25C}"/>
    <cellStyle name="20% - Accent4 2 4 3" xfId="4944" xr:uid="{00000000-0005-0000-0000-000022020000}"/>
    <cellStyle name="20% - Accent4 2 4 3 2" xfId="13386" xr:uid="{0A86E46F-D8D8-4D09-B92A-733F4BCA1CBB}"/>
    <cellStyle name="20% - Accent4 2 4 4" xfId="9168" xr:uid="{1447E155-436B-4C6A-9E46-9866A3666A7A}"/>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8FE7D4E2-B548-4CFB-A7D0-46BD7006EA02}"/>
    <cellStyle name="20% - Accent4 2 5 2 3" xfId="11726" xr:uid="{19DDBDAA-8CE2-416B-AD89-95B39EB0A895}"/>
    <cellStyle name="20% - Accent4 2 5 3" xfId="5357" xr:uid="{00000000-0005-0000-0000-000026020000}"/>
    <cellStyle name="20% - Accent4 2 5 3 2" xfId="13799" xr:uid="{756EC7F2-89E6-41A6-940E-3E8F3F59D9AA}"/>
    <cellStyle name="20% - Accent4 2 5 4" xfId="9581" xr:uid="{D4CF3B3F-C4CD-4757-85FF-BADE0F6FE2B8}"/>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1D6C8952-33C6-4CB7-858F-80A08074A50C}"/>
    <cellStyle name="20% - Accent4 2 6 2 3" xfId="12139" xr:uid="{B1EAA5E7-D2E8-42CF-A071-E505170A44DF}"/>
    <cellStyle name="20% - Accent4 2 6 3" xfId="5770" xr:uid="{00000000-0005-0000-0000-00002A020000}"/>
    <cellStyle name="20% - Accent4 2 6 3 2" xfId="14212" xr:uid="{49004226-7DAF-4869-AA17-591BFE57DAC6}"/>
    <cellStyle name="20% - Accent4 2 6 4" xfId="9994" xr:uid="{72D48776-0A9F-4504-A8F3-A3C62D5320B8}"/>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92ED8D5D-BCB5-4D0F-9756-D689C95942C9}"/>
    <cellStyle name="20% - Accent4 2 7 2 3" xfId="12552" xr:uid="{99082B0E-4F3D-4D12-9B85-F6AFAFACD40B}"/>
    <cellStyle name="20% - Accent4 2 7 3" xfId="6183" xr:uid="{00000000-0005-0000-0000-00002E020000}"/>
    <cellStyle name="20% - Accent4 2 7 3 2" xfId="14625" xr:uid="{53ACB3F1-E687-4253-8C17-C7D8A980E9D8}"/>
    <cellStyle name="20% - Accent4 2 7 4" xfId="10407" xr:uid="{E4E8F67C-179C-4445-A58F-420210B72C66}"/>
    <cellStyle name="20% - Accent4 2 8" xfId="2289" xr:uid="{00000000-0005-0000-0000-00002F020000}"/>
    <cellStyle name="20% - Accent4 2 8 2" xfId="6596" xr:uid="{00000000-0005-0000-0000-000030020000}"/>
    <cellStyle name="20% - Accent4 2 8 2 2" xfId="15038" xr:uid="{4B4B5839-A6AB-42CD-9C1A-CDA93F296EA8}"/>
    <cellStyle name="20% - Accent4 2 8 3" xfId="10820" xr:uid="{7CFB0E3B-E911-4E3C-BFCC-1607AAFC8739}"/>
    <cellStyle name="20% - Accent4 2 9" xfId="4530" xr:uid="{00000000-0005-0000-0000-000031020000}"/>
    <cellStyle name="20% - Accent4 2 9 2" xfId="12972" xr:uid="{90FAA69B-0E60-4B3D-B006-3C5B8395E9B4}"/>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ECB0EBB4-5A11-42CC-BFAF-FF422248785E}"/>
    <cellStyle name="20% - Accent4 3 2 2 2 3" xfId="11318" xr:uid="{A7257D73-3D7E-4AA4-80B2-889D52C53F39}"/>
    <cellStyle name="20% - Accent4 3 2 2 3" xfId="4949" xr:uid="{00000000-0005-0000-0000-000037020000}"/>
    <cellStyle name="20% - Accent4 3 2 2 3 2" xfId="13391" xr:uid="{2FF4EF12-0AC0-49D1-8AFC-679CF0D1BAAA}"/>
    <cellStyle name="20% - Accent4 3 2 2 4" xfId="9173" xr:uid="{C8702E84-583A-4A49-B951-0CA48E97EA61}"/>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E5601B5C-4F63-4EC7-8BAC-374726A6D4C9}"/>
    <cellStyle name="20% - Accent4 3 2 3 2 3" xfId="11731" xr:uid="{E5E84DC9-8F2C-4154-9AC1-BD720E1FE380}"/>
    <cellStyle name="20% - Accent4 3 2 3 3" xfId="5362" xr:uid="{00000000-0005-0000-0000-00003B020000}"/>
    <cellStyle name="20% - Accent4 3 2 3 3 2" xfId="13804" xr:uid="{7F6AE5D8-1803-4836-A33E-2FC05A3D4B82}"/>
    <cellStyle name="20% - Accent4 3 2 3 4" xfId="9586" xr:uid="{E370D10A-EF52-4A74-AAB1-6796507A6B4A}"/>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C5A604AC-62BE-4CC4-914F-D261D593C913}"/>
    <cellStyle name="20% - Accent4 3 2 4 2 3" xfId="12144" xr:uid="{F9D0CB81-7E04-435F-9F1F-7CBCD96EF285}"/>
    <cellStyle name="20% - Accent4 3 2 4 3" xfId="5775" xr:uid="{00000000-0005-0000-0000-00003F020000}"/>
    <cellStyle name="20% - Accent4 3 2 4 3 2" xfId="14217" xr:uid="{53E4C5DB-9328-4E3E-9B86-DDCB4E3E6349}"/>
    <cellStyle name="20% - Accent4 3 2 4 4" xfId="9999" xr:uid="{1AB1345E-FF58-410D-9046-02FE80E253A5}"/>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2A13C2A9-BF07-4D27-9269-62121B621783}"/>
    <cellStyle name="20% - Accent4 3 2 5 2 3" xfId="12557" xr:uid="{61C45428-283F-47EE-B0A7-6A96646FF369}"/>
    <cellStyle name="20% - Accent4 3 2 5 3" xfId="6188" xr:uid="{00000000-0005-0000-0000-000043020000}"/>
    <cellStyle name="20% - Accent4 3 2 5 3 2" xfId="14630" xr:uid="{C4340285-A2F0-42E2-B689-2F9B7A84C617}"/>
    <cellStyle name="20% - Accent4 3 2 5 4" xfId="10412" xr:uid="{A8C106E5-90B4-4D09-B2C2-8E833A56C724}"/>
    <cellStyle name="20% - Accent4 3 2 6" xfId="2294" xr:uid="{00000000-0005-0000-0000-000044020000}"/>
    <cellStyle name="20% - Accent4 3 2 6 2" xfId="6601" xr:uid="{00000000-0005-0000-0000-000045020000}"/>
    <cellStyle name="20% - Accent4 3 2 6 2 2" xfId="15043" xr:uid="{FF68398A-1793-4B88-816E-F014170EA48A}"/>
    <cellStyle name="20% - Accent4 3 2 6 3" xfId="10825" xr:uid="{84ADAA71-DBD8-4070-ACB9-71A2E1998354}"/>
    <cellStyle name="20% - Accent4 3 2 7" xfId="4535" xr:uid="{00000000-0005-0000-0000-000046020000}"/>
    <cellStyle name="20% - Accent4 3 2 7 2" xfId="12977" xr:uid="{A2C69F65-C3A2-48B3-925A-ADAC71583DD0}"/>
    <cellStyle name="20% - Accent4 3 2 8" xfId="8759" xr:uid="{B57471AD-37AF-403D-931B-2A4B4F93E906}"/>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60BF978C-06D3-428A-8FAB-1739C0051956}"/>
    <cellStyle name="20% - Accent4 3 3 2 3" xfId="11317" xr:uid="{05EA6E68-714F-4526-9E54-6A2AEE9DB8C0}"/>
    <cellStyle name="20% - Accent4 3 3 3" xfId="4948" xr:uid="{00000000-0005-0000-0000-00004A020000}"/>
    <cellStyle name="20% - Accent4 3 3 3 2" xfId="13390" xr:uid="{10978ABA-5E0A-4C50-B89E-EE753E27EF53}"/>
    <cellStyle name="20% - Accent4 3 3 4" xfId="9172" xr:uid="{33E67844-3927-41EC-B6A0-E0CA343BCA62}"/>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2C5872AC-DF07-4EC1-AB06-7F0D235EEEE4}"/>
    <cellStyle name="20% - Accent4 3 4 2 3" xfId="11730" xr:uid="{ED7608C4-C1AB-4805-8E23-ECA8F7E7EC2C}"/>
    <cellStyle name="20% - Accent4 3 4 3" xfId="5361" xr:uid="{00000000-0005-0000-0000-00004E020000}"/>
    <cellStyle name="20% - Accent4 3 4 3 2" xfId="13803" xr:uid="{7D1C6C86-BFC4-4F48-9C28-A2C6F89FDBDB}"/>
    <cellStyle name="20% - Accent4 3 4 4" xfId="9585" xr:uid="{21973DBC-BCF7-418A-AD3E-3FE33ECA723A}"/>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9E41EBA7-225C-4C09-91FE-CD065FBD9C61}"/>
    <cellStyle name="20% - Accent4 3 5 2 3" xfId="12143" xr:uid="{4D0FBDBA-140D-4CCD-B070-E8E2D866B99F}"/>
    <cellStyle name="20% - Accent4 3 5 3" xfId="5774" xr:uid="{00000000-0005-0000-0000-000052020000}"/>
    <cellStyle name="20% - Accent4 3 5 3 2" xfId="14216" xr:uid="{43027B20-521F-4258-BC46-C07C301EF800}"/>
    <cellStyle name="20% - Accent4 3 5 4" xfId="9998" xr:uid="{7A5FA27B-9E27-419B-9337-C386955446FE}"/>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E0B91E8A-717F-41BD-B271-72E830E088EA}"/>
    <cellStyle name="20% - Accent4 3 6 2 3" xfId="12556" xr:uid="{675D424A-31BA-4027-BB0D-F6BD96B85F60}"/>
    <cellStyle name="20% - Accent4 3 6 3" xfId="6187" xr:uid="{00000000-0005-0000-0000-000056020000}"/>
    <cellStyle name="20% - Accent4 3 6 3 2" xfId="14629" xr:uid="{9F3341B3-EF57-4B38-B82F-713120DD6326}"/>
    <cellStyle name="20% - Accent4 3 6 4" xfId="10411" xr:uid="{A557C5F2-CDA6-4DF1-A2B8-7CE6F4FE290A}"/>
    <cellStyle name="20% - Accent4 3 7" xfId="2293" xr:uid="{00000000-0005-0000-0000-000057020000}"/>
    <cellStyle name="20% - Accent4 3 7 2" xfId="6600" xr:uid="{00000000-0005-0000-0000-000058020000}"/>
    <cellStyle name="20% - Accent4 3 7 2 2" xfId="15042" xr:uid="{B0F78D54-453E-44D1-A671-71D74AD50679}"/>
    <cellStyle name="20% - Accent4 3 7 3" xfId="10824" xr:uid="{FA4E69E8-DD8E-4DB1-B24F-741F44C8B66E}"/>
    <cellStyle name="20% - Accent4 3 8" xfId="4534" xr:uid="{00000000-0005-0000-0000-000059020000}"/>
    <cellStyle name="20% - Accent4 3 8 2" xfId="12976" xr:uid="{95805796-5837-4030-B7FA-6C064DC1515B}"/>
    <cellStyle name="20% - Accent4 3 9" xfId="8758" xr:uid="{7E239E9C-273E-4A14-A267-D751F52CF2EE}"/>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961032E3-7667-4DAF-9E79-07B5D4BAD890}"/>
    <cellStyle name="20% - Accent4 4 2 2 3" xfId="11319" xr:uid="{11E33AAA-AB2A-4E17-918F-8C69553A67FD}"/>
    <cellStyle name="20% - Accent4 4 2 3" xfId="4950" xr:uid="{00000000-0005-0000-0000-00005E020000}"/>
    <cellStyle name="20% - Accent4 4 2 3 2" xfId="13392" xr:uid="{C0149801-3670-4365-9094-2B9A5A201E9B}"/>
    <cellStyle name="20% - Accent4 4 2 4" xfId="9174" xr:uid="{8F5198D1-0E0C-4A79-80BC-1739B11CA2A4}"/>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63F6F070-28F0-4EBC-94A5-AD91129DC2F9}"/>
    <cellStyle name="20% - Accent4 4 3 2 3" xfId="11732" xr:uid="{F276F02F-A20D-4AC2-9E91-15F5C68563E1}"/>
    <cellStyle name="20% - Accent4 4 3 3" xfId="5363" xr:uid="{00000000-0005-0000-0000-000062020000}"/>
    <cellStyle name="20% - Accent4 4 3 3 2" xfId="13805" xr:uid="{40EC70E0-8E93-45C0-AB67-69E107A14BFA}"/>
    <cellStyle name="20% - Accent4 4 3 4" xfId="9587" xr:uid="{86F2721F-0AFB-478B-ACF1-C281A0941436}"/>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580D697A-88B8-4125-95CB-B358F96F20E3}"/>
    <cellStyle name="20% - Accent4 4 4 2 3" xfId="12145" xr:uid="{A9CED09A-E81B-4EED-B28D-4F98EA78075F}"/>
    <cellStyle name="20% - Accent4 4 4 3" xfId="5776" xr:uid="{00000000-0005-0000-0000-000066020000}"/>
    <cellStyle name="20% - Accent4 4 4 3 2" xfId="14218" xr:uid="{C081F071-6AB5-42AB-889C-6658FD20FF51}"/>
    <cellStyle name="20% - Accent4 4 4 4" xfId="10000" xr:uid="{907FECD3-139D-4579-B0F4-8DA6F9CBC77F}"/>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25A58569-7346-4D44-B99D-16FA8E535472}"/>
    <cellStyle name="20% - Accent4 4 5 2 3" xfId="12558" xr:uid="{3DD0196D-D245-4558-9172-3CEDC22334A8}"/>
    <cellStyle name="20% - Accent4 4 5 3" xfId="6189" xr:uid="{00000000-0005-0000-0000-00006A020000}"/>
    <cellStyle name="20% - Accent4 4 5 3 2" xfId="14631" xr:uid="{200D2CCA-B9E4-4FD1-947B-166F2F546025}"/>
    <cellStyle name="20% - Accent4 4 5 4" xfId="10413" xr:uid="{D354A08A-037C-465E-9DD5-55668963D96D}"/>
    <cellStyle name="20% - Accent4 4 6" xfId="2295" xr:uid="{00000000-0005-0000-0000-00006B020000}"/>
    <cellStyle name="20% - Accent4 4 6 2" xfId="6602" xr:uid="{00000000-0005-0000-0000-00006C020000}"/>
    <cellStyle name="20% - Accent4 4 6 2 2" xfId="15044" xr:uid="{8E81EE60-FC8E-4B5A-ACFB-258F46032E2C}"/>
    <cellStyle name="20% - Accent4 4 6 3" xfId="10826" xr:uid="{D2FCB92B-8984-4A2B-9CC3-D18D1EA6FA2E}"/>
    <cellStyle name="20% - Accent4 4 7" xfId="4536" xr:uid="{00000000-0005-0000-0000-00006D020000}"/>
    <cellStyle name="20% - Accent4 4 7 2" xfId="12978" xr:uid="{10F955AA-9570-4427-8ACF-8944C3D9DF9C}"/>
    <cellStyle name="20% - Accent4 4 8" xfId="8760" xr:uid="{0F9E837D-3241-40A2-AFD8-FBA6E803B9FB}"/>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30A2B5C2-AB53-4326-A1DE-C2F128F69A2A}"/>
    <cellStyle name="20% - Accent4 5 2 3" xfId="11312" xr:uid="{D6888E14-A65E-4DAF-9C0B-D7DD3E4D520E}"/>
    <cellStyle name="20% - Accent4 5 3" xfId="4943" xr:uid="{00000000-0005-0000-0000-000071020000}"/>
    <cellStyle name="20% - Accent4 5 3 2" xfId="13385" xr:uid="{EB63E26B-EE05-4F8B-A1D6-7835FE4D6077}"/>
    <cellStyle name="20% - Accent4 5 4" xfId="9167" xr:uid="{F48E0331-D7E1-4B87-B544-0EDFE34E0A67}"/>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3CD6D628-1179-43A1-928B-E95D3E63B947}"/>
    <cellStyle name="20% - Accent4 6 2 3" xfId="11725" xr:uid="{5B105025-15C6-4BE6-B1C1-8F392866D54B}"/>
    <cellStyle name="20% - Accent4 6 3" xfId="5356" xr:uid="{00000000-0005-0000-0000-000075020000}"/>
    <cellStyle name="20% - Accent4 6 3 2" xfId="13798" xr:uid="{E52A4140-D4F7-4091-A358-CEA2504C1729}"/>
    <cellStyle name="20% - Accent4 6 4" xfId="9580" xr:uid="{BCAAE1E2-5228-4241-9609-D320823FAD46}"/>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35221974-9EFA-4B86-B8D0-0E90D7A232FF}"/>
    <cellStyle name="20% - Accent4 7 2 3" xfId="12138" xr:uid="{62C5F282-DC2D-4B2D-880B-9D87D0478291}"/>
    <cellStyle name="20% - Accent4 7 3" xfId="5769" xr:uid="{00000000-0005-0000-0000-000079020000}"/>
    <cellStyle name="20% - Accent4 7 3 2" xfId="14211" xr:uid="{85883D0D-E15D-4CBE-9906-950B5AEFBF77}"/>
    <cellStyle name="20% - Accent4 7 4" xfId="9993" xr:uid="{DF4C174F-604A-4615-A9AD-66419F30B334}"/>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665AABCC-E680-46EE-A4C3-CDFDE66D9DD8}"/>
    <cellStyle name="20% - Accent4 8 2 3" xfId="12551" xr:uid="{3F9F6607-D080-46CC-B9CB-BDB5AFF2082F}"/>
    <cellStyle name="20% - Accent4 8 3" xfId="6182" xr:uid="{00000000-0005-0000-0000-00007D020000}"/>
    <cellStyle name="20% - Accent4 8 3 2" xfId="14624" xr:uid="{1C190233-60C8-4EF9-8FC5-4126508DDFB4}"/>
    <cellStyle name="20% - Accent4 8 4" xfId="10406" xr:uid="{16FBBAE6-7E7E-42CD-88EC-D9D28DDBAE04}"/>
    <cellStyle name="20% - Accent4 9" xfId="2288" xr:uid="{00000000-0005-0000-0000-00007E020000}"/>
    <cellStyle name="20% - Accent4 9 2" xfId="6595" xr:uid="{00000000-0005-0000-0000-00007F020000}"/>
    <cellStyle name="20% - Accent4 9 2 2" xfId="15037" xr:uid="{ED4140A9-4800-4298-A4F7-9D14BD119218}"/>
    <cellStyle name="20% - Accent4 9 3" xfId="10819" xr:uid="{61C47FFE-EA00-44B7-A9E9-20A80FB1D0B5}"/>
    <cellStyle name="20% - Accent5" xfId="33" builtinId="46" customBuiltin="1"/>
    <cellStyle name="20% - Accent5 10" xfId="4537" xr:uid="{00000000-0005-0000-0000-000081020000}"/>
    <cellStyle name="20% - Accent5 10 2" xfId="12979" xr:uid="{634CA3E4-7B37-4A1D-8B1A-AAC61182A259}"/>
    <cellStyle name="20% - Accent5 11" xfId="8761" xr:uid="{7742D2CB-74B0-42B6-BA34-42C7A73E2167}"/>
    <cellStyle name="20% - Accent5 2" xfId="34" xr:uid="{00000000-0005-0000-0000-000082020000}"/>
    <cellStyle name="20% - Accent5 2 10" xfId="8762" xr:uid="{A5FBCC34-9268-4637-9812-8DA204F3B80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ABD843BB-276D-4258-B224-A1BB4DE8544A}"/>
    <cellStyle name="20% - Accent5 2 2 2 2 2 3" xfId="11323" xr:uid="{6A6709C5-4B36-4559-A171-AFDC0AC45E3A}"/>
    <cellStyle name="20% - Accent5 2 2 2 2 3" xfId="4954" xr:uid="{00000000-0005-0000-0000-000088020000}"/>
    <cellStyle name="20% - Accent5 2 2 2 2 3 2" xfId="13396" xr:uid="{BBE68FD0-388D-4151-B7C1-2491F73A2CFB}"/>
    <cellStyle name="20% - Accent5 2 2 2 2 4" xfId="9178" xr:uid="{EDF2C282-9332-4893-A05F-45CA2D351A1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CE8A1BDF-0F0C-4FAE-9A63-38F6E1A582B9}"/>
    <cellStyle name="20% - Accent5 2 2 2 3 2 3" xfId="11736" xr:uid="{22A1247D-0619-44BC-AA1D-F71ED3AFF6B1}"/>
    <cellStyle name="20% - Accent5 2 2 2 3 3" xfId="5367" xr:uid="{00000000-0005-0000-0000-00008C020000}"/>
    <cellStyle name="20% - Accent5 2 2 2 3 3 2" xfId="13809" xr:uid="{71B526C6-E6BA-4592-BBBB-50E0D2AE583C}"/>
    <cellStyle name="20% - Accent5 2 2 2 3 4" xfId="9591" xr:uid="{A9EE4289-A83A-4208-B321-0B8A946FBE41}"/>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F013731C-1904-45A6-BE83-68DB1BBCFE3E}"/>
    <cellStyle name="20% - Accent5 2 2 2 4 2 3" xfId="12149" xr:uid="{372AADFB-3A56-49A2-9C2C-F9F0946E3584}"/>
    <cellStyle name="20% - Accent5 2 2 2 4 3" xfId="5780" xr:uid="{00000000-0005-0000-0000-000090020000}"/>
    <cellStyle name="20% - Accent5 2 2 2 4 3 2" xfId="14222" xr:uid="{80DD5ED0-8540-4563-B58E-7102457573E7}"/>
    <cellStyle name="20% - Accent5 2 2 2 4 4" xfId="10004" xr:uid="{BA7305BD-DCF1-4923-B58A-F91D5C945D9C}"/>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67EB0A67-FB88-44AE-97D6-BD716D57EF53}"/>
    <cellStyle name="20% - Accent5 2 2 2 5 2 3" xfId="12562" xr:uid="{19AE0B65-AF5F-4DF1-B03D-B53E6EB0481F}"/>
    <cellStyle name="20% - Accent5 2 2 2 5 3" xfId="6193" xr:uid="{00000000-0005-0000-0000-000094020000}"/>
    <cellStyle name="20% - Accent5 2 2 2 5 3 2" xfId="14635" xr:uid="{D6E92FD2-5966-448B-AA8B-BDC51943D3CD}"/>
    <cellStyle name="20% - Accent5 2 2 2 5 4" xfId="10417" xr:uid="{03320C6F-54A2-41D5-B0E9-017A89513D5D}"/>
    <cellStyle name="20% - Accent5 2 2 2 6" xfId="2299" xr:uid="{00000000-0005-0000-0000-000095020000}"/>
    <cellStyle name="20% - Accent5 2 2 2 6 2" xfId="6606" xr:uid="{00000000-0005-0000-0000-000096020000}"/>
    <cellStyle name="20% - Accent5 2 2 2 6 2 2" xfId="15048" xr:uid="{3B13D109-DA90-4746-B35B-8636DF181B96}"/>
    <cellStyle name="20% - Accent5 2 2 2 6 3" xfId="10830" xr:uid="{FDF02696-8224-4B2F-98C3-2A699EC6C9DC}"/>
    <cellStyle name="20% - Accent5 2 2 2 7" xfId="4540" xr:uid="{00000000-0005-0000-0000-000097020000}"/>
    <cellStyle name="20% - Accent5 2 2 2 7 2" xfId="12982" xr:uid="{A4AC14F8-EE86-403F-9EA1-C1D6E166A4F0}"/>
    <cellStyle name="20% - Accent5 2 2 2 8" xfId="8764" xr:uid="{3FA5562B-264F-4446-B0DF-2C652ECA871C}"/>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C998346B-BB19-4C3E-B96C-08A69B2E1264}"/>
    <cellStyle name="20% - Accent5 2 2 3 2 3" xfId="11322" xr:uid="{75D759B2-83AE-4A19-9629-C0A4C649FBFC}"/>
    <cellStyle name="20% - Accent5 2 2 3 3" xfId="4953" xr:uid="{00000000-0005-0000-0000-00009B020000}"/>
    <cellStyle name="20% - Accent5 2 2 3 3 2" xfId="13395" xr:uid="{1E9A1FB5-6864-42E4-ACC5-089D365A9291}"/>
    <cellStyle name="20% - Accent5 2 2 3 4" xfId="9177" xr:uid="{F37AB153-4311-47DD-B1B3-C1E5C8218635}"/>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2248B7DC-22A6-4C77-9900-D4494A95A05E}"/>
    <cellStyle name="20% - Accent5 2 2 4 2 3" xfId="11735" xr:uid="{272EA098-9F54-4101-BC59-B98E8D355112}"/>
    <cellStyle name="20% - Accent5 2 2 4 3" xfId="5366" xr:uid="{00000000-0005-0000-0000-00009F020000}"/>
    <cellStyle name="20% - Accent5 2 2 4 3 2" xfId="13808" xr:uid="{318A97F2-2D31-47A5-82FE-AECC2F950182}"/>
    <cellStyle name="20% - Accent5 2 2 4 4" xfId="9590" xr:uid="{9814910D-9F9B-4E4F-8B53-115530581A87}"/>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2A529FBA-4739-47A6-9B45-90BA3A4BC452}"/>
    <cellStyle name="20% - Accent5 2 2 5 2 3" xfId="12148" xr:uid="{51BB85C7-6815-4323-87F6-E818B6613DEF}"/>
    <cellStyle name="20% - Accent5 2 2 5 3" xfId="5779" xr:uid="{00000000-0005-0000-0000-0000A3020000}"/>
    <cellStyle name="20% - Accent5 2 2 5 3 2" xfId="14221" xr:uid="{01723C2D-52F1-410F-BB95-F80B0E4C3C6A}"/>
    <cellStyle name="20% - Accent5 2 2 5 4" xfId="10003" xr:uid="{D26355AE-4B8F-41E8-B219-D0DA90788281}"/>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BA241628-A1B1-44AC-BFAF-EE4D45DBF5D7}"/>
    <cellStyle name="20% - Accent5 2 2 6 2 3" xfId="12561" xr:uid="{31502CE9-CD37-4C57-8203-0E58B523C1E1}"/>
    <cellStyle name="20% - Accent5 2 2 6 3" xfId="6192" xr:uid="{00000000-0005-0000-0000-0000A7020000}"/>
    <cellStyle name="20% - Accent5 2 2 6 3 2" xfId="14634" xr:uid="{04E9394D-A02B-4492-852F-FCB1BA3B932E}"/>
    <cellStyle name="20% - Accent5 2 2 6 4" xfId="10416" xr:uid="{2864D95D-83DA-4E61-9125-2B323FAD6CDF}"/>
    <cellStyle name="20% - Accent5 2 2 7" xfId="2298" xr:uid="{00000000-0005-0000-0000-0000A8020000}"/>
    <cellStyle name="20% - Accent5 2 2 7 2" xfId="6605" xr:uid="{00000000-0005-0000-0000-0000A9020000}"/>
    <cellStyle name="20% - Accent5 2 2 7 2 2" xfId="15047" xr:uid="{67EE570E-949E-4B43-9C3B-C74DE85706D5}"/>
    <cellStyle name="20% - Accent5 2 2 7 3" xfId="10829" xr:uid="{C3E62AFE-B3E6-4FA9-AFE5-B62F789AC70C}"/>
    <cellStyle name="20% - Accent5 2 2 8" xfId="4539" xr:uid="{00000000-0005-0000-0000-0000AA020000}"/>
    <cellStyle name="20% - Accent5 2 2 8 2" xfId="12981" xr:uid="{356814EE-6251-4DFF-8862-231BDA3E9F05}"/>
    <cellStyle name="20% - Accent5 2 2 9" xfId="8763" xr:uid="{DD55E3E8-75EB-4956-B28C-36D252209339}"/>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231113DA-6700-4902-A34B-360208798077}"/>
    <cellStyle name="20% - Accent5 2 3 2 2 3" xfId="11324" xr:uid="{B550D4F9-F6A5-4FAC-8B7F-756AAD0EE7A7}"/>
    <cellStyle name="20% - Accent5 2 3 2 3" xfId="4955" xr:uid="{00000000-0005-0000-0000-0000AF020000}"/>
    <cellStyle name="20% - Accent5 2 3 2 3 2" xfId="13397" xr:uid="{9C4DE830-5F80-4EE5-91F4-28521D6B6CD3}"/>
    <cellStyle name="20% - Accent5 2 3 2 4" xfId="9179" xr:uid="{0EE47DAB-853D-47CC-93ED-3EED1DB839F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0585282C-8D5B-4083-85ED-E0A0950170C3}"/>
    <cellStyle name="20% - Accent5 2 3 3 2 3" xfId="11737" xr:uid="{AC2E31FB-3194-43CA-837D-71FFBE421387}"/>
    <cellStyle name="20% - Accent5 2 3 3 3" xfId="5368" xr:uid="{00000000-0005-0000-0000-0000B3020000}"/>
    <cellStyle name="20% - Accent5 2 3 3 3 2" xfId="13810" xr:uid="{842A213C-B30D-4F19-AF5B-7A6D2B94AEF7}"/>
    <cellStyle name="20% - Accent5 2 3 3 4" xfId="9592" xr:uid="{72EDBBA5-01E4-4D8C-AC60-414DFC870F80}"/>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3B3B941E-9B66-4C77-A837-2189EB2F69C1}"/>
    <cellStyle name="20% - Accent5 2 3 4 2 3" xfId="12150" xr:uid="{B90C565E-DBEE-471A-86DD-4132751A2613}"/>
    <cellStyle name="20% - Accent5 2 3 4 3" xfId="5781" xr:uid="{00000000-0005-0000-0000-0000B7020000}"/>
    <cellStyle name="20% - Accent5 2 3 4 3 2" xfId="14223" xr:uid="{1CD317C6-50FD-4305-BCDE-9873ABF042E4}"/>
    <cellStyle name="20% - Accent5 2 3 4 4" xfId="10005" xr:uid="{FD2043A4-1748-44F1-98B4-90108BFFAE15}"/>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3D45D606-4F49-4B35-9355-11439D9A3A64}"/>
    <cellStyle name="20% - Accent5 2 3 5 2 3" xfId="12563" xr:uid="{8864041A-C95E-4FC4-BE1F-17E480A3FAD3}"/>
    <cellStyle name="20% - Accent5 2 3 5 3" xfId="6194" xr:uid="{00000000-0005-0000-0000-0000BB020000}"/>
    <cellStyle name="20% - Accent5 2 3 5 3 2" xfId="14636" xr:uid="{BCDFB26E-F914-4E90-9DFD-7AB08237654E}"/>
    <cellStyle name="20% - Accent5 2 3 5 4" xfId="10418" xr:uid="{D79A6A6F-BD26-4397-AA47-94AF176071DC}"/>
    <cellStyle name="20% - Accent5 2 3 6" xfId="2300" xr:uid="{00000000-0005-0000-0000-0000BC020000}"/>
    <cellStyle name="20% - Accent5 2 3 6 2" xfId="6607" xr:uid="{00000000-0005-0000-0000-0000BD020000}"/>
    <cellStyle name="20% - Accent5 2 3 6 2 2" xfId="15049" xr:uid="{82B78749-BDCC-495C-B74B-CCB60F0E4A13}"/>
    <cellStyle name="20% - Accent5 2 3 6 3" xfId="10831" xr:uid="{749C30B9-3871-4713-86EE-E81C029C06D6}"/>
    <cellStyle name="20% - Accent5 2 3 7" xfId="4541" xr:uid="{00000000-0005-0000-0000-0000BE020000}"/>
    <cellStyle name="20% - Accent5 2 3 7 2" xfId="12983" xr:uid="{B6B90C98-411B-41BD-8C30-A8365B77D1F2}"/>
    <cellStyle name="20% - Accent5 2 3 8" xfId="8765" xr:uid="{2EAD294C-BCDF-43A2-9839-7EBA7C398D1A}"/>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6B5CD143-AAEB-4821-94B5-6DF6FC39B474}"/>
    <cellStyle name="20% - Accent5 2 4 2 3" xfId="11321" xr:uid="{F8849059-8A93-4172-AFE2-9DB3A8728E17}"/>
    <cellStyle name="20% - Accent5 2 4 3" xfId="4952" xr:uid="{00000000-0005-0000-0000-0000C2020000}"/>
    <cellStyle name="20% - Accent5 2 4 3 2" xfId="13394" xr:uid="{720D9EC1-8CF1-4430-AEF9-B12CCA50408A}"/>
    <cellStyle name="20% - Accent5 2 4 4" xfId="9176" xr:uid="{9807FBAC-E11F-41C5-9A0B-D16D4E76BD31}"/>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B919A7D8-7C7E-40C6-8FD6-A1DD7DD17A15}"/>
    <cellStyle name="20% - Accent5 2 5 2 3" xfId="11734" xr:uid="{AFA235CF-5C7E-4EE3-A7A5-55CE739F0581}"/>
    <cellStyle name="20% - Accent5 2 5 3" xfId="5365" xr:uid="{00000000-0005-0000-0000-0000C6020000}"/>
    <cellStyle name="20% - Accent5 2 5 3 2" xfId="13807" xr:uid="{585ED573-84D8-4BAF-A04B-B02348528DF6}"/>
    <cellStyle name="20% - Accent5 2 5 4" xfId="9589" xr:uid="{3DF7959E-7B01-4A52-B672-24474DBC20C8}"/>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078B5F9B-AEDC-440E-8056-ABFB4FDE3CB4}"/>
    <cellStyle name="20% - Accent5 2 6 2 3" xfId="12147" xr:uid="{98137482-83A6-4930-983B-2A9A5DCBEEAA}"/>
    <cellStyle name="20% - Accent5 2 6 3" xfId="5778" xr:uid="{00000000-0005-0000-0000-0000CA020000}"/>
    <cellStyle name="20% - Accent5 2 6 3 2" xfId="14220" xr:uid="{126CA265-E483-48BC-AB49-7442A667E902}"/>
    <cellStyle name="20% - Accent5 2 6 4" xfId="10002" xr:uid="{510F2546-413B-45B4-AF23-9A0AA09364DE}"/>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52869A09-6C9E-4F2E-9DD5-6B8120D708AE}"/>
    <cellStyle name="20% - Accent5 2 7 2 3" xfId="12560" xr:uid="{2D25D74A-6ED9-49C3-98EC-BCD68C5714C6}"/>
    <cellStyle name="20% - Accent5 2 7 3" xfId="6191" xr:uid="{00000000-0005-0000-0000-0000CE020000}"/>
    <cellStyle name="20% - Accent5 2 7 3 2" xfId="14633" xr:uid="{F9B11C6D-FF97-4C15-9BDD-797FE93F7DF8}"/>
    <cellStyle name="20% - Accent5 2 7 4" xfId="10415" xr:uid="{4ED46A07-2512-4704-96DA-E382D0A3429B}"/>
    <cellStyle name="20% - Accent5 2 8" xfId="2297" xr:uid="{00000000-0005-0000-0000-0000CF020000}"/>
    <cellStyle name="20% - Accent5 2 8 2" xfId="6604" xr:uid="{00000000-0005-0000-0000-0000D0020000}"/>
    <cellStyle name="20% - Accent5 2 8 2 2" xfId="15046" xr:uid="{748B9FB4-2D14-4EA1-9225-BDD7958CF378}"/>
    <cellStyle name="20% - Accent5 2 8 3" xfId="10828" xr:uid="{B360CBAC-88B6-41B2-B46B-9CE086EA0203}"/>
    <cellStyle name="20% - Accent5 2 9" xfId="4538" xr:uid="{00000000-0005-0000-0000-0000D1020000}"/>
    <cellStyle name="20% - Accent5 2 9 2" xfId="12980" xr:uid="{32DFFD6F-0356-4120-863F-56ED73D0D089}"/>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DAE2A779-C3F5-45A3-BEC6-AA43D476C6BF}"/>
    <cellStyle name="20% - Accent5 3 2 2 2 3" xfId="11326" xr:uid="{51E70E33-58D8-4F70-90C0-70F2AD44A25B}"/>
    <cellStyle name="20% - Accent5 3 2 2 3" xfId="4957" xr:uid="{00000000-0005-0000-0000-0000D7020000}"/>
    <cellStyle name="20% - Accent5 3 2 2 3 2" xfId="13399" xr:uid="{1A99824F-C187-4252-8AF7-2BE4ED1A520A}"/>
    <cellStyle name="20% - Accent5 3 2 2 4" xfId="9181" xr:uid="{9F86BAAA-9695-4134-B20B-1F0C54F93CC3}"/>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CC23EBF2-F8CE-4711-9D5B-7A1234951810}"/>
    <cellStyle name="20% - Accent5 3 2 3 2 3" xfId="11739" xr:uid="{69D42161-0242-4F00-8F6E-6511D578B31B}"/>
    <cellStyle name="20% - Accent5 3 2 3 3" xfId="5370" xr:uid="{00000000-0005-0000-0000-0000DB020000}"/>
    <cellStyle name="20% - Accent5 3 2 3 3 2" xfId="13812" xr:uid="{163744E5-41A2-4D79-B8A3-1331B45443F5}"/>
    <cellStyle name="20% - Accent5 3 2 3 4" xfId="9594" xr:uid="{B8681F42-FE76-4782-B85A-F0D440B95560}"/>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3CA8CF98-8541-42E5-8478-FB6F2929D55E}"/>
    <cellStyle name="20% - Accent5 3 2 4 2 3" xfId="12152" xr:uid="{ACFF6B69-5ACE-4315-95A8-E47463CDD432}"/>
    <cellStyle name="20% - Accent5 3 2 4 3" xfId="5783" xr:uid="{00000000-0005-0000-0000-0000DF020000}"/>
    <cellStyle name="20% - Accent5 3 2 4 3 2" xfId="14225" xr:uid="{E8EC90A3-90E5-475F-AC56-7CD8775ADBB0}"/>
    <cellStyle name="20% - Accent5 3 2 4 4" xfId="10007" xr:uid="{98328469-E49D-4FC5-8320-EB4973570DF2}"/>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AAE91006-D7DA-4CAB-BEF2-38069744BBC0}"/>
    <cellStyle name="20% - Accent5 3 2 5 2 3" xfId="12565" xr:uid="{32A87441-A775-4338-89A9-AE8BC711DEE3}"/>
    <cellStyle name="20% - Accent5 3 2 5 3" xfId="6196" xr:uid="{00000000-0005-0000-0000-0000E3020000}"/>
    <cellStyle name="20% - Accent5 3 2 5 3 2" xfId="14638" xr:uid="{4B1338C3-055C-406C-B6B3-3DD240895852}"/>
    <cellStyle name="20% - Accent5 3 2 5 4" xfId="10420" xr:uid="{FEBE9A8D-537C-40DC-9780-4123ACD67BAF}"/>
    <cellStyle name="20% - Accent5 3 2 6" xfId="2302" xr:uid="{00000000-0005-0000-0000-0000E4020000}"/>
    <cellStyle name="20% - Accent5 3 2 6 2" xfId="6609" xr:uid="{00000000-0005-0000-0000-0000E5020000}"/>
    <cellStyle name="20% - Accent5 3 2 6 2 2" xfId="15051" xr:uid="{5D020FB0-6DB8-469D-8A62-D8211F19F867}"/>
    <cellStyle name="20% - Accent5 3 2 6 3" xfId="10833" xr:uid="{1EF260AA-3FA2-4033-B4C6-DD57B0DEF8ED}"/>
    <cellStyle name="20% - Accent5 3 2 7" xfId="4543" xr:uid="{00000000-0005-0000-0000-0000E6020000}"/>
    <cellStyle name="20% - Accent5 3 2 7 2" xfId="12985" xr:uid="{671A9B1B-4BF7-44CA-8354-EE573EC3E865}"/>
    <cellStyle name="20% - Accent5 3 2 8" xfId="8767" xr:uid="{023EEC98-D0B1-4C60-B427-8CB2A634E8C2}"/>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3BD74A62-0AC3-435A-B6FF-4357C0FDB719}"/>
    <cellStyle name="20% - Accent5 3 3 2 3" xfId="11325" xr:uid="{F1CB2AA8-8A18-4902-AB53-F4281C50C64F}"/>
    <cellStyle name="20% - Accent5 3 3 3" xfId="4956" xr:uid="{00000000-0005-0000-0000-0000EA020000}"/>
    <cellStyle name="20% - Accent5 3 3 3 2" xfId="13398" xr:uid="{B1208CC3-7538-4772-A3B7-EB27439D827C}"/>
    <cellStyle name="20% - Accent5 3 3 4" xfId="9180" xr:uid="{768E6FDA-9B55-465B-9E03-23846C6B3B3D}"/>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657EC4DB-31EC-4C2C-BA30-94F4EF1AD768}"/>
    <cellStyle name="20% - Accent5 3 4 2 3" xfId="11738" xr:uid="{ACEA3080-33D3-4E76-9274-9676C797CA3A}"/>
    <cellStyle name="20% - Accent5 3 4 3" xfId="5369" xr:uid="{00000000-0005-0000-0000-0000EE020000}"/>
    <cellStyle name="20% - Accent5 3 4 3 2" xfId="13811" xr:uid="{55EFD3A7-A4A1-4D77-926A-B7B4B81377A6}"/>
    <cellStyle name="20% - Accent5 3 4 4" xfId="9593" xr:uid="{2340E5E6-DC14-4ACB-BAEC-E11A46BF7F58}"/>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C290300A-6111-484F-9F99-39E4A4D0709B}"/>
    <cellStyle name="20% - Accent5 3 5 2 3" xfId="12151" xr:uid="{FD55A41D-84BC-4AE0-BFA0-D7EAF8378B44}"/>
    <cellStyle name="20% - Accent5 3 5 3" xfId="5782" xr:uid="{00000000-0005-0000-0000-0000F2020000}"/>
    <cellStyle name="20% - Accent5 3 5 3 2" xfId="14224" xr:uid="{4651EA75-B5CB-4C6B-A070-89898DFE01FE}"/>
    <cellStyle name="20% - Accent5 3 5 4" xfId="10006" xr:uid="{50C57887-5953-487E-953C-912DAFBEA3C5}"/>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F08D0E70-1D81-4E68-B814-BB0729C8BCE9}"/>
    <cellStyle name="20% - Accent5 3 6 2 3" xfId="12564" xr:uid="{7036E69A-8953-450B-BED6-E5B6F043850B}"/>
    <cellStyle name="20% - Accent5 3 6 3" xfId="6195" xr:uid="{00000000-0005-0000-0000-0000F6020000}"/>
    <cellStyle name="20% - Accent5 3 6 3 2" xfId="14637" xr:uid="{61A57A46-47B6-47DF-917C-875EB0C2F75D}"/>
    <cellStyle name="20% - Accent5 3 6 4" xfId="10419" xr:uid="{53931E09-567E-4633-8DFE-40BA9AB339CB}"/>
    <cellStyle name="20% - Accent5 3 7" xfId="2301" xr:uid="{00000000-0005-0000-0000-0000F7020000}"/>
    <cellStyle name="20% - Accent5 3 7 2" xfId="6608" xr:uid="{00000000-0005-0000-0000-0000F8020000}"/>
    <cellStyle name="20% - Accent5 3 7 2 2" xfId="15050" xr:uid="{B29CC2D5-89C7-4CD6-A7DE-B5FC2462C69B}"/>
    <cellStyle name="20% - Accent5 3 7 3" xfId="10832" xr:uid="{82F0DFBA-A798-45B0-84B1-E09A07E8A7E0}"/>
    <cellStyle name="20% - Accent5 3 8" xfId="4542" xr:uid="{00000000-0005-0000-0000-0000F9020000}"/>
    <cellStyle name="20% - Accent5 3 8 2" xfId="12984" xr:uid="{54EED3F6-7CE4-4628-9DC0-A346DA983E69}"/>
    <cellStyle name="20% - Accent5 3 9" xfId="8766" xr:uid="{5556B941-151C-40A8-85C2-6EB33782595C}"/>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0A6AC538-CCFD-4C4C-A521-595D3AB2D90B}"/>
    <cellStyle name="20% - Accent5 4 2 2 3" xfId="11327" xr:uid="{06495B94-11B2-49FE-B32A-41359133598E}"/>
    <cellStyle name="20% - Accent5 4 2 3" xfId="4958" xr:uid="{00000000-0005-0000-0000-0000FE020000}"/>
    <cellStyle name="20% - Accent5 4 2 3 2" xfId="13400" xr:uid="{711CC491-F56B-4E75-894F-BFE36A6AD136}"/>
    <cellStyle name="20% - Accent5 4 2 4" xfId="9182" xr:uid="{D5831617-B2C1-4FF9-8535-632A9B0B6A47}"/>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90BFE357-3F84-490A-8D40-406D182226E4}"/>
    <cellStyle name="20% - Accent5 4 3 2 3" xfId="11740" xr:uid="{EE559A76-4C41-408B-B430-23CE456728A7}"/>
    <cellStyle name="20% - Accent5 4 3 3" xfId="5371" xr:uid="{00000000-0005-0000-0000-000002030000}"/>
    <cellStyle name="20% - Accent5 4 3 3 2" xfId="13813" xr:uid="{C71138D3-52FD-489A-BA20-A3EEB49FED12}"/>
    <cellStyle name="20% - Accent5 4 3 4" xfId="9595" xr:uid="{579E39CA-EB06-4421-B5D2-B237D408CAC4}"/>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073A47A9-B029-4188-A7E0-1BF7D2279E6A}"/>
    <cellStyle name="20% - Accent5 4 4 2 3" xfId="12153" xr:uid="{33087722-4452-47DA-B8AA-2763E981F2B0}"/>
    <cellStyle name="20% - Accent5 4 4 3" xfId="5784" xr:uid="{00000000-0005-0000-0000-000006030000}"/>
    <cellStyle name="20% - Accent5 4 4 3 2" xfId="14226" xr:uid="{0BF84287-B565-4540-9005-26F2C2E579BF}"/>
    <cellStyle name="20% - Accent5 4 4 4" xfId="10008" xr:uid="{B700C07D-AB30-4A93-8FBA-26EA72D749C8}"/>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93BB9352-F5C5-49EF-B7F2-B6701CA7EB5D}"/>
    <cellStyle name="20% - Accent5 4 5 2 3" xfId="12566" xr:uid="{251C2F31-CCA2-46B1-9475-17A3733C4191}"/>
    <cellStyle name="20% - Accent5 4 5 3" xfId="6197" xr:uid="{00000000-0005-0000-0000-00000A030000}"/>
    <cellStyle name="20% - Accent5 4 5 3 2" xfId="14639" xr:uid="{F1D6F44A-1837-4304-A5F6-19484F2F67F2}"/>
    <cellStyle name="20% - Accent5 4 5 4" xfId="10421" xr:uid="{A9D2B4FA-1545-4E38-8627-F7F55F625B06}"/>
    <cellStyle name="20% - Accent5 4 6" xfId="2303" xr:uid="{00000000-0005-0000-0000-00000B030000}"/>
    <cellStyle name="20% - Accent5 4 6 2" xfId="6610" xr:uid="{00000000-0005-0000-0000-00000C030000}"/>
    <cellStyle name="20% - Accent5 4 6 2 2" xfId="15052" xr:uid="{DCD71F78-CF6A-406A-8CE4-B3E6F653C0CB}"/>
    <cellStyle name="20% - Accent5 4 6 3" xfId="10834" xr:uid="{F347773F-A343-4970-9ABB-B1368AC395F8}"/>
    <cellStyle name="20% - Accent5 4 7" xfId="4544" xr:uid="{00000000-0005-0000-0000-00000D030000}"/>
    <cellStyle name="20% - Accent5 4 7 2" xfId="12986" xr:uid="{24369027-F3BC-48BE-A9A8-296731471A45}"/>
    <cellStyle name="20% - Accent5 4 8" xfId="8768" xr:uid="{D2F4A2B6-4088-4C6A-B7CA-70CDA4441FF3}"/>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5AF2BE3-5EF1-4280-AC17-83FE143DACA7}"/>
    <cellStyle name="20% - Accent5 5 2 3" xfId="11320" xr:uid="{B3C2C555-E81F-4AA1-8D03-5A8B921E10D9}"/>
    <cellStyle name="20% - Accent5 5 3" xfId="4951" xr:uid="{00000000-0005-0000-0000-000011030000}"/>
    <cellStyle name="20% - Accent5 5 3 2" xfId="13393" xr:uid="{9D160FD2-C848-4F1C-9E2F-DE1430B3669A}"/>
    <cellStyle name="20% - Accent5 5 4" xfId="9175" xr:uid="{ED03BB84-2747-4586-ADD8-9EC6DA86885F}"/>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35BD3D26-78B4-4893-B1DA-4FB70991EC3B}"/>
    <cellStyle name="20% - Accent5 6 2 3" xfId="11733" xr:uid="{F6772E4E-0DDC-49E3-96B9-7316130D0ADA}"/>
    <cellStyle name="20% - Accent5 6 3" xfId="5364" xr:uid="{00000000-0005-0000-0000-000015030000}"/>
    <cellStyle name="20% - Accent5 6 3 2" xfId="13806" xr:uid="{0FC479CD-3534-46E3-9E0B-AB430D7F3776}"/>
    <cellStyle name="20% - Accent5 6 4" xfId="9588" xr:uid="{6BF99E85-B3BA-4F4A-B66C-0FBA2B7F0128}"/>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A7587AA4-0445-4CC5-BFE5-79A469CE07FA}"/>
    <cellStyle name="20% - Accent5 7 2 3" xfId="12146" xr:uid="{6BF9AFA0-141E-49AE-AD55-8D68645158DE}"/>
    <cellStyle name="20% - Accent5 7 3" xfId="5777" xr:uid="{00000000-0005-0000-0000-000019030000}"/>
    <cellStyle name="20% - Accent5 7 3 2" xfId="14219" xr:uid="{D54E0B57-DBD8-4DE8-8CBB-BEB8DC9BAFBA}"/>
    <cellStyle name="20% - Accent5 7 4" xfId="10001" xr:uid="{0B0C18B8-20DF-40BA-B777-FBA8C9BDDB9F}"/>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19DFFBC6-E307-49E0-847C-6FAB0C4F0883}"/>
    <cellStyle name="20% - Accent5 8 2 3" xfId="12559" xr:uid="{E8A130FF-CCF1-45EE-BAC1-FE1C19FD49C6}"/>
    <cellStyle name="20% - Accent5 8 3" xfId="6190" xr:uid="{00000000-0005-0000-0000-00001D030000}"/>
    <cellStyle name="20% - Accent5 8 3 2" xfId="14632" xr:uid="{0481AD90-84D9-4E16-9794-33AD3F3D1B92}"/>
    <cellStyle name="20% - Accent5 8 4" xfId="10414" xr:uid="{5A9ACC3A-3419-415F-8CA5-E5295B411A1B}"/>
    <cellStyle name="20% - Accent5 9" xfId="2296" xr:uid="{00000000-0005-0000-0000-00001E030000}"/>
    <cellStyle name="20% - Accent5 9 2" xfId="6603" xr:uid="{00000000-0005-0000-0000-00001F030000}"/>
    <cellStyle name="20% - Accent5 9 2 2" xfId="15045" xr:uid="{726C8B7C-4A09-4EA1-9E7F-0BC38F4DB4B3}"/>
    <cellStyle name="20% - Accent5 9 3" xfId="10827" xr:uid="{C1B0BBC6-B343-47BF-963F-369B5B1C45F9}"/>
    <cellStyle name="20% - Accent6" xfId="41" builtinId="50" customBuiltin="1"/>
    <cellStyle name="20% - Accent6 10" xfId="4545" xr:uid="{00000000-0005-0000-0000-000021030000}"/>
    <cellStyle name="20% - Accent6 10 2" xfId="12987" xr:uid="{D8F03732-64A7-49AF-A714-891B1DBF570D}"/>
    <cellStyle name="20% - Accent6 11" xfId="8769" xr:uid="{1127ECC5-A26F-49A1-B956-FE2AF584623E}"/>
    <cellStyle name="20% - Accent6 2" xfId="42" xr:uid="{00000000-0005-0000-0000-000022030000}"/>
    <cellStyle name="20% - Accent6 2 10" xfId="8770" xr:uid="{31F23C81-BDC0-4124-B988-462A1A8F07A4}"/>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0009BBB-1620-4B03-B274-1C86B14581C7}"/>
    <cellStyle name="20% - Accent6 2 2 2 2 2 3" xfId="11331" xr:uid="{76FA4D55-4716-475E-AAE8-6B495623DEF6}"/>
    <cellStyle name="20% - Accent6 2 2 2 2 3" xfId="4962" xr:uid="{00000000-0005-0000-0000-000028030000}"/>
    <cellStyle name="20% - Accent6 2 2 2 2 3 2" xfId="13404" xr:uid="{F3029E32-79A0-47B9-91BF-4989ACAD7111}"/>
    <cellStyle name="20% - Accent6 2 2 2 2 4" xfId="9186" xr:uid="{F506AD90-8352-4CAA-8880-C466F2755BDE}"/>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D52A484F-9CBB-408F-ADB1-B1CF95DE6B76}"/>
    <cellStyle name="20% - Accent6 2 2 2 3 2 3" xfId="11744" xr:uid="{742FA87F-7C5B-4ABD-AC50-5A6534F78201}"/>
    <cellStyle name="20% - Accent6 2 2 2 3 3" xfId="5375" xr:uid="{00000000-0005-0000-0000-00002C030000}"/>
    <cellStyle name="20% - Accent6 2 2 2 3 3 2" xfId="13817" xr:uid="{FFB0AE6A-F2E2-402A-8146-05FA69FAA2D0}"/>
    <cellStyle name="20% - Accent6 2 2 2 3 4" xfId="9599" xr:uid="{1ACACAF6-FEF4-470F-8ECD-556A98572D67}"/>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84ABAFBB-1EBC-4685-837F-9B8A2CB984F4}"/>
    <cellStyle name="20% - Accent6 2 2 2 4 2 3" xfId="12157" xr:uid="{86A332A8-7975-4F3A-9CA3-A5F88C2FA648}"/>
    <cellStyle name="20% - Accent6 2 2 2 4 3" xfId="5788" xr:uid="{00000000-0005-0000-0000-000030030000}"/>
    <cellStyle name="20% - Accent6 2 2 2 4 3 2" xfId="14230" xr:uid="{C2FA7405-9F6A-48F1-B6FF-51DBBDC89EDE}"/>
    <cellStyle name="20% - Accent6 2 2 2 4 4" xfId="10012" xr:uid="{AC9B1607-CB24-46A6-A6CD-E37214DBF661}"/>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472340B3-CC60-4528-A62D-AB06F7976C75}"/>
    <cellStyle name="20% - Accent6 2 2 2 5 2 3" xfId="12570" xr:uid="{091AB465-E6BE-453E-AFD0-B44E1B4BFBE2}"/>
    <cellStyle name="20% - Accent6 2 2 2 5 3" xfId="6201" xr:uid="{00000000-0005-0000-0000-000034030000}"/>
    <cellStyle name="20% - Accent6 2 2 2 5 3 2" xfId="14643" xr:uid="{40855C78-0512-46A9-A014-53F1FF88C86F}"/>
    <cellStyle name="20% - Accent6 2 2 2 5 4" xfId="10425" xr:uid="{6CC63487-B2E8-4D7A-AF4C-3A9991943EFB}"/>
    <cellStyle name="20% - Accent6 2 2 2 6" xfId="2307" xr:uid="{00000000-0005-0000-0000-000035030000}"/>
    <cellStyle name="20% - Accent6 2 2 2 6 2" xfId="6614" xr:uid="{00000000-0005-0000-0000-000036030000}"/>
    <cellStyle name="20% - Accent6 2 2 2 6 2 2" xfId="15056" xr:uid="{ACF35249-77C3-47AB-B54D-FCB6874E05F6}"/>
    <cellStyle name="20% - Accent6 2 2 2 6 3" xfId="10838" xr:uid="{4DB0261B-164F-43B1-BA95-BDA9891CB386}"/>
    <cellStyle name="20% - Accent6 2 2 2 7" xfId="4548" xr:uid="{00000000-0005-0000-0000-000037030000}"/>
    <cellStyle name="20% - Accent6 2 2 2 7 2" xfId="12990" xr:uid="{D6381488-8D16-477B-9CF0-421CB420ACE7}"/>
    <cellStyle name="20% - Accent6 2 2 2 8" xfId="8772" xr:uid="{0C93E5B2-0F47-4E47-8381-6E2C7FD70B4A}"/>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D82396FA-7488-4F48-B964-298631C918C0}"/>
    <cellStyle name="20% - Accent6 2 2 3 2 3" xfId="11330" xr:uid="{336DBBFE-D8A3-4C89-9B73-F49B38067C72}"/>
    <cellStyle name="20% - Accent6 2 2 3 3" xfId="4961" xr:uid="{00000000-0005-0000-0000-00003B030000}"/>
    <cellStyle name="20% - Accent6 2 2 3 3 2" xfId="13403" xr:uid="{EF445A10-7115-4D69-B173-4FA8517A8295}"/>
    <cellStyle name="20% - Accent6 2 2 3 4" xfId="9185" xr:uid="{BE178279-392B-4CA0-B40C-CE3EFAEC1A67}"/>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5695B77E-26B6-4EF8-AA28-1A1D4032A5CC}"/>
    <cellStyle name="20% - Accent6 2 2 4 2 3" xfId="11743" xr:uid="{016F92E9-5531-4EBE-BEA3-01FA0B4C1F17}"/>
    <cellStyle name="20% - Accent6 2 2 4 3" xfId="5374" xr:uid="{00000000-0005-0000-0000-00003F030000}"/>
    <cellStyle name="20% - Accent6 2 2 4 3 2" xfId="13816" xr:uid="{1D6228D6-3EE5-43CE-96AC-4150D444684C}"/>
    <cellStyle name="20% - Accent6 2 2 4 4" xfId="9598" xr:uid="{39C80900-92D4-4287-9238-76AB0BC62B2F}"/>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267AC619-5B2B-4498-9338-E72C467EFA46}"/>
    <cellStyle name="20% - Accent6 2 2 5 2 3" xfId="12156" xr:uid="{66B88D0B-E82B-4367-805F-8FB280BAD41C}"/>
    <cellStyle name="20% - Accent6 2 2 5 3" xfId="5787" xr:uid="{00000000-0005-0000-0000-000043030000}"/>
    <cellStyle name="20% - Accent6 2 2 5 3 2" xfId="14229" xr:uid="{FA43302E-5FFD-4C19-8766-CD96DE9A295A}"/>
    <cellStyle name="20% - Accent6 2 2 5 4" xfId="10011" xr:uid="{281612DB-1289-436B-8927-F3BC7A396EC5}"/>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7752D554-EFA4-4506-B32E-3E8CA1BD7F66}"/>
    <cellStyle name="20% - Accent6 2 2 6 2 3" xfId="12569" xr:uid="{3EF7EF93-931A-4B42-ADCB-9EC5D4B3CCFD}"/>
    <cellStyle name="20% - Accent6 2 2 6 3" xfId="6200" xr:uid="{00000000-0005-0000-0000-000047030000}"/>
    <cellStyle name="20% - Accent6 2 2 6 3 2" xfId="14642" xr:uid="{49E239DF-9867-4658-B2EF-B091B09F6E5B}"/>
    <cellStyle name="20% - Accent6 2 2 6 4" xfId="10424" xr:uid="{A2EC09BE-4572-47EA-89F0-9184AF162149}"/>
    <cellStyle name="20% - Accent6 2 2 7" xfId="2306" xr:uid="{00000000-0005-0000-0000-000048030000}"/>
    <cellStyle name="20% - Accent6 2 2 7 2" xfId="6613" xr:uid="{00000000-0005-0000-0000-000049030000}"/>
    <cellStyle name="20% - Accent6 2 2 7 2 2" xfId="15055" xr:uid="{07B119E2-35F0-47EF-84ED-41C50CC61DFC}"/>
    <cellStyle name="20% - Accent6 2 2 7 3" xfId="10837" xr:uid="{010DBE8C-3F9F-4577-8614-79926AC3925B}"/>
    <cellStyle name="20% - Accent6 2 2 8" xfId="4547" xr:uid="{00000000-0005-0000-0000-00004A030000}"/>
    <cellStyle name="20% - Accent6 2 2 8 2" xfId="12989" xr:uid="{7AD1FE73-AEDF-4DBB-A8EE-87C5F4473C7F}"/>
    <cellStyle name="20% - Accent6 2 2 9" xfId="8771" xr:uid="{8D57B6AD-56C7-4DBE-B3A3-0DB0DF81C6A2}"/>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A8D9C9AC-660D-4647-9D8E-035A45067ED9}"/>
    <cellStyle name="20% - Accent6 2 3 2 2 3" xfId="11332" xr:uid="{E1D63EF9-86EE-483F-983D-F5BA1A452AE4}"/>
    <cellStyle name="20% - Accent6 2 3 2 3" xfId="4963" xr:uid="{00000000-0005-0000-0000-00004F030000}"/>
    <cellStyle name="20% - Accent6 2 3 2 3 2" xfId="13405" xr:uid="{29B394C0-3899-4AD8-ABCB-C5F235F36BFD}"/>
    <cellStyle name="20% - Accent6 2 3 2 4" xfId="9187" xr:uid="{AB67F6A8-F5AA-46A0-9441-CDD2A24A9F4D}"/>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E768ABAB-97CE-410D-BF06-FBBE95AAB924}"/>
    <cellStyle name="20% - Accent6 2 3 3 2 3" xfId="11745" xr:uid="{14FE2F96-E8F9-4904-B96D-33187065CF5F}"/>
    <cellStyle name="20% - Accent6 2 3 3 3" xfId="5376" xr:uid="{00000000-0005-0000-0000-000053030000}"/>
    <cellStyle name="20% - Accent6 2 3 3 3 2" xfId="13818" xr:uid="{D61AE2FB-EDAE-4F4F-812C-27A812DDFD6B}"/>
    <cellStyle name="20% - Accent6 2 3 3 4" xfId="9600" xr:uid="{F9B72199-73DC-472E-A66D-DE4A2B3157BD}"/>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45DB35D1-8013-4381-ABB8-E373C2F12D5C}"/>
    <cellStyle name="20% - Accent6 2 3 4 2 3" xfId="12158" xr:uid="{B2FC5DFE-EFA5-40DD-8CF5-7305DFB751F7}"/>
    <cellStyle name="20% - Accent6 2 3 4 3" xfId="5789" xr:uid="{00000000-0005-0000-0000-000057030000}"/>
    <cellStyle name="20% - Accent6 2 3 4 3 2" xfId="14231" xr:uid="{25BFE62D-4241-4624-B813-5C7DDBB7BFA6}"/>
    <cellStyle name="20% - Accent6 2 3 4 4" xfId="10013" xr:uid="{D9C8CCDF-2575-4BFC-A32B-C5D61CBA93CF}"/>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80535940-9992-4E49-9073-4C4E47F67805}"/>
    <cellStyle name="20% - Accent6 2 3 5 2 3" xfId="12571" xr:uid="{3A222134-849F-45A4-881D-BEE981EAEAD5}"/>
    <cellStyle name="20% - Accent6 2 3 5 3" xfId="6202" xr:uid="{00000000-0005-0000-0000-00005B030000}"/>
    <cellStyle name="20% - Accent6 2 3 5 3 2" xfId="14644" xr:uid="{CF2B9F80-F692-41B0-B776-2DD0618D70AD}"/>
    <cellStyle name="20% - Accent6 2 3 5 4" xfId="10426" xr:uid="{326DDC42-AEAD-4AE1-B451-95D42EB584B1}"/>
    <cellStyle name="20% - Accent6 2 3 6" xfId="2308" xr:uid="{00000000-0005-0000-0000-00005C030000}"/>
    <cellStyle name="20% - Accent6 2 3 6 2" xfId="6615" xr:uid="{00000000-0005-0000-0000-00005D030000}"/>
    <cellStyle name="20% - Accent6 2 3 6 2 2" xfId="15057" xr:uid="{20678067-D8CE-4E84-AB21-4AFAF4A289D4}"/>
    <cellStyle name="20% - Accent6 2 3 6 3" xfId="10839" xr:uid="{78F20676-A971-460D-807F-50E60E9EC04E}"/>
    <cellStyle name="20% - Accent6 2 3 7" xfId="4549" xr:uid="{00000000-0005-0000-0000-00005E030000}"/>
    <cellStyle name="20% - Accent6 2 3 7 2" xfId="12991" xr:uid="{CE7281F1-7210-44E0-840E-23F1A9CE4C78}"/>
    <cellStyle name="20% - Accent6 2 3 8" xfId="8773" xr:uid="{3CBFEAB6-D356-4475-AEF6-7E815F0EA3DA}"/>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A43A2506-8C84-4FCB-8EC6-C87D08D09705}"/>
    <cellStyle name="20% - Accent6 2 4 2 3" xfId="11329" xr:uid="{3472C948-493A-4FB3-A543-D07C52B5FC86}"/>
    <cellStyle name="20% - Accent6 2 4 3" xfId="4960" xr:uid="{00000000-0005-0000-0000-000062030000}"/>
    <cellStyle name="20% - Accent6 2 4 3 2" xfId="13402" xr:uid="{DE3D96B6-D510-4DB9-AB6A-C822382509C6}"/>
    <cellStyle name="20% - Accent6 2 4 4" xfId="9184" xr:uid="{6C1B0A8F-1CA5-4184-846C-2E96A6C199C1}"/>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1F7BC648-B3AF-4D3C-9E7D-751971C58225}"/>
    <cellStyle name="20% - Accent6 2 5 2 3" xfId="11742" xr:uid="{8B228094-3B27-4402-9C03-476635508656}"/>
    <cellStyle name="20% - Accent6 2 5 3" xfId="5373" xr:uid="{00000000-0005-0000-0000-000066030000}"/>
    <cellStyle name="20% - Accent6 2 5 3 2" xfId="13815" xr:uid="{0EB50C1E-BBF5-43C1-8DF1-168DDCBD9A97}"/>
    <cellStyle name="20% - Accent6 2 5 4" xfId="9597" xr:uid="{58B11F5E-5518-49FE-8D16-CFF6A4F2CDC5}"/>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A3592353-0F3D-428A-BC2A-9016D40079F5}"/>
    <cellStyle name="20% - Accent6 2 6 2 3" xfId="12155" xr:uid="{0DE251EE-E489-42AF-92B5-413FB6BCCAC7}"/>
    <cellStyle name="20% - Accent6 2 6 3" xfId="5786" xr:uid="{00000000-0005-0000-0000-00006A030000}"/>
    <cellStyle name="20% - Accent6 2 6 3 2" xfId="14228" xr:uid="{604D533B-4B42-4956-BD8E-3EBCFBDEF959}"/>
    <cellStyle name="20% - Accent6 2 6 4" xfId="10010" xr:uid="{267FE59F-6D26-48FC-B6B5-00C1D20E00C4}"/>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7D62949E-F2AB-4EE0-B697-F3EE279019E0}"/>
    <cellStyle name="20% - Accent6 2 7 2 3" xfId="12568" xr:uid="{D1FB10AD-4FCF-4A0C-81F9-6F72E599CC84}"/>
    <cellStyle name="20% - Accent6 2 7 3" xfId="6199" xr:uid="{00000000-0005-0000-0000-00006E030000}"/>
    <cellStyle name="20% - Accent6 2 7 3 2" xfId="14641" xr:uid="{73382B87-A020-439D-9058-DE5C18A352DF}"/>
    <cellStyle name="20% - Accent6 2 7 4" xfId="10423" xr:uid="{7FB8420D-E38C-46DA-8F86-ACD1B5503CAC}"/>
    <cellStyle name="20% - Accent6 2 8" xfId="2305" xr:uid="{00000000-0005-0000-0000-00006F030000}"/>
    <cellStyle name="20% - Accent6 2 8 2" xfId="6612" xr:uid="{00000000-0005-0000-0000-000070030000}"/>
    <cellStyle name="20% - Accent6 2 8 2 2" xfId="15054" xr:uid="{9C80EFC1-241C-4C0F-BBE5-C7C09EB52D58}"/>
    <cellStyle name="20% - Accent6 2 8 3" xfId="10836" xr:uid="{73C26F59-F650-481B-8E8A-4CECF2BBC2C7}"/>
    <cellStyle name="20% - Accent6 2 9" xfId="4546" xr:uid="{00000000-0005-0000-0000-000071030000}"/>
    <cellStyle name="20% - Accent6 2 9 2" xfId="12988" xr:uid="{A54AD5B5-C5CA-425A-A4F7-AF9E6477B69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408B8E30-1525-48E0-8E1F-41FE21FEDA21}"/>
    <cellStyle name="20% - Accent6 3 2 2 2 3" xfId="11334" xr:uid="{0B2DBB7E-8BC2-489E-8AF5-2ED69A54B1C2}"/>
    <cellStyle name="20% - Accent6 3 2 2 3" xfId="4965" xr:uid="{00000000-0005-0000-0000-000077030000}"/>
    <cellStyle name="20% - Accent6 3 2 2 3 2" xfId="13407" xr:uid="{A5BD3BB9-F40D-4C71-8AE4-24F2BA44B9B5}"/>
    <cellStyle name="20% - Accent6 3 2 2 4" xfId="9189" xr:uid="{BFAF0453-08AB-4ABE-A305-B19B4594916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6EE0329F-637D-4F4E-B90F-89EF2E4AC177}"/>
    <cellStyle name="20% - Accent6 3 2 3 2 3" xfId="11747" xr:uid="{AF550BD6-2EEB-4C42-97B0-60439DFA921E}"/>
    <cellStyle name="20% - Accent6 3 2 3 3" xfId="5378" xr:uid="{00000000-0005-0000-0000-00007B030000}"/>
    <cellStyle name="20% - Accent6 3 2 3 3 2" xfId="13820" xr:uid="{7255B9F3-2380-45E9-BDE6-EA6E40E1FB8A}"/>
    <cellStyle name="20% - Accent6 3 2 3 4" xfId="9602" xr:uid="{24BE20F9-1ED7-441E-BCBD-07C4E98F3D23}"/>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29F316A6-563E-4554-B7F4-227B9FE2EFB0}"/>
    <cellStyle name="20% - Accent6 3 2 4 2 3" xfId="12160" xr:uid="{6E3B6D0B-A772-4014-BDAE-A345527F7618}"/>
    <cellStyle name="20% - Accent6 3 2 4 3" xfId="5791" xr:uid="{00000000-0005-0000-0000-00007F030000}"/>
    <cellStyle name="20% - Accent6 3 2 4 3 2" xfId="14233" xr:uid="{B380D8C7-923F-47B3-938D-2B21EA6333A5}"/>
    <cellStyle name="20% - Accent6 3 2 4 4" xfId="10015" xr:uid="{DB66879B-6F99-486D-90F5-E82A4C78ABAC}"/>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D8B69E1E-6855-41F4-8810-616635CC21AE}"/>
    <cellStyle name="20% - Accent6 3 2 5 2 3" xfId="12573" xr:uid="{BA76CF00-5AF7-4401-8556-9104F25F9A39}"/>
    <cellStyle name="20% - Accent6 3 2 5 3" xfId="6204" xr:uid="{00000000-0005-0000-0000-000083030000}"/>
    <cellStyle name="20% - Accent6 3 2 5 3 2" xfId="14646" xr:uid="{936C3F16-ED18-433E-B636-AA2208EAAC0C}"/>
    <cellStyle name="20% - Accent6 3 2 5 4" xfId="10428" xr:uid="{A785D34D-16CA-4BC3-81D1-08E4FD3A0D0B}"/>
    <cellStyle name="20% - Accent6 3 2 6" xfId="2310" xr:uid="{00000000-0005-0000-0000-000084030000}"/>
    <cellStyle name="20% - Accent6 3 2 6 2" xfId="6617" xr:uid="{00000000-0005-0000-0000-000085030000}"/>
    <cellStyle name="20% - Accent6 3 2 6 2 2" xfId="15059" xr:uid="{137A6A85-E40A-43ED-9342-FCB9EB0380D6}"/>
    <cellStyle name="20% - Accent6 3 2 6 3" xfId="10841" xr:uid="{4D0FE3A4-2670-4653-968B-60274E1284A4}"/>
    <cellStyle name="20% - Accent6 3 2 7" xfId="4551" xr:uid="{00000000-0005-0000-0000-000086030000}"/>
    <cellStyle name="20% - Accent6 3 2 7 2" xfId="12993" xr:uid="{F7A05A75-98AD-4EFB-A7E1-2C14A3C2DD39}"/>
    <cellStyle name="20% - Accent6 3 2 8" xfId="8775" xr:uid="{37107015-E9DF-4672-B0C5-14F87595B84F}"/>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90884920-5590-4371-A1F6-E2AD8FE0DA7D}"/>
    <cellStyle name="20% - Accent6 3 3 2 3" xfId="11333" xr:uid="{C7251C32-16A3-4AA2-A7D1-7D78AE18873F}"/>
    <cellStyle name="20% - Accent6 3 3 3" xfId="4964" xr:uid="{00000000-0005-0000-0000-00008A030000}"/>
    <cellStyle name="20% - Accent6 3 3 3 2" xfId="13406" xr:uid="{0B19605E-6DCB-492B-8645-03E978B7ED47}"/>
    <cellStyle name="20% - Accent6 3 3 4" xfId="9188" xr:uid="{EAC3206B-A905-4D99-9734-29DE7278719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094AA7B9-5D39-4377-9C7A-04C611109DAB}"/>
    <cellStyle name="20% - Accent6 3 4 2 3" xfId="11746" xr:uid="{273504AF-0182-4F1F-B7A1-4117F4C24AD5}"/>
    <cellStyle name="20% - Accent6 3 4 3" xfId="5377" xr:uid="{00000000-0005-0000-0000-00008E030000}"/>
    <cellStyle name="20% - Accent6 3 4 3 2" xfId="13819" xr:uid="{A649E049-5398-4F5D-BB17-5288BBF87586}"/>
    <cellStyle name="20% - Accent6 3 4 4" xfId="9601" xr:uid="{3CEE2E6E-312E-4214-8660-B49A351077AD}"/>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32AC9B34-ACAB-4B9B-8BC6-0D63AE0B7C03}"/>
    <cellStyle name="20% - Accent6 3 5 2 3" xfId="12159" xr:uid="{ED6F0447-A7E4-480A-956D-038EDD042923}"/>
    <cellStyle name="20% - Accent6 3 5 3" xfId="5790" xr:uid="{00000000-0005-0000-0000-000092030000}"/>
    <cellStyle name="20% - Accent6 3 5 3 2" xfId="14232" xr:uid="{EF60CAF3-6690-419B-98FE-2B9C691B0D05}"/>
    <cellStyle name="20% - Accent6 3 5 4" xfId="10014" xr:uid="{B8A0E441-0AE0-41BB-A853-D482376EE5A8}"/>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E0623685-0E41-4948-9186-CD5EB0E2E57A}"/>
    <cellStyle name="20% - Accent6 3 6 2 3" xfId="12572" xr:uid="{00A267CA-F15C-4AC4-97DE-9724B5E14897}"/>
    <cellStyle name="20% - Accent6 3 6 3" xfId="6203" xr:uid="{00000000-0005-0000-0000-000096030000}"/>
    <cellStyle name="20% - Accent6 3 6 3 2" xfId="14645" xr:uid="{B8C86A3D-351D-4495-A351-A5B30D43DC59}"/>
    <cellStyle name="20% - Accent6 3 6 4" xfId="10427" xr:uid="{3D2BE680-299E-45C0-ACE9-49B1DB1AF099}"/>
    <cellStyle name="20% - Accent6 3 7" xfId="2309" xr:uid="{00000000-0005-0000-0000-000097030000}"/>
    <cellStyle name="20% - Accent6 3 7 2" xfId="6616" xr:uid="{00000000-0005-0000-0000-000098030000}"/>
    <cellStyle name="20% - Accent6 3 7 2 2" xfId="15058" xr:uid="{382EC478-68DA-4379-8738-38B090DB530A}"/>
    <cellStyle name="20% - Accent6 3 7 3" xfId="10840" xr:uid="{11E17ACF-FED3-47A3-86ED-C7C3E0C6FB4A}"/>
    <cellStyle name="20% - Accent6 3 8" xfId="4550" xr:uid="{00000000-0005-0000-0000-000099030000}"/>
    <cellStyle name="20% - Accent6 3 8 2" xfId="12992" xr:uid="{630F59F0-269C-4790-8FA8-6C4225864F83}"/>
    <cellStyle name="20% - Accent6 3 9" xfId="8774" xr:uid="{A31E2D2E-2F06-4EE5-8504-E7559103598C}"/>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AA73B7F7-4D9D-405A-A0A0-65D990B26AEE}"/>
    <cellStyle name="20% - Accent6 4 2 2 3" xfId="11335" xr:uid="{2DEF1BCD-E86D-4B66-AE5D-B284F77F6560}"/>
    <cellStyle name="20% - Accent6 4 2 3" xfId="4966" xr:uid="{00000000-0005-0000-0000-00009E030000}"/>
    <cellStyle name="20% - Accent6 4 2 3 2" xfId="13408" xr:uid="{EB2BE2A0-0778-470B-B938-87ECD32DAD04}"/>
    <cellStyle name="20% - Accent6 4 2 4" xfId="9190" xr:uid="{C9502C06-D56B-4349-9892-30E8E85A92A9}"/>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A207E028-467F-4C71-A132-4949B6DB73BF}"/>
    <cellStyle name="20% - Accent6 4 3 2 3" xfId="11748" xr:uid="{B16A0934-A5BD-45BD-BAF9-E5EA863478E6}"/>
    <cellStyle name="20% - Accent6 4 3 3" xfId="5379" xr:uid="{00000000-0005-0000-0000-0000A2030000}"/>
    <cellStyle name="20% - Accent6 4 3 3 2" xfId="13821" xr:uid="{5248B0D0-7107-4E97-A7E4-7D459F9D8434}"/>
    <cellStyle name="20% - Accent6 4 3 4" xfId="9603" xr:uid="{B8F0E9A9-0D0A-4AE5-A4B7-EFF567218BFD}"/>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67221CA4-D5EC-432A-9E37-1357B0BCAC4C}"/>
    <cellStyle name="20% - Accent6 4 4 2 3" xfId="12161" xr:uid="{7DEDAA22-99DB-4E20-A2D3-52C5678C4276}"/>
    <cellStyle name="20% - Accent6 4 4 3" xfId="5792" xr:uid="{00000000-0005-0000-0000-0000A6030000}"/>
    <cellStyle name="20% - Accent6 4 4 3 2" xfId="14234" xr:uid="{B4A92E42-CBC5-4C7A-80CA-AFB6D2FD6238}"/>
    <cellStyle name="20% - Accent6 4 4 4" xfId="10016" xr:uid="{29845A83-0279-4354-B656-5EDF15216DAA}"/>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8C9541D2-708C-4E7B-B6B0-7FE0A7FD36C2}"/>
    <cellStyle name="20% - Accent6 4 5 2 3" xfId="12574" xr:uid="{D741FB63-2172-4C96-B294-4296A7F7F22D}"/>
    <cellStyle name="20% - Accent6 4 5 3" xfId="6205" xr:uid="{00000000-0005-0000-0000-0000AA030000}"/>
    <cellStyle name="20% - Accent6 4 5 3 2" xfId="14647" xr:uid="{78696869-B555-462C-B81E-032C9A553936}"/>
    <cellStyle name="20% - Accent6 4 5 4" xfId="10429" xr:uid="{71465B67-E8F5-4F49-BD91-51160F5D1410}"/>
    <cellStyle name="20% - Accent6 4 6" xfId="2311" xr:uid="{00000000-0005-0000-0000-0000AB030000}"/>
    <cellStyle name="20% - Accent6 4 6 2" xfId="6618" xr:uid="{00000000-0005-0000-0000-0000AC030000}"/>
    <cellStyle name="20% - Accent6 4 6 2 2" xfId="15060" xr:uid="{B4BBC4DB-0C21-4288-AA0C-3C40C5A421F9}"/>
    <cellStyle name="20% - Accent6 4 6 3" xfId="10842" xr:uid="{C924BE36-2EDF-42EA-9776-8408F5371D02}"/>
    <cellStyle name="20% - Accent6 4 7" xfId="4552" xr:uid="{00000000-0005-0000-0000-0000AD030000}"/>
    <cellStyle name="20% - Accent6 4 7 2" xfId="12994" xr:uid="{D3F03F4B-E9B9-4E93-B3F0-62A10380C0A3}"/>
    <cellStyle name="20% - Accent6 4 8" xfId="8776" xr:uid="{3ABCAC5E-3EBF-43EC-B13D-671BF147ACA9}"/>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D6451A4F-D9D3-431D-8CC1-48983C993CBE}"/>
    <cellStyle name="20% - Accent6 5 2 3" xfId="11328" xr:uid="{0543BBEC-3933-4DD5-AA2A-DBAA9FC81C58}"/>
    <cellStyle name="20% - Accent6 5 3" xfId="4959" xr:uid="{00000000-0005-0000-0000-0000B1030000}"/>
    <cellStyle name="20% - Accent6 5 3 2" xfId="13401" xr:uid="{BAB25DCF-827F-47A4-BAF6-4778F1C8E59B}"/>
    <cellStyle name="20% - Accent6 5 4" xfId="9183" xr:uid="{A8D783C7-70F2-4AE5-A5C5-AD38EBDF7D3B}"/>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A5044EA4-6093-473E-BC19-C1F4F04BBFFF}"/>
    <cellStyle name="20% - Accent6 6 2 3" xfId="11741" xr:uid="{D9DAA5A2-9062-4F3C-B6D9-94525F9DDC99}"/>
    <cellStyle name="20% - Accent6 6 3" xfId="5372" xr:uid="{00000000-0005-0000-0000-0000B5030000}"/>
    <cellStyle name="20% - Accent6 6 3 2" xfId="13814" xr:uid="{88E7571E-5B7A-46BC-82E9-860ECCC4EAD5}"/>
    <cellStyle name="20% - Accent6 6 4" xfId="9596" xr:uid="{9B30809F-931C-4612-B0F9-C21E008807E3}"/>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9FC187F0-32EE-4E02-999D-5B76B34422FD}"/>
    <cellStyle name="20% - Accent6 7 2 3" xfId="12154" xr:uid="{0F9D8698-1163-48AF-B6C3-C6BA5DE733A2}"/>
    <cellStyle name="20% - Accent6 7 3" xfId="5785" xr:uid="{00000000-0005-0000-0000-0000B9030000}"/>
    <cellStyle name="20% - Accent6 7 3 2" xfId="14227" xr:uid="{07AF17C7-4FB5-4BB1-AE2B-45DC48ADC503}"/>
    <cellStyle name="20% - Accent6 7 4" xfId="10009" xr:uid="{EC6BA676-FE11-44F3-8E1A-690E71F5506F}"/>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C303E40F-4EAF-4552-AFE6-FF095F35F870}"/>
    <cellStyle name="20% - Accent6 8 2 3" xfId="12567" xr:uid="{693D2E6B-90FA-44CA-9B6F-ECB5E8C94695}"/>
    <cellStyle name="20% - Accent6 8 3" xfId="6198" xr:uid="{00000000-0005-0000-0000-0000BD030000}"/>
    <cellStyle name="20% - Accent6 8 3 2" xfId="14640" xr:uid="{2D86E1E4-41E8-4879-829A-14040B54ACC3}"/>
    <cellStyle name="20% - Accent6 8 4" xfId="10422" xr:uid="{CC92F944-CD6B-4C12-BD35-6B5F4E5E125B}"/>
    <cellStyle name="20% - Accent6 9" xfId="2304" xr:uid="{00000000-0005-0000-0000-0000BE030000}"/>
    <cellStyle name="20% - Accent6 9 2" xfId="6611" xr:uid="{00000000-0005-0000-0000-0000BF030000}"/>
    <cellStyle name="20% - Accent6 9 2 2" xfId="15053" xr:uid="{0FC5A062-D408-4495-BEA5-10B4EA878C1F}"/>
    <cellStyle name="20% - Accent6 9 3" xfId="10835" xr:uid="{6CC20734-FC4B-4846-9342-63C37BE58C52}"/>
    <cellStyle name="40% - Accent1" xfId="49" builtinId="31" customBuiltin="1"/>
    <cellStyle name="40% - Accent1 10" xfId="4553" xr:uid="{00000000-0005-0000-0000-0000C1030000}"/>
    <cellStyle name="40% - Accent1 10 2" xfId="12995" xr:uid="{F4DFD09F-3AB4-454A-BE8F-EA177A331D63}"/>
    <cellStyle name="40% - Accent1 11" xfId="8777" xr:uid="{D5CB5FDD-B85D-4D1A-8F7D-BA0FC47DEAAB}"/>
    <cellStyle name="40% - Accent1 2" xfId="50" xr:uid="{00000000-0005-0000-0000-0000C2030000}"/>
    <cellStyle name="40% - Accent1 2 10" xfId="8778" xr:uid="{631E7CA0-D915-4F23-B711-FC11C52F1EB4}"/>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68026F18-6A1A-4C18-87D9-72DAA8B8EED9}"/>
    <cellStyle name="40% - Accent1 2 2 2 2 2 3" xfId="11339" xr:uid="{19166427-A76D-47B8-941F-96A8650C96E2}"/>
    <cellStyle name="40% - Accent1 2 2 2 2 3" xfId="4970" xr:uid="{00000000-0005-0000-0000-0000C8030000}"/>
    <cellStyle name="40% - Accent1 2 2 2 2 3 2" xfId="13412" xr:uid="{36414919-5054-4DC7-A421-DFE0D49DD899}"/>
    <cellStyle name="40% - Accent1 2 2 2 2 4" xfId="9194" xr:uid="{40CA262D-19C6-4E45-93FC-5124C52C442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995163C4-D1DF-4F3F-86D2-070F99F03041}"/>
    <cellStyle name="40% - Accent1 2 2 2 3 2 3" xfId="11752" xr:uid="{B035A490-3A43-411B-BEC3-407C92D77387}"/>
    <cellStyle name="40% - Accent1 2 2 2 3 3" xfId="5383" xr:uid="{00000000-0005-0000-0000-0000CC030000}"/>
    <cellStyle name="40% - Accent1 2 2 2 3 3 2" xfId="13825" xr:uid="{BB057A73-F98F-4228-9AD2-6E5B88B5C0A2}"/>
    <cellStyle name="40% - Accent1 2 2 2 3 4" xfId="9607" xr:uid="{1A1C5930-6FE3-42A6-89BA-A638C973DAAB}"/>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7AB91233-8EED-4C0C-980D-CC9F1B5B99A2}"/>
    <cellStyle name="40% - Accent1 2 2 2 4 2 3" xfId="12165" xr:uid="{7C3675B1-E56D-45FE-9BF3-A5418752C253}"/>
    <cellStyle name="40% - Accent1 2 2 2 4 3" xfId="5796" xr:uid="{00000000-0005-0000-0000-0000D0030000}"/>
    <cellStyle name="40% - Accent1 2 2 2 4 3 2" xfId="14238" xr:uid="{C8271071-138E-4C95-9822-30F2F8C6F755}"/>
    <cellStyle name="40% - Accent1 2 2 2 4 4" xfId="10020" xr:uid="{60A88A50-B737-420D-8781-96518638BA4A}"/>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483E1315-8524-4856-90CD-83ECC378ACCD}"/>
    <cellStyle name="40% - Accent1 2 2 2 5 2 3" xfId="12578" xr:uid="{5A9506BF-46C3-46FB-BE83-95D953F8638B}"/>
    <cellStyle name="40% - Accent1 2 2 2 5 3" xfId="6209" xr:uid="{00000000-0005-0000-0000-0000D4030000}"/>
    <cellStyle name="40% - Accent1 2 2 2 5 3 2" xfId="14651" xr:uid="{DB2E2E70-DD65-4F0F-888B-5C7DC5168803}"/>
    <cellStyle name="40% - Accent1 2 2 2 5 4" xfId="10433" xr:uid="{98876FF1-2BB4-44AC-B7D0-9608CBE97BC4}"/>
    <cellStyle name="40% - Accent1 2 2 2 6" xfId="2315" xr:uid="{00000000-0005-0000-0000-0000D5030000}"/>
    <cellStyle name="40% - Accent1 2 2 2 6 2" xfId="6622" xr:uid="{00000000-0005-0000-0000-0000D6030000}"/>
    <cellStyle name="40% - Accent1 2 2 2 6 2 2" xfId="15064" xr:uid="{9A50521D-B5AA-4BA6-980C-502E5A6E0DA2}"/>
    <cellStyle name="40% - Accent1 2 2 2 6 3" xfId="10846" xr:uid="{D96CDFB4-03A7-4BDF-9651-331258596530}"/>
    <cellStyle name="40% - Accent1 2 2 2 7" xfId="4556" xr:uid="{00000000-0005-0000-0000-0000D7030000}"/>
    <cellStyle name="40% - Accent1 2 2 2 7 2" xfId="12998" xr:uid="{7394A5E9-64DC-45F9-BEED-73C2AB9295CC}"/>
    <cellStyle name="40% - Accent1 2 2 2 8" xfId="8780" xr:uid="{220B871E-D7F1-4406-A52F-E1E165BA719A}"/>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42C837B2-519F-4E08-A372-1B1BA9613FC9}"/>
    <cellStyle name="40% - Accent1 2 2 3 2 3" xfId="11338" xr:uid="{44C22106-5EFF-413C-A7EB-C17F6F2237CE}"/>
    <cellStyle name="40% - Accent1 2 2 3 3" xfId="4969" xr:uid="{00000000-0005-0000-0000-0000DB030000}"/>
    <cellStyle name="40% - Accent1 2 2 3 3 2" xfId="13411" xr:uid="{A439E3D1-5721-4879-9B5D-253D85C1D50E}"/>
    <cellStyle name="40% - Accent1 2 2 3 4" xfId="9193" xr:uid="{1CD26485-1D40-4B38-A7AF-FDBA839AA2E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7604D564-7E20-466F-9882-6FFBCC966153}"/>
    <cellStyle name="40% - Accent1 2 2 4 2 3" xfId="11751" xr:uid="{33825D77-A806-405A-BD90-14FECF0156AF}"/>
    <cellStyle name="40% - Accent1 2 2 4 3" xfId="5382" xr:uid="{00000000-0005-0000-0000-0000DF030000}"/>
    <cellStyle name="40% - Accent1 2 2 4 3 2" xfId="13824" xr:uid="{F655202D-0126-4F59-9DF5-B9966E758546}"/>
    <cellStyle name="40% - Accent1 2 2 4 4" xfId="9606" xr:uid="{5ED9E0A6-950B-4210-BE48-4B4F5004FB34}"/>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0C9B35C3-F067-43EE-86DF-7FC8C56051AE}"/>
    <cellStyle name="40% - Accent1 2 2 5 2 3" xfId="12164" xr:uid="{35396294-487C-405B-B4DF-96D9CE74AB33}"/>
    <cellStyle name="40% - Accent1 2 2 5 3" xfId="5795" xr:uid="{00000000-0005-0000-0000-0000E3030000}"/>
    <cellStyle name="40% - Accent1 2 2 5 3 2" xfId="14237" xr:uid="{5C571D86-C489-4EAE-B6E2-59CC062CB598}"/>
    <cellStyle name="40% - Accent1 2 2 5 4" xfId="10019" xr:uid="{3F817C30-C483-43EC-83FA-6BC8257ECD59}"/>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502840D0-AD08-46CF-9C4C-CD0528C8F45E}"/>
    <cellStyle name="40% - Accent1 2 2 6 2 3" xfId="12577" xr:uid="{326FE792-CCE7-4962-9BBD-A25333D99DC5}"/>
    <cellStyle name="40% - Accent1 2 2 6 3" xfId="6208" xr:uid="{00000000-0005-0000-0000-0000E7030000}"/>
    <cellStyle name="40% - Accent1 2 2 6 3 2" xfId="14650" xr:uid="{29529139-F0CC-411B-B152-1898EFBA124B}"/>
    <cellStyle name="40% - Accent1 2 2 6 4" xfId="10432" xr:uid="{F9509EAB-F3A5-449C-A6C7-CCFC13D0B616}"/>
    <cellStyle name="40% - Accent1 2 2 7" xfId="2314" xr:uid="{00000000-0005-0000-0000-0000E8030000}"/>
    <cellStyle name="40% - Accent1 2 2 7 2" xfId="6621" xr:uid="{00000000-0005-0000-0000-0000E9030000}"/>
    <cellStyle name="40% - Accent1 2 2 7 2 2" xfId="15063" xr:uid="{CD0139D0-EABC-43A7-AEA1-41A611609525}"/>
    <cellStyle name="40% - Accent1 2 2 7 3" xfId="10845" xr:uid="{7D51B459-A5AB-43E9-AD2F-C0DA563F5BCB}"/>
    <cellStyle name="40% - Accent1 2 2 8" xfId="4555" xr:uid="{00000000-0005-0000-0000-0000EA030000}"/>
    <cellStyle name="40% - Accent1 2 2 8 2" xfId="12997" xr:uid="{438A034C-E089-4E85-BB12-625AFB4FD1EC}"/>
    <cellStyle name="40% - Accent1 2 2 9" xfId="8779" xr:uid="{2C7D030A-15EF-41BB-9DB3-394E134A1554}"/>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060D4E9B-6C0C-495E-9BA6-7B20C777B94C}"/>
    <cellStyle name="40% - Accent1 2 3 2 2 3" xfId="11340" xr:uid="{D89AEC06-7EC1-4C5A-BEB7-65B5D0837FA1}"/>
    <cellStyle name="40% - Accent1 2 3 2 3" xfId="4971" xr:uid="{00000000-0005-0000-0000-0000EF030000}"/>
    <cellStyle name="40% - Accent1 2 3 2 3 2" xfId="13413" xr:uid="{4FF25DA2-2BD7-4785-AC42-EB94711FFE98}"/>
    <cellStyle name="40% - Accent1 2 3 2 4" xfId="9195" xr:uid="{F5826DC7-0B5D-440E-91F7-7EE1AD6622DA}"/>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E9D2DF65-2248-4C9E-9C3C-432BFEB3EEA4}"/>
    <cellStyle name="40% - Accent1 2 3 3 2 3" xfId="11753" xr:uid="{9D08249C-CDB4-4E8D-83D4-38FB406DC2EA}"/>
    <cellStyle name="40% - Accent1 2 3 3 3" xfId="5384" xr:uid="{00000000-0005-0000-0000-0000F3030000}"/>
    <cellStyle name="40% - Accent1 2 3 3 3 2" xfId="13826" xr:uid="{7AA1CFDB-1E50-48D5-9B2C-B0428C096602}"/>
    <cellStyle name="40% - Accent1 2 3 3 4" xfId="9608" xr:uid="{F084CF6C-C1BB-4BB9-9417-AF1959642211}"/>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C39F2829-7128-4546-87CE-AEFDC8EFE282}"/>
    <cellStyle name="40% - Accent1 2 3 4 2 3" xfId="12166" xr:uid="{0322D6EF-EF06-40CA-8189-A7DFB027FF1E}"/>
    <cellStyle name="40% - Accent1 2 3 4 3" xfId="5797" xr:uid="{00000000-0005-0000-0000-0000F7030000}"/>
    <cellStyle name="40% - Accent1 2 3 4 3 2" xfId="14239" xr:uid="{14B94536-C25A-4452-AB4B-E8986671D366}"/>
    <cellStyle name="40% - Accent1 2 3 4 4" xfId="10021" xr:uid="{92241029-24F3-473D-9644-717639F6A111}"/>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9C0D1973-49C6-4EB4-9E3C-6BE2305F2703}"/>
    <cellStyle name="40% - Accent1 2 3 5 2 3" xfId="12579" xr:uid="{4B29CAC0-1DC4-4D3A-AD9E-2056F06B033D}"/>
    <cellStyle name="40% - Accent1 2 3 5 3" xfId="6210" xr:uid="{00000000-0005-0000-0000-0000FB030000}"/>
    <cellStyle name="40% - Accent1 2 3 5 3 2" xfId="14652" xr:uid="{77DC9C1B-AA4C-4FE0-9E44-84E78F9CEDE6}"/>
    <cellStyle name="40% - Accent1 2 3 5 4" xfId="10434" xr:uid="{97452AC3-7B9B-43F8-B52F-AD8948834BA3}"/>
    <cellStyle name="40% - Accent1 2 3 6" xfId="2316" xr:uid="{00000000-0005-0000-0000-0000FC030000}"/>
    <cellStyle name="40% - Accent1 2 3 6 2" xfId="6623" xr:uid="{00000000-0005-0000-0000-0000FD030000}"/>
    <cellStyle name="40% - Accent1 2 3 6 2 2" xfId="15065" xr:uid="{184104CC-1B30-4F0A-90CA-C5D5CBCDC435}"/>
    <cellStyle name="40% - Accent1 2 3 6 3" xfId="10847" xr:uid="{8E5AE86C-A015-4008-8956-232638DC09FD}"/>
    <cellStyle name="40% - Accent1 2 3 7" xfId="4557" xr:uid="{00000000-0005-0000-0000-0000FE030000}"/>
    <cellStyle name="40% - Accent1 2 3 7 2" xfId="12999" xr:uid="{AE8ACA5B-D4E2-492B-A5E0-6E8C63C3E4ED}"/>
    <cellStyle name="40% - Accent1 2 3 8" xfId="8781" xr:uid="{FC3AFE21-29BA-4CB8-ACBF-E58450F02E8D}"/>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B535DF28-F2D0-4BEA-A35A-5DE1866AC5DC}"/>
    <cellStyle name="40% - Accent1 2 4 2 3" xfId="11337" xr:uid="{5C7DDF92-F820-426D-B8BC-954A7A668DB9}"/>
    <cellStyle name="40% - Accent1 2 4 3" xfId="4968" xr:uid="{00000000-0005-0000-0000-000002040000}"/>
    <cellStyle name="40% - Accent1 2 4 3 2" xfId="13410" xr:uid="{71F300F4-0EF5-4BE4-99EB-75BC6EF0E8B2}"/>
    <cellStyle name="40% - Accent1 2 4 4" xfId="9192" xr:uid="{61B67A57-D76A-4107-AEB9-1B7D7484C861}"/>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39B807AF-5A90-443D-BF1A-5EDA9012E18D}"/>
    <cellStyle name="40% - Accent1 2 5 2 3" xfId="11750" xr:uid="{44958BBA-B707-462A-93ED-10DA32ED02D9}"/>
    <cellStyle name="40% - Accent1 2 5 3" xfId="5381" xr:uid="{00000000-0005-0000-0000-000006040000}"/>
    <cellStyle name="40% - Accent1 2 5 3 2" xfId="13823" xr:uid="{15DCCD1D-4A10-43D8-8FFA-EF9F01524B92}"/>
    <cellStyle name="40% - Accent1 2 5 4" xfId="9605" xr:uid="{6D4D79A4-94C6-40B9-95FB-5B4ADF9F9F69}"/>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10698118-E410-44D8-BA35-E3B091FED05C}"/>
    <cellStyle name="40% - Accent1 2 6 2 3" xfId="12163" xr:uid="{661EA2D4-FC3F-483C-83DA-EF5F25A1D27D}"/>
    <cellStyle name="40% - Accent1 2 6 3" xfId="5794" xr:uid="{00000000-0005-0000-0000-00000A040000}"/>
    <cellStyle name="40% - Accent1 2 6 3 2" xfId="14236" xr:uid="{D3A3F852-B52E-4DEB-8D11-047AFB397821}"/>
    <cellStyle name="40% - Accent1 2 6 4" xfId="10018" xr:uid="{ED6FB07B-D1A3-4D45-81AC-7905CC080FC5}"/>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D4585506-E24B-42CB-A7AA-D6E9A4647975}"/>
    <cellStyle name="40% - Accent1 2 7 2 3" xfId="12576" xr:uid="{BABE75D4-DFD1-4BA6-AC0D-8FDF7626D597}"/>
    <cellStyle name="40% - Accent1 2 7 3" xfId="6207" xr:uid="{00000000-0005-0000-0000-00000E040000}"/>
    <cellStyle name="40% - Accent1 2 7 3 2" xfId="14649" xr:uid="{7D4BD2C5-8D32-4419-ACD4-7BB6A1BA636B}"/>
    <cellStyle name="40% - Accent1 2 7 4" xfId="10431" xr:uid="{CE18EF90-5B7D-4806-A568-D6DD17A8B308}"/>
    <cellStyle name="40% - Accent1 2 8" xfId="2313" xr:uid="{00000000-0005-0000-0000-00000F040000}"/>
    <cellStyle name="40% - Accent1 2 8 2" xfId="6620" xr:uid="{00000000-0005-0000-0000-000010040000}"/>
    <cellStyle name="40% - Accent1 2 8 2 2" xfId="15062" xr:uid="{0AA48379-D974-4950-99BD-2605198F1BD0}"/>
    <cellStyle name="40% - Accent1 2 8 3" xfId="10844" xr:uid="{59AB1A97-DDDC-4D6E-927B-30A964ECF755}"/>
    <cellStyle name="40% - Accent1 2 9" xfId="4554" xr:uid="{00000000-0005-0000-0000-000011040000}"/>
    <cellStyle name="40% - Accent1 2 9 2" xfId="12996" xr:uid="{6DDBA2E5-22B6-4A34-88E9-80C73228B339}"/>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D0305390-419B-45AA-A8EA-10945653CA58}"/>
    <cellStyle name="40% - Accent1 3 2 2 2 3" xfId="11342" xr:uid="{69DFF08C-A4D9-4D3B-914A-EA7F888021A1}"/>
    <cellStyle name="40% - Accent1 3 2 2 3" xfId="4973" xr:uid="{00000000-0005-0000-0000-000017040000}"/>
    <cellStyle name="40% - Accent1 3 2 2 3 2" xfId="13415" xr:uid="{C6AC4C1B-F317-4DC5-BA8C-EBEB1EB8CF0D}"/>
    <cellStyle name="40% - Accent1 3 2 2 4" xfId="9197" xr:uid="{D75795AF-DC7C-43CC-9028-ADF2662E84FE}"/>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7364BB92-2B2B-478E-A8E0-E74DDCF29EC8}"/>
    <cellStyle name="40% - Accent1 3 2 3 2 3" xfId="11755" xr:uid="{33DC80F5-3732-49F9-B91E-D93A3F4B1F05}"/>
    <cellStyle name="40% - Accent1 3 2 3 3" xfId="5386" xr:uid="{00000000-0005-0000-0000-00001B040000}"/>
    <cellStyle name="40% - Accent1 3 2 3 3 2" xfId="13828" xr:uid="{059DE05E-7828-48DE-BA45-31375458078C}"/>
    <cellStyle name="40% - Accent1 3 2 3 4" xfId="9610" xr:uid="{403D775F-9899-4CA3-9E70-E9D0AD17222F}"/>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899E2F1C-3D80-4037-AD91-8A006B9A321F}"/>
    <cellStyle name="40% - Accent1 3 2 4 2 3" xfId="12168" xr:uid="{EDAF587A-BBEA-463C-A600-52BBB83373EE}"/>
    <cellStyle name="40% - Accent1 3 2 4 3" xfId="5799" xr:uid="{00000000-0005-0000-0000-00001F040000}"/>
    <cellStyle name="40% - Accent1 3 2 4 3 2" xfId="14241" xr:uid="{D49F4D4A-081B-441E-A053-0EF5E3F46AB9}"/>
    <cellStyle name="40% - Accent1 3 2 4 4" xfId="10023" xr:uid="{AC068AAC-E7B4-4643-8D0A-636F00A91DC9}"/>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79919041-B42B-4014-B31D-4CB52EC45702}"/>
    <cellStyle name="40% - Accent1 3 2 5 2 3" xfId="12581" xr:uid="{5D4CAC9F-041D-4AE6-A047-C533655A4FCE}"/>
    <cellStyle name="40% - Accent1 3 2 5 3" xfId="6212" xr:uid="{00000000-0005-0000-0000-000023040000}"/>
    <cellStyle name="40% - Accent1 3 2 5 3 2" xfId="14654" xr:uid="{D1541A03-A88E-4B86-AF3E-71A5E6A3DDDE}"/>
    <cellStyle name="40% - Accent1 3 2 5 4" xfId="10436" xr:uid="{76D1300A-DA7B-4FE3-ABAF-EA83FFC0ABC6}"/>
    <cellStyle name="40% - Accent1 3 2 6" xfId="2318" xr:uid="{00000000-0005-0000-0000-000024040000}"/>
    <cellStyle name="40% - Accent1 3 2 6 2" xfId="6625" xr:uid="{00000000-0005-0000-0000-000025040000}"/>
    <cellStyle name="40% - Accent1 3 2 6 2 2" xfId="15067" xr:uid="{4569959A-C011-4782-8426-0B925624DB1A}"/>
    <cellStyle name="40% - Accent1 3 2 6 3" xfId="10849" xr:uid="{F1EE5230-0F36-4D12-A953-C6355213019E}"/>
    <cellStyle name="40% - Accent1 3 2 7" xfId="4559" xr:uid="{00000000-0005-0000-0000-000026040000}"/>
    <cellStyle name="40% - Accent1 3 2 7 2" xfId="13001" xr:uid="{A847D75A-3719-4890-AC59-525AF8E86D5B}"/>
    <cellStyle name="40% - Accent1 3 2 8" xfId="8783" xr:uid="{5C73ED16-B446-41D5-B128-BC9EB927CB1A}"/>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3863DC40-5A0F-4F59-AF17-58EE454CB5B9}"/>
    <cellStyle name="40% - Accent1 3 3 2 3" xfId="11341" xr:uid="{2406265F-661D-4924-B2B0-B5B95411E40D}"/>
    <cellStyle name="40% - Accent1 3 3 3" xfId="4972" xr:uid="{00000000-0005-0000-0000-00002A040000}"/>
    <cellStyle name="40% - Accent1 3 3 3 2" xfId="13414" xr:uid="{1FC2D9BE-D233-430A-87AD-B2F9FCC39575}"/>
    <cellStyle name="40% - Accent1 3 3 4" xfId="9196" xr:uid="{C9EC487B-60BF-4399-8A43-BA1619F462DF}"/>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14838970-7382-4D87-850A-B9C1F9DCA730}"/>
    <cellStyle name="40% - Accent1 3 4 2 3" xfId="11754" xr:uid="{E4D261B3-17FB-4C02-BF33-42A86845C9E7}"/>
    <cellStyle name="40% - Accent1 3 4 3" xfId="5385" xr:uid="{00000000-0005-0000-0000-00002E040000}"/>
    <cellStyle name="40% - Accent1 3 4 3 2" xfId="13827" xr:uid="{80488C7A-8A39-46F8-AA71-E7C9D3FB9DC0}"/>
    <cellStyle name="40% - Accent1 3 4 4" xfId="9609" xr:uid="{DF383D5F-75D1-4F30-8EB3-D8DB65A97B26}"/>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4CD4E09A-82D9-4B36-B154-CB85D0D06E53}"/>
    <cellStyle name="40% - Accent1 3 5 2 3" xfId="12167" xr:uid="{8769C085-EC70-4224-9415-B652701047B5}"/>
    <cellStyle name="40% - Accent1 3 5 3" xfId="5798" xr:uid="{00000000-0005-0000-0000-000032040000}"/>
    <cellStyle name="40% - Accent1 3 5 3 2" xfId="14240" xr:uid="{97ADC8A0-B814-458F-9AE0-4F1313630C1C}"/>
    <cellStyle name="40% - Accent1 3 5 4" xfId="10022" xr:uid="{6CEB44E8-1BF0-4CED-95EF-D3BA4E3B3589}"/>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7AD0F74C-1EC9-40EF-9352-AD9FC680F721}"/>
    <cellStyle name="40% - Accent1 3 6 2 3" xfId="12580" xr:uid="{562530CF-0053-4AD1-A78E-BEC88AA0864C}"/>
    <cellStyle name="40% - Accent1 3 6 3" xfId="6211" xr:uid="{00000000-0005-0000-0000-000036040000}"/>
    <cellStyle name="40% - Accent1 3 6 3 2" xfId="14653" xr:uid="{7FECF669-8A40-4A07-90E6-22D652204BD9}"/>
    <cellStyle name="40% - Accent1 3 6 4" xfId="10435" xr:uid="{767BB6A2-AD42-4893-8388-E33A39D39EAA}"/>
    <cellStyle name="40% - Accent1 3 7" xfId="2317" xr:uid="{00000000-0005-0000-0000-000037040000}"/>
    <cellStyle name="40% - Accent1 3 7 2" xfId="6624" xr:uid="{00000000-0005-0000-0000-000038040000}"/>
    <cellStyle name="40% - Accent1 3 7 2 2" xfId="15066" xr:uid="{A3E950B4-01BA-47DA-A52F-9DC75508F24A}"/>
    <cellStyle name="40% - Accent1 3 7 3" xfId="10848" xr:uid="{5148CEB9-7E9D-4C23-94DE-CF11CF562B86}"/>
    <cellStyle name="40% - Accent1 3 8" xfId="4558" xr:uid="{00000000-0005-0000-0000-000039040000}"/>
    <cellStyle name="40% - Accent1 3 8 2" xfId="13000" xr:uid="{C09BF7A0-2AC9-4B2D-9428-AE8BABBF158D}"/>
    <cellStyle name="40% - Accent1 3 9" xfId="8782" xr:uid="{1D4A2E14-900E-48E7-AC2B-13CFF7FEEE6B}"/>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603E0214-34D3-4993-9587-4DCBAF7DAB04}"/>
    <cellStyle name="40% - Accent1 4 2 2 3" xfId="11343" xr:uid="{A4D6DCDC-82F2-41B5-B502-84AFD7108141}"/>
    <cellStyle name="40% - Accent1 4 2 3" xfId="4974" xr:uid="{00000000-0005-0000-0000-00003E040000}"/>
    <cellStyle name="40% - Accent1 4 2 3 2" xfId="13416" xr:uid="{D8D8E645-DE25-41EA-A69C-71A08DA25545}"/>
    <cellStyle name="40% - Accent1 4 2 4" xfId="9198" xr:uid="{39F8B591-7879-40EB-84BE-FA107DC68A63}"/>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A5D401B7-19C0-49EF-AEA5-67795A1C75FA}"/>
    <cellStyle name="40% - Accent1 4 3 2 3" xfId="11756" xr:uid="{4FF789A8-08D2-4BF9-B712-38FE3FB1B32F}"/>
    <cellStyle name="40% - Accent1 4 3 3" xfId="5387" xr:uid="{00000000-0005-0000-0000-000042040000}"/>
    <cellStyle name="40% - Accent1 4 3 3 2" xfId="13829" xr:uid="{8F9CE117-B156-4764-954F-274DED35F2B9}"/>
    <cellStyle name="40% - Accent1 4 3 4" xfId="9611" xr:uid="{581F66F5-1F46-4EE8-A34B-F56ED21D51F8}"/>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EEFD6852-0EDD-4EEE-9CA5-E2D4B9B91AD9}"/>
    <cellStyle name="40% - Accent1 4 4 2 3" xfId="12169" xr:uid="{FFBB8FC2-D22D-4CAC-8810-77FF81124601}"/>
    <cellStyle name="40% - Accent1 4 4 3" xfId="5800" xr:uid="{00000000-0005-0000-0000-000046040000}"/>
    <cellStyle name="40% - Accent1 4 4 3 2" xfId="14242" xr:uid="{7D34CB19-DB5E-41E5-9FA1-3DF42615BDF7}"/>
    <cellStyle name="40% - Accent1 4 4 4" xfId="10024" xr:uid="{261059D6-AD55-45E0-B307-0C0342AC51BB}"/>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298ABF76-5560-467B-9A11-CB2E453B8239}"/>
    <cellStyle name="40% - Accent1 4 5 2 3" xfId="12582" xr:uid="{2AAC1FDD-13C0-4CA9-9D8C-F2AD2DC38071}"/>
    <cellStyle name="40% - Accent1 4 5 3" xfId="6213" xr:uid="{00000000-0005-0000-0000-00004A040000}"/>
    <cellStyle name="40% - Accent1 4 5 3 2" xfId="14655" xr:uid="{5DC4D1E8-7470-40BB-8058-06E7AB775AD1}"/>
    <cellStyle name="40% - Accent1 4 5 4" xfId="10437" xr:uid="{9523D143-CD1F-43D2-A7B2-6C1E13FB38A7}"/>
    <cellStyle name="40% - Accent1 4 6" xfId="2319" xr:uid="{00000000-0005-0000-0000-00004B040000}"/>
    <cellStyle name="40% - Accent1 4 6 2" xfId="6626" xr:uid="{00000000-0005-0000-0000-00004C040000}"/>
    <cellStyle name="40% - Accent1 4 6 2 2" xfId="15068" xr:uid="{5A20247F-E2F8-4CFE-95A6-791A0F6DBE7E}"/>
    <cellStyle name="40% - Accent1 4 6 3" xfId="10850" xr:uid="{92193D6C-5A21-462D-B8D3-478B4CD1EA61}"/>
    <cellStyle name="40% - Accent1 4 7" xfId="4560" xr:uid="{00000000-0005-0000-0000-00004D040000}"/>
    <cellStyle name="40% - Accent1 4 7 2" xfId="13002" xr:uid="{E9A0DF9F-696D-4192-90F2-4BB1C912C106}"/>
    <cellStyle name="40% - Accent1 4 8" xfId="8784" xr:uid="{1EF6BDC0-B05E-45FC-B4EE-71DC7493DC4A}"/>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A2524D12-1B92-45E6-802F-B877A2E3512B}"/>
    <cellStyle name="40% - Accent1 5 2 3" xfId="11336" xr:uid="{1F5F4BC7-0FA4-4110-A48D-4FFB02606562}"/>
    <cellStyle name="40% - Accent1 5 3" xfId="4967" xr:uid="{00000000-0005-0000-0000-000051040000}"/>
    <cellStyle name="40% - Accent1 5 3 2" xfId="13409" xr:uid="{4ED08D12-6622-49EC-8714-87AE12966BD4}"/>
    <cellStyle name="40% - Accent1 5 4" xfId="9191" xr:uid="{BC71330F-E330-4E5A-B26A-F1781537F22C}"/>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7990CECF-0129-4978-8EF7-9343F3EF223F}"/>
    <cellStyle name="40% - Accent1 6 2 3" xfId="11749" xr:uid="{4A4CE019-D54F-488E-B312-4C7787DEA781}"/>
    <cellStyle name="40% - Accent1 6 3" xfId="5380" xr:uid="{00000000-0005-0000-0000-000055040000}"/>
    <cellStyle name="40% - Accent1 6 3 2" xfId="13822" xr:uid="{4DD38CB6-D0F8-42AD-B91E-620ADBC823A8}"/>
    <cellStyle name="40% - Accent1 6 4" xfId="9604" xr:uid="{9A256B33-63BB-4FDC-AA90-22FAD017F56D}"/>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EBA16F13-9B6F-4976-988C-E04E0218CDF5}"/>
    <cellStyle name="40% - Accent1 7 2 3" xfId="12162" xr:uid="{41573A1B-B54A-4BC0-89BA-6D9561675BF9}"/>
    <cellStyle name="40% - Accent1 7 3" xfId="5793" xr:uid="{00000000-0005-0000-0000-000059040000}"/>
    <cellStyle name="40% - Accent1 7 3 2" xfId="14235" xr:uid="{129C721E-88F2-4B27-BF20-8BEC3CDA11BD}"/>
    <cellStyle name="40% - Accent1 7 4" xfId="10017" xr:uid="{0FDCC1D1-1D99-4937-ADC1-ED3C42A33CF0}"/>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CBB5E1E3-6A22-4D3B-9496-0091251783C7}"/>
    <cellStyle name="40% - Accent1 8 2 3" xfId="12575" xr:uid="{22697447-A171-4325-8E60-9C6143BD59F8}"/>
    <cellStyle name="40% - Accent1 8 3" xfId="6206" xr:uid="{00000000-0005-0000-0000-00005D040000}"/>
    <cellStyle name="40% - Accent1 8 3 2" xfId="14648" xr:uid="{E6C56C45-90D1-4005-9127-965FDB7D4DCE}"/>
    <cellStyle name="40% - Accent1 8 4" xfId="10430" xr:uid="{98D2E7F3-AEF1-4157-B3F2-909BC5BB0C5B}"/>
    <cellStyle name="40% - Accent1 9" xfId="2312" xr:uid="{00000000-0005-0000-0000-00005E040000}"/>
    <cellStyle name="40% - Accent1 9 2" xfId="6619" xr:uid="{00000000-0005-0000-0000-00005F040000}"/>
    <cellStyle name="40% - Accent1 9 2 2" xfId="15061" xr:uid="{087C9784-8022-4824-8F88-C2DE6E079956}"/>
    <cellStyle name="40% - Accent1 9 3" xfId="10843" xr:uid="{A9438B35-F169-4C97-87B3-3B8C09E33302}"/>
    <cellStyle name="40% - Accent2" xfId="57" builtinId="35" customBuiltin="1"/>
    <cellStyle name="40% - Accent2 10" xfId="4561" xr:uid="{00000000-0005-0000-0000-000061040000}"/>
    <cellStyle name="40% - Accent2 10 2" xfId="13003" xr:uid="{BF66F748-5A06-455A-9DED-49428B848530}"/>
    <cellStyle name="40% - Accent2 11" xfId="8785" xr:uid="{DB01365D-727E-441C-9BA8-E9D34FE356B4}"/>
    <cellStyle name="40% - Accent2 2" xfId="58" xr:uid="{00000000-0005-0000-0000-000062040000}"/>
    <cellStyle name="40% - Accent2 2 10" xfId="8786" xr:uid="{8BAA1BA8-663F-4453-8BE9-C0CB42CE98F4}"/>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73447955-60D3-4546-8902-5D6E5B6777FF}"/>
    <cellStyle name="40% - Accent2 2 2 2 2 2 3" xfId="11347" xr:uid="{48C87859-528D-4D91-8E2D-68B450B65AD6}"/>
    <cellStyle name="40% - Accent2 2 2 2 2 3" xfId="4978" xr:uid="{00000000-0005-0000-0000-000068040000}"/>
    <cellStyle name="40% - Accent2 2 2 2 2 3 2" xfId="13420" xr:uid="{20D1A0D5-4D8E-4F69-B85E-A8AD715C3B7F}"/>
    <cellStyle name="40% - Accent2 2 2 2 2 4" xfId="9202" xr:uid="{0771E368-3F7F-4832-B5FF-71321172E17B}"/>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4CEF4FA3-DA81-4A02-AF11-CA71E1E9E3F9}"/>
    <cellStyle name="40% - Accent2 2 2 2 3 2 3" xfId="11760" xr:uid="{6EAE5F48-B691-4D7A-860A-FD92BA962161}"/>
    <cellStyle name="40% - Accent2 2 2 2 3 3" xfId="5391" xr:uid="{00000000-0005-0000-0000-00006C040000}"/>
    <cellStyle name="40% - Accent2 2 2 2 3 3 2" xfId="13833" xr:uid="{74ADB6C2-35DD-45AC-B174-E500D013369D}"/>
    <cellStyle name="40% - Accent2 2 2 2 3 4" xfId="9615" xr:uid="{31BEA326-B937-4B2E-8EBD-63BEE48FB35D}"/>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5D990106-A1AB-4434-8F0D-6074CF1F3E56}"/>
    <cellStyle name="40% - Accent2 2 2 2 4 2 3" xfId="12173" xr:uid="{A503F98A-8A90-4AD7-A8E7-08533AC7F323}"/>
    <cellStyle name="40% - Accent2 2 2 2 4 3" xfId="5804" xr:uid="{00000000-0005-0000-0000-000070040000}"/>
    <cellStyle name="40% - Accent2 2 2 2 4 3 2" xfId="14246" xr:uid="{1D41A730-3AF7-4A79-83EF-A5B74B6BD7A3}"/>
    <cellStyle name="40% - Accent2 2 2 2 4 4" xfId="10028" xr:uid="{030804E4-1BB8-4865-A469-CA55B97C5DF6}"/>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D209EFEB-0632-4204-8CC9-2A73DBCD745D}"/>
    <cellStyle name="40% - Accent2 2 2 2 5 2 3" xfId="12586" xr:uid="{CE1C592A-7B85-4E00-8C77-4EDD1F3D11E1}"/>
    <cellStyle name="40% - Accent2 2 2 2 5 3" xfId="6217" xr:uid="{00000000-0005-0000-0000-000074040000}"/>
    <cellStyle name="40% - Accent2 2 2 2 5 3 2" xfId="14659" xr:uid="{63AF2DFA-596F-4BC1-A768-5394B3FCC4F7}"/>
    <cellStyle name="40% - Accent2 2 2 2 5 4" xfId="10441" xr:uid="{9DEC8753-9EFB-48A4-BFD9-45966E588EC1}"/>
    <cellStyle name="40% - Accent2 2 2 2 6" xfId="2323" xr:uid="{00000000-0005-0000-0000-000075040000}"/>
    <cellStyle name="40% - Accent2 2 2 2 6 2" xfId="6630" xr:uid="{00000000-0005-0000-0000-000076040000}"/>
    <cellStyle name="40% - Accent2 2 2 2 6 2 2" xfId="15072" xr:uid="{B34BD36A-20CF-4E17-A82F-40C353890D52}"/>
    <cellStyle name="40% - Accent2 2 2 2 6 3" xfId="10854" xr:uid="{955319AC-341E-4E4B-B4CF-B6E44C07F95D}"/>
    <cellStyle name="40% - Accent2 2 2 2 7" xfId="4564" xr:uid="{00000000-0005-0000-0000-000077040000}"/>
    <cellStyle name="40% - Accent2 2 2 2 7 2" xfId="13006" xr:uid="{CCBD2C0F-1720-4631-9246-A54C2CB32EDD}"/>
    <cellStyle name="40% - Accent2 2 2 2 8" xfId="8788" xr:uid="{35C80CC5-87A1-4CF8-B20D-CF7464F9FDC8}"/>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F169F1CC-F0F7-4FB9-AABF-F187527A4AC8}"/>
    <cellStyle name="40% - Accent2 2 2 3 2 3" xfId="11346" xr:uid="{AF11FCBA-C498-4D59-9960-4CB5C812C9E2}"/>
    <cellStyle name="40% - Accent2 2 2 3 3" xfId="4977" xr:uid="{00000000-0005-0000-0000-00007B040000}"/>
    <cellStyle name="40% - Accent2 2 2 3 3 2" xfId="13419" xr:uid="{B9C05185-FBE2-409C-838E-0AA38FD71DFB}"/>
    <cellStyle name="40% - Accent2 2 2 3 4" xfId="9201" xr:uid="{15BDC805-B23A-44D1-A5B6-199C55AF9785}"/>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404DD8B3-C71C-4BC8-B1EF-3427AF1AB950}"/>
    <cellStyle name="40% - Accent2 2 2 4 2 3" xfId="11759" xr:uid="{3960A025-C4E6-4B8C-88F8-52E345EEA035}"/>
    <cellStyle name="40% - Accent2 2 2 4 3" xfId="5390" xr:uid="{00000000-0005-0000-0000-00007F040000}"/>
    <cellStyle name="40% - Accent2 2 2 4 3 2" xfId="13832" xr:uid="{F194B8DC-D968-4B95-B9DE-24801F77175E}"/>
    <cellStyle name="40% - Accent2 2 2 4 4" xfId="9614" xr:uid="{966775A5-96C6-4610-BB10-4FA3AC8150E1}"/>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BE2EEC8A-816B-4DD0-8A1B-BC2E2180A135}"/>
    <cellStyle name="40% - Accent2 2 2 5 2 3" xfId="12172" xr:uid="{CDC207F0-DC11-4568-9733-0879E83D8C27}"/>
    <cellStyle name="40% - Accent2 2 2 5 3" xfId="5803" xr:uid="{00000000-0005-0000-0000-000083040000}"/>
    <cellStyle name="40% - Accent2 2 2 5 3 2" xfId="14245" xr:uid="{41A4642C-DAD1-4891-862D-7D7812CA4957}"/>
    <cellStyle name="40% - Accent2 2 2 5 4" xfId="10027" xr:uid="{2A64ED6B-F202-4E1B-8518-E33D13BCC67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BC7BC6EA-70DE-45DE-A0B5-6517E5916336}"/>
    <cellStyle name="40% - Accent2 2 2 6 2 3" xfId="12585" xr:uid="{7B936FF7-44AE-4345-A3CC-A3B7B93BBB59}"/>
    <cellStyle name="40% - Accent2 2 2 6 3" xfId="6216" xr:uid="{00000000-0005-0000-0000-000087040000}"/>
    <cellStyle name="40% - Accent2 2 2 6 3 2" xfId="14658" xr:uid="{51D35384-4986-4490-996D-2572903F122D}"/>
    <cellStyle name="40% - Accent2 2 2 6 4" xfId="10440" xr:uid="{5209431F-854E-4A3B-A249-0AE5CA5CEBCB}"/>
    <cellStyle name="40% - Accent2 2 2 7" xfId="2322" xr:uid="{00000000-0005-0000-0000-000088040000}"/>
    <cellStyle name="40% - Accent2 2 2 7 2" xfId="6629" xr:uid="{00000000-0005-0000-0000-000089040000}"/>
    <cellStyle name="40% - Accent2 2 2 7 2 2" xfId="15071" xr:uid="{A789942A-DFF1-490D-8B01-0C6A36B76807}"/>
    <cellStyle name="40% - Accent2 2 2 7 3" xfId="10853" xr:uid="{BD68183B-EAFF-48C4-9129-9844737CA317}"/>
    <cellStyle name="40% - Accent2 2 2 8" xfId="4563" xr:uid="{00000000-0005-0000-0000-00008A040000}"/>
    <cellStyle name="40% - Accent2 2 2 8 2" xfId="13005" xr:uid="{D9069E1A-9DB3-48CB-9246-161807CC9FA8}"/>
    <cellStyle name="40% - Accent2 2 2 9" xfId="8787" xr:uid="{4B6081F6-F23C-468F-80B1-6CD8FAD6BB93}"/>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AA3AB4E6-3BC0-4F7F-9E83-E9E4A3EF701C}"/>
    <cellStyle name="40% - Accent2 2 3 2 2 3" xfId="11348" xr:uid="{D82663A0-96A3-4651-8021-05FF03CFC4ED}"/>
    <cellStyle name="40% - Accent2 2 3 2 3" xfId="4979" xr:uid="{00000000-0005-0000-0000-00008F040000}"/>
    <cellStyle name="40% - Accent2 2 3 2 3 2" xfId="13421" xr:uid="{F0D516E6-B08C-4326-9CE6-3B1287B4429D}"/>
    <cellStyle name="40% - Accent2 2 3 2 4" xfId="9203" xr:uid="{6813FC6E-4B7B-4F1C-A0A6-8A158F5F97D3}"/>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DC0EEB2A-01C0-4048-B8D9-1AF1E7659E42}"/>
    <cellStyle name="40% - Accent2 2 3 3 2 3" xfId="11761" xr:uid="{B3D162B1-AEB0-4C2D-B8C1-6899CE7962B4}"/>
    <cellStyle name="40% - Accent2 2 3 3 3" xfId="5392" xr:uid="{00000000-0005-0000-0000-000093040000}"/>
    <cellStyle name="40% - Accent2 2 3 3 3 2" xfId="13834" xr:uid="{D6316A95-CA03-44CF-AF49-FC4E107E1F9B}"/>
    <cellStyle name="40% - Accent2 2 3 3 4" xfId="9616" xr:uid="{163E389B-C57C-49DD-93C1-C85D15B7E5AD}"/>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4AB10E81-3A02-4D7A-8096-65D8FB62CA5C}"/>
    <cellStyle name="40% - Accent2 2 3 4 2 3" xfId="12174" xr:uid="{14D74ED8-1431-479A-8189-30400972D61A}"/>
    <cellStyle name="40% - Accent2 2 3 4 3" xfId="5805" xr:uid="{00000000-0005-0000-0000-000097040000}"/>
    <cellStyle name="40% - Accent2 2 3 4 3 2" xfId="14247" xr:uid="{1109B206-13B7-47AB-A1FF-DEFD3ACD6BA2}"/>
    <cellStyle name="40% - Accent2 2 3 4 4" xfId="10029" xr:uid="{2E1A96C8-7E48-4BA9-8AFC-FE913E52E092}"/>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F702D9B5-1484-4EE7-9764-7B733B6FBB84}"/>
    <cellStyle name="40% - Accent2 2 3 5 2 3" xfId="12587" xr:uid="{DF367851-7B66-42B9-A9ED-88177D5C695F}"/>
    <cellStyle name="40% - Accent2 2 3 5 3" xfId="6218" xr:uid="{00000000-0005-0000-0000-00009B040000}"/>
    <cellStyle name="40% - Accent2 2 3 5 3 2" xfId="14660" xr:uid="{BF41C830-43FA-4AA0-A9A6-7DB72ACD62B5}"/>
    <cellStyle name="40% - Accent2 2 3 5 4" xfId="10442" xr:uid="{263F30F5-ADA2-44FF-BD7A-B24806727FE2}"/>
    <cellStyle name="40% - Accent2 2 3 6" xfId="2324" xr:uid="{00000000-0005-0000-0000-00009C040000}"/>
    <cellStyle name="40% - Accent2 2 3 6 2" xfId="6631" xr:uid="{00000000-0005-0000-0000-00009D040000}"/>
    <cellStyle name="40% - Accent2 2 3 6 2 2" xfId="15073" xr:uid="{DFAC1E68-5F9E-4E29-9A18-342611E315FD}"/>
    <cellStyle name="40% - Accent2 2 3 6 3" xfId="10855" xr:uid="{6E0EDAA5-D306-4F4C-9980-35431E172126}"/>
    <cellStyle name="40% - Accent2 2 3 7" xfId="4565" xr:uid="{00000000-0005-0000-0000-00009E040000}"/>
    <cellStyle name="40% - Accent2 2 3 7 2" xfId="13007" xr:uid="{E425505F-A883-45C8-96C0-D48BEE9FBF7E}"/>
    <cellStyle name="40% - Accent2 2 3 8" xfId="8789" xr:uid="{E007DC52-2657-4CF3-A4D8-CD218D0B12EE}"/>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202C2461-F75E-4472-98B2-165EF94C488E}"/>
    <cellStyle name="40% - Accent2 2 4 2 3" xfId="11345" xr:uid="{550139F8-7527-4B16-8352-4EDB498AABAF}"/>
    <cellStyle name="40% - Accent2 2 4 3" xfId="4976" xr:uid="{00000000-0005-0000-0000-0000A2040000}"/>
    <cellStyle name="40% - Accent2 2 4 3 2" xfId="13418" xr:uid="{DB3B7109-15E0-4C84-8C29-9D95A52F7022}"/>
    <cellStyle name="40% - Accent2 2 4 4" xfId="9200" xr:uid="{D54F4B00-3649-4627-88A8-7E4927577FB2}"/>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D0FEA823-2450-428A-A7E9-7C6A4B72CB32}"/>
    <cellStyle name="40% - Accent2 2 5 2 3" xfId="11758" xr:uid="{908D6208-5519-42DB-9DA7-06198A3BD93D}"/>
    <cellStyle name="40% - Accent2 2 5 3" xfId="5389" xr:uid="{00000000-0005-0000-0000-0000A6040000}"/>
    <cellStyle name="40% - Accent2 2 5 3 2" xfId="13831" xr:uid="{51B3B182-AB53-4B41-880E-BE8EDB4B7EFC}"/>
    <cellStyle name="40% - Accent2 2 5 4" xfId="9613" xr:uid="{2DA3851D-E009-49F8-99AC-87CABF26CBDE}"/>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ED22A319-6BF7-46B7-B6BB-F11EE5B73123}"/>
    <cellStyle name="40% - Accent2 2 6 2 3" xfId="12171" xr:uid="{C8DC4EA9-0ADC-4A8B-BFCF-1CFB3722524E}"/>
    <cellStyle name="40% - Accent2 2 6 3" xfId="5802" xr:uid="{00000000-0005-0000-0000-0000AA040000}"/>
    <cellStyle name="40% - Accent2 2 6 3 2" xfId="14244" xr:uid="{8C7D086B-EFFA-422A-ACDA-94C2072407E0}"/>
    <cellStyle name="40% - Accent2 2 6 4" xfId="10026" xr:uid="{BABCD393-2BF1-457C-82EC-56FB4E6321D2}"/>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A0AF33E4-8B2B-4CB2-98B6-127B963CA1A1}"/>
    <cellStyle name="40% - Accent2 2 7 2 3" xfId="12584" xr:uid="{362422D7-D516-4877-93E7-DA8F3CD0A7B9}"/>
    <cellStyle name="40% - Accent2 2 7 3" xfId="6215" xr:uid="{00000000-0005-0000-0000-0000AE040000}"/>
    <cellStyle name="40% - Accent2 2 7 3 2" xfId="14657" xr:uid="{EDBFEBBC-E81C-40A0-87AD-CD316AC169E9}"/>
    <cellStyle name="40% - Accent2 2 7 4" xfId="10439" xr:uid="{812FE9C5-4C22-45B1-9130-93BD5798A394}"/>
    <cellStyle name="40% - Accent2 2 8" xfId="2321" xr:uid="{00000000-0005-0000-0000-0000AF040000}"/>
    <cellStyle name="40% - Accent2 2 8 2" xfId="6628" xr:uid="{00000000-0005-0000-0000-0000B0040000}"/>
    <cellStyle name="40% - Accent2 2 8 2 2" xfId="15070" xr:uid="{381EFDC7-18D4-4534-9A25-4F42748F5810}"/>
    <cellStyle name="40% - Accent2 2 8 3" xfId="10852" xr:uid="{1E89E684-A448-44AE-A667-C5BF3D5B6169}"/>
    <cellStyle name="40% - Accent2 2 9" xfId="4562" xr:uid="{00000000-0005-0000-0000-0000B1040000}"/>
    <cellStyle name="40% - Accent2 2 9 2" xfId="13004" xr:uid="{D3F3DD2F-344B-4FEF-B479-B32969F3E406}"/>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BDD1C9C3-7519-4191-942C-4C671C61629A}"/>
    <cellStyle name="40% - Accent2 3 2 2 2 3" xfId="11350" xr:uid="{BB7BF112-21CB-4FE8-9C6C-289C403B6768}"/>
    <cellStyle name="40% - Accent2 3 2 2 3" xfId="4981" xr:uid="{00000000-0005-0000-0000-0000B7040000}"/>
    <cellStyle name="40% - Accent2 3 2 2 3 2" xfId="13423" xr:uid="{5241021F-1A0B-46A3-B645-523071C8228A}"/>
    <cellStyle name="40% - Accent2 3 2 2 4" xfId="9205" xr:uid="{0AC64ACB-DFBF-45C1-9C33-4FF432FAF6AA}"/>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9BDB86D8-EF70-44CA-9829-52A4A7645085}"/>
    <cellStyle name="40% - Accent2 3 2 3 2 3" xfId="11763" xr:uid="{EC9A9D93-CD76-42CC-8176-DF43BB66FC3C}"/>
    <cellStyle name="40% - Accent2 3 2 3 3" xfId="5394" xr:uid="{00000000-0005-0000-0000-0000BB040000}"/>
    <cellStyle name="40% - Accent2 3 2 3 3 2" xfId="13836" xr:uid="{4BB1FBD4-1029-442B-A685-92E07A6B3871}"/>
    <cellStyle name="40% - Accent2 3 2 3 4" xfId="9618" xr:uid="{1DCDF2DC-BCEC-4488-AD5B-9D266058465F}"/>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717FC848-25AF-459A-BB7F-0CA293F5CABD}"/>
    <cellStyle name="40% - Accent2 3 2 4 2 3" xfId="12176" xr:uid="{79469FB9-4C68-43CA-8811-819782AF60E7}"/>
    <cellStyle name="40% - Accent2 3 2 4 3" xfId="5807" xr:uid="{00000000-0005-0000-0000-0000BF040000}"/>
    <cellStyle name="40% - Accent2 3 2 4 3 2" xfId="14249" xr:uid="{ABDA62E7-2879-4F20-B034-AF2613D1B272}"/>
    <cellStyle name="40% - Accent2 3 2 4 4" xfId="10031" xr:uid="{DBE073F0-DB53-4C62-82C2-7B2BF16C8AE2}"/>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EB64321D-3852-4C3E-B994-654F9022071D}"/>
    <cellStyle name="40% - Accent2 3 2 5 2 3" xfId="12589" xr:uid="{3516BAFC-22FF-455D-8D95-04DEB1F682C6}"/>
    <cellStyle name="40% - Accent2 3 2 5 3" xfId="6220" xr:uid="{00000000-0005-0000-0000-0000C3040000}"/>
    <cellStyle name="40% - Accent2 3 2 5 3 2" xfId="14662" xr:uid="{54371935-4A7F-43C6-BC4E-8CC419D72A9B}"/>
    <cellStyle name="40% - Accent2 3 2 5 4" xfId="10444" xr:uid="{A899C01A-A787-44E2-BC66-84A95CCDE761}"/>
    <cellStyle name="40% - Accent2 3 2 6" xfId="2326" xr:uid="{00000000-0005-0000-0000-0000C4040000}"/>
    <cellStyle name="40% - Accent2 3 2 6 2" xfId="6633" xr:uid="{00000000-0005-0000-0000-0000C5040000}"/>
    <cellStyle name="40% - Accent2 3 2 6 2 2" xfId="15075" xr:uid="{78187B78-A355-413B-A060-22566337AF25}"/>
    <cellStyle name="40% - Accent2 3 2 6 3" xfId="10857" xr:uid="{4555BC1E-8D96-4EA9-95DA-5962CEB5DB0A}"/>
    <cellStyle name="40% - Accent2 3 2 7" xfId="4567" xr:uid="{00000000-0005-0000-0000-0000C6040000}"/>
    <cellStyle name="40% - Accent2 3 2 7 2" xfId="13009" xr:uid="{A8801255-2849-4C2D-A727-43AF7A97BCC2}"/>
    <cellStyle name="40% - Accent2 3 2 8" xfId="8791" xr:uid="{AFD984FA-3BF2-430C-B918-68A75D416F49}"/>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4B389A3D-72B4-4560-AF37-587A01F49408}"/>
    <cellStyle name="40% - Accent2 3 3 2 3" xfId="11349" xr:uid="{60BFE0E4-7B4E-42C5-AB58-50B5FAEDC2EC}"/>
    <cellStyle name="40% - Accent2 3 3 3" xfId="4980" xr:uid="{00000000-0005-0000-0000-0000CA040000}"/>
    <cellStyle name="40% - Accent2 3 3 3 2" xfId="13422" xr:uid="{524B8CC9-5421-4D7A-B497-751FCA521F1A}"/>
    <cellStyle name="40% - Accent2 3 3 4" xfId="9204" xr:uid="{F7661F9F-CC6A-4B5E-9DFA-DEFE48275EB0}"/>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09B94ED8-1C6D-41B3-A7C6-F4AC14647B27}"/>
    <cellStyle name="40% - Accent2 3 4 2 3" xfId="11762" xr:uid="{C740DDDC-7FEE-4BCA-B5DE-50EC801E3409}"/>
    <cellStyle name="40% - Accent2 3 4 3" xfId="5393" xr:uid="{00000000-0005-0000-0000-0000CE040000}"/>
    <cellStyle name="40% - Accent2 3 4 3 2" xfId="13835" xr:uid="{6FD45DF7-F122-4A8F-B046-624BD6F5FAEF}"/>
    <cellStyle name="40% - Accent2 3 4 4" xfId="9617" xr:uid="{B3C9645E-82B1-4901-99D3-9C80E76926DB}"/>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DA87EF99-2C28-424A-9D5B-AF7513604F3E}"/>
    <cellStyle name="40% - Accent2 3 5 2 3" xfId="12175" xr:uid="{3CED56AD-0A2C-435E-BC25-3E89CD0B68EB}"/>
    <cellStyle name="40% - Accent2 3 5 3" xfId="5806" xr:uid="{00000000-0005-0000-0000-0000D2040000}"/>
    <cellStyle name="40% - Accent2 3 5 3 2" xfId="14248" xr:uid="{D79428BE-2425-4721-ADD2-8803D08A164E}"/>
    <cellStyle name="40% - Accent2 3 5 4" xfId="10030" xr:uid="{05FC41B6-953B-4B9E-B082-B9F43CAC3106}"/>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0264D26E-A0FA-419B-A8AA-E06611E64EDE}"/>
    <cellStyle name="40% - Accent2 3 6 2 3" xfId="12588" xr:uid="{DD442B7E-6964-48D8-A6C9-742B739F4E28}"/>
    <cellStyle name="40% - Accent2 3 6 3" xfId="6219" xr:uid="{00000000-0005-0000-0000-0000D6040000}"/>
    <cellStyle name="40% - Accent2 3 6 3 2" xfId="14661" xr:uid="{5556D6FE-12C1-4D9A-8405-BA0BE33AE7E9}"/>
    <cellStyle name="40% - Accent2 3 6 4" xfId="10443" xr:uid="{E3F4697E-8BFF-442E-A64D-601370773787}"/>
    <cellStyle name="40% - Accent2 3 7" xfId="2325" xr:uid="{00000000-0005-0000-0000-0000D7040000}"/>
    <cellStyle name="40% - Accent2 3 7 2" xfId="6632" xr:uid="{00000000-0005-0000-0000-0000D8040000}"/>
    <cellStyle name="40% - Accent2 3 7 2 2" xfId="15074" xr:uid="{15E8910E-CD6D-4322-BC98-585D78AC6CD4}"/>
    <cellStyle name="40% - Accent2 3 7 3" xfId="10856" xr:uid="{463D365A-C77B-4C54-9386-12C52D33A437}"/>
    <cellStyle name="40% - Accent2 3 8" xfId="4566" xr:uid="{00000000-0005-0000-0000-0000D9040000}"/>
    <cellStyle name="40% - Accent2 3 8 2" xfId="13008" xr:uid="{945A0B1C-7E66-4827-9FCC-F96FF8956696}"/>
    <cellStyle name="40% - Accent2 3 9" xfId="8790" xr:uid="{86BBEFD7-31DF-4544-AAA3-272297F07FD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6F3543A5-C25B-4D76-9271-434AA773D33B}"/>
    <cellStyle name="40% - Accent2 4 2 2 3" xfId="11351" xr:uid="{70EA8795-5569-4141-A541-422B85F64F95}"/>
    <cellStyle name="40% - Accent2 4 2 3" xfId="4982" xr:uid="{00000000-0005-0000-0000-0000DE040000}"/>
    <cellStyle name="40% - Accent2 4 2 3 2" xfId="13424" xr:uid="{5BB24C71-3A91-4E2D-8DFA-B289AC3D3DB0}"/>
    <cellStyle name="40% - Accent2 4 2 4" xfId="9206" xr:uid="{10FC1E02-A8E8-4F7F-A951-7D417F8A4236}"/>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03981CFD-B390-4304-96A9-479A857438C3}"/>
    <cellStyle name="40% - Accent2 4 3 2 3" xfId="11764" xr:uid="{C36AA374-8EE8-40AA-9082-373103A4554A}"/>
    <cellStyle name="40% - Accent2 4 3 3" xfId="5395" xr:uid="{00000000-0005-0000-0000-0000E2040000}"/>
    <cellStyle name="40% - Accent2 4 3 3 2" xfId="13837" xr:uid="{7B191102-25F5-4185-9A6E-266B6F69229A}"/>
    <cellStyle name="40% - Accent2 4 3 4" xfId="9619" xr:uid="{6EF0484D-5348-4F72-B058-D925E04831D9}"/>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74CADB4D-B23B-46F4-BDBF-713802C116DD}"/>
    <cellStyle name="40% - Accent2 4 4 2 3" xfId="12177" xr:uid="{0BEE6194-76B1-4F20-9AFF-065842EC2C39}"/>
    <cellStyle name="40% - Accent2 4 4 3" xfId="5808" xr:uid="{00000000-0005-0000-0000-0000E6040000}"/>
    <cellStyle name="40% - Accent2 4 4 3 2" xfId="14250" xr:uid="{EA682E5F-89F6-47DA-B7BA-F5044CC0E13F}"/>
    <cellStyle name="40% - Accent2 4 4 4" xfId="10032" xr:uid="{8BB0CFF2-3AB6-482D-A282-A46D2E0C47EC}"/>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50F8E0C3-3C93-4B04-B4EE-818596EA287E}"/>
    <cellStyle name="40% - Accent2 4 5 2 3" xfId="12590" xr:uid="{85189F29-42D2-4BFA-9235-B95EC085B1BC}"/>
    <cellStyle name="40% - Accent2 4 5 3" xfId="6221" xr:uid="{00000000-0005-0000-0000-0000EA040000}"/>
    <cellStyle name="40% - Accent2 4 5 3 2" xfId="14663" xr:uid="{44F2EAAB-A5E6-4A27-AF3F-C6CF5DCD3253}"/>
    <cellStyle name="40% - Accent2 4 5 4" xfId="10445" xr:uid="{6E8DA8DF-CFCA-4967-8C57-B2C9D1C00FE0}"/>
    <cellStyle name="40% - Accent2 4 6" xfId="2327" xr:uid="{00000000-0005-0000-0000-0000EB040000}"/>
    <cellStyle name="40% - Accent2 4 6 2" xfId="6634" xr:uid="{00000000-0005-0000-0000-0000EC040000}"/>
    <cellStyle name="40% - Accent2 4 6 2 2" xfId="15076" xr:uid="{E9B94F08-393D-4A31-8361-3333D6038216}"/>
    <cellStyle name="40% - Accent2 4 6 3" xfId="10858" xr:uid="{F38CADD7-7B35-4387-B7ED-478B42CE9899}"/>
    <cellStyle name="40% - Accent2 4 7" xfId="4568" xr:uid="{00000000-0005-0000-0000-0000ED040000}"/>
    <cellStyle name="40% - Accent2 4 7 2" xfId="13010" xr:uid="{500C8D81-59A7-4F9C-9324-89D63347BCD8}"/>
    <cellStyle name="40% - Accent2 4 8" xfId="8792" xr:uid="{5281C2EB-1745-4D8B-8F22-30F8922B0E72}"/>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A04DC171-04CC-421E-BBC0-A35AFE93062A}"/>
    <cellStyle name="40% - Accent2 5 2 3" xfId="11344" xr:uid="{41041270-BFA0-49E6-96AD-D2072E719F59}"/>
    <cellStyle name="40% - Accent2 5 3" xfId="4975" xr:uid="{00000000-0005-0000-0000-0000F1040000}"/>
    <cellStyle name="40% - Accent2 5 3 2" xfId="13417" xr:uid="{1BF08EF7-576A-4169-A2A6-8A0FE81A2366}"/>
    <cellStyle name="40% - Accent2 5 4" xfId="9199" xr:uid="{3D7A8C8C-F956-4649-AA64-913A68AE8AE5}"/>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1DBF0385-2C38-4076-91BC-D265E4E66D54}"/>
    <cellStyle name="40% - Accent2 6 2 3" xfId="11757" xr:uid="{B3BB6A70-9BAF-4868-A055-4B2F4BBED70C}"/>
    <cellStyle name="40% - Accent2 6 3" xfId="5388" xr:uid="{00000000-0005-0000-0000-0000F5040000}"/>
    <cellStyle name="40% - Accent2 6 3 2" xfId="13830" xr:uid="{709C04B2-BBCB-4446-8C56-718ED487A3FE}"/>
    <cellStyle name="40% - Accent2 6 4" xfId="9612" xr:uid="{329EB818-EF9F-45EE-AE35-7693871429EB}"/>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F570EAF0-E7B3-4F68-A809-286C97740BBB}"/>
    <cellStyle name="40% - Accent2 7 2 3" xfId="12170" xr:uid="{9FD8FC12-D4C4-4EB8-8019-62007F1A752A}"/>
    <cellStyle name="40% - Accent2 7 3" xfId="5801" xr:uid="{00000000-0005-0000-0000-0000F9040000}"/>
    <cellStyle name="40% - Accent2 7 3 2" xfId="14243" xr:uid="{A912F75A-380C-4D95-BF82-A81E34B40513}"/>
    <cellStyle name="40% - Accent2 7 4" xfId="10025" xr:uid="{B5D9C099-2E2B-4471-B7E3-55B2C7B15A82}"/>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1A701919-EFB2-4B42-BAE6-EF8F07E50831}"/>
    <cellStyle name="40% - Accent2 8 2 3" xfId="12583" xr:uid="{C22DC292-EAFF-443B-A590-3B33B3863DB9}"/>
    <cellStyle name="40% - Accent2 8 3" xfId="6214" xr:uid="{00000000-0005-0000-0000-0000FD040000}"/>
    <cellStyle name="40% - Accent2 8 3 2" xfId="14656" xr:uid="{E2D45B4E-2452-4355-99CB-D8C7E6222575}"/>
    <cellStyle name="40% - Accent2 8 4" xfId="10438" xr:uid="{88373242-A2D7-4753-B0EB-FCF74C06BC52}"/>
    <cellStyle name="40% - Accent2 9" xfId="2320" xr:uid="{00000000-0005-0000-0000-0000FE040000}"/>
    <cellStyle name="40% - Accent2 9 2" xfId="6627" xr:uid="{00000000-0005-0000-0000-0000FF040000}"/>
    <cellStyle name="40% - Accent2 9 2 2" xfId="15069" xr:uid="{CC02B8A2-E7A5-4A04-A10D-57AEC9D7280F}"/>
    <cellStyle name="40% - Accent2 9 3" xfId="10851" xr:uid="{54ACD0AD-0BB6-4FBD-8838-92ACC4DC49BB}"/>
    <cellStyle name="40% - Accent3" xfId="65" builtinId="39" customBuiltin="1"/>
    <cellStyle name="40% - Accent3 10" xfId="4569" xr:uid="{00000000-0005-0000-0000-000001050000}"/>
    <cellStyle name="40% - Accent3 10 2" xfId="13011" xr:uid="{46E28EAE-8308-4CBF-B9EE-783C732C1969}"/>
    <cellStyle name="40% - Accent3 11" xfId="8793" xr:uid="{B131A3BE-3671-4424-AD02-26744E0A0BAB}"/>
    <cellStyle name="40% - Accent3 2" xfId="66" xr:uid="{00000000-0005-0000-0000-000002050000}"/>
    <cellStyle name="40% - Accent3 2 10" xfId="8794" xr:uid="{3B0EB7C8-CF6F-4C25-96BB-05198A0779DF}"/>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984A65E8-E54B-47C6-AE76-BBCD74814642}"/>
    <cellStyle name="40% - Accent3 2 2 2 2 2 3" xfId="11355" xr:uid="{537849FD-21A9-480B-BFFA-A462D2693255}"/>
    <cellStyle name="40% - Accent3 2 2 2 2 3" xfId="4986" xr:uid="{00000000-0005-0000-0000-000008050000}"/>
    <cellStyle name="40% - Accent3 2 2 2 2 3 2" xfId="13428" xr:uid="{5F56D05C-9BD6-4F93-AD38-116357C74BA0}"/>
    <cellStyle name="40% - Accent3 2 2 2 2 4" xfId="9210" xr:uid="{EAF022F0-40AF-4E0F-9D6D-D1E9874F4A25}"/>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0C96674E-7DD8-43B1-B6B2-FA4B15EC1738}"/>
    <cellStyle name="40% - Accent3 2 2 2 3 2 3" xfId="11768" xr:uid="{0244D43B-479A-45AF-8F7C-0E0B166F7ED6}"/>
    <cellStyle name="40% - Accent3 2 2 2 3 3" xfId="5399" xr:uid="{00000000-0005-0000-0000-00000C050000}"/>
    <cellStyle name="40% - Accent3 2 2 2 3 3 2" xfId="13841" xr:uid="{DAB8C0F0-3EC8-4123-A8B6-5E899176CE3A}"/>
    <cellStyle name="40% - Accent3 2 2 2 3 4" xfId="9623" xr:uid="{7A7C1781-A7BF-48B9-9A9F-DA5E4EAD709B}"/>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EC2DDE8A-9884-41D1-AB79-89A5A72120B5}"/>
    <cellStyle name="40% - Accent3 2 2 2 4 2 3" xfId="12181" xr:uid="{16FCEFD7-0EF5-40A3-A1E0-F98C8B7702AF}"/>
    <cellStyle name="40% - Accent3 2 2 2 4 3" xfId="5812" xr:uid="{00000000-0005-0000-0000-000010050000}"/>
    <cellStyle name="40% - Accent3 2 2 2 4 3 2" xfId="14254" xr:uid="{84D0136D-AB37-4193-9638-43E1A51DF7D5}"/>
    <cellStyle name="40% - Accent3 2 2 2 4 4" xfId="10036" xr:uid="{2AE6D36C-BF21-4017-B5C5-E89B7A738FB9}"/>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FDCB4C56-5808-4F55-90D5-863687A6EDBE}"/>
    <cellStyle name="40% - Accent3 2 2 2 5 2 3" xfId="12594" xr:uid="{194CD76D-9621-4A02-BC72-67C3D1EAD29A}"/>
    <cellStyle name="40% - Accent3 2 2 2 5 3" xfId="6225" xr:uid="{00000000-0005-0000-0000-000014050000}"/>
    <cellStyle name="40% - Accent3 2 2 2 5 3 2" xfId="14667" xr:uid="{BB6F7A12-61F3-47C9-A7E7-0FC74B0AD3BB}"/>
    <cellStyle name="40% - Accent3 2 2 2 5 4" xfId="10449" xr:uid="{E2D8DB73-0250-4782-B7E4-F4E342A69D52}"/>
    <cellStyle name="40% - Accent3 2 2 2 6" xfId="2331" xr:uid="{00000000-0005-0000-0000-000015050000}"/>
    <cellStyle name="40% - Accent3 2 2 2 6 2" xfId="6638" xr:uid="{00000000-0005-0000-0000-000016050000}"/>
    <cellStyle name="40% - Accent3 2 2 2 6 2 2" xfId="15080" xr:uid="{46702B4E-4962-4E56-9EAC-9683627FA837}"/>
    <cellStyle name="40% - Accent3 2 2 2 6 3" xfId="10862" xr:uid="{D6730A00-9EA2-4BE7-AFF4-C26A2C72AC2E}"/>
    <cellStyle name="40% - Accent3 2 2 2 7" xfId="4572" xr:uid="{00000000-0005-0000-0000-000017050000}"/>
    <cellStyle name="40% - Accent3 2 2 2 7 2" xfId="13014" xr:uid="{3FD3AFC0-1D13-4BEE-9FAD-6B827A71A9F0}"/>
    <cellStyle name="40% - Accent3 2 2 2 8" xfId="8796" xr:uid="{CD088DCD-1F11-4DDA-B069-4DA747F2AE6C}"/>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D976E5BA-24BD-49E7-B478-34E20E2D1ED6}"/>
    <cellStyle name="40% - Accent3 2 2 3 2 3" xfId="11354" xr:uid="{281129FB-DDFA-43A6-97F2-F75810FF65A8}"/>
    <cellStyle name="40% - Accent3 2 2 3 3" xfId="4985" xr:uid="{00000000-0005-0000-0000-00001B050000}"/>
    <cellStyle name="40% - Accent3 2 2 3 3 2" xfId="13427" xr:uid="{EDECFC61-735F-4DDC-B0BA-BF89C728AA61}"/>
    <cellStyle name="40% - Accent3 2 2 3 4" xfId="9209" xr:uid="{524808B6-79FA-4D17-B3FA-6A63C2EB3ABE}"/>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A9559CAD-F4C4-4A19-AD7F-8D57BEAFCC3B}"/>
    <cellStyle name="40% - Accent3 2 2 4 2 3" xfId="11767" xr:uid="{51B62F50-F64E-4D91-B97B-8939AD817F59}"/>
    <cellStyle name="40% - Accent3 2 2 4 3" xfId="5398" xr:uid="{00000000-0005-0000-0000-00001F050000}"/>
    <cellStyle name="40% - Accent3 2 2 4 3 2" xfId="13840" xr:uid="{87B5D382-E46B-4F50-BAA9-BC1F82336330}"/>
    <cellStyle name="40% - Accent3 2 2 4 4" xfId="9622" xr:uid="{25B9771C-2F11-4662-88E7-DAF508656C68}"/>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35210DEE-7259-4838-A511-1F3BE345C670}"/>
    <cellStyle name="40% - Accent3 2 2 5 2 3" xfId="12180" xr:uid="{016E1F05-7E1C-47EA-BC30-87524150EAF4}"/>
    <cellStyle name="40% - Accent3 2 2 5 3" xfId="5811" xr:uid="{00000000-0005-0000-0000-000023050000}"/>
    <cellStyle name="40% - Accent3 2 2 5 3 2" xfId="14253" xr:uid="{7ED0C70C-9084-4A25-9A27-F22635D0390C}"/>
    <cellStyle name="40% - Accent3 2 2 5 4" xfId="10035" xr:uid="{EBDDEE9A-8D14-4F8E-B549-96F07E9119D6}"/>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5DEE8DB1-701E-441E-BD63-E87CA618CE59}"/>
    <cellStyle name="40% - Accent3 2 2 6 2 3" xfId="12593" xr:uid="{17A7BF60-3B80-423A-8B1A-55F943B46C48}"/>
    <cellStyle name="40% - Accent3 2 2 6 3" xfId="6224" xr:uid="{00000000-0005-0000-0000-000027050000}"/>
    <cellStyle name="40% - Accent3 2 2 6 3 2" xfId="14666" xr:uid="{33747629-2E2B-44ED-9FB6-F3409A0D88B9}"/>
    <cellStyle name="40% - Accent3 2 2 6 4" xfId="10448" xr:uid="{17BABE0E-81C6-411F-BCF4-39F9D43E7089}"/>
    <cellStyle name="40% - Accent3 2 2 7" xfId="2330" xr:uid="{00000000-0005-0000-0000-000028050000}"/>
    <cellStyle name="40% - Accent3 2 2 7 2" xfId="6637" xr:uid="{00000000-0005-0000-0000-000029050000}"/>
    <cellStyle name="40% - Accent3 2 2 7 2 2" xfId="15079" xr:uid="{3089EE45-E338-4F89-984F-62A000151FFB}"/>
    <cellStyle name="40% - Accent3 2 2 7 3" xfId="10861" xr:uid="{64C58024-BF11-473A-80DF-5BD21EB1296E}"/>
    <cellStyle name="40% - Accent3 2 2 8" xfId="4571" xr:uid="{00000000-0005-0000-0000-00002A050000}"/>
    <cellStyle name="40% - Accent3 2 2 8 2" xfId="13013" xr:uid="{7E10B001-BEA2-447A-AA41-90DA71193B87}"/>
    <cellStyle name="40% - Accent3 2 2 9" xfId="8795" xr:uid="{8DDCC58B-8B64-4E6A-AFB7-A1F52B235ED1}"/>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FB4C6266-D982-4EBF-9043-D4D403EF0FCC}"/>
    <cellStyle name="40% - Accent3 2 3 2 2 3" xfId="11356" xr:uid="{2F4B9193-03CD-4137-8CF3-CC710EF54141}"/>
    <cellStyle name="40% - Accent3 2 3 2 3" xfId="4987" xr:uid="{00000000-0005-0000-0000-00002F050000}"/>
    <cellStyle name="40% - Accent3 2 3 2 3 2" xfId="13429" xr:uid="{014624DB-9E03-4D09-9132-A425A7203384}"/>
    <cellStyle name="40% - Accent3 2 3 2 4" xfId="9211" xr:uid="{0AA425B1-499E-4C50-9BAF-25F2318817E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B3F65665-E204-444D-A0FE-6122FE9A2261}"/>
    <cellStyle name="40% - Accent3 2 3 3 2 3" xfId="11769" xr:uid="{F7F03860-5AEB-4006-B55E-02F22F15AE62}"/>
    <cellStyle name="40% - Accent3 2 3 3 3" xfId="5400" xr:uid="{00000000-0005-0000-0000-000033050000}"/>
    <cellStyle name="40% - Accent3 2 3 3 3 2" xfId="13842" xr:uid="{AB1A10C4-EED5-4506-9308-610B994445EB}"/>
    <cellStyle name="40% - Accent3 2 3 3 4" xfId="9624" xr:uid="{F94EC869-87FA-463A-8AA1-DD304B030549}"/>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BC852130-0F75-4B7D-B4FE-A0A2088809E0}"/>
    <cellStyle name="40% - Accent3 2 3 4 2 3" xfId="12182" xr:uid="{D482166A-3382-4EF4-BF8C-1B8E1BFE81E0}"/>
    <cellStyle name="40% - Accent3 2 3 4 3" xfId="5813" xr:uid="{00000000-0005-0000-0000-000037050000}"/>
    <cellStyle name="40% - Accent3 2 3 4 3 2" xfId="14255" xr:uid="{B3F2674C-AB9D-4E5B-9A13-2BC6AF913E34}"/>
    <cellStyle name="40% - Accent3 2 3 4 4" xfId="10037" xr:uid="{6D840B33-14D2-40A5-B958-65FF8293274A}"/>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5436688F-23C4-457E-ADC3-8AE6E868BCB5}"/>
    <cellStyle name="40% - Accent3 2 3 5 2 3" xfId="12595" xr:uid="{FEBDDA36-A99C-42B7-8723-B79E84A39E26}"/>
    <cellStyle name="40% - Accent3 2 3 5 3" xfId="6226" xr:uid="{00000000-0005-0000-0000-00003B050000}"/>
    <cellStyle name="40% - Accent3 2 3 5 3 2" xfId="14668" xr:uid="{0A1535B5-BF87-450A-9F4C-AF74BB707AA7}"/>
    <cellStyle name="40% - Accent3 2 3 5 4" xfId="10450" xr:uid="{F93089AD-9D05-41D4-B6AB-540BD9A7AE81}"/>
    <cellStyle name="40% - Accent3 2 3 6" xfId="2332" xr:uid="{00000000-0005-0000-0000-00003C050000}"/>
    <cellStyle name="40% - Accent3 2 3 6 2" xfId="6639" xr:uid="{00000000-0005-0000-0000-00003D050000}"/>
    <cellStyle name="40% - Accent3 2 3 6 2 2" xfId="15081" xr:uid="{BC2DBC46-93CE-4D10-A1D4-6B12E1F99528}"/>
    <cellStyle name="40% - Accent3 2 3 6 3" xfId="10863" xr:uid="{EEB63502-3903-480F-965E-5ADB07C3C693}"/>
    <cellStyle name="40% - Accent3 2 3 7" xfId="4573" xr:uid="{00000000-0005-0000-0000-00003E050000}"/>
    <cellStyle name="40% - Accent3 2 3 7 2" xfId="13015" xr:uid="{F0BE4281-377E-426A-8839-1A251297684F}"/>
    <cellStyle name="40% - Accent3 2 3 8" xfId="8797" xr:uid="{2DCB02B3-924E-4E80-8B81-B2BEE1287DB3}"/>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B46CE6E2-4E9F-45F6-9FC9-87357BCE5020}"/>
    <cellStyle name="40% - Accent3 2 4 2 3" xfId="11353" xr:uid="{7874B44F-FACC-4FDA-AD25-610C7276D712}"/>
    <cellStyle name="40% - Accent3 2 4 3" xfId="4984" xr:uid="{00000000-0005-0000-0000-000042050000}"/>
    <cellStyle name="40% - Accent3 2 4 3 2" xfId="13426" xr:uid="{430A1C41-A661-4EC0-AAFE-8A44F9AB33FF}"/>
    <cellStyle name="40% - Accent3 2 4 4" xfId="9208" xr:uid="{FAAB2EEB-9473-4338-87F7-67542013A2AE}"/>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40CE64A2-CAFB-4F66-A484-1C689960CA8D}"/>
    <cellStyle name="40% - Accent3 2 5 2 3" xfId="11766" xr:uid="{91EE4571-FC5B-4F39-B68F-C7BE99EEF9D0}"/>
    <cellStyle name="40% - Accent3 2 5 3" xfId="5397" xr:uid="{00000000-0005-0000-0000-000046050000}"/>
    <cellStyle name="40% - Accent3 2 5 3 2" xfId="13839" xr:uid="{35CA35FD-92FD-4616-9449-D64293C5615C}"/>
    <cellStyle name="40% - Accent3 2 5 4" xfId="9621" xr:uid="{A5E6EA52-2DEA-4295-9BBC-7166CBE257AC}"/>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5B9EBEF3-E9C2-4B4F-8379-18DD043BDF01}"/>
    <cellStyle name="40% - Accent3 2 6 2 3" xfId="12179" xr:uid="{92BA2F9C-E25E-4C22-B598-C9D79DC7906D}"/>
    <cellStyle name="40% - Accent3 2 6 3" xfId="5810" xr:uid="{00000000-0005-0000-0000-00004A050000}"/>
    <cellStyle name="40% - Accent3 2 6 3 2" xfId="14252" xr:uid="{50EFF924-2B65-4682-982F-6B86F77785F9}"/>
    <cellStyle name="40% - Accent3 2 6 4" xfId="10034" xr:uid="{47CC7791-C9D0-47D1-9DE4-1F3E31040791}"/>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51E973F8-596C-4CDE-ABDD-F7EA2C99762B}"/>
    <cellStyle name="40% - Accent3 2 7 2 3" xfId="12592" xr:uid="{8DAF78EC-DE37-4390-9EBC-4F1AF576D928}"/>
    <cellStyle name="40% - Accent3 2 7 3" xfId="6223" xr:uid="{00000000-0005-0000-0000-00004E050000}"/>
    <cellStyle name="40% - Accent3 2 7 3 2" xfId="14665" xr:uid="{8A8B12BD-300C-444C-9314-0AEAE495AE26}"/>
    <cellStyle name="40% - Accent3 2 7 4" xfId="10447" xr:uid="{0E675DC1-2D81-4F3B-BC92-228782192D04}"/>
    <cellStyle name="40% - Accent3 2 8" xfId="2329" xr:uid="{00000000-0005-0000-0000-00004F050000}"/>
    <cellStyle name="40% - Accent3 2 8 2" xfId="6636" xr:uid="{00000000-0005-0000-0000-000050050000}"/>
    <cellStyle name="40% - Accent3 2 8 2 2" xfId="15078" xr:uid="{88BD4761-6B75-4C9D-9742-1412E8FF6968}"/>
    <cellStyle name="40% - Accent3 2 8 3" xfId="10860" xr:uid="{1166892C-3920-4E87-A85F-ECB51FFA40E0}"/>
    <cellStyle name="40% - Accent3 2 9" xfId="4570" xr:uid="{00000000-0005-0000-0000-000051050000}"/>
    <cellStyle name="40% - Accent3 2 9 2" xfId="13012" xr:uid="{8B27C6A6-05DF-4E3B-931F-71DBFCD0011A}"/>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7C89BCCB-2550-4726-AA11-06FCA79C57C1}"/>
    <cellStyle name="40% - Accent3 3 2 2 2 3" xfId="11358" xr:uid="{9A78729A-D41B-462E-9FED-6F69D019F7C7}"/>
    <cellStyle name="40% - Accent3 3 2 2 3" xfId="4989" xr:uid="{00000000-0005-0000-0000-000057050000}"/>
    <cellStyle name="40% - Accent3 3 2 2 3 2" xfId="13431" xr:uid="{B313D1CF-FAE9-43EE-A68E-00061855CC79}"/>
    <cellStyle name="40% - Accent3 3 2 2 4" xfId="9213" xr:uid="{2FC66A83-47F7-41C5-977D-365A0726A43C}"/>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F7EBB4E0-95CF-45BA-A317-ABE7DE145739}"/>
    <cellStyle name="40% - Accent3 3 2 3 2 3" xfId="11771" xr:uid="{6E4BDDE3-EA4B-47E6-9A8B-4C36A8E18BC9}"/>
    <cellStyle name="40% - Accent3 3 2 3 3" xfId="5402" xr:uid="{00000000-0005-0000-0000-00005B050000}"/>
    <cellStyle name="40% - Accent3 3 2 3 3 2" xfId="13844" xr:uid="{3B083BCE-9E96-4913-9A77-22C90DF7C8B9}"/>
    <cellStyle name="40% - Accent3 3 2 3 4" xfId="9626" xr:uid="{2FA0AA6C-D336-4BB2-AA6B-FC65F42DA2F7}"/>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2D71FA7D-3EB3-4DF9-B1D0-29DB4E4A9FA4}"/>
    <cellStyle name="40% - Accent3 3 2 4 2 3" xfId="12184" xr:uid="{08CF347E-56CD-4021-AF5B-0488551F4DAF}"/>
    <cellStyle name="40% - Accent3 3 2 4 3" xfId="5815" xr:uid="{00000000-0005-0000-0000-00005F050000}"/>
    <cellStyle name="40% - Accent3 3 2 4 3 2" xfId="14257" xr:uid="{D1D46ADB-5E1B-4A53-B9B1-FADC09C7329B}"/>
    <cellStyle name="40% - Accent3 3 2 4 4" xfId="10039" xr:uid="{AB890AE2-18C6-4E56-916B-DEB928CE46B8}"/>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532FE160-ABD4-43A7-88EB-34AB59EE9772}"/>
    <cellStyle name="40% - Accent3 3 2 5 2 3" xfId="12597" xr:uid="{08F66580-8AE2-45C8-8682-9D665BCEC132}"/>
    <cellStyle name="40% - Accent3 3 2 5 3" xfId="6228" xr:uid="{00000000-0005-0000-0000-000063050000}"/>
    <cellStyle name="40% - Accent3 3 2 5 3 2" xfId="14670" xr:uid="{A9CD4A97-DC65-4E65-896E-ED354855CA79}"/>
    <cellStyle name="40% - Accent3 3 2 5 4" xfId="10452" xr:uid="{27454DFE-FDFD-4E7E-92BF-1045B7AC9E50}"/>
    <cellStyle name="40% - Accent3 3 2 6" xfId="2334" xr:uid="{00000000-0005-0000-0000-000064050000}"/>
    <cellStyle name="40% - Accent3 3 2 6 2" xfId="6641" xr:uid="{00000000-0005-0000-0000-000065050000}"/>
    <cellStyle name="40% - Accent3 3 2 6 2 2" xfId="15083" xr:uid="{22BB817A-A234-4438-98BA-583207FCD8C8}"/>
    <cellStyle name="40% - Accent3 3 2 6 3" xfId="10865" xr:uid="{E4FB440A-A0B0-4F3E-B7B6-F28FE9841BF7}"/>
    <cellStyle name="40% - Accent3 3 2 7" xfId="4575" xr:uid="{00000000-0005-0000-0000-000066050000}"/>
    <cellStyle name="40% - Accent3 3 2 7 2" xfId="13017" xr:uid="{FDC93AD6-8988-4F22-958D-4289B69C8964}"/>
    <cellStyle name="40% - Accent3 3 2 8" xfId="8799" xr:uid="{EA9D1192-7A93-463D-B39D-2008D99EFC36}"/>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1E98F9E6-157E-4656-8341-89A5B9DDA91E}"/>
    <cellStyle name="40% - Accent3 3 3 2 3" xfId="11357" xr:uid="{B97775E9-DA05-4892-8DDE-247B92419B59}"/>
    <cellStyle name="40% - Accent3 3 3 3" xfId="4988" xr:uid="{00000000-0005-0000-0000-00006A050000}"/>
    <cellStyle name="40% - Accent3 3 3 3 2" xfId="13430" xr:uid="{8C9352FB-3F44-4163-85D7-8069A78B97F6}"/>
    <cellStyle name="40% - Accent3 3 3 4" xfId="9212" xr:uid="{2F89F0C1-B9A5-4496-866C-6E20E89631FC}"/>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2304360D-337E-42A9-8FB4-7394B1BF10CD}"/>
    <cellStyle name="40% - Accent3 3 4 2 3" xfId="11770" xr:uid="{10DC5D1F-417C-44D7-BA00-480D2F465B31}"/>
    <cellStyle name="40% - Accent3 3 4 3" xfId="5401" xr:uid="{00000000-0005-0000-0000-00006E050000}"/>
    <cellStyle name="40% - Accent3 3 4 3 2" xfId="13843" xr:uid="{B8BA2C33-BD65-4F9A-BE03-E27801FA0CE9}"/>
    <cellStyle name="40% - Accent3 3 4 4" xfId="9625" xr:uid="{F1908A0A-399E-4F6E-AC6F-A6BE53BB6105}"/>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379BE0F3-67DD-4AC4-B029-6B7F218460E0}"/>
    <cellStyle name="40% - Accent3 3 5 2 3" xfId="12183" xr:uid="{6F46DC3D-8FA6-4531-9337-7F21A4D889FC}"/>
    <cellStyle name="40% - Accent3 3 5 3" xfId="5814" xr:uid="{00000000-0005-0000-0000-000072050000}"/>
    <cellStyle name="40% - Accent3 3 5 3 2" xfId="14256" xr:uid="{E06B2DEA-F2DB-4053-BAAF-6C2C027F7E28}"/>
    <cellStyle name="40% - Accent3 3 5 4" xfId="10038" xr:uid="{587FC784-A2A5-47F5-B381-AB6416DA2C5C}"/>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E1480633-DD8D-4714-8590-7FFA745FE2E6}"/>
    <cellStyle name="40% - Accent3 3 6 2 3" xfId="12596" xr:uid="{2BC1855E-1F11-4D6F-980E-B3955E4A0A6D}"/>
    <cellStyle name="40% - Accent3 3 6 3" xfId="6227" xr:uid="{00000000-0005-0000-0000-000076050000}"/>
    <cellStyle name="40% - Accent3 3 6 3 2" xfId="14669" xr:uid="{00CCBB49-A2D5-4986-9628-F831267B682A}"/>
    <cellStyle name="40% - Accent3 3 6 4" xfId="10451" xr:uid="{9F51FF1A-C043-49FA-96D4-B2EE4E675F3C}"/>
    <cellStyle name="40% - Accent3 3 7" xfId="2333" xr:uid="{00000000-0005-0000-0000-000077050000}"/>
    <cellStyle name="40% - Accent3 3 7 2" xfId="6640" xr:uid="{00000000-0005-0000-0000-000078050000}"/>
    <cellStyle name="40% - Accent3 3 7 2 2" xfId="15082" xr:uid="{5224B2A9-81CB-4FC3-9CBB-83C721A444E3}"/>
    <cellStyle name="40% - Accent3 3 7 3" xfId="10864" xr:uid="{11109FBA-A58F-415D-AF7F-E7667B6C855E}"/>
    <cellStyle name="40% - Accent3 3 8" xfId="4574" xr:uid="{00000000-0005-0000-0000-000079050000}"/>
    <cellStyle name="40% - Accent3 3 8 2" xfId="13016" xr:uid="{1630573C-8186-4E23-ACA2-692321CE93E9}"/>
    <cellStyle name="40% - Accent3 3 9" xfId="8798" xr:uid="{6B7F2CFB-C66D-4031-B5C6-916FEF584929}"/>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46C22E9D-7E9E-4AE9-9739-41F14605959E}"/>
    <cellStyle name="40% - Accent3 4 2 2 3" xfId="11359" xr:uid="{2E2D1DF0-7BCC-4685-A364-488D5D4098FB}"/>
    <cellStyle name="40% - Accent3 4 2 3" xfId="4990" xr:uid="{00000000-0005-0000-0000-00007E050000}"/>
    <cellStyle name="40% - Accent3 4 2 3 2" xfId="13432" xr:uid="{84A58CE0-4353-4EED-BC57-85A367F7BC18}"/>
    <cellStyle name="40% - Accent3 4 2 4" xfId="9214" xr:uid="{52E3D919-BC3F-4591-8C4A-C904FF72CA67}"/>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EC9F9C4D-B088-471E-A4E3-87925E7AF13A}"/>
    <cellStyle name="40% - Accent3 4 3 2 3" xfId="11772" xr:uid="{775E9802-DCA0-49CD-98BC-75D186E6611D}"/>
    <cellStyle name="40% - Accent3 4 3 3" xfId="5403" xr:uid="{00000000-0005-0000-0000-000082050000}"/>
    <cellStyle name="40% - Accent3 4 3 3 2" xfId="13845" xr:uid="{B75D0710-80CD-4DD5-BAB0-49D6C79AC33A}"/>
    <cellStyle name="40% - Accent3 4 3 4" xfId="9627" xr:uid="{56D2CD78-C0E9-42D1-84D0-D25302F3E5D6}"/>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EBE08DC7-039E-4FE9-84E9-7E7F247A3C71}"/>
    <cellStyle name="40% - Accent3 4 4 2 3" xfId="12185" xr:uid="{7672B995-D72B-4213-A1A1-D5466C11DB71}"/>
    <cellStyle name="40% - Accent3 4 4 3" xfId="5816" xr:uid="{00000000-0005-0000-0000-000086050000}"/>
    <cellStyle name="40% - Accent3 4 4 3 2" xfId="14258" xr:uid="{6FA9222B-B5E1-4CE5-B5C7-8630D28452DF}"/>
    <cellStyle name="40% - Accent3 4 4 4" xfId="10040" xr:uid="{56D29D96-E1C7-4658-9EEE-1446CCB8612E}"/>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9C2C9223-54E6-4E6C-A185-E34C40FEE980}"/>
    <cellStyle name="40% - Accent3 4 5 2 3" xfId="12598" xr:uid="{BFD51C12-ED1E-4D64-BCF2-4626610CC86E}"/>
    <cellStyle name="40% - Accent3 4 5 3" xfId="6229" xr:uid="{00000000-0005-0000-0000-00008A050000}"/>
    <cellStyle name="40% - Accent3 4 5 3 2" xfId="14671" xr:uid="{DA5DC82C-EAFE-4F7C-ABDB-6B6AA7A99935}"/>
    <cellStyle name="40% - Accent3 4 5 4" xfId="10453" xr:uid="{BCD11088-1617-4A3C-B98F-CE92F5FD0417}"/>
    <cellStyle name="40% - Accent3 4 6" xfId="2335" xr:uid="{00000000-0005-0000-0000-00008B050000}"/>
    <cellStyle name="40% - Accent3 4 6 2" xfId="6642" xr:uid="{00000000-0005-0000-0000-00008C050000}"/>
    <cellStyle name="40% - Accent3 4 6 2 2" xfId="15084" xr:uid="{E92DB345-E9D7-4079-B830-3778379B1B61}"/>
    <cellStyle name="40% - Accent3 4 6 3" xfId="10866" xr:uid="{CFAA4D6D-B013-4969-8E2F-E57DB390A3F0}"/>
    <cellStyle name="40% - Accent3 4 7" xfId="4576" xr:uid="{00000000-0005-0000-0000-00008D050000}"/>
    <cellStyle name="40% - Accent3 4 7 2" xfId="13018" xr:uid="{AD85FF34-A608-478D-9B96-5FDA47229304}"/>
    <cellStyle name="40% - Accent3 4 8" xfId="8800" xr:uid="{63E5CFD6-1D0B-4C18-AA7C-D5F5B6395499}"/>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27F79F84-084B-42B2-BE1D-75A5E8BFE169}"/>
    <cellStyle name="40% - Accent3 5 2 3" xfId="11352" xr:uid="{47F18ED3-434D-4DB9-BB6D-501FC08B7A95}"/>
    <cellStyle name="40% - Accent3 5 3" xfId="4983" xr:uid="{00000000-0005-0000-0000-000091050000}"/>
    <cellStyle name="40% - Accent3 5 3 2" xfId="13425" xr:uid="{16CAE35E-CDDA-4799-8BFB-5BC707545913}"/>
    <cellStyle name="40% - Accent3 5 4" xfId="9207" xr:uid="{9F4C42D5-90AF-4177-A826-320E9119ED82}"/>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1A0DEA21-A9CB-41F6-A0CA-CFEFB0F60588}"/>
    <cellStyle name="40% - Accent3 6 2 3" xfId="11765" xr:uid="{051E3477-98DE-4609-BE06-AF67783AC6A3}"/>
    <cellStyle name="40% - Accent3 6 3" xfId="5396" xr:uid="{00000000-0005-0000-0000-000095050000}"/>
    <cellStyle name="40% - Accent3 6 3 2" xfId="13838" xr:uid="{655CA032-168D-4DDE-B1A2-F64B96A424E1}"/>
    <cellStyle name="40% - Accent3 6 4" xfId="9620" xr:uid="{3B111D61-BBED-4095-B8D5-9342F9E287B5}"/>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3D00918C-625E-4B8D-A577-06DF1D71A544}"/>
    <cellStyle name="40% - Accent3 7 2 3" xfId="12178" xr:uid="{0764DE4B-4545-47C4-B7BA-1694AE53B1B2}"/>
    <cellStyle name="40% - Accent3 7 3" xfId="5809" xr:uid="{00000000-0005-0000-0000-000099050000}"/>
    <cellStyle name="40% - Accent3 7 3 2" xfId="14251" xr:uid="{9538A39D-5B66-4542-90C5-E258CA20624D}"/>
    <cellStyle name="40% - Accent3 7 4" xfId="10033" xr:uid="{B26E174E-ED6D-48AF-AE62-FD492E693DEA}"/>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D45E830B-7DDD-4182-AD88-DCB249D1BB07}"/>
    <cellStyle name="40% - Accent3 8 2 3" xfId="12591" xr:uid="{A2D016B7-3DB0-418E-9A73-F04AF8D2AA90}"/>
    <cellStyle name="40% - Accent3 8 3" xfId="6222" xr:uid="{00000000-0005-0000-0000-00009D050000}"/>
    <cellStyle name="40% - Accent3 8 3 2" xfId="14664" xr:uid="{98FF062A-AA86-40BD-90D0-F278900230ED}"/>
    <cellStyle name="40% - Accent3 8 4" xfId="10446" xr:uid="{0D89CD0B-6E83-49BF-BFC7-4248CD757BD3}"/>
    <cellStyle name="40% - Accent3 9" xfId="2328" xr:uid="{00000000-0005-0000-0000-00009E050000}"/>
    <cellStyle name="40% - Accent3 9 2" xfId="6635" xr:uid="{00000000-0005-0000-0000-00009F050000}"/>
    <cellStyle name="40% - Accent3 9 2 2" xfId="15077" xr:uid="{1C8D3979-530D-4F81-874E-D2A9C1F04FE5}"/>
    <cellStyle name="40% - Accent3 9 3" xfId="10859" xr:uid="{93C02D36-D92C-45A8-AF99-E4A5744BFDAF}"/>
    <cellStyle name="40% - Accent4" xfId="73" builtinId="43" customBuiltin="1"/>
    <cellStyle name="40% - Accent4 10" xfId="4577" xr:uid="{00000000-0005-0000-0000-0000A1050000}"/>
    <cellStyle name="40% - Accent4 10 2" xfId="13019" xr:uid="{7E3800D7-7A3E-4946-B1B9-B9C3CD0409C7}"/>
    <cellStyle name="40% - Accent4 11" xfId="8801" xr:uid="{E0B094F7-4279-4F25-A210-73E1D7648A09}"/>
    <cellStyle name="40% - Accent4 2" xfId="74" xr:uid="{00000000-0005-0000-0000-0000A2050000}"/>
    <cellStyle name="40% - Accent4 2 10" xfId="8802" xr:uid="{DB00C820-FC62-4ADD-9FA0-6CFD7996E388}"/>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E75D2092-7152-4F56-8FDA-0E4B771C2836}"/>
    <cellStyle name="40% - Accent4 2 2 2 2 2 3" xfId="11363" xr:uid="{13D74665-C4FD-42E9-8A13-D07FFC6927FB}"/>
    <cellStyle name="40% - Accent4 2 2 2 2 3" xfId="4994" xr:uid="{00000000-0005-0000-0000-0000A8050000}"/>
    <cellStyle name="40% - Accent4 2 2 2 2 3 2" xfId="13436" xr:uid="{51DDA546-B452-4EA6-9E3D-AB5C6E706F04}"/>
    <cellStyle name="40% - Accent4 2 2 2 2 4" xfId="9218" xr:uid="{C3BF0A2D-9750-4CE4-ADD5-DE71A0B5F2FC}"/>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704908D0-6297-4892-B40C-DD53910F3C0F}"/>
    <cellStyle name="40% - Accent4 2 2 2 3 2 3" xfId="11776" xr:uid="{0EB6C1DB-11BB-4B1C-B93B-E6E06AF44AC2}"/>
    <cellStyle name="40% - Accent4 2 2 2 3 3" xfId="5407" xr:uid="{00000000-0005-0000-0000-0000AC050000}"/>
    <cellStyle name="40% - Accent4 2 2 2 3 3 2" xfId="13849" xr:uid="{390112D9-FD55-4792-B1EE-087A4C16F03C}"/>
    <cellStyle name="40% - Accent4 2 2 2 3 4" xfId="9631" xr:uid="{15C5D522-EED1-47B5-9D26-874B583E6869}"/>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D0822B2F-D86E-4EF9-8A13-23363CC45986}"/>
    <cellStyle name="40% - Accent4 2 2 2 4 2 3" xfId="12189" xr:uid="{BAD1CFBE-3847-4C6A-ACFB-85D373049D2D}"/>
    <cellStyle name="40% - Accent4 2 2 2 4 3" xfId="5820" xr:uid="{00000000-0005-0000-0000-0000B0050000}"/>
    <cellStyle name="40% - Accent4 2 2 2 4 3 2" xfId="14262" xr:uid="{7641E542-4543-43F0-9A31-42AE0A531EA5}"/>
    <cellStyle name="40% - Accent4 2 2 2 4 4" xfId="10044" xr:uid="{2D39478A-1F62-473A-B760-A7FA57B2B88B}"/>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A96AE663-0CC9-494A-B044-928D1A33FCFA}"/>
    <cellStyle name="40% - Accent4 2 2 2 5 2 3" xfId="12602" xr:uid="{2750728C-4115-46A5-A39E-DC8CB9A79132}"/>
    <cellStyle name="40% - Accent4 2 2 2 5 3" xfId="6233" xr:uid="{00000000-0005-0000-0000-0000B4050000}"/>
    <cellStyle name="40% - Accent4 2 2 2 5 3 2" xfId="14675" xr:uid="{3B3DD30A-F477-444C-ACAC-91637F461A25}"/>
    <cellStyle name="40% - Accent4 2 2 2 5 4" xfId="10457" xr:uid="{B5B53FDA-98CF-4DE3-A1B6-CFDDFA47CDBB}"/>
    <cellStyle name="40% - Accent4 2 2 2 6" xfId="2339" xr:uid="{00000000-0005-0000-0000-0000B5050000}"/>
    <cellStyle name="40% - Accent4 2 2 2 6 2" xfId="6646" xr:uid="{00000000-0005-0000-0000-0000B6050000}"/>
    <cellStyle name="40% - Accent4 2 2 2 6 2 2" xfId="15088" xr:uid="{530A657F-9988-45B0-A72F-E57556B77F9C}"/>
    <cellStyle name="40% - Accent4 2 2 2 6 3" xfId="10870" xr:uid="{719556CB-E281-4E11-83EF-8762EB4989E2}"/>
    <cellStyle name="40% - Accent4 2 2 2 7" xfId="4580" xr:uid="{00000000-0005-0000-0000-0000B7050000}"/>
    <cellStyle name="40% - Accent4 2 2 2 7 2" xfId="13022" xr:uid="{6E05B269-293C-47EE-8AF7-4172D75336C8}"/>
    <cellStyle name="40% - Accent4 2 2 2 8" xfId="8804" xr:uid="{66070E9D-9D08-4D39-880F-8ABA3A89A7EB}"/>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62AEB3E1-658F-4E0A-864B-0D043990820E}"/>
    <cellStyle name="40% - Accent4 2 2 3 2 3" xfId="11362" xr:uid="{EB2D4408-27AC-4CF1-95DB-8D365890D5F2}"/>
    <cellStyle name="40% - Accent4 2 2 3 3" xfId="4993" xr:uid="{00000000-0005-0000-0000-0000BB050000}"/>
    <cellStyle name="40% - Accent4 2 2 3 3 2" xfId="13435" xr:uid="{EB4461FF-D79D-49ED-8B14-8098C4F7F850}"/>
    <cellStyle name="40% - Accent4 2 2 3 4" xfId="9217" xr:uid="{4E25980E-973E-4D9D-82E9-34195069FB66}"/>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AB87BE0C-1631-4641-AE4A-40629E0DA64E}"/>
    <cellStyle name="40% - Accent4 2 2 4 2 3" xfId="11775" xr:uid="{23FBD2D3-9E34-4AE4-BA7E-99F0BCA04280}"/>
    <cellStyle name="40% - Accent4 2 2 4 3" xfId="5406" xr:uid="{00000000-0005-0000-0000-0000BF050000}"/>
    <cellStyle name="40% - Accent4 2 2 4 3 2" xfId="13848" xr:uid="{F6B536DA-D2F0-4008-A578-300DA4BEC9A9}"/>
    <cellStyle name="40% - Accent4 2 2 4 4" xfId="9630" xr:uid="{7E4BB5BF-5E51-48B6-839A-540749E344D3}"/>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F34FA795-5130-49AE-9547-A826C1750558}"/>
    <cellStyle name="40% - Accent4 2 2 5 2 3" xfId="12188" xr:uid="{DEC6D30F-EA5C-4E3E-B15D-F5F93A07AE27}"/>
    <cellStyle name="40% - Accent4 2 2 5 3" xfId="5819" xr:uid="{00000000-0005-0000-0000-0000C3050000}"/>
    <cellStyle name="40% - Accent4 2 2 5 3 2" xfId="14261" xr:uid="{9D0115D5-BA92-4338-B70A-385E020F4439}"/>
    <cellStyle name="40% - Accent4 2 2 5 4" xfId="10043" xr:uid="{7437363E-5DCC-4D63-940A-F8980AD4DB5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C0FDF344-85E5-44E4-AFA3-75716D224DD9}"/>
    <cellStyle name="40% - Accent4 2 2 6 2 3" xfId="12601" xr:uid="{492E5374-BA1D-4F62-B750-F5393D40E0A2}"/>
    <cellStyle name="40% - Accent4 2 2 6 3" xfId="6232" xr:uid="{00000000-0005-0000-0000-0000C7050000}"/>
    <cellStyle name="40% - Accent4 2 2 6 3 2" xfId="14674" xr:uid="{B1F2045B-2E6A-4F6A-9FB7-5907381546A7}"/>
    <cellStyle name="40% - Accent4 2 2 6 4" xfId="10456" xr:uid="{D6DAE8A6-7E9C-4ACA-8079-4A6DAAEBE1AE}"/>
    <cellStyle name="40% - Accent4 2 2 7" xfId="2338" xr:uid="{00000000-0005-0000-0000-0000C8050000}"/>
    <cellStyle name="40% - Accent4 2 2 7 2" xfId="6645" xr:uid="{00000000-0005-0000-0000-0000C9050000}"/>
    <cellStyle name="40% - Accent4 2 2 7 2 2" xfId="15087" xr:uid="{3DD82425-1488-40C5-9960-B387D203E775}"/>
    <cellStyle name="40% - Accent4 2 2 7 3" xfId="10869" xr:uid="{104E39A9-916F-4A40-96D8-C58749979D4F}"/>
    <cellStyle name="40% - Accent4 2 2 8" xfId="4579" xr:uid="{00000000-0005-0000-0000-0000CA050000}"/>
    <cellStyle name="40% - Accent4 2 2 8 2" xfId="13021" xr:uid="{4ADBF6C5-4E09-4A27-8F05-2B23496CF986}"/>
    <cellStyle name="40% - Accent4 2 2 9" xfId="8803" xr:uid="{9D90F5A8-6EE2-49CA-98D1-DB88358976BB}"/>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C0998C9B-C1E0-42A1-910F-465531522BB2}"/>
    <cellStyle name="40% - Accent4 2 3 2 2 3" xfId="11364" xr:uid="{E3507CB7-332E-4CA1-B3AB-6D1C74ED4A77}"/>
    <cellStyle name="40% - Accent4 2 3 2 3" xfId="4995" xr:uid="{00000000-0005-0000-0000-0000CF050000}"/>
    <cellStyle name="40% - Accent4 2 3 2 3 2" xfId="13437" xr:uid="{0CB3E8AB-7EAE-497F-8203-939A9FCBC9DD}"/>
    <cellStyle name="40% - Accent4 2 3 2 4" xfId="9219" xr:uid="{77AE8016-9E69-4E2B-A7D3-74F7988F7BBB}"/>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9D929CA5-310C-44DE-BA13-FBDBB5029D84}"/>
    <cellStyle name="40% - Accent4 2 3 3 2 3" xfId="11777" xr:uid="{3018E282-34C6-4476-A7B4-572161C95E38}"/>
    <cellStyle name="40% - Accent4 2 3 3 3" xfId="5408" xr:uid="{00000000-0005-0000-0000-0000D3050000}"/>
    <cellStyle name="40% - Accent4 2 3 3 3 2" xfId="13850" xr:uid="{00198D9F-A682-46C8-B917-ED7C247110F0}"/>
    <cellStyle name="40% - Accent4 2 3 3 4" xfId="9632" xr:uid="{646BCCF5-A2E8-446D-90E6-DD337C0D910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3937CF49-E183-43A5-9956-8A651F3D2B4F}"/>
    <cellStyle name="40% - Accent4 2 3 4 2 3" xfId="12190" xr:uid="{F5DB68CC-ACB9-4A9A-B1D9-22781248FE85}"/>
    <cellStyle name="40% - Accent4 2 3 4 3" xfId="5821" xr:uid="{00000000-0005-0000-0000-0000D7050000}"/>
    <cellStyle name="40% - Accent4 2 3 4 3 2" xfId="14263" xr:uid="{76FC24A7-70EB-4430-89B9-C7C4F1C9F0E2}"/>
    <cellStyle name="40% - Accent4 2 3 4 4" xfId="10045" xr:uid="{25646350-099F-4AFE-AE7C-B44B1533ECB3}"/>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6F2AACF8-51BE-4D04-AB98-E3856FCC7460}"/>
    <cellStyle name="40% - Accent4 2 3 5 2 3" xfId="12603" xr:uid="{2C76AFEF-AA97-4440-9EBB-D63A6489774D}"/>
    <cellStyle name="40% - Accent4 2 3 5 3" xfId="6234" xr:uid="{00000000-0005-0000-0000-0000DB050000}"/>
    <cellStyle name="40% - Accent4 2 3 5 3 2" xfId="14676" xr:uid="{DAE7DF70-801E-4A55-9EE6-3A82A4B6F318}"/>
    <cellStyle name="40% - Accent4 2 3 5 4" xfId="10458" xr:uid="{75A740BA-848D-4D38-82D1-FDA06E161798}"/>
    <cellStyle name="40% - Accent4 2 3 6" xfId="2340" xr:uid="{00000000-0005-0000-0000-0000DC050000}"/>
    <cellStyle name="40% - Accent4 2 3 6 2" xfId="6647" xr:uid="{00000000-0005-0000-0000-0000DD050000}"/>
    <cellStyle name="40% - Accent4 2 3 6 2 2" xfId="15089" xr:uid="{F2C11A93-8309-45FB-85FE-EE09C7537AB7}"/>
    <cellStyle name="40% - Accent4 2 3 6 3" xfId="10871" xr:uid="{8D7BF0DE-9D88-4007-BDAD-762D8EE79AAF}"/>
    <cellStyle name="40% - Accent4 2 3 7" xfId="4581" xr:uid="{00000000-0005-0000-0000-0000DE050000}"/>
    <cellStyle name="40% - Accent4 2 3 7 2" xfId="13023" xr:uid="{2398524F-B3BE-4E95-83F1-B28F95E7FB50}"/>
    <cellStyle name="40% - Accent4 2 3 8" xfId="8805" xr:uid="{716E3C62-8279-4FC4-9593-CB898D5584E6}"/>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0A8C0EE6-36F3-48EE-AA9E-FA8A275BE774}"/>
    <cellStyle name="40% - Accent4 2 4 2 3" xfId="11361" xr:uid="{8A533BCE-C831-4646-B2BE-3D7AF6185CE8}"/>
    <cellStyle name="40% - Accent4 2 4 3" xfId="4992" xr:uid="{00000000-0005-0000-0000-0000E2050000}"/>
    <cellStyle name="40% - Accent4 2 4 3 2" xfId="13434" xr:uid="{F3FD7C86-23CE-415C-9389-8E5A1F09EF3C}"/>
    <cellStyle name="40% - Accent4 2 4 4" xfId="9216" xr:uid="{E3864880-FAF3-4089-8A4A-6C8582E86154}"/>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55A2F457-28DC-4578-9D7D-8154C4F246F0}"/>
    <cellStyle name="40% - Accent4 2 5 2 3" xfId="11774" xr:uid="{ABB766B3-64EF-4376-A5C7-540773E01675}"/>
    <cellStyle name="40% - Accent4 2 5 3" xfId="5405" xr:uid="{00000000-0005-0000-0000-0000E6050000}"/>
    <cellStyle name="40% - Accent4 2 5 3 2" xfId="13847" xr:uid="{B8D77800-A9EF-43B4-873B-6A627FADAE84}"/>
    <cellStyle name="40% - Accent4 2 5 4" xfId="9629" xr:uid="{6C74B50D-498D-4552-9EF5-2BE8D7C99257}"/>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758B0D57-CF5D-4E32-A64D-C5C1EEE206D0}"/>
    <cellStyle name="40% - Accent4 2 6 2 3" xfId="12187" xr:uid="{8E08FAD6-05AE-4DC6-9E88-A7F30E2100E1}"/>
    <cellStyle name="40% - Accent4 2 6 3" xfId="5818" xr:uid="{00000000-0005-0000-0000-0000EA050000}"/>
    <cellStyle name="40% - Accent4 2 6 3 2" xfId="14260" xr:uid="{CC326FA7-0B69-44B3-BD6B-5E8AF2054E23}"/>
    <cellStyle name="40% - Accent4 2 6 4" xfId="10042" xr:uid="{BE7FA7CB-BD91-4B24-B18A-0CAA0DF223BA}"/>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5D0E49FE-AFF3-47FA-8B63-324FB3525931}"/>
    <cellStyle name="40% - Accent4 2 7 2 3" xfId="12600" xr:uid="{D12D3A81-8895-444E-890A-9EF9E904B06E}"/>
    <cellStyle name="40% - Accent4 2 7 3" xfId="6231" xr:uid="{00000000-0005-0000-0000-0000EE050000}"/>
    <cellStyle name="40% - Accent4 2 7 3 2" xfId="14673" xr:uid="{42E9E787-E72E-46BD-8D86-6BC79958E331}"/>
    <cellStyle name="40% - Accent4 2 7 4" xfId="10455" xr:uid="{9CAC87C6-201E-44C8-AC59-FAF0384D5494}"/>
    <cellStyle name="40% - Accent4 2 8" xfId="2337" xr:uid="{00000000-0005-0000-0000-0000EF050000}"/>
    <cellStyle name="40% - Accent4 2 8 2" xfId="6644" xr:uid="{00000000-0005-0000-0000-0000F0050000}"/>
    <cellStyle name="40% - Accent4 2 8 2 2" xfId="15086" xr:uid="{47CDC98E-632D-4BC1-A2DE-0B24B1481B73}"/>
    <cellStyle name="40% - Accent4 2 8 3" xfId="10868" xr:uid="{CCF5B7A6-B9F9-492A-A0CC-65C21F14CB08}"/>
    <cellStyle name="40% - Accent4 2 9" xfId="4578" xr:uid="{00000000-0005-0000-0000-0000F1050000}"/>
    <cellStyle name="40% - Accent4 2 9 2" xfId="13020" xr:uid="{88881C96-5025-42C1-922B-F980A947F056}"/>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5145D41A-BEDC-4796-919E-67E4173D2DF6}"/>
    <cellStyle name="40% - Accent4 3 2 2 2 3" xfId="11366" xr:uid="{0FF4440B-A340-45C9-928A-3E82DB7AA8B1}"/>
    <cellStyle name="40% - Accent4 3 2 2 3" xfId="4997" xr:uid="{00000000-0005-0000-0000-0000F7050000}"/>
    <cellStyle name="40% - Accent4 3 2 2 3 2" xfId="13439" xr:uid="{9DB295EA-6E55-471E-9489-2C02658E6AD5}"/>
    <cellStyle name="40% - Accent4 3 2 2 4" xfId="9221" xr:uid="{00F23D62-E181-41C3-AA3A-EFA9C87572C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84DF9A76-DF60-4BE5-9985-CAD6386D17B1}"/>
    <cellStyle name="40% - Accent4 3 2 3 2 3" xfId="11779" xr:uid="{48A75E9A-70BD-4A9E-8287-13DFEDA4519E}"/>
    <cellStyle name="40% - Accent4 3 2 3 3" xfId="5410" xr:uid="{00000000-0005-0000-0000-0000FB050000}"/>
    <cellStyle name="40% - Accent4 3 2 3 3 2" xfId="13852" xr:uid="{6A07D647-5B88-436A-A7D2-7CEBC8BA3C1B}"/>
    <cellStyle name="40% - Accent4 3 2 3 4" xfId="9634" xr:uid="{2601DAA6-C755-482A-8BE7-EED39EB89CDB}"/>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CB215874-2D31-45C2-A2BE-FE1CFCDC88D1}"/>
    <cellStyle name="40% - Accent4 3 2 4 2 3" xfId="12192" xr:uid="{D8EEF06E-67BA-4BF1-8947-5E7738AF287D}"/>
    <cellStyle name="40% - Accent4 3 2 4 3" xfId="5823" xr:uid="{00000000-0005-0000-0000-0000FF050000}"/>
    <cellStyle name="40% - Accent4 3 2 4 3 2" xfId="14265" xr:uid="{673C019F-AA03-4622-9133-5F2781E09D35}"/>
    <cellStyle name="40% - Accent4 3 2 4 4" xfId="10047" xr:uid="{5DBE6729-52DC-480B-B5BC-C6AD9D372E3B}"/>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18499EE9-F2D7-42CD-BE42-10EC61EB79D8}"/>
    <cellStyle name="40% - Accent4 3 2 5 2 3" xfId="12605" xr:uid="{014E9D55-B670-4C15-8F48-C384FCB5787F}"/>
    <cellStyle name="40% - Accent4 3 2 5 3" xfId="6236" xr:uid="{00000000-0005-0000-0000-000003060000}"/>
    <cellStyle name="40% - Accent4 3 2 5 3 2" xfId="14678" xr:uid="{A289708E-0981-462B-B229-CC90E2928563}"/>
    <cellStyle name="40% - Accent4 3 2 5 4" xfId="10460" xr:uid="{FB149AD7-482A-4205-828A-3033ED416BDB}"/>
    <cellStyle name="40% - Accent4 3 2 6" xfId="2342" xr:uid="{00000000-0005-0000-0000-000004060000}"/>
    <cellStyle name="40% - Accent4 3 2 6 2" xfId="6649" xr:uid="{00000000-0005-0000-0000-000005060000}"/>
    <cellStyle name="40% - Accent4 3 2 6 2 2" xfId="15091" xr:uid="{43B35CA7-2F15-4FB7-AA7A-135984906861}"/>
    <cellStyle name="40% - Accent4 3 2 6 3" xfId="10873" xr:uid="{B9CCA19C-DD0F-44E0-B75D-1ACC601EBF93}"/>
    <cellStyle name="40% - Accent4 3 2 7" xfId="4583" xr:uid="{00000000-0005-0000-0000-000006060000}"/>
    <cellStyle name="40% - Accent4 3 2 7 2" xfId="13025" xr:uid="{C13D7296-4A0E-42D9-B790-3720E94E10B4}"/>
    <cellStyle name="40% - Accent4 3 2 8" xfId="8807" xr:uid="{E72A5F42-E1E2-41B6-969D-CE7CAD0ADD7F}"/>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01F7EE63-6902-400A-A5E9-870A5ADA50B4}"/>
    <cellStyle name="40% - Accent4 3 3 2 3" xfId="11365" xr:uid="{51CEF83E-5AB9-484D-9989-13299B8E3A45}"/>
    <cellStyle name="40% - Accent4 3 3 3" xfId="4996" xr:uid="{00000000-0005-0000-0000-00000A060000}"/>
    <cellStyle name="40% - Accent4 3 3 3 2" xfId="13438" xr:uid="{94BBFC76-464D-4240-AF09-E9A1C69A1E46}"/>
    <cellStyle name="40% - Accent4 3 3 4" xfId="9220" xr:uid="{B12D9EFA-D7E8-4C24-AEE7-5E9ED0AEB4E9}"/>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4281312D-8019-45E3-B564-5AE436F7763D}"/>
    <cellStyle name="40% - Accent4 3 4 2 3" xfId="11778" xr:uid="{6F0DC462-C8F9-4297-AB63-B0EBCCAE88F6}"/>
    <cellStyle name="40% - Accent4 3 4 3" xfId="5409" xr:uid="{00000000-0005-0000-0000-00000E060000}"/>
    <cellStyle name="40% - Accent4 3 4 3 2" xfId="13851" xr:uid="{391B4E62-AA3E-4D13-8518-5CCD67CF0332}"/>
    <cellStyle name="40% - Accent4 3 4 4" xfId="9633" xr:uid="{460B431A-68D1-4B5B-8B17-DE261D81FE1A}"/>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05FD8ED3-9847-4737-9C13-34F345A1766B}"/>
    <cellStyle name="40% - Accent4 3 5 2 3" xfId="12191" xr:uid="{D6413E55-736C-4029-8138-9A2D1FF923A6}"/>
    <cellStyle name="40% - Accent4 3 5 3" xfId="5822" xr:uid="{00000000-0005-0000-0000-000012060000}"/>
    <cellStyle name="40% - Accent4 3 5 3 2" xfId="14264" xr:uid="{3C47B0DD-637E-4026-ADFE-5F1C74E5D07D}"/>
    <cellStyle name="40% - Accent4 3 5 4" xfId="10046" xr:uid="{700EB0AA-A9C5-4E5D-BA42-88AED2639021}"/>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B74E1ACC-E8A5-4FD3-9173-D7CF4DE26CD2}"/>
    <cellStyle name="40% - Accent4 3 6 2 3" xfId="12604" xr:uid="{EC325B76-61FC-41A4-B67A-6F688F4AD393}"/>
    <cellStyle name="40% - Accent4 3 6 3" xfId="6235" xr:uid="{00000000-0005-0000-0000-000016060000}"/>
    <cellStyle name="40% - Accent4 3 6 3 2" xfId="14677" xr:uid="{351F33D2-3E67-474A-A76A-80260F0B00D8}"/>
    <cellStyle name="40% - Accent4 3 6 4" xfId="10459" xr:uid="{B5DB9C0B-86FE-4057-B3DE-4F5D34777737}"/>
    <cellStyle name="40% - Accent4 3 7" xfId="2341" xr:uid="{00000000-0005-0000-0000-000017060000}"/>
    <cellStyle name="40% - Accent4 3 7 2" xfId="6648" xr:uid="{00000000-0005-0000-0000-000018060000}"/>
    <cellStyle name="40% - Accent4 3 7 2 2" xfId="15090" xr:uid="{A44E833D-C338-491B-87D2-D6E888380460}"/>
    <cellStyle name="40% - Accent4 3 7 3" xfId="10872" xr:uid="{E7C72905-BB97-4351-9A78-587EACDED083}"/>
    <cellStyle name="40% - Accent4 3 8" xfId="4582" xr:uid="{00000000-0005-0000-0000-000019060000}"/>
    <cellStyle name="40% - Accent4 3 8 2" xfId="13024" xr:uid="{20C590BB-28AE-4F53-926C-3D74EFE53344}"/>
    <cellStyle name="40% - Accent4 3 9" xfId="8806" xr:uid="{A59C872D-C28A-447B-A6DD-64961FB3E736}"/>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3B80C7DE-C329-4776-983C-1B484D4D2DCC}"/>
    <cellStyle name="40% - Accent4 4 2 2 3" xfId="11367" xr:uid="{52C9E932-AE1E-4F3B-BBCA-8D6784E6C284}"/>
    <cellStyle name="40% - Accent4 4 2 3" xfId="4998" xr:uid="{00000000-0005-0000-0000-00001E060000}"/>
    <cellStyle name="40% - Accent4 4 2 3 2" xfId="13440" xr:uid="{99143160-057B-4E9E-8067-0A8CC418E32C}"/>
    <cellStyle name="40% - Accent4 4 2 4" xfId="9222" xr:uid="{1A96E5D4-B6E4-45E1-9687-ACC2CEFE5C47}"/>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847E30C5-D503-49F6-843D-5942B372366F}"/>
    <cellStyle name="40% - Accent4 4 3 2 3" xfId="11780" xr:uid="{7EAAEA45-6370-4656-B37D-579F0EC1F63B}"/>
    <cellStyle name="40% - Accent4 4 3 3" xfId="5411" xr:uid="{00000000-0005-0000-0000-000022060000}"/>
    <cellStyle name="40% - Accent4 4 3 3 2" xfId="13853" xr:uid="{E697CC87-58F8-49E5-AFF7-6F8B9299BA13}"/>
    <cellStyle name="40% - Accent4 4 3 4" xfId="9635" xr:uid="{34DC8D73-C069-4C35-8C93-4403739DAC95}"/>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E51FEC72-C6E3-4781-ABC7-B4B4482E9C29}"/>
    <cellStyle name="40% - Accent4 4 4 2 3" xfId="12193" xr:uid="{34D120B1-FEC2-46CF-82BD-D49038F79A4C}"/>
    <cellStyle name="40% - Accent4 4 4 3" xfId="5824" xr:uid="{00000000-0005-0000-0000-000026060000}"/>
    <cellStyle name="40% - Accent4 4 4 3 2" xfId="14266" xr:uid="{44973B49-9AAB-4794-98BE-99528420B8EC}"/>
    <cellStyle name="40% - Accent4 4 4 4" xfId="10048" xr:uid="{010B0D93-229C-420C-B308-3B46CB87A710}"/>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ABC9DB76-DDE3-4462-8679-A322D2C27D1B}"/>
    <cellStyle name="40% - Accent4 4 5 2 3" xfId="12606" xr:uid="{1C984E97-C75F-4BE5-BF1D-96626B435F25}"/>
    <cellStyle name="40% - Accent4 4 5 3" xfId="6237" xr:uid="{00000000-0005-0000-0000-00002A060000}"/>
    <cellStyle name="40% - Accent4 4 5 3 2" xfId="14679" xr:uid="{C5949272-4C9C-471C-8AB1-59B269ACCD70}"/>
    <cellStyle name="40% - Accent4 4 5 4" xfId="10461" xr:uid="{9B07BD05-8337-4F6E-B664-9C87C1161261}"/>
    <cellStyle name="40% - Accent4 4 6" xfId="2343" xr:uid="{00000000-0005-0000-0000-00002B060000}"/>
    <cellStyle name="40% - Accent4 4 6 2" xfId="6650" xr:uid="{00000000-0005-0000-0000-00002C060000}"/>
    <cellStyle name="40% - Accent4 4 6 2 2" xfId="15092" xr:uid="{01F0CC27-1DEB-45BD-9B8E-C3B1858910D5}"/>
    <cellStyle name="40% - Accent4 4 6 3" xfId="10874" xr:uid="{AC8E5D4D-5095-49D6-99E0-90E9EFEE8602}"/>
    <cellStyle name="40% - Accent4 4 7" xfId="4584" xr:uid="{00000000-0005-0000-0000-00002D060000}"/>
    <cellStyle name="40% - Accent4 4 7 2" xfId="13026" xr:uid="{A9546AE3-35AB-4BD5-82F8-D105FA37F687}"/>
    <cellStyle name="40% - Accent4 4 8" xfId="8808" xr:uid="{31199978-C738-4E0E-AC72-70B229DA871A}"/>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97EB2623-500F-478A-B2A9-ED229F7040FA}"/>
    <cellStyle name="40% - Accent4 5 2 3" xfId="11360" xr:uid="{58F7E27E-24B5-4113-AC3E-48E4E65EDFBE}"/>
    <cellStyle name="40% - Accent4 5 3" xfId="4991" xr:uid="{00000000-0005-0000-0000-000031060000}"/>
    <cellStyle name="40% - Accent4 5 3 2" xfId="13433" xr:uid="{EF0BE64D-A724-4D53-B857-B315877F10E7}"/>
    <cellStyle name="40% - Accent4 5 4" xfId="9215" xr:uid="{2BCEB9B7-FC54-4E3B-9AD6-D3F55F03368A}"/>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C79F71D7-DA9E-46DF-BB39-DD86DE6DC3E0}"/>
    <cellStyle name="40% - Accent4 6 2 3" xfId="11773" xr:uid="{9B12F137-F185-4F1F-B2E2-F6C29DC833E3}"/>
    <cellStyle name="40% - Accent4 6 3" xfId="5404" xr:uid="{00000000-0005-0000-0000-000035060000}"/>
    <cellStyle name="40% - Accent4 6 3 2" xfId="13846" xr:uid="{5518B775-CECC-4DC8-AF5F-6DF435BA3973}"/>
    <cellStyle name="40% - Accent4 6 4" xfId="9628" xr:uid="{2B6F1EB0-87EF-49AB-931C-9504E8883509}"/>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7EE0BB7F-443A-4AA4-829D-63B8727C0518}"/>
    <cellStyle name="40% - Accent4 7 2 3" xfId="12186" xr:uid="{48E5A4BF-779A-41B5-B933-97FC296560B4}"/>
    <cellStyle name="40% - Accent4 7 3" xfId="5817" xr:uid="{00000000-0005-0000-0000-000039060000}"/>
    <cellStyle name="40% - Accent4 7 3 2" xfId="14259" xr:uid="{66AACED0-3ABC-47EB-9167-00550A9122F9}"/>
    <cellStyle name="40% - Accent4 7 4" xfId="10041" xr:uid="{EFC70DFA-C5F6-45DB-AD46-A2B327835C36}"/>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F6E854A7-E9D5-4AA1-8A3B-8D084E567616}"/>
    <cellStyle name="40% - Accent4 8 2 3" xfId="12599" xr:uid="{5FFCC86D-DB11-4912-A438-87DE5A205168}"/>
    <cellStyle name="40% - Accent4 8 3" xfId="6230" xr:uid="{00000000-0005-0000-0000-00003D060000}"/>
    <cellStyle name="40% - Accent4 8 3 2" xfId="14672" xr:uid="{A11FA349-4E4A-4FF0-BDCF-A92E9A6A0EAB}"/>
    <cellStyle name="40% - Accent4 8 4" xfId="10454" xr:uid="{C53629B1-F778-4304-AB04-A1F22E7AA42C}"/>
    <cellStyle name="40% - Accent4 9" xfId="2336" xr:uid="{00000000-0005-0000-0000-00003E060000}"/>
    <cellStyle name="40% - Accent4 9 2" xfId="6643" xr:uid="{00000000-0005-0000-0000-00003F060000}"/>
    <cellStyle name="40% - Accent4 9 2 2" xfId="15085" xr:uid="{3BD078AB-B184-4939-AD0A-49E0C591446F}"/>
    <cellStyle name="40% - Accent4 9 3" xfId="10867" xr:uid="{3D66C20F-6B38-47B6-83C5-B82312169C8F}"/>
    <cellStyle name="40% - Accent5" xfId="81" builtinId="47" customBuiltin="1"/>
    <cellStyle name="40% - Accent5 10" xfId="4585" xr:uid="{00000000-0005-0000-0000-000041060000}"/>
    <cellStyle name="40% - Accent5 10 2" xfId="13027" xr:uid="{5ADB112C-368F-47E8-B8AE-E71B634CCBF6}"/>
    <cellStyle name="40% - Accent5 11" xfId="8809" xr:uid="{935B9881-DB90-4E2D-BE7F-030853A94B90}"/>
    <cellStyle name="40% - Accent5 2" xfId="82" xr:uid="{00000000-0005-0000-0000-000042060000}"/>
    <cellStyle name="40% - Accent5 2 10" xfId="8810" xr:uid="{5DDDBC5B-E895-44F1-A6E7-69F6DFD9055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8995D3F8-EDBE-4512-B9C7-1A60162B69D4}"/>
    <cellStyle name="40% - Accent5 2 2 2 2 2 3" xfId="11371" xr:uid="{A322875A-EB9D-400A-82DE-F15BFA40215F}"/>
    <cellStyle name="40% - Accent5 2 2 2 2 3" xfId="5002" xr:uid="{00000000-0005-0000-0000-000048060000}"/>
    <cellStyle name="40% - Accent5 2 2 2 2 3 2" xfId="13444" xr:uid="{A99FD1E4-F029-42F1-922C-1DD68560DFC6}"/>
    <cellStyle name="40% - Accent5 2 2 2 2 4" xfId="9226" xr:uid="{2B4C69AD-93D8-4DAB-85EC-D92FC024439D}"/>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A36A677D-A2CF-4A6E-811C-FA0942D03A68}"/>
    <cellStyle name="40% - Accent5 2 2 2 3 2 3" xfId="11784" xr:uid="{5F168FD4-5609-4744-914A-A788F580A924}"/>
    <cellStyle name="40% - Accent5 2 2 2 3 3" xfId="5415" xr:uid="{00000000-0005-0000-0000-00004C060000}"/>
    <cellStyle name="40% - Accent5 2 2 2 3 3 2" xfId="13857" xr:uid="{C7353C5A-1337-4441-AD35-E2BE44F9BD3A}"/>
    <cellStyle name="40% - Accent5 2 2 2 3 4" xfId="9639" xr:uid="{594455B0-95A5-4864-8531-C301F101445E}"/>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5B381717-AE65-4E75-B179-5186718F7528}"/>
    <cellStyle name="40% - Accent5 2 2 2 4 2 3" xfId="12197" xr:uid="{CE481F49-ED01-47B3-A515-F9D4FE2C1B48}"/>
    <cellStyle name="40% - Accent5 2 2 2 4 3" xfId="5828" xr:uid="{00000000-0005-0000-0000-000050060000}"/>
    <cellStyle name="40% - Accent5 2 2 2 4 3 2" xfId="14270" xr:uid="{7AB9CA53-F3BA-405D-9974-4EEE4137B67A}"/>
    <cellStyle name="40% - Accent5 2 2 2 4 4" xfId="10052" xr:uid="{5C66B5F2-C1A1-4156-9138-D5782D93D378}"/>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EDC4B49A-2EFA-4A18-BA96-4F884EE4A0E8}"/>
    <cellStyle name="40% - Accent5 2 2 2 5 2 3" xfId="12610" xr:uid="{980932E4-B231-4B61-A03E-805EE1019BBE}"/>
    <cellStyle name="40% - Accent5 2 2 2 5 3" xfId="6241" xr:uid="{00000000-0005-0000-0000-000054060000}"/>
    <cellStyle name="40% - Accent5 2 2 2 5 3 2" xfId="14683" xr:uid="{301B5675-E3EB-4BBE-8B0F-C0EE325F7D53}"/>
    <cellStyle name="40% - Accent5 2 2 2 5 4" xfId="10465" xr:uid="{79512326-9EF3-489F-9C52-1D5BC23B6CB9}"/>
    <cellStyle name="40% - Accent5 2 2 2 6" xfId="2347" xr:uid="{00000000-0005-0000-0000-000055060000}"/>
    <cellStyle name="40% - Accent5 2 2 2 6 2" xfId="6654" xr:uid="{00000000-0005-0000-0000-000056060000}"/>
    <cellStyle name="40% - Accent5 2 2 2 6 2 2" xfId="15096" xr:uid="{C5EAF01E-4076-45F7-B439-417E8990FF02}"/>
    <cellStyle name="40% - Accent5 2 2 2 6 3" xfId="10878" xr:uid="{9534940B-2B3A-42AF-AFFB-8A5972212128}"/>
    <cellStyle name="40% - Accent5 2 2 2 7" xfId="4588" xr:uid="{00000000-0005-0000-0000-000057060000}"/>
    <cellStyle name="40% - Accent5 2 2 2 7 2" xfId="13030" xr:uid="{D40EF9ED-924F-4DE0-8BAE-3DB3EF3C608E}"/>
    <cellStyle name="40% - Accent5 2 2 2 8" xfId="8812" xr:uid="{E9521DB6-82C8-4AB0-ACAC-B26FCC73C855}"/>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34A0EE22-ADF5-4BB7-8BEE-2FD8E15CB3D8}"/>
    <cellStyle name="40% - Accent5 2 2 3 2 3" xfId="11370" xr:uid="{FF61D4AA-BB42-4DD2-8732-149416428E00}"/>
    <cellStyle name="40% - Accent5 2 2 3 3" xfId="5001" xr:uid="{00000000-0005-0000-0000-00005B060000}"/>
    <cellStyle name="40% - Accent5 2 2 3 3 2" xfId="13443" xr:uid="{8983BD18-304C-4516-AC53-9EB24490050D}"/>
    <cellStyle name="40% - Accent5 2 2 3 4" xfId="9225" xr:uid="{DF7360AD-412E-419D-9B8E-F821736948C1}"/>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0BF50BE5-74F7-4071-B469-B2DCF6342175}"/>
    <cellStyle name="40% - Accent5 2 2 4 2 3" xfId="11783" xr:uid="{1FAC326B-28DA-41ED-B4AD-F0911944A215}"/>
    <cellStyle name="40% - Accent5 2 2 4 3" xfId="5414" xr:uid="{00000000-0005-0000-0000-00005F060000}"/>
    <cellStyle name="40% - Accent5 2 2 4 3 2" xfId="13856" xr:uid="{CFA856AE-A382-45A7-B7B0-4ADD5FE2D923}"/>
    <cellStyle name="40% - Accent5 2 2 4 4" xfId="9638" xr:uid="{8076840D-D53C-4B3D-9DCA-80461D126EC7}"/>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F919FE6D-509B-49BB-9B25-680B5D3B71C0}"/>
    <cellStyle name="40% - Accent5 2 2 5 2 3" xfId="12196" xr:uid="{B751D7E4-DCB7-4DF7-AEA2-B35AEA7B7E31}"/>
    <cellStyle name="40% - Accent5 2 2 5 3" xfId="5827" xr:uid="{00000000-0005-0000-0000-000063060000}"/>
    <cellStyle name="40% - Accent5 2 2 5 3 2" xfId="14269" xr:uid="{113BB70B-E480-4012-91E1-3AA10638EFFD}"/>
    <cellStyle name="40% - Accent5 2 2 5 4" xfId="10051" xr:uid="{C7044F6B-FA8C-4C0E-B526-AD0713AA29E3}"/>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AB83415E-486D-4D18-BF35-D6577DA1466F}"/>
    <cellStyle name="40% - Accent5 2 2 6 2 3" xfId="12609" xr:uid="{DC2082D8-97E2-4688-8912-CACCF0210364}"/>
    <cellStyle name="40% - Accent5 2 2 6 3" xfId="6240" xr:uid="{00000000-0005-0000-0000-000067060000}"/>
    <cellStyle name="40% - Accent5 2 2 6 3 2" xfId="14682" xr:uid="{74F1B812-3276-406C-BBA8-0AFD51989EC6}"/>
    <cellStyle name="40% - Accent5 2 2 6 4" xfId="10464" xr:uid="{FAE4CF8C-1D5C-4C23-91C1-7ECC54E1CD65}"/>
    <cellStyle name="40% - Accent5 2 2 7" xfId="2346" xr:uid="{00000000-0005-0000-0000-000068060000}"/>
    <cellStyle name="40% - Accent5 2 2 7 2" xfId="6653" xr:uid="{00000000-0005-0000-0000-000069060000}"/>
    <cellStyle name="40% - Accent5 2 2 7 2 2" xfId="15095" xr:uid="{D0069256-C695-4CE2-88A1-EA0AAC4944A3}"/>
    <cellStyle name="40% - Accent5 2 2 7 3" xfId="10877" xr:uid="{215B3381-1929-4450-86A6-5945480D31E5}"/>
    <cellStyle name="40% - Accent5 2 2 8" xfId="4587" xr:uid="{00000000-0005-0000-0000-00006A060000}"/>
    <cellStyle name="40% - Accent5 2 2 8 2" xfId="13029" xr:uid="{2D19F217-D16F-4A85-86FF-4592B2E548A6}"/>
    <cellStyle name="40% - Accent5 2 2 9" xfId="8811" xr:uid="{3A834C8C-ABC5-4B15-856A-4A4812AAD3A4}"/>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5055DC63-F64E-4C76-B27A-D73A968F9864}"/>
    <cellStyle name="40% - Accent5 2 3 2 2 3" xfId="11372" xr:uid="{D5C05D91-E0C3-4BF3-974D-E0D04588B130}"/>
    <cellStyle name="40% - Accent5 2 3 2 3" xfId="5003" xr:uid="{00000000-0005-0000-0000-00006F060000}"/>
    <cellStyle name="40% - Accent5 2 3 2 3 2" xfId="13445" xr:uid="{DC915C53-D98A-40B8-B5CC-91098FDCDF8B}"/>
    <cellStyle name="40% - Accent5 2 3 2 4" xfId="9227" xr:uid="{497C9BB3-B005-409F-8C5B-B7578A66DD8B}"/>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7F3FC176-B414-43EB-B125-F2FA38E37DED}"/>
    <cellStyle name="40% - Accent5 2 3 3 2 3" xfId="11785" xr:uid="{BF558506-8306-4615-8033-229B1EDADDED}"/>
    <cellStyle name="40% - Accent5 2 3 3 3" xfId="5416" xr:uid="{00000000-0005-0000-0000-000073060000}"/>
    <cellStyle name="40% - Accent5 2 3 3 3 2" xfId="13858" xr:uid="{7D5C2F6D-C0F8-46CC-9FE8-9121DAE77782}"/>
    <cellStyle name="40% - Accent5 2 3 3 4" xfId="9640" xr:uid="{11A949C5-1CE6-4ADC-860A-973A88AEF62D}"/>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84701053-C26B-48C2-9C2D-5195EC0D2301}"/>
    <cellStyle name="40% - Accent5 2 3 4 2 3" xfId="12198" xr:uid="{922789E1-9412-48D2-A296-5230635BA364}"/>
    <cellStyle name="40% - Accent5 2 3 4 3" xfId="5829" xr:uid="{00000000-0005-0000-0000-000077060000}"/>
    <cellStyle name="40% - Accent5 2 3 4 3 2" xfId="14271" xr:uid="{FA643F45-7B7F-4BF2-A5C3-284BD2777D15}"/>
    <cellStyle name="40% - Accent5 2 3 4 4" xfId="10053" xr:uid="{652BAA31-12B9-4029-AD29-F4BD5CF158E2}"/>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7413EFC9-41B7-4071-848C-23AC20664C9F}"/>
    <cellStyle name="40% - Accent5 2 3 5 2 3" xfId="12611" xr:uid="{BF79ACBF-8E64-410B-807D-D4315EE44A72}"/>
    <cellStyle name="40% - Accent5 2 3 5 3" xfId="6242" xr:uid="{00000000-0005-0000-0000-00007B060000}"/>
    <cellStyle name="40% - Accent5 2 3 5 3 2" xfId="14684" xr:uid="{53F932D0-77BE-4C2B-BEDB-E104AE2FA437}"/>
    <cellStyle name="40% - Accent5 2 3 5 4" xfId="10466" xr:uid="{D2DC0787-B4A8-4CB6-8855-5FCDFC5341DD}"/>
    <cellStyle name="40% - Accent5 2 3 6" xfId="2348" xr:uid="{00000000-0005-0000-0000-00007C060000}"/>
    <cellStyle name="40% - Accent5 2 3 6 2" xfId="6655" xr:uid="{00000000-0005-0000-0000-00007D060000}"/>
    <cellStyle name="40% - Accent5 2 3 6 2 2" xfId="15097" xr:uid="{E8089620-B5C6-43D7-B71A-D1ED3C6BBCBA}"/>
    <cellStyle name="40% - Accent5 2 3 6 3" xfId="10879" xr:uid="{9DF85F06-436B-4B54-B9EE-FBF6D4B96E0B}"/>
    <cellStyle name="40% - Accent5 2 3 7" xfId="4589" xr:uid="{00000000-0005-0000-0000-00007E060000}"/>
    <cellStyle name="40% - Accent5 2 3 7 2" xfId="13031" xr:uid="{2F77FB6F-7DBA-4DF0-A86E-B8F91BBCDF1A}"/>
    <cellStyle name="40% - Accent5 2 3 8" xfId="8813" xr:uid="{932E0060-501C-489A-9436-44EF06C6C8F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BF454CD9-86D2-453C-86EE-6BB13A325CCD}"/>
    <cellStyle name="40% - Accent5 2 4 2 3" xfId="11369" xr:uid="{E5B266AB-AD7E-4EE1-B017-EC9A37C9DA4F}"/>
    <cellStyle name="40% - Accent5 2 4 3" xfId="5000" xr:uid="{00000000-0005-0000-0000-000082060000}"/>
    <cellStyle name="40% - Accent5 2 4 3 2" xfId="13442" xr:uid="{89117453-2E44-4C84-B605-553C50A01C4B}"/>
    <cellStyle name="40% - Accent5 2 4 4" xfId="9224" xr:uid="{EDD92F7B-A6FF-41C8-A472-CED5C3A6E624}"/>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578C5F2C-2FA3-4405-999B-FEB0D7C5E56E}"/>
    <cellStyle name="40% - Accent5 2 5 2 3" xfId="11782" xr:uid="{D1D7D504-C063-434A-AD2C-79B11D445B6B}"/>
    <cellStyle name="40% - Accent5 2 5 3" xfId="5413" xr:uid="{00000000-0005-0000-0000-000086060000}"/>
    <cellStyle name="40% - Accent5 2 5 3 2" xfId="13855" xr:uid="{2C181541-D7D2-468E-9DEF-495500135EF6}"/>
    <cellStyle name="40% - Accent5 2 5 4" xfId="9637" xr:uid="{BEB0335A-E36C-476F-8B15-926113226D7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60274B51-C072-438E-A6A4-65FDAF7F81E9}"/>
    <cellStyle name="40% - Accent5 2 6 2 3" xfId="12195" xr:uid="{38046259-0C63-4D16-B106-08138D5F36A9}"/>
    <cellStyle name="40% - Accent5 2 6 3" xfId="5826" xr:uid="{00000000-0005-0000-0000-00008A060000}"/>
    <cellStyle name="40% - Accent5 2 6 3 2" xfId="14268" xr:uid="{93357BE2-4F7D-47B8-8BF4-FDF69E62AD1B}"/>
    <cellStyle name="40% - Accent5 2 6 4" xfId="10050" xr:uid="{67FBF45F-7C57-4783-812F-6C5E8510C6A3}"/>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07AE5299-F063-4800-80EE-C9EFD6112B1C}"/>
    <cellStyle name="40% - Accent5 2 7 2 3" xfId="12608" xr:uid="{A1F0AE7B-2243-4F7D-9865-83A7C7A5E8C7}"/>
    <cellStyle name="40% - Accent5 2 7 3" xfId="6239" xr:uid="{00000000-0005-0000-0000-00008E060000}"/>
    <cellStyle name="40% - Accent5 2 7 3 2" xfId="14681" xr:uid="{AF0A8370-9392-4784-86FC-2FC80D05291B}"/>
    <cellStyle name="40% - Accent5 2 7 4" xfId="10463" xr:uid="{163A9032-C06D-454F-8B22-6857E634DA05}"/>
    <cellStyle name="40% - Accent5 2 8" xfId="2345" xr:uid="{00000000-0005-0000-0000-00008F060000}"/>
    <cellStyle name="40% - Accent5 2 8 2" xfId="6652" xr:uid="{00000000-0005-0000-0000-000090060000}"/>
    <cellStyle name="40% - Accent5 2 8 2 2" xfId="15094" xr:uid="{6DC846FD-E4D8-4C01-837C-973229B27B94}"/>
    <cellStyle name="40% - Accent5 2 8 3" xfId="10876" xr:uid="{51D725EF-CB01-46C6-A8E8-0DD62FF70741}"/>
    <cellStyle name="40% - Accent5 2 9" xfId="4586" xr:uid="{00000000-0005-0000-0000-000091060000}"/>
    <cellStyle name="40% - Accent5 2 9 2" xfId="13028" xr:uid="{3EA35020-B8E6-46E5-9149-CE86709B8A28}"/>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0D5D1E6A-C457-49CC-9ACE-D587E5977660}"/>
    <cellStyle name="40% - Accent5 3 2 2 2 3" xfId="11374" xr:uid="{D346CE40-1540-46EA-8FAE-257A4583BD4C}"/>
    <cellStyle name="40% - Accent5 3 2 2 3" xfId="5005" xr:uid="{00000000-0005-0000-0000-000097060000}"/>
    <cellStyle name="40% - Accent5 3 2 2 3 2" xfId="13447" xr:uid="{00FAF196-8D79-4866-97B1-79FE1FDB3503}"/>
    <cellStyle name="40% - Accent5 3 2 2 4" xfId="9229" xr:uid="{ECD15BC5-2F4E-42DA-AB09-B1A4A22E3216}"/>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6E505B72-1392-4386-BA24-75A1D1FA6353}"/>
    <cellStyle name="40% - Accent5 3 2 3 2 3" xfId="11787" xr:uid="{6372589A-B757-4277-9625-55F7F2947287}"/>
    <cellStyle name="40% - Accent5 3 2 3 3" xfId="5418" xr:uid="{00000000-0005-0000-0000-00009B060000}"/>
    <cellStyle name="40% - Accent5 3 2 3 3 2" xfId="13860" xr:uid="{13E3688E-3AEF-4EB8-B43C-7B7914F0E59E}"/>
    <cellStyle name="40% - Accent5 3 2 3 4" xfId="9642" xr:uid="{CCAC6D5C-6704-48C8-B579-F0C2F0AC1461}"/>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AAB0EC80-5B25-4992-87AE-B13109F76EF9}"/>
    <cellStyle name="40% - Accent5 3 2 4 2 3" xfId="12200" xr:uid="{61F1FEFB-A8A3-44C2-A2C7-73AC61EEE46B}"/>
    <cellStyle name="40% - Accent5 3 2 4 3" xfId="5831" xr:uid="{00000000-0005-0000-0000-00009F060000}"/>
    <cellStyle name="40% - Accent5 3 2 4 3 2" xfId="14273" xr:uid="{1DFF94AB-E3BC-4C02-9702-20DB40BF94AC}"/>
    <cellStyle name="40% - Accent5 3 2 4 4" xfId="10055" xr:uid="{00FBF813-DE2D-4423-9531-7C81030E0ABD}"/>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39AE46A7-3550-4683-B79D-B1DC2DC89E24}"/>
    <cellStyle name="40% - Accent5 3 2 5 2 3" xfId="12613" xr:uid="{D24CFC6C-2FFA-4012-91EB-8B672494385A}"/>
    <cellStyle name="40% - Accent5 3 2 5 3" xfId="6244" xr:uid="{00000000-0005-0000-0000-0000A3060000}"/>
    <cellStyle name="40% - Accent5 3 2 5 3 2" xfId="14686" xr:uid="{E46B65B4-B6E1-4458-9F62-9C547E8FCF2B}"/>
    <cellStyle name="40% - Accent5 3 2 5 4" xfId="10468" xr:uid="{1D77414A-0377-434F-92E0-CF5EBDC9C6E6}"/>
    <cellStyle name="40% - Accent5 3 2 6" xfId="2350" xr:uid="{00000000-0005-0000-0000-0000A4060000}"/>
    <cellStyle name="40% - Accent5 3 2 6 2" xfId="6657" xr:uid="{00000000-0005-0000-0000-0000A5060000}"/>
    <cellStyle name="40% - Accent5 3 2 6 2 2" xfId="15099" xr:uid="{4C286383-F18B-4CDC-B875-4D5F960B1DD6}"/>
    <cellStyle name="40% - Accent5 3 2 6 3" xfId="10881" xr:uid="{75316051-5661-417B-9E6C-71574BA3FA6F}"/>
    <cellStyle name="40% - Accent5 3 2 7" xfId="4591" xr:uid="{00000000-0005-0000-0000-0000A6060000}"/>
    <cellStyle name="40% - Accent5 3 2 7 2" xfId="13033" xr:uid="{255F0FD0-DA7D-4AF0-B90F-F0B1E65C24DD}"/>
    <cellStyle name="40% - Accent5 3 2 8" xfId="8815" xr:uid="{9FD0A4C3-5988-48DA-B8C8-6607633AD1E8}"/>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EC60EA73-BE98-4468-8296-2D450E44A686}"/>
    <cellStyle name="40% - Accent5 3 3 2 3" xfId="11373" xr:uid="{50B77AFD-F326-4479-ACBB-B9BC1291E0AB}"/>
    <cellStyle name="40% - Accent5 3 3 3" xfId="5004" xr:uid="{00000000-0005-0000-0000-0000AA060000}"/>
    <cellStyle name="40% - Accent5 3 3 3 2" xfId="13446" xr:uid="{FB2CA853-3CA6-4E8C-B194-B392CDC2F608}"/>
    <cellStyle name="40% - Accent5 3 3 4" xfId="9228" xr:uid="{D2E6EC47-CD44-41E3-96CD-13A0F2AED3E0}"/>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4F9BE3EC-597C-4AEA-A07A-E3794C9051B1}"/>
    <cellStyle name="40% - Accent5 3 4 2 3" xfId="11786" xr:uid="{C9B3CD35-7D23-4044-B02D-A910A5A56E67}"/>
    <cellStyle name="40% - Accent5 3 4 3" xfId="5417" xr:uid="{00000000-0005-0000-0000-0000AE060000}"/>
    <cellStyle name="40% - Accent5 3 4 3 2" xfId="13859" xr:uid="{606F96E6-3B23-49C1-9E80-30EAB0423197}"/>
    <cellStyle name="40% - Accent5 3 4 4" xfId="9641" xr:uid="{898F74F3-9FF1-4A1B-8F1A-C55623674402}"/>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C7370936-190B-4E04-A839-94D95AE8AB66}"/>
    <cellStyle name="40% - Accent5 3 5 2 3" xfId="12199" xr:uid="{B132EC5E-38F8-40DC-95A6-0DCE77CCAAA1}"/>
    <cellStyle name="40% - Accent5 3 5 3" xfId="5830" xr:uid="{00000000-0005-0000-0000-0000B2060000}"/>
    <cellStyle name="40% - Accent5 3 5 3 2" xfId="14272" xr:uid="{7C2D7455-A800-4BD9-AB7C-96DF3A3D27EC}"/>
    <cellStyle name="40% - Accent5 3 5 4" xfId="10054" xr:uid="{BBC8CFA3-80D0-4EEE-B15F-1629793EE3D8}"/>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476BAEDE-D5A6-4131-A430-5A3925B74708}"/>
    <cellStyle name="40% - Accent5 3 6 2 3" xfId="12612" xr:uid="{2575E44C-4874-4015-893E-04B6CB03280A}"/>
    <cellStyle name="40% - Accent5 3 6 3" xfId="6243" xr:uid="{00000000-0005-0000-0000-0000B6060000}"/>
    <cellStyle name="40% - Accent5 3 6 3 2" xfId="14685" xr:uid="{E00FDC50-9C5F-4C4D-9F61-90377F81CB6E}"/>
    <cellStyle name="40% - Accent5 3 6 4" xfId="10467" xr:uid="{3026479A-55F2-4749-BC54-2C9F8B775632}"/>
    <cellStyle name="40% - Accent5 3 7" xfId="2349" xr:uid="{00000000-0005-0000-0000-0000B7060000}"/>
    <cellStyle name="40% - Accent5 3 7 2" xfId="6656" xr:uid="{00000000-0005-0000-0000-0000B8060000}"/>
    <cellStyle name="40% - Accent5 3 7 2 2" xfId="15098" xr:uid="{363B3B69-DF68-4BBE-83F3-11D761626B27}"/>
    <cellStyle name="40% - Accent5 3 7 3" xfId="10880" xr:uid="{26FE1C73-3C87-4443-BEB5-956C79C3F0EC}"/>
    <cellStyle name="40% - Accent5 3 8" xfId="4590" xr:uid="{00000000-0005-0000-0000-0000B9060000}"/>
    <cellStyle name="40% - Accent5 3 8 2" xfId="13032" xr:uid="{7EAB251E-4ED8-4D90-98F3-CDF39856D8D3}"/>
    <cellStyle name="40% - Accent5 3 9" xfId="8814" xr:uid="{4FB8B8D6-38AF-4EFD-AC18-3663CE3B86D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5A82D37A-1B53-4C30-8745-B377AA9D57EA}"/>
    <cellStyle name="40% - Accent5 4 2 2 3" xfId="11375" xr:uid="{2E68B603-AC56-4AB5-A993-ABCE213AF35F}"/>
    <cellStyle name="40% - Accent5 4 2 3" xfId="5006" xr:uid="{00000000-0005-0000-0000-0000BE060000}"/>
    <cellStyle name="40% - Accent5 4 2 3 2" xfId="13448" xr:uid="{461250A7-07AA-4D48-9D66-C8A0DD866878}"/>
    <cellStyle name="40% - Accent5 4 2 4" xfId="9230" xr:uid="{A7262F74-AAFB-4406-BCBF-5F33D5906E1E}"/>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59E45376-266B-46F6-A025-F725AB8CF9E4}"/>
    <cellStyle name="40% - Accent5 4 3 2 3" xfId="11788" xr:uid="{0DEC1D22-F1E8-4097-B85C-37335BCB98DA}"/>
    <cellStyle name="40% - Accent5 4 3 3" xfId="5419" xr:uid="{00000000-0005-0000-0000-0000C2060000}"/>
    <cellStyle name="40% - Accent5 4 3 3 2" xfId="13861" xr:uid="{692F7C14-4EDF-4878-B98E-8617F9F6F9E9}"/>
    <cellStyle name="40% - Accent5 4 3 4" xfId="9643" xr:uid="{907F8800-307D-4BD1-9D49-5DC6417825CC}"/>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604A80E1-F885-4916-A8EF-94A6BEEA6904}"/>
    <cellStyle name="40% - Accent5 4 4 2 3" xfId="12201" xr:uid="{50D4E692-75A2-401D-8E14-93C853A4F285}"/>
    <cellStyle name="40% - Accent5 4 4 3" xfId="5832" xr:uid="{00000000-0005-0000-0000-0000C6060000}"/>
    <cellStyle name="40% - Accent5 4 4 3 2" xfId="14274" xr:uid="{6CFD510C-CBD5-4021-8594-D2B5EB5CAE82}"/>
    <cellStyle name="40% - Accent5 4 4 4" xfId="10056" xr:uid="{64734727-43BB-4E85-9E31-DE90FAAAA414}"/>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1AA81658-BC97-417F-B84B-92D5A0AB590C}"/>
    <cellStyle name="40% - Accent5 4 5 2 3" xfId="12614" xr:uid="{8581418D-06D8-4F65-9A3B-BB2181A54395}"/>
    <cellStyle name="40% - Accent5 4 5 3" xfId="6245" xr:uid="{00000000-0005-0000-0000-0000CA060000}"/>
    <cellStyle name="40% - Accent5 4 5 3 2" xfId="14687" xr:uid="{B413EC86-1B65-495A-AC63-F5479F602A92}"/>
    <cellStyle name="40% - Accent5 4 5 4" xfId="10469" xr:uid="{339095E7-850D-45FF-954C-0E2699EB96A3}"/>
    <cellStyle name="40% - Accent5 4 6" xfId="2351" xr:uid="{00000000-0005-0000-0000-0000CB060000}"/>
    <cellStyle name="40% - Accent5 4 6 2" xfId="6658" xr:uid="{00000000-0005-0000-0000-0000CC060000}"/>
    <cellStyle name="40% - Accent5 4 6 2 2" xfId="15100" xr:uid="{2358D984-A254-448E-845B-77D21F0C06FE}"/>
    <cellStyle name="40% - Accent5 4 6 3" xfId="10882" xr:uid="{5ECE3C60-006D-4EBC-96FF-CF95132C3D01}"/>
    <cellStyle name="40% - Accent5 4 7" xfId="4592" xr:uid="{00000000-0005-0000-0000-0000CD060000}"/>
    <cellStyle name="40% - Accent5 4 7 2" xfId="13034" xr:uid="{621A8124-540C-4C51-BC20-3401EE3683CE}"/>
    <cellStyle name="40% - Accent5 4 8" xfId="8816" xr:uid="{0FA783FB-437F-408A-9B5B-3901C5D863A0}"/>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00207285-49BC-4D20-976D-86C50C5C347B}"/>
    <cellStyle name="40% - Accent5 5 2 3" xfId="11368" xr:uid="{CDD55238-E270-41A3-B287-5D58FA2889EF}"/>
    <cellStyle name="40% - Accent5 5 3" xfId="4999" xr:uid="{00000000-0005-0000-0000-0000D1060000}"/>
    <cellStyle name="40% - Accent5 5 3 2" xfId="13441" xr:uid="{90D4A7D1-D2E7-41E0-A135-7610F0460945}"/>
    <cellStyle name="40% - Accent5 5 4" xfId="9223" xr:uid="{5A9B9AFF-5E74-40F0-A6CA-DE5C868E688A}"/>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BD69752B-D59B-4504-8353-E9BDB7BB0876}"/>
    <cellStyle name="40% - Accent5 6 2 3" xfId="11781" xr:uid="{CEB927D4-7EE3-458D-928C-7395C4597918}"/>
    <cellStyle name="40% - Accent5 6 3" xfId="5412" xr:uid="{00000000-0005-0000-0000-0000D5060000}"/>
    <cellStyle name="40% - Accent5 6 3 2" xfId="13854" xr:uid="{72C96122-32ED-46E2-B2D5-64E8A89FD9B1}"/>
    <cellStyle name="40% - Accent5 6 4" xfId="9636" xr:uid="{2E22E2CB-7AAE-491E-AC29-65B7D7ACC629}"/>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9F20D5A0-5EEA-4820-9912-0CE0C36A1C51}"/>
    <cellStyle name="40% - Accent5 7 2 3" xfId="12194" xr:uid="{0EF7227E-B487-4571-815A-6460AF7DC59E}"/>
    <cellStyle name="40% - Accent5 7 3" xfId="5825" xr:uid="{00000000-0005-0000-0000-0000D9060000}"/>
    <cellStyle name="40% - Accent5 7 3 2" xfId="14267" xr:uid="{5D6773D4-E7A8-4D88-9F98-7BEB7800FD4A}"/>
    <cellStyle name="40% - Accent5 7 4" xfId="10049" xr:uid="{01839564-B2AD-4D98-893B-C52A0887780F}"/>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59D1BCE2-F631-495D-B2C8-C3AA73877945}"/>
    <cellStyle name="40% - Accent5 8 2 3" xfId="12607" xr:uid="{8C5546DA-5F6C-4BC6-ABDE-F4C880163114}"/>
    <cellStyle name="40% - Accent5 8 3" xfId="6238" xr:uid="{00000000-0005-0000-0000-0000DD060000}"/>
    <cellStyle name="40% - Accent5 8 3 2" xfId="14680" xr:uid="{7D487320-1DB3-49E7-8F2F-D3A594EEE77F}"/>
    <cellStyle name="40% - Accent5 8 4" xfId="10462" xr:uid="{57890525-F4FA-47D6-8B3F-0FE0A8F20859}"/>
    <cellStyle name="40% - Accent5 9" xfId="2344" xr:uid="{00000000-0005-0000-0000-0000DE060000}"/>
    <cellStyle name="40% - Accent5 9 2" xfId="6651" xr:uid="{00000000-0005-0000-0000-0000DF060000}"/>
    <cellStyle name="40% - Accent5 9 2 2" xfId="15093" xr:uid="{A532848A-4A23-4FFB-BC46-64990E3CC68E}"/>
    <cellStyle name="40% - Accent5 9 3" xfId="10875" xr:uid="{EA070A81-9FE7-438F-8249-62840CAA6C28}"/>
    <cellStyle name="40% - Accent6" xfId="89" builtinId="51" customBuiltin="1"/>
    <cellStyle name="40% - Accent6 10" xfId="4593" xr:uid="{00000000-0005-0000-0000-0000E1060000}"/>
    <cellStyle name="40% - Accent6 10 2" xfId="13035" xr:uid="{E7B2186D-8A9E-4F7E-948E-E6864F5D52C0}"/>
    <cellStyle name="40% - Accent6 11" xfId="8817" xr:uid="{8A99B26F-957D-4150-8B84-326E4DF7BA2C}"/>
    <cellStyle name="40% - Accent6 2" xfId="90" xr:uid="{00000000-0005-0000-0000-0000E2060000}"/>
    <cellStyle name="40% - Accent6 2 10" xfId="8818" xr:uid="{58A021CA-F13F-4107-B4E2-8E0B5D258F66}"/>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DC8BFE46-1122-4562-AF6C-F840FC67F396}"/>
    <cellStyle name="40% - Accent6 2 2 2 2 2 3" xfId="11379" xr:uid="{31C8B3A7-00EE-4E81-B48B-A419EAB2A886}"/>
    <cellStyle name="40% - Accent6 2 2 2 2 3" xfId="5010" xr:uid="{00000000-0005-0000-0000-0000E8060000}"/>
    <cellStyle name="40% - Accent6 2 2 2 2 3 2" xfId="13452" xr:uid="{F233EDE0-113D-481B-A45F-299B4E96BB6B}"/>
    <cellStyle name="40% - Accent6 2 2 2 2 4" xfId="9234" xr:uid="{07780773-1E11-4B54-BB00-3FBD0D17CC38}"/>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36CE0388-36C0-4A28-A2F4-4120A4FEA272}"/>
    <cellStyle name="40% - Accent6 2 2 2 3 2 3" xfId="11792" xr:uid="{CAD0C11B-8DF8-447B-9EF9-76BC2CF0AB55}"/>
    <cellStyle name="40% - Accent6 2 2 2 3 3" xfId="5423" xr:uid="{00000000-0005-0000-0000-0000EC060000}"/>
    <cellStyle name="40% - Accent6 2 2 2 3 3 2" xfId="13865" xr:uid="{490F16E2-C7A1-48CC-A6B0-137624D33E28}"/>
    <cellStyle name="40% - Accent6 2 2 2 3 4" xfId="9647" xr:uid="{B1ABAA0B-F8B9-4707-8ECB-98CFAF3F629E}"/>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A83B5921-BDB7-4BB4-8534-0599FC9F0627}"/>
    <cellStyle name="40% - Accent6 2 2 2 4 2 3" xfId="12205" xr:uid="{AD3F07B2-1939-42F4-BCAE-59E616F25D6E}"/>
    <cellStyle name="40% - Accent6 2 2 2 4 3" xfId="5836" xr:uid="{00000000-0005-0000-0000-0000F0060000}"/>
    <cellStyle name="40% - Accent6 2 2 2 4 3 2" xfId="14278" xr:uid="{C2EB858E-4DC5-4ACD-AB8C-C344E8C594C5}"/>
    <cellStyle name="40% - Accent6 2 2 2 4 4" xfId="10060" xr:uid="{577FE262-61EB-4FE1-BEBE-13B30CA1321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F145E803-2443-4DFD-8DDC-CD4AAE2DCE42}"/>
    <cellStyle name="40% - Accent6 2 2 2 5 2 3" xfId="12618" xr:uid="{C2FA3E81-9F2B-4B86-97AE-68EA4A8A9270}"/>
    <cellStyle name="40% - Accent6 2 2 2 5 3" xfId="6249" xr:uid="{00000000-0005-0000-0000-0000F4060000}"/>
    <cellStyle name="40% - Accent6 2 2 2 5 3 2" xfId="14691" xr:uid="{AFF734C6-E686-42CD-B9E9-3E3916CDD2C1}"/>
    <cellStyle name="40% - Accent6 2 2 2 5 4" xfId="10473" xr:uid="{3A6DB8EC-CA97-44AA-ACFF-04A2720D0E66}"/>
    <cellStyle name="40% - Accent6 2 2 2 6" xfId="2355" xr:uid="{00000000-0005-0000-0000-0000F5060000}"/>
    <cellStyle name="40% - Accent6 2 2 2 6 2" xfId="6662" xr:uid="{00000000-0005-0000-0000-0000F6060000}"/>
    <cellStyle name="40% - Accent6 2 2 2 6 2 2" xfId="15104" xr:uid="{E0382DF1-1FBD-40AA-8D6B-276401C8E991}"/>
    <cellStyle name="40% - Accent6 2 2 2 6 3" xfId="10886" xr:uid="{B49F16B5-56EA-439A-9C9F-2E0AB5B4380A}"/>
    <cellStyle name="40% - Accent6 2 2 2 7" xfId="4596" xr:uid="{00000000-0005-0000-0000-0000F7060000}"/>
    <cellStyle name="40% - Accent6 2 2 2 7 2" xfId="13038" xr:uid="{DD34E8C4-EC17-4EAE-9DBC-742C596EA3F5}"/>
    <cellStyle name="40% - Accent6 2 2 2 8" xfId="8820" xr:uid="{AEC7922B-A934-48FC-A402-C398085AE555}"/>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36721268-3434-4365-9442-64D46EBD3417}"/>
    <cellStyle name="40% - Accent6 2 2 3 2 3" xfId="11378" xr:uid="{895CDB82-D52E-4B67-83A7-8D2315247D5E}"/>
    <cellStyle name="40% - Accent6 2 2 3 3" xfId="5009" xr:uid="{00000000-0005-0000-0000-0000FB060000}"/>
    <cellStyle name="40% - Accent6 2 2 3 3 2" xfId="13451" xr:uid="{CDA743FB-B12F-4BD3-A378-EC707D697FBD}"/>
    <cellStyle name="40% - Accent6 2 2 3 4" xfId="9233" xr:uid="{BE3511CC-2703-4CAF-ABF0-B4E8EE4EE324}"/>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4A4D660A-7ADA-4C1E-A180-065630E17655}"/>
    <cellStyle name="40% - Accent6 2 2 4 2 3" xfId="11791" xr:uid="{BB415933-3804-4A5D-8A3C-4B7C5BCEC1B1}"/>
    <cellStyle name="40% - Accent6 2 2 4 3" xfId="5422" xr:uid="{00000000-0005-0000-0000-0000FF060000}"/>
    <cellStyle name="40% - Accent6 2 2 4 3 2" xfId="13864" xr:uid="{41A811B9-4A76-4055-AF8A-D99BB5AFFAB0}"/>
    <cellStyle name="40% - Accent6 2 2 4 4" xfId="9646" xr:uid="{0CA5E670-EC95-422C-AA3D-0C915141E1E3}"/>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D3346CDF-0DEB-4D00-B9F0-720753FA9756}"/>
    <cellStyle name="40% - Accent6 2 2 5 2 3" xfId="12204" xr:uid="{35D2ED8E-05AD-4586-BD23-F9A4E0B5F04E}"/>
    <cellStyle name="40% - Accent6 2 2 5 3" xfId="5835" xr:uid="{00000000-0005-0000-0000-000003070000}"/>
    <cellStyle name="40% - Accent6 2 2 5 3 2" xfId="14277" xr:uid="{EF6FE565-ECDC-482D-804D-9AA05C5D4830}"/>
    <cellStyle name="40% - Accent6 2 2 5 4" xfId="10059" xr:uid="{E171C33E-5C94-4946-8779-01B31C0A571A}"/>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A44F16DC-6A6E-4272-811E-684B17605BC7}"/>
    <cellStyle name="40% - Accent6 2 2 6 2 3" xfId="12617" xr:uid="{1EE380BC-5F76-4DDA-8A26-B388A9798370}"/>
    <cellStyle name="40% - Accent6 2 2 6 3" xfId="6248" xr:uid="{00000000-0005-0000-0000-000007070000}"/>
    <cellStyle name="40% - Accent6 2 2 6 3 2" xfId="14690" xr:uid="{A0C74BF8-121F-43A1-8E18-4D177C51183B}"/>
    <cellStyle name="40% - Accent6 2 2 6 4" xfId="10472" xr:uid="{09B20991-92B2-455F-A3E1-D5E9F549AC6A}"/>
    <cellStyle name="40% - Accent6 2 2 7" xfId="2354" xr:uid="{00000000-0005-0000-0000-000008070000}"/>
    <cellStyle name="40% - Accent6 2 2 7 2" xfId="6661" xr:uid="{00000000-0005-0000-0000-000009070000}"/>
    <cellStyle name="40% - Accent6 2 2 7 2 2" xfId="15103" xr:uid="{5BFF9BB5-8945-48D3-B326-B0279B3DAF89}"/>
    <cellStyle name="40% - Accent6 2 2 7 3" xfId="10885" xr:uid="{F47187CB-DFB9-4707-BDF5-0E73E75FC661}"/>
    <cellStyle name="40% - Accent6 2 2 8" xfId="4595" xr:uid="{00000000-0005-0000-0000-00000A070000}"/>
    <cellStyle name="40% - Accent6 2 2 8 2" xfId="13037" xr:uid="{4574C420-33E4-4BBA-ABD4-6683F78DEE8D}"/>
    <cellStyle name="40% - Accent6 2 2 9" xfId="8819" xr:uid="{E240FFC9-1AB5-4C26-93F5-F43BCD384801}"/>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ACC350D7-82EC-44FB-8095-637E77E801B1}"/>
    <cellStyle name="40% - Accent6 2 3 2 2 3" xfId="11380" xr:uid="{0696E61B-D53C-4558-9821-539EC646CB02}"/>
    <cellStyle name="40% - Accent6 2 3 2 3" xfId="5011" xr:uid="{00000000-0005-0000-0000-00000F070000}"/>
    <cellStyle name="40% - Accent6 2 3 2 3 2" xfId="13453" xr:uid="{F83E0B53-CC88-48B4-ADE5-7E02D6BBFCFC}"/>
    <cellStyle name="40% - Accent6 2 3 2 4" xfId="9235" xr:uid="{BE99286B-F186-4D5F-9CDD-6FAD4B924A6F}"/>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D43F509C-ED8B-40B4-A6D0-14208EF1779E}"/>
    <cellStyle name="40% - Accent6 2 3 3 2 3" xfId="11793" xr:uid="{70093926-DEF0-415A-AC1C-3E58A7B85AC3}"/>
    <cellStyle name="40% - Accent6 2 3 3 3" xfId="5424" xr:uid="{00000000-0005-0000-0000-000013070000}"/>
    <cellStyle name="40% - Accent6 2 3 3 3 2" xfId="13866" xr:uid="{19B5099E-C0CC-4671-9CD6-72CF77C99C2F}"/>
    <cellStyle name="40% - Accent6 2 3 3 4" xfId="9648" xr:uid="{014C35F1-9954-4394-B8F9-88D4E34C974B}"/>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B67A8CD6-A0D0-4FA4-9198-5E070454451A}"/>
    <cellStyle name="40% - Accent6 2 3 4 2 3" xfId="12206" xr:uid="{3A8AB031-D323-47D5-BD0C-2A08357CC91B}"/>
    <cellStyle name="40% - Accent6 2 3 4 3" xfId="5837" xr:uid="{00000000-0005-0000-0000-000017070000}"/>
    <cellStyle name="40% - Accent6 2 3 4 3 2" xfId="14279" xr:uid="{67E5B722-8132-484B-9CE1-7DC816233F71}"/>
    <cellStyle name="40% - Accent6 2 3 4 4" xfId="10061" xr:uid="{214E5C46-15C8-4E3D-889B-CADBA72B60F4}"/>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79A18865-069B-460B-82C2-4D7E86C9302B}"/>
    <cellStyle name="40% - Accent6 2 3 5 2 3" xfId="12619" xr:uid="{0DE4A2FD-8F86-4094-A7B7-1D8236A287DB}"/>
    <cellStyle name="40% - Accent6 2 3 5 3" xfId="6250" xr:uid="{00000000-0005-0000-0000-00001B070000}"/>
    <cellStyle name="40% - Accent6 2 3 5 3 2" xfId="14692" xr:uid="{424972F1-5164-4421-9E47-140C6E0BB804}"/>
    <cellStyle name="40% - Accent6 2 3 5 4" xfId="10474" xr:uid="{71AF964C-76DF-4D43-B460-E7C4966257A4}"/>
    <cellStyle name="40% - Accent6 2 3 6" xfId="2356" xr:uid="{00000000-0005-0000-0000-00001C070000}"/>
    <cellStyle name="40% - Accent6 2 3 6 2" xfId="6663" xr:uid="{00000000-0005-0000-0000-00001D070000}"/>
    <cellStyle name="40% - Accent6 2 3 6 2 2" xfId="15105" xr:uid="{250534A3-3BBC-4DE2-A8C1-4D04A7A78AFE}"/>
    <cellStyle name="40% - Accent6 2 3 6 3" xfId="10887" xr:uid="{9C7FE43F-5F2A-44C0-B727-E2A61B7DF696}"/>
    <cellStyle name="40% - Accent6 2 3 7" xfId="4597" xr:uid="{00000000-0005-0000-0000-00001E070000}"/>
    <cellStyle name="40% - Accent6 2 3 7 2" xfId="13039" xr:uid="{20ACFEE9-D1D4-4F96-87BB-BCEA91389733}"/>
    <cellStyle name="40% - Accent6 2 3 8" xfId="8821" xr:uid="{F2ECCC96-0B13-4F77-8A76-10D81F7D66DD}"/>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5601D235-8702-4B39-A7E4-F79D854C3869}"/>
    <cellStyle name="40% - Accent6 2 4 2 3" xfId="11377" xr:uid="{E75D05B9-0F81-4728-89B6-53C45BE0FC37}"/>
    <cellStyle name="40% - Accent6 2 4 3" xfId="5008" xr:uid="{00000000-0005-0000-0000-000022070000}"/>
    <cellStyle name="40% - Accent6 2 4 3 2" xfId="13450" xr:uid="{60B27A9D-900F-4DA4-AB5F-B8985D54A4ED}"/>
    <cellStyle name="40% - Accent6 2 4 4" xfId="9232" xr:uid="{D126B5A0-7631-4E69-BA81-A41018BBDFB8}"/>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1586EBFA-0670-419D-AEE8-44F371471C70}"/>
    <cellStyle name="40% - Accent6 2 5 2 3" xfId="11790" xr:uid="{1D074625-9D26-42C4-84BA-2B10B81E2198}"/>
    <cellStyle name="40% - Accent6 2 5 3" xfId="5421" xr:uid="{00000000-0005-0000-0000-000026070000}"/>
    <cellStyle name="40% - Accent6 2 5 3 2" xfId="13863" xr:uid="{E12A755B-4B50-4977-973E-AB1300E56F86}"/>
    <cellStyle name="40% - Accent6 2 5 4" xfId="9645" xr:uid="{7AAB262A-56E2-4F91-BDDF-360C4011626D}"/>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2B2C04F4-5C84-47EC-8D29-A6B8196F5767}"/>
    <cellStyle name="40% - Accent6 2 6 2 3" xfId="12203" xr:uid="{646E5CCA-F133-4E7E-A0FF-AAB016A41EF1}"/>
    <cellStyle name="40% - Accent6 2 6 3" xfId="5834" xr:uid="{00000000-0005-0000-0000-00002A070000}"/>
    <cellStyle name="40% - Accent6 2 6 3 2" xfId="14276" xr:uid="{76329374-5712-4D5D-A969-6A660A5FADA4}"/>
    <cellStyle name="40% - Accent6 2 6 4" xfId="10058" xr:uid="{C8ECBE44-B621-4BFE-B2E5-D6BA0B50B791}"/>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916A1184-D5E8-41AC-818B-284C0B6D74B7}"/>
    <cellStyle name="40% - Accent6 2 7 2 3" xfId="12616" xr:uid="{5638970E-56DB-4AF4-B3D8-81F1BEA94649}"/>
    <cellStyle name="40% - Accent6 2 7 3" xfId="6247" xr:uid="{00000000-0005-0000-0000-00002E070000}"/>
    <cellStyle name="40% - Accent6 2 7 3 2" xfId="14689" xr:uid="{F9EE2B47-F598-40DE-865F-A2FEEAAFA869}"/>
    <cellStyle name="40% - Accent6 2 7 4" xfId="10471" xr:uid="{6225240D-20D8-473F-8AE9-EE4D335CD191}"/>
    <cellStyle name="40% - Accent6 2 8" xfId="2353" xr:uid="{00000000-0005-0000-0000-00002F070000}"/>
    <cellStyle name="40% - Accent6 2 8 2" xfId="6660" xr:uid="{00000000-0005-0000-0000-000030070000}"/>
    <cellStyle name="40% - Accent6 2 8 2 2" xfId="15102" xr:uid="{A8DA5D84-2F8A-4747-8C5C-69CFFEBAFAEE}"/>
    <cellStyle name="40% - Accent6 2 8 3" xfId="10884" xr:uid="{82FA64B6-539F-4498-9578-06399D8986E9}"/>
    <cellStyle name="40% - Accent6 2 9" xfId="4594" xr:uid="{00000000-0005-0000-0000-000031070000}"/>
    <cellStyle name="40% - Accent6 2 9 2" xfId="13036" xr:uid="{E684389B-A394-4004-92A8-44E7EEB157DD}"/>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9312DF05-C0F1-4270-8B23-942B06DC38B1}"/>
    <cellStyle name="40% - Accent6 3 2 2 2 3" xfId="11382" xr:uid="{8038E1A6-D4FB-4D60-9F7F-EACD7083847C}"/>
    <cellStyle name="40% - Accent6 3 2 2 3" xfId="5013" xr:uid="{00000000-0005-0000-0000-000037070000}"/>
    <cellStyle name="40% - Accent6 3 2 2 3 2" xfId="13455" xr:uid="{A4A465EB-9F39-4C5C-AA06-E03EA3FC545F}"/>
    <cellStyle name="40% - Accent6 3 2 2 4" xfId="9237" xr:uid="{1407AB45-38CD-4269-ABED-9F016AA9E947}"/>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78721304-B8EE-405C-B0A7-7283654D1854}"/>
    <cellStyle name="40% - Accent6 3 2 3 2 3" xfId="11795" xr:uid="{0316696C-AB14-41F5-8818-79BBF3FBBCFC}"/>
    <cellStyle name="40% - Accent6 3 2 3 3" xfId="5426" xr:uid="{00000000-0005-0000-0000-00003B070000}"/>
    <cellStyle name="40% - Accent6 3 2 3 3 2" xfId="13868" xr:uid="{CE4CCF4C-E0F4-4661-A24B-1B98B1A29879}"/>
    <cellStyle name="40% - Accent6 3 2 3 4" xfId="9650" xr:uid="{6A6DD95E-D3FB-4F5B-8E48-03D013C971BA}"/>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070EEFD3-A5DA-4FC2-847A-E521AF592DBC}"/>
    <cellStyle name="40% - Accent6 3 2 4 2 3" xfId="12208" xr:uid="{64A4AAF3-20B8-4A90-B69F-DBC7A5639899}"/>
    <cellStyle name="40% - Accent6 3 2 4 3" xfId="5839" xr:uid="{00000000-0005-0000-0000-00003F070000}"/>
    <cellStyle name="40% - Accent6 3 2 4 3 2" xfId="14281" xr:uid="{2321EC94-FC95-4AF2-91E3-64D12949F263}"/>
    <cellStyle name="40% - Accent6 3 2 4 4" xfId="10063" xr:uid="{ABD09100-49A9-4AF3-B633-CADF6A06CAB3}"/>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4E1C299D-BDFE-45FB-8AD0-161C4DF6C476}"/>
    <cellStyle name="40% - Accent6 3 2 5 2 3" xfId="12621" xr:uid="{8607E9E7-B18D-4B2E-BBA0-C787BA1A0B50}"/>
    <cellStyle name="40% - Accent6 3 2 5 3" xfId="6252" xr:uid="{00000000-0005-0000-0000-000043070000}"/>
    <cellStyle name="40% - Accent6 3 2 5 3 2" xfId="14694" xr:uid="{A5F36544-B22D-4AA2-9166-46E38E03BBDA}"/>
    <cellStyle name="40% - Accent6 3 2 5 4" xfId="10476" xr:uid="{7AA002DC-0461-478D-9705-52DA805B5C4F}"/>
    <cellStyle name="40% - Accent6 3 2 6" xfId="2358" xr:uid="{00000000-0005-0000-0000-000044070000}"/>
    <cellStyle name="40% - Accent6 3 2 6 2" xfId="6665" xr:uid="{00000000-0005-0000-0000-000045070000}"/>
    <cellStyle name="40% - Accent6 3 2 6 2 2" xfId="15107" xr:uid="{AB0FE41B-26A2-4C16-B98D-415F59AB9F37}"/>
    <cellStyle name="40% - Accent6 3 2 6 3" xfId="10889" xr:uid="{D2A1A24F-D6C5-4D00-B62D-3D997C0A615B}"/>
    <cellStyle name="40% - Accent6 3 2 7" xfId="4599" xr:uid="{00000000-0005-0000-0000-000046070000}"/>
    <cellStyle name="40% - Accent6 3 2 7 2" xfId="13041" xr:uid="{BFAC8F44-CC36-494C-9113-3833581CF0A0}"/>
    <cellStyle name="40% - Accent6 3 2 8" xfId="8823" xr:uid="{06739CDE-B94D-4A6F-898D-8149DCF3C561}"/>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C0930599-1631-4574-864B-B158A9C158DB}"/>
    <cellStyle name="40% - Accent6 3 3 2 3" xfId="11381" xr:uid="{5A955E3F-A364-445F-B89A-C6030F40440F}"/>
    <cellStyle name="40% - Accent6 3 3 3" xfId="5012" xr:uid="{00000000-0005-0000-0000-00004A070000}"/>
    <cellStyle name="40% - Accent6 3 3 3 2" xfId="13454" xr:uid="{21432F2B-C21C-4B68-92A0-FA3F22FC60EE}"/>
    <cellStyle name="40% - Accent6 3 3 4" xfId="9236" xr:uid="{B475B825-91FA-4CA4-9084-5E3E3253203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99F29941-36FD-44B6-A505-A03500668C22}"/>
    <cellStyle name="40% - Accent6 3 4 2 3" xfId="11794" xr:uid="{43DAFABD-4BB4-45FA-AFA4-CC4BDB8D5B90}"/>
    <cellStyle name="40% - Accent6 3 4 3" xfId="5425" xr:uid="{00000000-0005-0000-0000-00004E070000}"/>
    <cellStyle name="40% - Accent6 3 4 3 2" xfId="13867" xr:uid="{D11DFD99-65D4-4360-9925-8D90858C1F5E}"/>
    <cellStyle name="40% - Accent6 3 4 4" xfId="9649" xr:uid="{8F7817EA-3473-4551-BCC8-480294A3DDAD}"/>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E2CF10AD-34FF-4960-8F94-0374C3383359}"/>
    <cellStyle name="40% - Accent6 3 5 2 3" xfId="12207" xr:uid="{76855E1F-9483-4990-8F01-B721227F97F7}"/>
    <cellStyle name="40% - Accent6 3 5 3" xfId="5838" xr:uid="{00000000-0005-0000-0000-000052070000}"/>
    <cellStyle name="40% - Accent6 3 5 3 2" xfId="14280" xr:uid="{EADC8320-CA08-46EE-A6F2-FBCE4000D0F3}"/>
    <cellStyle name="40% - Accent6 3 5 4" xfId="10062" xr:uid="{39A0F02B-854F-467D-8FDC-FAF4D4B60CC8}"/>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61B26822-8729-45FE-91C3-CE4122F26A39}"/>
    <cellStyle name="40% - Accent6 3 6 2 3" xfId="12620" xr:uid="{526D407A-C96A-4B3B-9482-45D0E4278440}"/>
    <cellStyle name="40% - Accent6 3 6 3" xfId="6251" xr:uid="{00000000-0005-0000-0000-000056070000}"/>
    <cellStyle name="40% - Accent6 3 6 3 2" xfId="14693" xr:uid="{FC21F2B8-C9A2-4828-AAD9-69C27EA51D08}"/>
    <cellStyle name="40% - Accent6 3 6 4" xfId="10475" xr:uid="{6AC21039-5A76-4EA4-B490-0244C44C109B}"/>
    <cellStyle name="40% - Accent6 3 7" xfId="2357" xr:uid="{00000000-0005-0000-0000-000057070000}"/>
    <cellStyle name="40% - Accent6 3 7 2" xfId="6664" xr:uid="{00000000-0005-0000-0000-000058070000}"/>
    <cellStyle name="40% - Accent6 3 7 2 2" xfId="15106" xr:uid="{EC5F6204-37E3-4276-A96F-74665A068489}"/>
    <cellStyle name="40% - Accent6 3 7 3" xfId="10888" xr:uid="{612D2D3A-80BE-4AAB-89DC-A661CBAD5645}"/>
    <cellStyle name="40% - Accent6 3 8" xfId="4598" xr:uid="{00000000-0005-0000-0000-000059070000}"/>
    <cellStyle name="40% - Accent6 3 8 2" xfId="13040" xr:uid="{2085C827-F7AC-4858-8986-4B822301BC4F}"/>
    <cellStyle name="40% - Accent6 3 9" xfId="8822" xr:uid="{B17490AB-B08B-47F9-9A78-63CC2BD0CFD7}"/>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859A07AA-3BD3-4037-A493-8E06E5E46310}"/>
    <cellStyle name="40% - Accent6 4 2 2 3" xfId="11383" xr:uid="{D3842E39-3CF2-4EB4-AFAF-E1AF5B5F2E29}"/>
    <cellStyle name="40% - Accent6 4 2 3" xfId="5014" xr:uid="{00000000-0005-0000-0000-00005E070000}"/>
    <cellStyle name="40% - Accent6 4 2 3 2" xfId="13456" xr:uid="{AACA6189-4C3E-4F03-9DE2-79993AB60E4D}"/>
    <cellStyle name="40% - Accent6 4 2 4" xfId="9238" xr:uid="{58113A8F-4759-4A56-B7C8-C6FBC6E5E59B}"/>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A4DD7857-33AE-45EF-B9F3-8ADE841666B5}"/>
    <cellStyle name="40% - Accent6 4 3 2 3" xfId="11796" xr:uid="{12566D3D-3AA3-4143-B75F-27CDCA625892}"/>
    <cellStyle name="40% - Accent6 4 3 3" xfId="5427" xr:uid="{00000000-0005-0000-0000-000062070000}"/>
    <cellStyle name="40% - Accent6 4 3 3 2" xfId="13869" xr:uid="{BD2EF5EF-4FF1-4273-A29D-2A921C36EBB0}"/>
    <cellStyle name="40% - Accent6 4 3 4" xfId="9651" xr:uid="{E3CACAD1-96B5-4AF0-A959-14F95F8181D1}"/>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1BB2B2D9-2C26-401F-98A7-B4AD004EC65C}"/>
    <cellStyle name="40% - Accent6 4 4 2 3" xfId="12209" xr:uid="{2D0A71E5-3CDC-48D8-A98E-BCB98093B803}"/>
    <cellStyle name="40% - Accent6 4 4 3" xfId="5840" xr:uid="{00000000-0005-0000-0000-000066070000}"/>
    <cellStyle name="40% - Accent6 4 4 3 2" xfId="14282" xr:uid="{31802B32-77A7-43C5-ABA9-0315FB5360EE}"/>
    <cellStyle name="40% - Accent6 4 4 4" xfId="10064" xr:uid="{F988E08D-399B-4EB6-8635-C7948AC2136E}"/>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B585F504-CF91-4787-9CF7-33AAE5B733A4}"/>
    <cellStyle name="40% - Accent6 4 5 2 3" xfId="12622" xr:uid="{F7089A95-B74E-475B-82AB-01FC7B8D7695}"/>
    <cellStyle name="40% - Accent6 4 5 3" xfId="6253" xr:uid="{00000000-0005-0000-0000-00006A070000}"/>
    <cellStyle name="40% - Accent6 4 5 3 2" xfId="14695" xr:uid="{05806483-0DD6-4149-BBFA-16F963197658}"/>
    <cellStyle name="40% - Accent6 4 5 4" xfId="10477" xr:uid="{996805D3-2F5B-4EE6-9885-1D5D0FC2CBF5}"/>
    <cellStyle name="40% - Accent6 4 6" xfId="2359" xr:uid="{00000000-0005-0000-0000-00006B070000}"/>
    <cellStyle name="40% - Accent6 4 6 2" xfId="6666" xr:uid="{00000000-0005-0000-0000-00006C070000}"/>
    <cellStyle name="40% - Accent6 4 6 2 2" xfId="15108" xr:uid="{6EE2B363-3535-4A0D-BC67-7B00ECF89B97}"/>
    <cellStyle name="40% - Accent6 4 6 3" xfId="10890" xr:uid="{C797C627-3B8B-408E-8C2D-839BE475BC3F}"/>
    <cellStyle name="40% - Accent6 4 7" xfId="4600" xr:uid="{00000000-0005-0000-0000-00006D070000}"/>
    <cellStyle name="40% - Accent6 4 7 2" xfId="13042" xr:uid="{1174E94D-2FE8-4F82-A27C-416EFA86EE5A}"/>
    <cellStyle name="40% - Accent6 4 8" xfId="8824" xr:uid="{BBDBE9B6-0610-4817-A419-711E0D9A76FA}"/>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BE0C888C-B31D-423B-BE2C-2FE51F909336}"/>
    <cellStyle name="40% - Accent6 5 2 3" xfId="11376" xr:uid="{F04399D4-C538-452A-AE96-C61C16D92D8F}"/>
    <cellStyle name="40% - Accent6 5 3" xfId="5007" xr:uid="{00000000-0005-0000-0000-000071070000}"/>
    <cellStyle name="40% - Accent6 5 3 2" xfId="13449" xr:uid="{FA386505-D09B-4CB1-9086-55FD3C70FF98}"/>
    <cellStyle name="40% - Accent6 5 4" xfId="9231" xr:uid="{2DA57BA8-0382-46F1-8A00-36B05AABA0E7}"/>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549D44BC-A836-4FEA-80ED-E0FCA6E9D7AC}"/>
    <cellStyle name="40% - Accent6 6 2 3" xfId="11789" xr:uid="{AF961C9B-3890-4C1F-9C02-570F5FDC11A1}"/>
    <cellStyle name="40% - Accent6 6 3" xfId="5420" xr:uid="{00000000-0005-0000-0000-000075070000}"/>
    <cellStyle name="40% - Accent6 6 3 2" xfId="13862" xr:uid="{2F40A5DE-E585-4B4B-B7EF-B93AB4B70AFE}"/>
    <cellStyle name="40% - Accent6 6 4" xfId="9644" xr:uid="{6430500D-5968-416B-A01E-4FE06FAF8B68}"/>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69B253CF-FB35-4A09-9382-EB2B7F527553}"/>
    <cellStyle name="40% - Accent6 7 2 3" xfId="12202" xr:uid="{2213DA80-95CA-477B-8F5E-46F6A7D2F78A}"/>
    <cellStyle name="40% - Accent6 7 3" xfId="5833" xr:uid="{00000000-0005-0000-0000-000079070000}"/>
    <cellStyle name="40% - Accent6 7 3 2" xfId="14275" xr:uid="{7CEE9BC4-6F92-4FEF-8897-298CB128287F}"/>
    <cellStyle name="40% - Accent6 7 4" xfId="10057" xr:uid="{5889D3FC-6AA0-40BA-A3E8-027A69CE69EC}"/>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45A95BAE-8AD5-40CB-98DF-3F43624AB8DC}"/>
    <cellStyle name="40% - Accent6 8 2 3" xfId="12615" xr:uid="{B0F0BB22-1A33-4C45-A959-08B2AFB9DB4F}"/>
    <cellStyle name="40% - Accent6 8 3" xfId="6246" xr:uid="{00000000-0005-0000-0000-00007D070000}"/>
    <cellStyle name="40% - Accent6 8 3 2" xfId="14688" xr:uid="{BADEBF0B-831A-4B7D-A48F-688723D9F085}"/>
    <cellStyle name="40% - Accent6 8 4" xfId="10470" xr:uid="{C61D3E28-AD07-4ADC-8570-374517EB2A43}"/>
    <cellStyle name="40% - Accent6 9" xfId="2352" xr:uid="{00000000-0005-0000-0000-00007E070000}"/>
    <cellStyle name="40% - Accent6 9 2" xfId="6659" xr:uid="{00000000-0005-0000-0000-00007F070000}"/>
    <cellStyle name="40% - Accent6 9 2 2" xfId="15101" xr:uid="{5E8B50DB-2797-4C16-9985-B21D666D3FEF}"/>
    <cellStyle name="40% - Accent6 9 3" xfId="10883" xr:uid="{0CCB6D8B-B1DC-47D1-BC79-6C2DF11D1B1E}"/>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A4C680A9-1BCA-4BB0-873E-8C7C4CA45578}"/>
    <cellStyle name="Comma 4 2 2 2 10 3" xfId="11208" xr:uid="{958CD99A-FFB0-486B-AA2B-5A067E4580D4}"/>
    <cellStyle name="Comma 4 2 2 2 11" xfId="4601" xr:uid="{00000000-0005-0000-0000-0000A3070000}"/>
    <cellStyle name="Comma 4 2 2 2 11 2" xfId="13043" xr:uid="{AE1019DF-7C16-4ABD-B74E-5B110A5E0CA6}"/>
    <cellStyle name="Comma 4 2 2 2 12" xfId="8825" xr:uid="{B62B2BDD-2626-4AFB-BAF3-C80D3154AB73}"/>
    <cellStyle name="Comma 4 2 2 2 2" xfId="129" xr:uid="{00000000-0005-0000-0000-0000A4070000}"/>
    <cellStyle name="Comma 4 2 2 2 2 10" xfId="4602" xr:uid="{00000000-0005-0000-0000-0000A5070000}"/>
    <cellStyle name="Comma 4 2 2 2 2 10 2" xfId="13044" xr:uid="{3ABC2054-2FE3-4B43-9D32-9985DD13DB3A}"/>
    <cellStyle name="Comma 4 2 2 2 2 11" xfId="8826" xr:uid="{675E2B07-A4B7-4265-B3F0-789A31AE4967}"/>
    <cellStyle name="Comma 4 2 2 2 2 2" xfId="130" xr:uid="{00000000-0005-0000-0000-0000A6070000}"/>
    <cellStyle name="Comma 4 2 2 2 2 2 10" xfId="8827" xr:uid="{FA880CD2-52CA-4F7B-A02D-8C928D2F950A}"/>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DD5010E1-3580-493B-AFC9-7BE13B376102}"/>
    <cellStyle name="Comma 4 2 2 2 2 2 2 2 3" xfId="11386" xr:uid="{B24257E8-BC2A-42BE-B89F-D902E8131470}"/>
    <cellStyle name="Comma 4 2 2 2 2 2 2 3" xfId="5017" xr:uid="{00000000-0005-0000-0000-0000AA070000}"/>
    <cellStyle name="Comma 4 2 2 2 2 2 2 3 2" xfId="13459" xr:uid="{33926262-30A0-4A87-B3F2-31C05E245B7F}"/>
    <cellStyle name="Comma 4 2 2 2 2 2 2 4" xfId="9241" xr:uid="{E4C996B3-C25F-48C7-AEF8-F655EA7CD07F}"/>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9EDEE5EB-A92A-4E8A-8A85-826E8FA55691}"/>
    <cellStyle name="Comma 4 2 2 2 2 2 3 2 3" xfId="11799" xr:uid="{96B4FEC8-A0CB-4974-8454-7488E835C989}"/>
    <cellStyle name="Comma 4 2 2 2 2 2 3 3" xfId="5430" xr:uid="{00000000-0005-0000-0000-0000AE070000}"/>
    <cellStyle name="Comma 4 2 2 2 2 2 3 3 2" xfId="13872" xr:uid="{F7563A72-351D-4B6F-B459-89CFC31FC497}"/>
    <cellStyle name="Comma 4 2 2 2 2 2 3 4" xfId="9654" xr:uid="{08650524-D2FF-4D51-8AA3-AA2C111FEE9B}"/>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6A3A540F-4DB0-4CDD-BF1B-504F52E1EBEE}"/>
    <cellStyle name="Comma 4 2 2 2 2 2 4 2 3" xfId="12212" xr:uid="{DB87AD1E-EEBD-48BE-AF27-1F3FE1DFEAA1}"/>
    <cellStyle name="Comma 4 2 2 2 2 2 4 3" xfId="5843" xr:uid="{00000000-0005-0000-0000-0000B2070000}"/>
    <cellStyle name="Comma 4 2 2 2 2 2 4 3 2" xfId="14285" xr:uid="{E87452C5-655F-4DBC-8973-E6B28B3182D9}"/>
    <cellStyle name="Comma 4 2 2 2 2 2 4 4" xfId="10067" xr:uid="{63ED6D41-6503-4808-987D-9642BFB59778}"/>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2C5D8884-92F6-4031-BCE3-F986C8869E94}"/>
    <cellStyle name="Comma 4 2 2 2 2 2 5 2 3" xfId="12625" xr:uid="{B997B227-26C1-47C7-894F-CE98F656AD34}"/>
    <cellStyle name="Comma 4 2 2 2 2 2 5 3" xfId="6256" xr:uid="{00000000-0005-0000-0000-0000B6070000}"/>
    <cellStyle name="Comma 4 2 2 2 2 2 5 3 2" xfId="14698" xr:uid="{909B4E4F-E1E2-4232-A315-1974CF20271C}"/>
    <cellStyle name="Comma 4 2 2 2 2 2 5 4" xfId="10480" xr:uid="{F4A42EE9-DC70-484C-A098-66E9351A1C6D}"/>
    <cellStyle name="Comma 4 2 2 2 2 2 6" xfId="2384" xr:uid="{00000000-0005-0000-0000-0000B7070000}"/>
    <cellStyle name="Comma 4 2 2 2 2 2 6 2" xfId="6669" xr:uid="{00000000-0005-0000-0000-0000B8070000}"/>
    <cellStyle name="Comma 4 2 2 2 2 2 6 2 2" xfId="15111" xr:uid="{31529BF1-9C13-43DE-8671-9A31BE237EB5}"/>
    <cellStyle name="Comma 4 2 2 2 2 2 6 3" xfId="10893" xr:uid="{78CC1024-8B6D-4214-98F8-FCECF04434E9}"/>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0BFE7CA2-9592-4A7A-97D0-FDF8A89692B1}"/>
    <cellStyle name="Comma 4 2 2 2 2 2 8 3" xfId="11210" xr:uid="{2EEC32FD-8681-4DD0-8A9C-A5F37D2A8B1B}"/>
    <cellStyle name="Comma 4 2 2 2 2 2 9" xfId="4603" xr:uid="{00000000-0005-0000-0000-0000BC070000}"/>
    <cellStyle name="Comma 4 2 2 2 2 2 9 2" xfId="13045" xr:uid="{A48E1807-E030-4EC3-898A-F4546E9DF873}"/>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91B137CC-D914-4B45-95E3-ECB0AB3F4B7A}"/>
    <cellStyle name="Comma 4 2 2 2 2 3 2 3" xfId="11385" xr:uid="{8164A4E7-6B6B-488C-A74E-B2E9D4563701}"/>
    <cellStyle name="Comma 4 2 2 2 2 3 3" xfId="5016" xr:uid="{00000000-0005-0000-0000-0000C0070000}"/>
    <cellStyle name="Comma 4 2 2 2 2 3 3 2" xfId="13458" xr:uid="{28D61711-3EE0-433D-A152-D836C83222A6}"/>
    <cellStyle name="Comma 4 2 2 2 2 3 4" xfId="9240" xr:uid="{7C4F8EF1-88E4-4BE8-8EB8-2F9D60BEAA4B}"/>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A3526E2B-548A-4764-A699-E3C109ADBAB0}"/>
    <cellStyle name="Comma 4 2 2 2 2 4 2 3" xfId="11798" xr:uid="{16FFA671-43CF-4867-A595-5910713EF829}"/>
    <cellStyle name="Comma 4 2 2 2 2 4 3" xfId="5429" xr:uid="{00000000-0005-0000-0000-0000C4070000}"/>
    <cellStyle name="Comma 4 2 2 2 2 4 3 2" xfId="13871" xr:uid="{66D4937E-C60C-457C-A009-C71434BE6DF7}"/>
    <cellStyle name="Comma 4 2 2 2 2 4 4" xfId="9653" xr:uid="{E647DE1D-C6D4-4D16-BD70-0D5AF98238D2}"/>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A0F2A1E5-4AF6-497E-818B-0C9DC2C38181}"/>
    <cellStyle name="Comma 4 2 2 2 2 5 2 3" xfId="12211" xr:uid="{54966F58-E2C4-4B3E-95C2-B5865080257C}"/>
    <cellStyle name="Comma 4 2 2 2 2 5 3" xfId="5842" xr:uid="{00000000-0005-0000-0000-0000C8070000}"/>
    <cellStyle name="Comma 4 2 2 2 2 5 3 2" xfId="14284" xr:uid="{10D4234D-7EE3-4375-BFC4-75087A9E756E}"/>
    <cellStyle name="Comma 4 2 2 2 2 5 4" xfId="10066" xr:uid="{5E36CCC9-8451-475C-B882-63E0A37BBC47}"/>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3E61044D-FFE8-48AD-971F-5D7F9B08B56E}"/>
    <cellStyle name="Comma 4 2 2 2 2 6 2 3" xfId="12624" xr:uid="{77316BD0-74FE-4CAC-9FB5-171AB0160B20}"/>
    <cellStyle name="Comma 4 2 2 2 2 6 3" xfId="6255" xr:uid="{00000000-0005-0000-0000-0000CC070000}"/>
    <cellStyle name="Comma 4 2 2 2 2 6 3 2" xfId="14697" xr:uid="{980B6B40-DD5D-4201-B9F6-FBFDAE4702C6}"/>
    <cellStyle name="Comma 4 2 2 2 2 6 4" xfId="10479" xr:uid="{7141EAC3-1ACF-4674-B1C7-C9D3AD7D1175}"/>
    <cellStyle name="Comma 4 2 2 2 2 7" xfId="2383" xr:uid="{00000000-0005-0000-0000-0000CD070000}"/>
    <cellStyle name="Comma 4 2 2 2 2 7 2" xfId="6668" xr:uid="{00000000-0005-0000-0000-0000CE070000}"/>
    <cellStyle name="Comma 4 2 2 2 2 7 2 2" xfId="15110" xr:uid="{13DCB3D9-565C-4267-9513-C8625CEDDF13}"/>
    <cellStyle name="Comma 4 2 2 2 2 7 3" xfId="10892" xr:uid="{F022E3B6-81F1-4C3D-892A-157A70900329}"/>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C41004FC-4590-4242-BCF4-8493D67F2660}"/>
    <cellStyle name="Comma 4 2 2 2 2 9 3" xfId="11209" xr:uid="{1F4BD71D-1FC8-4F38-B77C-086A37AD252A}"/>
    <cellStyle name="Comma 4 2 2 2 3" xfId="131" xr:uid="{00000000-0005-0000-0000-0000D2070000}"/>
    <cellStyle name="Comma 4 2 2 2 3 10" xfId="8828" xr:uid="{3F0D645E-F86A-401E-8AC1-8569628F50B6}"/>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8BE4425A-11F1-4F0B-97FC-4CDDC9286E05}"/>
    <cellStyle name="Comma 4 2 2 2 3 2 2 3" xfId="11387" xr:uid="{17F6D758-B3A9-443E-B1E4-53757F4BF333}"/>
    <cellStyle name="Comma 4 2 2 2 3 2 3" xfId="5018" xr:uid="{00000000-0005-0000-0000-0000D6070000}"/>
    <cellStyle name="Comma 4 2 2 2 3 2 3 2" xfId="13460" xr:uid="{9C8F8113-42AF-4A24-BE21-D3880AD3738A}"/>
    <cellStyle name="Comma 4 2 2 2 3 2 4" xfId="9242" xr:uid="{4589CACC-7272-4DCD-8146-6538D1E6DD58}"/>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695929DF-2736-4D53-A8AF-2B16A10E31BD}"/>
    <cellStyle name="Comma 4 2 2 2 3 3 2 3" xfId="11800" xr:uid="{F65A58E3-D223-4F2F-8EF8-3C076D1A17B4}"/>
    <cellStyle name="Comma 4 2 2 2 3 3 3" xfId="5431" xr:uid="{00000000-0005-0000-0000-0000DA070000}"/>
    <cellStyle name="Comma 4 2 2 2 3 3 3 2" xfId="13873" xr:uid="{51A8B544-EA4B-41E5-84EE-DED552A32FA9}"/>
    <cellStyle name="Comma 4 2 2 2 3 3 4" xfId="9655" xr:uid="{0B9DDC64-037B-420F-9C62-DD93F437A4D9}"/>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BC162D81-38A3-4678-9C7F-AF19B6272E60}"/>
    <cellStyle name="Comma 4 2 2 2 3 4 2 3" xfId="12213" xr:uid="{A9CAAD09-D83D-427F-B4E6-9DD74AAE8D56}"/>
    <cellStyle name="Comma 4 2 2 2 3 4 3" xfId="5844" xr:uid="{00000000-0005-0000-0000-0000DE070000}"/>
    <cellStyle name="Comma 4 2 2 2 3 4 3 2" xfId="14286" xr:uid="{541E08F9-EF4D-4F5E-ADE8-CE22780CC2AE}"/>
    <cellStyle name="Comma 4 2 2 2 3 4 4" xfId="10068" xr:uid="{A59D851B-EA4F-4B18-B19B-D3D01F811CF4}"/>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4AD0AD1B-CB95-4EAF-B398-278AA9C2A4F3}"/>
    <cellStyle name="Comma 4 2 2 2 3 5 2 3" xfId="12626" xr:uid="{E6ED79F5-FE13-4F68-A11C-B14E211C6DB0}"/>
    <cellStyle name="Comma 4 2 2 2 3 5 3" xfId="6257" xr:uid="{00000000-0005-0000-0000-0000E2070000}"/>
    <cellStyle name="Comma 4 2 2 2 3 5 3 2" xfId="14699" xr:uid="{63267D27-BFF4-4E4D-ADB5-4ED093BD6C45}"/>
    <cellStyle name="Comma 4 2 2 2 3 5 4" xfId="10481" xr:uid="{5DBFFD67-D6C7-4D66-9A2C-065BCBCBA999}"/>
    <cellStyle name="Comma 4 2 2 2 3 6" xfId="2385" xr:uid="{00000000-0005-0000-0000-0000E3070000}"/>
    <cellStyle name="Comma 4 2 2 2 3 6 2" xfId="6670" xr:uid="{00000000-0005-0000-0000-0000E4070000}"/>
    <cellStyle name="Comma 4 2 2 2 3 6 2 2" xfId="15112" xr:uid="{7972FFA0-88A7-4CE9-B8DE-E81796C8A902}"/>
    <cellStyle name="Comma 4 2 2 2 3 6 3" xfId="10894" xr:uid="{089EA4C5-E068-4F06-9E2E-92057664DE8B}"/>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B70DDA2C-906D-4832-B1C7-B3F77A71EEF6}"/>
    <cellStyle name="Comma 4 2 2 2 3 8 3" xfId="11211" xr:uid="{3302A92A-6488-4DE1-9A4E-A33331EBD631}"/>
    <cellStyle name="Comma 4 2 2 2 3 9" xfId="4604" xr:uid="{00000000-0005-0000-0000-0000E8070000}"/>
    <cellStyle name="Comma 4 2 2 2 3 9 2" xfId="13046" xr:uid="{A244178C-B306-46CB-B220-E4CDE6604DEA}"/>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F5B9093A-26AD-4E2B-97A8-764398A45171}"/>
    <cellStyle name="Comma 4 2 2 2 4 2 3" xfId="11384" xr:uid="{BBD938AA-E694-4A90-88A4-2CAEF3879AC4}"/>
    <cellStyle name="Comma 4 2 2 2 4 3" xfId="5015" xr:uid="{00000000-0005-0000-0000-0000EC070000}"/>
    <cellStyle name="Comma 4 2 2 2 4 3 2" xfId="13457" xr:uid="{D671D6EE-CD96-4B84-913E-A0FFA8CBCADD}"/>
    <cellStyle name="Comma 4 2 2 2 4 4" xfId="9239" xr:uid="{7105365E-2179-4631-905C-7BFEF778DA16}"/>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30440FD5-CC21-4053-9CB4-4EA04033F57C}"/>
    <cellStyle name="Comma 4 2 2 2 5 2 3" xfId="11797" xr:uid="{8A2D2F91-83A8-4AD1-A19B-B3B9463BE5A3}"/>
    <cellStyle name="Comma 4 2 2 2 5 3" xfId="5428" xr:uid="{00000000-0005-0000-0000-0000F0070000}"/>
    <cellStyle name="Comma 4 2 2 2 5 3 2" xfId="13870" xr:uid="{C75FD63F-EEF3-49A3-A6C3-68DA42896F1A}"/>
    <cellStyle name="Comma 4 2 2 2 5 4" xfId="9652" xr:uid="{D0D836A9-FD12-4886-8CCE-933260C572FD}"/>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F6C56295-B9BE-4E0E-A5A4-362E00533F86}"/>
    <cellStyle name="Comma 4 2 2 2 6 2 3" xfId="12210" xr:uid="{661E5C08-96E1-4788-91B1-CD9754DE14B9}"/>
    <cellStyle name="Comma 4 2 2 2 6 3" xfId="5841" xr:uid="{00000000-0005-0000-0000-0000F4070000}"/>
    <cellStyle name="Comma 4 2 2 2 6 3 2" xfId="14283" xr:uid="{E3BFADC4-34D9-4195-960D-C648E0E73467}"/>
    <cellStyle name="Comma 4 2 2 2 6 4" xfId="10065" xr:uid="{A6FC796E-710F-4096-84D3-A8238859D09F}"/>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32E96272-52BF-4BD4-B3A3-2A6CCA1938EF}"/>
    <cellStyle name="Comma 4 2 2 2 7 2 3" xfId="12623" xr:uid="{11246C0D-E9D8-4DDE-9519-B273C40191F7}"/>
    <cellStyle name="Comma 4 2 2 2 7 3" xfId="6254" xr:uid="{00000000-0005-0000-0000-0000F8070000}"/>
    <cellStyle name="Comma 4 2 2 2 7 3 2" xfId="14696" xr:uid="{032AB1EC-8961-464C-8E94-968D5CC0A724}"/>
    <cellStyle name="Comma 4 2 2 2 7 4" xfId="10478" xr:uid="{7B17725D-84A1-4407-9ECA-6E9AFEB55E95}"/>
    <cellStyle name="Comma 4 2 2 2 8" xfId="2382" xr:uid="{00000000-0005-0000-0000-0000F9070000}"/>
    <cellStyle name="Comma 4 2 2 2 8 2" xfId="6667" xr:uid="{00000000-0005-0000-0000-0000FA070000}"/>
    <cellStyle name="Comma 4 2 2 2 8 2 2" xfId="15109" xr:uid="{11BA0283-8A79-43BB-AAC2-00D958E6C99E}"/>
    <cellStyle name="Comma 4 2 2 2 8 3" xfId="10891" xr:uid="{87D7F964-1E16-4221-BE65-6F912F7EC8C9}"/>
    <cellStyle name="Comma 4 2 2 2 9" xfId="2381" xr:uid="{00000000-0005-0000-0000-0000FB070000}"/>
    <cellStyle name="Comma 4 2 2 3" xfId="132" xr:uid="{00000000-0005-0000-0000-0000FC070000}"/>
    <cellStyle name="Comma 4 2 2 3 10" xfId="4605" xr:uid="{00000000-0005-0000-0000-0000FD070000}"/>
    <cellStyle name="Comma 4 2 2 3 10 2" xfId="13047" xr:uid="{699FC93C-38C0-4851-97C9-DB342CE2FEFE}"/>
    <cellStyle name="Comma 4 2 2 3 11" xfId="8829" xr:uid="{3253A283-32C9-4918-B2F2-974F28BD11CE}"/>
    <cellStyle name="Comma 4 2 2 3 2" xfId="133" xr:uid="{00000000-0005-0000-0000-0000FE070000}"/>
    <cellStyle name="Comma 4 2 2 3 2 10" xfId="8830" xr:uid="{07543F76-D56F-4B73-AD78-9A9B72CBF40A}"/>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EE0C786A-BD76-4AC7-89A0-2C166A587983}"/>
    <cellStyle name="Comma 4 2 2 3 2 2 2 3" xfId="11389" xr:uid="{8BEFE637-700E-442B-9078-937D528BEB33}"/>
    <cellStyle name="Comma 4 2 2 3 2 2 3" xfId="5020" xr:uid="{00000000-0005-0000-0000-000002080000}"/>
    <cellStyle name="Comma 4 2 2 3 2 2 3 2" xfId="13462" xr:uid="{89B52799-CDBB-4362-BAA7-CFD0B43E8056}"/>
    <cellStyle name="Comma 4 2 2 3 2 2 4" xfId="9244" xr:uid="{81DEC5EA-3553-43DF-80BF-71229D8E3CEB}"/>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8DAB97CD-BA80-4D0E-B20B-09A938BE37AB}"/>
    <cellStyle name="Comma 4 2 2 3 2 3 2 3" xfId="11802" xr:uid="{7DDB635B-A112-429A-BF71-EE43DAC82A30}"/>
    <cellStyle name="Comma 4 2 2 3 2 3 3" xfId="5433" xr:uid="{00000000-0005-0000-0000-000006080000}"/>
    <cellStyle name="Comma 4 2 2 3 2 3 3 2" xfId="13875" xr:uid="{76850340-86BC-42EF-880C-8B74E431BB45}"/>
    <cellStyle name="Comma 4 2 2 3 2 3 4" xfId="9657" xr:uid="{DADD966A-C3FA-4955-B71D-F2AC21C73483}"/>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1910C679-8A87-41BF-B539-A269CEFD45CA}"/>
    <cellStyle name="Comma 4 2 2 3 2 4 2 3" xfId="12215" xr:uid="{1D74358E-F8DA-43B6-885B-CFA6E0AFA5E2}"/>
    <cellStyle name="Comma 4 2 2 3 2 4 3" xfId="5846" xr:uid="{00000000-0005-0000-0000-00000A080000}"/>
    <cellStyle name="Comma 4 2 2 3 2 4 3 2" xfId="14288" xr:uid="{65F6F479-FDFC-4660-810E-5B3B710EAF61}"/>
    <cellStyle name="Comma 4 2 2 3 2 4 4" xfId="10070" xr:uid="{3449E1BD-9880-4FBE-B650-88DCC0637F98}"/>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5B70A998-1169-47CF-A2C7-D20471A22B78}"/>
    <cellStyle name="Comma 4 2 2 3 2 5 2 3" xfId="12628" xr:uid="{22993E0D-A98E-48AF-9F29-86E8C4D809DB}"/>
    <cellStyle name="Comma 4 2 2 3 2 5 3" xfId="6259" xr:uid="{00000000-0005-0000-0000-00000E080000}"/>
    <cellStyle name="Comma 4 2 2 3 2 5 3 2" xfId="14701" xr:uid="{A582BD70-5026-4300-829D-1A74AB3A3365}"/>
    <cellStyle name="Comma 4 2 2 3 2 5 4" xfId="10483" xr:uid="{C4401744-6AEC-41C5-85DB-AC93E4581E1C}"/>
    <cellStyle name="Comma 4 2 2 3 2 6" xfId="2387" xr:uid="{00000000-0005-0000-0000-00000F080000}"/>
    <cellStyle name="Comma 4 2 2 3 2 6 2" xfId="6672" xr:uid="{00000000-0005-0000-0000-000010080000}"/>
    <cellStyle name="Comma 4 2 2 3 2 6 2 2" xfId="15114" xr:uid="{FF0DF6F1-E2A1-44BB-A122-A730D101B9AD}"/>
    <cellStyle name="Comma 4 2 2 3 2 6 3" xfId="10896" xr:uid="{53E07CC7-2549-4663-A41D-26DB2C7968E9}"/>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FEF0CB80-39D0-471D-98D1-E7CAF1411E09}"/>
    <cellStyle name="Comma 4 2 2 3 2 8 3" xfId="11213" xr:uid="{272F15BD-4F8D-4AD1-BB45-B26B2E1BF512}"/>
    <cellStyle name="Comma 4 2 2 3 2 9" xfId="4606" xr:uid="{00000000-0005-0000-0000-000014080000}"/>
    <cellStyle name="Comma 4 2 2 3 2 9 2" xfId="13048" xr:uid="{FABEAF89-F4DC-4707-9DEE-6F0FA35D1A8B}"/>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E9B6B70A-9E5E-4E11-8BEF-D92DDE558E54}"/>
    <cellStyle name="Comma 4 2 2 3 3 2 3" xfId="11388" xr:uid="{833E824C-CD79-419A-B414-53E98EF9652E}"/>
    <cellStyle name="Comma 4 2 2 3 3 3" xfId="5019" xr:uid="{00000000-0005-0000-0000-000018080000}"/>
    <cellStyle name="Comma 4 2 2 3 3 3 2" xfId="13461" xr:uid="{F44224A2-774F-4C83-91BF-89B67E31725A}"/>
    <cellStyle name="Comma 4 2 2 3 3 4" xfId="9243" xr:uid="{1B296299-0638-487E-BAA6-CC2AE4A9CB1F}"/>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1C737BE4-6C23-461D-837C-387DCAD7DFB6}"/>
    <cellStyle name="Comma 4 2 2 3 4 2 3" xfId="11801" xr:uid="{084BC9E7-2BA3-4C5C-BA2F-73FEDAB78AAF}"/>
    <cellStyle name="Comma 4 2 2 3 4 3" xfId="5432" xr:uid="{00000000-0005-0000-0000-00001C080000}"/>
    <cellStyle name="Comma 4 2 2 3 4 3 2" xfId="13874" xr:uid="{3DFE2C3B-E7C3-4135-80F6-6C672AC8AA39}"/>
    <cellStyle name="Comma 4 2 2 3 4 4" xfId="9656" xr:uid="{82DF7399-9400-4672-9184-11D3AF02EDA7}"/>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B4C1ADA5-676B-406E-B889-D89C645F3466}"/>
    <cellStyle name="Comma 4 2 2 3 5 2 3" xfId="12214" xr:uid="{3470B83B-0E8F-4616-A4EE-94AB7DE47E81}"/>
    <cellStyle name="Comma 4 2 2 3 5 3" xfId="5845" xr:uid="{00000000-0005-0000-0000-000020080000}"/>
    <cellStyle name="Comma 4 2 2 3 5 3 2" xfId="14287" xr:uid="{F6438836-76A1-451E-BC05-573FDBF88AD5}"/>
    <cellStyle name="Comma 4 2 2 3 5 4" xfId="10069" xr:uid="{55EF84D4-B7AB-4707-9AB6-1CA768AA4DF5}"/>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79C3E3BF-710F-4CD9-A3F3-0977FFA6A6B8}"/>
    <cellStyle name="Comma 4 2 2 3 6 2 3" xfId="12627" xr:uid="{969720E0-5067-4E98-95F5-81F29AC7B175}"/>
    <cellStyle name="Comma 4 2 2 3 6 3" xfId="6258" xr:uid="{00000000-0005-0000-0000-000024080000}"/>
    <cellStyle name="Comma 4 2 2 3 6 3 2" xfId="14700" xr:uid="{89BF01FF-32E2-47AE-90E5-D895A7D83E68}"/>
    <cellStyle name="Comma 4 2 2 3 6 4" xfId="10482" xr:uid="{BE72C3CC-D785-4DC0-A3C1-1889A987F29A}"/>
    <cellStyle name="Comma 4 2 2 3 7" xfId="2386" xr:uid="{00000000-0005-0000-0000-000025080000}"/>
    <cellStyle name="Comma 4 2 2 3 7 2" xfId="6671" xr:uid="{00000000-0005-0000-0000-000026080000}"/>
    <cellStyle name="Comma 4 2 2 3 7 2 2" xfId="15113" xr:uid="{6A1CD703-A2AE-40F7-AF08-F3BD70DCE2E1}"/>
    <cellStyle name="Comma 4 2 2 3 7 3" xfId="10895" xr:uid="{A8DBF3AE-E9B0-4B3D-8EF6-3538E6941BDE}"/>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0229555B-6D20-480C-913E-983D74562B31}"/>
    <cellStyle name="Comma 4 2 2 3 9 3" xfId="11212" xr:uid="{C77958FF-96C7-4AA8-9CA9-5492C868B3B7}"/>
    <cellStyle name="Comma 4 2 2 4" xfId="134" xr:uid="{00000000-0005-0000-0000-00002A080000}"/>
    <cellStyle name="Comma 4 2 2 4 10" xfId="8831" xr:uid="{BB86F645-37F9-4C24-953F-34DEF1730652}"/>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42C3700A-F3FD-4198-8578-997B7537AD93}"/>
    <cellStyle name="Comma 4 2 2 4 2 2 3" xfId="11390" xr:uid="{FCB5CDCF-6CBD-457F-B8C9-2C526C3663ED}"/>
    <cellStyle name="Comma 4 2 2 4 2 3" xfId="5021" xr:uid="{00000000-0005-0000-0000-00002E080000}"/>
    <cellStyle name="Comma 4 2 2 4 2 3 2" xfId="13463" xr:uid="{A2BF386A-EA47-4A63-9FDA-E14E65D92E1E}"/>
    <cellStyle name="Comma 4 2 2 4 2 4" xfId="9245" xr:uid="{95FC8D4E-3B29-4DDA-803F-7CFAE29D00D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6CAEF2B7-6BCC-4140-9084-97473D62E413}"/>
    <cellStyle name="Comma 4 2 2 4 3 2 3" xfId="11803" xr:uid="{E3D45F1D-871F-44F9-8BB7-6A113E6996FA}"/>
    <cellStyle name="Comma 4 2 2 4 3 3" xfId="5434" xr:uid="{00000000-0005-0000-0000-000032080000}"/>
    <cellStyle name="Comma 4 2 2 4 3 3 2" xfId="13876" xr:uid="{F27F6DB2-0F28-412B-B23B-14136DBE1983}"/>
    <cellStyle name="Comma 4 2 2 4 3 4" xfId="9658" xr:uid="{F7073972-D54B-4C65-852F-912CD4C5F88B}"/>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F02E4978-CE65-41F9-B341-4E448C3C10C2}"/>
    <cellStyle name="Comma 4 2 2 4 4 2 3" xfId="12216" xr:uid="{5BF65097-A00F-45A1-8294-953EFFF10E10}"/>
    <cellStyle name="Comma 4 2 2 4 4 3" xfId="5847" xr:uid="{00000000-0005-0000-0000-000036080000}"/>
    <cellStyle name="Comma 4 2 2 4 4 3 2" xfId="14289" xr:uid="{0CFBC48E-BCD2-4E09-B4F6-982BAD7E4E79}"/>
    <cellStyle name="Comma 4 2 2 4 4 4" xfId="10071" xr:uid="{AB07A35F-DFCB-4185-A8F0-75018C9D7D23}"/>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8204095F-1782-40EA-AAD6-FB6758016EBB}"/>
    <cellStyle name="Comma 4 2 2 4 5 2 3" xfId="12629" xr:uid="{688ACF48-ACB4-4B82-A680-5051A7B1D9C7}"/>
    <cellStyle name="Comma 4 2 2 4 5 3" xfId="6260" xr:uid="{00000000-0005-0000-0000-00003A080000}"/>
    <cellStyle name="Comma 4 2 2 4 5 3 2" xfId="14702" xr:uid="{F45673AC-DE31-49A7-A4A4-7A2FCA202B66}"/>
    <cellStyle name="Comma 4 2 2 4 5 4" xfId="10484" xr:uid="{9B0AA673-5671-40E6-821C-E205769BAFFF}"/>
    <cellStyle name="Comma 4 2 2 4 6" xfId="2388" xr:uid="{00000000-0005-0000-0000-00003B080000}"/>
    <cellStyle name="Comma 4 2 2 4 6 2" xfId="6673" xr:uid="{00000000-0005-0000-0000-00003C080000}"/>
    <cellStyle name="Comma 4 2 2 4 6 2 2" xfId="15115" xr:uid="{91C6EF72-89C8-4699-979A-491C67C92945}"/>
    <cellStyle name="Comma 4 2 2 4 6 3" xfId="10897" xr:uid="{0C9E5BD5-CE05-4FA7-BF9F-0CC588309677}"/>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45DF9A6C-5BE7-4062-9705-AF35DE920FF1}"/>
    <cellStyle name="Comma 4 2 2 4 8 3" xfId="11214" xr:uid="{7373EAEA-A9F0-42B2-89C5-3A9C920DD900}"/>
    <cellStyle name="Comma 4 2 2 4 9" xfId="4607" xr:uid="{00000000-0005-0000-0000-000040080000}"/>
    <cellStyle name="Comma 4 2 2 4 9 2" xfId="13049" xr:uid="{1E265D48-319A-480B-8C62-CC25D2813B7D}"/>
    <cellStyle name="Comma 4 2 2 5" xfId="135" xr:uid="{00000000-0005-0000-0000-000041080000}"/>
    <cellStyle name="Comma 4 2 2 5 10" xfId="8832" xr:uid="{51C04438-3F06-490E-8D72-A9407BB92D9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7098BD69-E21D-47A0-9A12-8A40A3846E2C}"/>
    <cellStyle name="Comma 4 2 2 5 2 2 3" xfId="11391" xr:uid="{81BC6A64-752C-4F2D-971D-6569C020AAEB}"/>
    <cellStyle name="Comma 4 2 2 5 2 3" xfId="5022" xr:uid="{00000000-0005-0000-0000-000045080000}"/>
    <cellStyle name="Comma 4 2 2 5 2 3 2" xfId="13464" xr:uid="{C31CD773-DA2E-4310-9692-EB9069A4A7CA}"/>
    <cellStyle name="Comma 4 2 2 5 2 4" xfId="9246" xr:uid="{F4A6C8E9-448F-49AF-8F11-5099726D7D53}"/>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A61D7607-CF58-47C6-BF31-854D68596BB8}"/>
    <cellStyle name="Comma 4 2 2 5 3 2 3" xfId="11804" xr:uid="{55E17852-EA1E-4719-B0AD-590459AC8786}"/>
    <cellStyle name="Comma 4 2 2 5 3 3" xfId="5435" xr:uid="{00000000-0005-0000-0000-000049080000}"/>
    <cellStyle name="Comma 4 2 2 5 3 3 2" xfId="13877" xr:uid="{1BA7ED06-23EA-42B6-B907-B06F6A467717}"/>
    <cellStyle name="Comma 4 2 2 5 3 4" xfId="9659" xr:uid="{2C11DB95-9BE2-472A-B547-BF13FC624038}"/>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A5BBE655-1A68-4A7E-8A37-3588B9390361}"/>
    <cellStyle name="Comma 4 2 2 5 4 2 3" xfId="12217" xr:uid="{C87FF2D9-FD9A-402A-A69B-37AE38D6B113}"/>
    <cellStyle name="Comma 4 2 2 5 4 3" xfId="5848" xr:uid="{00000000-0005-0000-0000-00004D080000}"/>
    <cellStyle name="Comma 4 2 2 5 4 3 2" xfId="14290" xr:uid="{74D76CBF-5F2C-4FD0-B1CF-FA344A014ACB}"/>
    <cellStyle name="Comma 4 2 2 5 4 4" xfId="10072" xr:uid="{318ADB3A-F0D6-4892-8A13-71E1E32599D2}"/>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3C9264A5-66AC-4C65-997E-50A0E9974D8F}"/>
    <cellStyle name="Comma 4 2 2 5 5 2 3" xfId="12630" xr:uid="{D84AB026-CD5D-4800-BD30-127E16BB0153}"/>
    <cellStyle name="Comma 4 2 2 5 5 3" xfId="6261" xr:uid="{00000000-0005-0000-0000-000051080000}"/>
    <cellStyle name="Comma 4 2 2 5 5 3 2" xfId="14703" xr:uid="{189324DE-40BA-4CBA-B9F3-0548F92E7095}"/>
    <cellStyle name="Comma 4 2 2 5 5 4" xfId="10485" xr:uid="{ED155CAF-D248-4600-9D98-0ED05989A64C}"/>
    <cellStyle name="Comma 4 2 2 5 6" xfId="2389" xr:uid="{00000000-0005-0000-0000-000052080000}"/>
    <cellStyle name="Comma 4 2 2 5 6 2" xfId="6674" xr:uid="{00000000-0005-0000-0000-000053080000}"/>
    <cellStyle name="Comma 4 2 2 5 6 2 2" xfId="15116" xr:uid="{AE1FF6E2-4124-4DA7-9EA0-55C15C5D96E9}"/>
    <cellStyle name="Comma 4 2 2 5 6 3" xfId="10898" xr:uid="{2472BD1E-F100-4D61-A885-E6E9AF8EC2E5}"/>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5679AFAB-3C80-41A2-8DBC-173F4553248B}"/>
    <cellStyle name="Comma 4 2 2 5 8 3" xfId="11215" xr:uid="{5224E961-43EC-4564-BC37-FFEF58760000}"/>
    <cellStyle name="Comma 4 2 2 5 9" xfId="4608" xr:uid="{00000000-0005-0000-0000-000057080000}"/>
    <cellStyle name="Comma 4 2 2 5 9 2" xfId="13050" xr:uid="{C034CC82-9AA5-48C9-80B6-36B392DF8942}"/>
    <cellStyle name="Comma 4 2 3" xfId="136" xr:uid="{00000000-0005-0000-0000-000058080000}"/>
    <cellStyle name="Comma 4 2 3 10" xfId="2768" xr:uid="{00000000-0005-0000-0000-000059080000}"/>
    <cellStyle name="Comma 4 2 3 10 2" xfId="6992" xr:uid="{00000000-0005-0000-0000-00005A080000}"/>
    <cellStyle name="Comma 4 2 3 10 2 2" xfId="15434" xr:uid="{6B7ABCA5-6B91-4DDF-9CAF-B2FD3697D0AB}"/>
    <cellStyle name="Comma 4 2 3 10 3" xfId="11216" xr:uid="{DBAFCE6F-AAF7-431A-9829-39EA4A30B0E4}"/>
    <cellStyle name="Comma 4 2 3 11" xfId="4609" xr:uid="{00000000-0005-0000-0000-00005B080000}"/>
    <cellStyle name="Comma 4 2 3 11 2" xfId="13051" xr:uid="{BB2DE660-1741-4E9D-9DFD-B4149EF799EC}"/>
    <cellStyle name="Comma 4 2 3 12" xfId="8833" xr:uid="{CF74D765-20DC-4177-9306-7347F33E220A}"/>
    <cellStyle name="Comma 4 2 3 2" xfId="137" xr:uid="{00000000-0005-0000-0000-00005C080000}"/>
    <cellStyle name="Comma 4 2 3 2 10" xfId="4610" xr:uid="{00000000-0005-0000-0000-00005D080000}"/>
    <cellStyle name="Comma 4 2 3 2 10 2" xfId="13052" xr:uid="{802641D1-A417-4BA6-A3FB-976A69DDF037}"/>
    <cellStyle name="Comma 4 2 3 2 11" xfId="8834" xr:uid="{E293230C-73C9-43C7-9AA1-AF6A529E6938}"/>
    <cellStyle name="Comma 4 2 3 2 2" xfId="138" xr:uid="{00000000-0005-0000-0000-00005E080000}"/>
    <cellStyle name="Comma 4 2 3 2 2 10" xfId="8835" xr:uid="{EB9166BC-9FD6-4B15-930C-0FD373BCB66D}"/>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6D1D59B0-7955-4C5B-AE6C-CE6AE07A89CA}"/>
    <cellStyle name="Comma 4 2 3 2 2 2 2 3" xfId="11394" xr:uid="{D0A8A7FE-E300-4454-8EF7-2A99011F81B3}"/>
    <cellStyle name="Comma 4 2 3 2 2 2 3" xfId="5025" xr:uid="{00000000-0005-0000-0000-000062080000}"/>
    <cellStyle name="Comma 4 2 3 2 2 2 3 2" xfId="13467" xr:uid="{A11F2AD7-A61A-4B24-ADFB-DD1016575176}"/>
    <cellStyle name="Comma 4 2 3 2 2 2 4" xfId="9249" xr:uid="{9730C80F-BDD7-4194-818A-DD975383F89F}"/>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0D1312DF-F3DD-4AE4-8079-47B6D9C6E853}"/>
    <cellStyle name="Comma 4 2 3 2 2 3 2 3" xfId="11807" xr:uid="{339FFA00-E19C-4011-BE77-2BD73B65F4E2}"/>
    <cellStyle name="Comma 4 2 3 2 2 3 3" xfId="5438" xr:uid="{00000000-0005-0000-0000-000066080000}"/>
    <cellStyle name="Comma 4 2 3 2 2 3 3 2" xfId="13880" xr:uid="{B6BCBC12-E5D4-4CBC-A615-53F8281623BE}"/>
    <cellStyle name="Comma 4 2 3 2 2 3 4" xfId="9662" xr:uid="{0F046BDA-A741-4FCD-9B45-507588493E72}"/>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2BBF5CF6-6B41-4E5F-A770-2714D61CD695}"/>
    <cellStyle name="Comma 4 2 3 2 2 4 2 3" xfId="12220" xr:uid="{A03A8B42-0AC0-474A-9E0F-5D4AD7B156FB}"/>
    <cellStyle name="Comma 4 2 3 2 2 4 3" xfId="5851" xr:uid="{00000000-0005-0000-0000-00006A080000}"/>
    <cellStyle name="Comma 4 2 3 2 2 4 3 2" xfId="14293" xr:uid="{14C1AADC-B934-44C5-9F2E-2806C0E562D6}"/>
    <cellStyle name="Comma 4 2 3 2 2 4 4" xfId="10075" xr:uid="{6C222E30-07D1-448A-BFD8-EF5D465EFFBC}"/>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A5D63975-4488-494B-914F-15402639C719}"/>
    <cellStyle name="Comma 4 2 3 2 2 5 2 3" xfId="12633" xr:uid="{F4463AEE-0098-4219-A6D8-E8CA0D66BFE6}"/>
    <cellStyle name="Comma 4 2 3 2 2 5 3" xfId="6264" xr:uid="{00000000-0005-0000-0000-00006E080000}"/>
    <cellStyle name="Comma 4 2 3 2 2 5 3 2" xfId="14706" xr:uid="{9F6034AA-A425-4926-AE0A-791807AE9B11}"/>
    <cellStyle name="Comma 4 2 3 2 2 5 4" xfId="10488" xr:uid="{E0969BD7-7280-4904-8072-D46BBA6BA0BD}"/>
    <cellStyle name="Comma 4 2 3 2 2 6" xfId="2392" xr:uid="{00000000-0005-0000-0000-00006F080000}"/>
    <cellStyle name="Comma 4 2 3 2 2 6 2" xfId="6677" xr:uid="{00000000-0005-0000-0000-000070080000}"/>
    <cellStyle name="Comma 4 2 3 2 2 6 2 2" xfId="15119" xr:uid="{A6F3E954-DBFC-49EB-B1C2-798B0EEA8C4C}"/>
    <cellStyle name="Comma 4 2 3 2 2 6 3" xfId="10901" xr:uid="{F9390FBC-D063-4F81-AD85-39DE595EF474}"/>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38A7B459-49DF-47F0-B66A-A89930A6A277}"/>
    <cellStyle name="Comma 4 2 3 2 2 8 3" xfId="11218" xr:uid="{73DA585A-79A7-4B6E-8034-923372EC48C2}"/>
    <cellStyle name="Comma 4 2 3 2 2 9" xfId="4611" xr:uid="{00000000-0005-0000-0000-000074080000}"/>
    <cellStyle name="Comma 4 2 3 2 2 9 2" xfId="13053" xr:uid="{D8486DEF-B761-4761-A902-2AD025944E8B}"/>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87DC44C1-8D38-434A-820B-51616B825EE1}"/>
    <cellStyle name="Comma 4 2 3 2 3 2 3" xfId="11393" xr:uid="{3ABF7076-98C8-4F66-8F21-434B57CD5942}"/>
    <cellStyle name="Comma 4 2 3 2 3 3" xfId="5024" xr:uid="{00000000-0005-0000-0000-000078080000}"/>
    <cellStyle name="Comma 4 2 3 2 3 3 2" xfId="13466" xr:uid="{03631A68-B47B-482C-B765-2E49CEB0E2AB}"/>
    <cellStyle name="Comma 4 2 3 2 3 4" xfId="9248" xr:uid="{B7AD9234-06C6-4378-83AB-038C4C60869A}"/>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5562FD86-6D9E-4553-BB96-2D146F2D5331}"/>
    <cellStyle name="Comma 4 2 3 2 4 2 3" xfId="11806" xr:uid="{9EEADF7E-42DC-43EB-97A9-9737E3451EDD}"/>
    <cellStyle name="Comma 4 2 3 2 4 3" xfId="5437" xr:uid="{00000000-0005-0000-0000-00007C080000}"/>
    <cellStyle name="Comma 4 2 3 2 4 3 2" xfId="13879" xr:uid="{9EA01752-F4A7-43F3-AB2A-81278D91C0CD}"/>
    <cellStyle name="Comma 4 2 3 2 4 4" xfId="9661" xr:uid="{946B5C3A-F36B-4311-B1C1-578A8B3DE311}"/>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D5D4728C-655D-4920-960E-C8D3A6FC8E22}"/>
    <cellStyle name="Comma 4 2 3 2 5 2 3" xfId="12219" xr:uid="{BDEED37A-50C0-4BD6-9EF5-BA1B36EC87BA}"/>
    <cellStyle name="Comma 4 2 3 2 5 3" xfId="5850" xr:uid="{00000000-0005-0000-0000-000080080000}"/>
    <cellStyle name="Comma 4 2 3 2 5 3 2" xfId="14292" xr:uid="{3145DA1E-BE5F-4FB5-BC52-ABD89D9FB118}"/>
    <cellStyle name="Comma 4 2 3 2 5 4" xfId="10074" xr:uid="{4358255F-B3F4-4948-949B-13FF55A584EE}"/>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44B4DE70-F013-4EEB-BE55-929F2A2CBF2D}"/>
    <cellStyle name="Comma 4 2 3 2 6 2 3" xfId="12632" xr:uid="{C436A158-1078-4498-AED4-7EB6BB23D5D7}"/>
    <cellStyle name="Comma 4 2 3 2 6 3" xfId="6263" xr:uid="{00000000-0005-0000-0000-000084080000}"/>
    <cellStyle name="Comma 4 2 3 2 6 3 2" xfId="14705" xr:uid="{D4BE6CAF-AAB5-4B19-A80A-057AF6D6BB93}"/>
    <cellStyle name="Comma 4 2 3 2 6 4" xfId="10487" xr:uid="{1CBFDBA6-ADC1-47C9-8FCE-7C675614B213}"/>
    <cellStyle name="Comma 4 2 3 2 7" xfId="2391" xr:uid="{00000000-0005-0000-0000-000085080000}"/>
    <cellStyle name="Comma 4 2 3 2 7 2" xfId="6676" xr:uid="{00000000-0005-0000-0000-000086080000}"/>
    <cellStyle name="Comma 4 2 3 2 7 2 2" xfId="15118" xr:uid="{4B4CE2B3-AABC-4D31-B93F-6A224C138BC6}"/>
    <cellStyle name="Comma 4 2 3 2 7 3" xfId="10900" xr:uid="{6BEE77C9-C29A-4E2E-9C1A-FF49B64F12A0}"/>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CAFEC143-8A4D-4716-86AD-18D2D80EEE11}"/>
    <cellStyle name="Comma 4 2 3 2 9 3" xfId="11217" xr:uid="{67312E22-BA4A-4CBD-AAAA-1513BDEBB55B}"/>
    <cellStyle name="Comma 4 2 3 3" xfId="139" xr:uid="{00000000-0005-0000-0000-00008A080000}"/>
    <cellStyle name="Comma 4 2 3 3 10" xfId="8836" xr:uid="{A707678C-E337-4536-95A3-E5B52BF58FFC}"/>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A2DC476E-7921-42DB-B327-548DF4A7DA1F}"/>
    <cellStyle name="Comma 4 2 3 3 2 2 3" xfId="11395" xr:uid="{34E1AC27-F38F-4513-ADB0-D9A7B6908489}"/>
    <cellStyle name="Comma 4 2 3 3 2 3" xfId="5026" xr:uid="{00000000-0005-0000-0000-00008E080000}"/>
    <cellStyle name="Comma 4 2 3 3 2 3 2" xfId="13468" xr:uid="{6C65E9A8-0B85-4920-86DE-B63E4AAC15EB}"/>
    <cellStyle name="Comma 4 2 3 3 2 4" xfId="9250" xr:uid="{58B5BD07-6631-462D-B530-2B998E470FF4}"/>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9E397786-11E3-473D-A154-7D4DF3E41DDC}"/>
    <cellStyle name="Comma 4 2 3 3 3 2 3" xfId="11808" xr:uid="{9B89A0C7-589D-4613-A905-798DFF3E95B5}"/>
    <cellStyle name="Comma 4 2 3 3 3 3" xfId="5439" xr:uid="{00000000-0005-0000-0000-000092080000}"/>
    <cellStyle name="Comma 4 2 3 3 3 3 2" xfId="13881" xr:uid="{AC546756-CF33-4664-A94B-14986DC2BF52}"/>
    <cellStyle name="Comma 4 2 3 3 3 4" xfId="9663" xr:uid="{D79A987D-7A65-4197-B5D2-1914EAE3CDB2}"/>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ECC52039-1780-4FF2-945B-65E2C800179A}"/>
    <cellStyle name="Comma 4 2 3 3 4 2 3" xfId="12221" xr:uid="{5DB193D5-8CD6-46FC-80C0-5C6C94EDDD1C}"/>
    <cellStyle name="Comma 4 2 3 3 4 3" xfId="5852" xr:uid="{00000000-0005-0000-0000-000096080000}"/>
    <cellStyle name="Comma 4 2 3 3 4 3 2" xfId="14294" xr:uid="{F1F58D96-EA98-48B8-82D1-977AE42A0EE8}"/>
    <cellStyle name="Comma 4 2 3 3 4 4" xfId="10076" xr:uid="{8459E309-1C33-4741-BAC4-A57FE53EFCB9}"/>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A548015D-272F-4118-8AA6-E87897F67742}"/>
    <cellStyle name="Comma 4 2 3 3 5 2 3" xfId="12634" xr:uid="{AAFB2CB5-DB9C-4C65-80D7-C7F7B62038DF}"/>
    <cellStyle name="Comma 4 2 3 3 5 3" xfId="6265" xr:uid="{00000000-0005-0000-0000-00009A080000}"/>
    <cellStyle name="Comma 4 2 3 3 5 3 2" xfId="14707" xr:uid="{A9DBD77B-C637-45D8-9D19-6B1FD8C275A5}"/>
    <cellStyle name="Comma 4 2 3 3 5 4" xfId="10489" xr:uid="{C924ED3B-4BA6-4178-88BE-30C07D095A72}"/>
    <cellStyle name="Comma 4 2 3 3 6" xfId="2393" xr:uid="{00000000-0005-0000-0000-00009B080000}"/>
    <cellStyle name="Comma 4 2 3 3 6 2" xfId="6678" xr:uid="{00000000-0005-0000-0000-00009C080000}"/>
    <cellStyle name="Comma 4 2 3 3 6 2 2" xfId="15120" xr:uid="{EA99D0A1-4B5B-4C23-A166-CE4C90E72279}"/>
    <cellStyle name="Comma 4 2 3 3 6 3" xfId="10902" xr:uid="{91E0C492-E8B6-4907-A8CD-581BC0BB4E4D}"/>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28E720C1-FE89-4828-80F1-E40CF81CCF2C}"/>
    <cellStyle name="Comma 4 2 3 3 8 3" xfId="11219" xr:uid="{C32E288C-82C4-463B-AF01-46F4754674AB}"/>
    <cellStyle name="Comma 4 2 3 3 9" xfId="4612" xr:uid="{00000000-0005-0000-0000-0000A0080000}"/>
    <cellStyle name="Comma 4 2 3 3 9 2" xfId="13054" xr:uid="{99064D44-A368-49FC-AEE9-B297F0FFFA5F}"/>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0404A636-3978-4844-891A-4D49DC79A5C3}"/>
    <cellStyle name="Comma 4 2 3 4 2 3" xfId="11392" xr:uid="{A777EB1A-C07D-431A-8369-F9A44B582864}"/>
    <cellStyle name="Comma 4 2 3 4 3" xfId="5023" xr:uid="{00000000-0005-0000-0000-0000A4080000}"/>
    <cellStyle name="Comma 4 2 3 4 3 2" xfId="13465" xr:uid="{E0285CC4-925A-4710-9278-2F1384D56E72}"/>
    <cellStyle name="Comma 4 2 3 4 4" xfId="9247" xr:uid="{CDA36917-A899-4C19-9903-E65C3BCB2555}"/>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A098AE65-5935-4EC1-919C-30DEB1E9152E}"/>
    <cellStyle name="Comma 4 2 3 5 2 3" xfId="11805" xr:uid="{FAFBDA22-BFA2-42B1-AD5C-A60C168769C8}"/>
    <cellStyle name="Comma 4 2 3 5 3" xfId="5436" xr:uid="{00000000-0005-0000-0000-0000A8080000}"/>
    <cellStyle name="Comma 4 2 3 5 3 2" xfId="13878" xr:uid="{0974AE8D-FAB8-4C5F-9EE8-DBCDCD24F681}"/>
    <cellStyle name="Comma 4 2 3 5 4" xfId="9660" xr:uid="{3E042FA8-B9EC-4BD3-907D-16C394E09808}"/>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CAE1D06B-6C7D-4AEB-954B-EB9426ED1963}"/>
    <cellStyle name="Comma 4 2 3 6 2 3" xfId="12218" xr:uid="{3E410A2E-2C98-4E61-9EEF-2A955AADF362}"/>
    <cellStyle name="Comma 4 2 3 6 3" xfId="5849" xr:uid="{00000000-0005-0000-0000-0000AC080000}"/>
    <cellStyle name="Comma 4 2 3 6 3 2" xfId="14291" xr:uid="{9296333F-9A7B-47E3-B73A-912F6E559D9D}"/>
    <cellStyle name="Comma 4 2 3 6 4" xfId="10073" xr:uid="{80C1FBD5-69D7-4655-870D-C88600FEB280}"/>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C528B873-160C-473D-8B78-7A9D196F8DCE}"/>
    <cellStyle name="Comma 4 2 3 7 2 3" xfId="12631" xr:uid="{7D0C2926-8EE7-42F6-8B51-BC6A57F9999C}"/>
    <cellStyle name="Comma 4 2 3 7 3" xfId="6262" xr:uid="{00000000-0005-0000-0000-0000B0080000}"/>
    <cellStyle name="Comma 4 2 3 7 3 2" xfId="14704" xr:uid="{EA31711D-44A2-4ED8-80FC-A052E5D0917C}"/>
    <cellStyle name="Comma 4 2 3 7 4" xfId="10486" xr:uid="{C60C16F0-60A4-40F1-8606-3D18A99EB722}"/>
    <cellStyle name="Comma 4 2 3 8" xfId="2390" xr:uid="{00000000-0005-0000-0000-0000B1080000}"/>
    <cellStyle name="Comma 4 2 3 8 2" xfId="6675" xr:uid="{00000000-0005-0000-0000-0000B2080000}"/>
    <cellStyle name="Comma 4 2 3 8 2 2" xfId="15117" xr:uid="{0373B93E-4166-4B86-B99B-C697CCE05A96}"/>
    <cellStyle name="Comma 4 2 3 8 3" xfId="10899" xr:uid="{CA10CF4B-CD25-4613-8953-13E78974EC47}"/>
    <cellStyle name="Comma 4 2 3 9" xfId="2373" xr:uid="{00000000-0005-0000-0000-0000B3080000}"/>
    <cellStyle name="Comma 4 2 4" xfId="140" xr:uid="{00000000-0005-0000-0000-0000B4080000}"/>
    <cellStyle name="Comma 4 2 4 10" xfId="4613" xr:uid="{00000000-0005-0000-0000-0000B5080000}"/>
    <cellStyle name="Comma 4 2 4 10 2" xfId="13055" xr:uid="{A1F620BE-50DF-4A5B-AE26-641BFE3E0CAC}"/>
    <cellStyle name="Comma 4 2 4 11" xfId="8837" xr:uid="{74699D16-FF1D-4A25-A96F-A8CE046AD177}"/>
    <cellStyle name="Comma 4 2 4 2" xfId="141" xr:uid="{00000000-0005-0000-0000-0000B6080000}"/>
    <cellStyle name="Comma 4 2 4 2 10" xfId="8838" xr:uid="{F58C1370-1300-437F-B4F6-4AB6BBF7BBCE}"/>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23CE2C06-6C1C-4E39-A88D-31C5DFAB4760}"/>
    <cellStyle name="Comma 4 2 4 2 2 2 3" xfId="11397" xr:uid="{67E59EC1-B9A4-41C0-87A9-59E7595FE558}"/>
    <cellStyle name="Comma 4 2 4 2 2 3" xfId="5028" xr:uid="{00000000-0005-0000-0000-0000BA080000}"/>
    <cellStyle name="Comma 4 2 4 2 2 3 2" xfId="13470" xr:uid="{46E668FB-5807-4982-A3D0-E9E5E83FAA47}"/>
    <cellStyle name="Comma 4 2 4 2 2 4" xfId="9252" xr:uid="{D62EBE3D-6CB9-4BE8-92F9-01233401A1D6}"/>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97CBF6B8-D710-46FA-8FF9-6DA2891BDA28}"/>
    <cellStyle name="Comma 4 2 4 2 3 2 3" xfId="11810" xr:uid="{155099CB-858D-4B43-B5FD-374C0FACCF79}"/>
    <cellStyle name="Comma 4 2 4 2 3 3" xfId="5441" xr:uid="{00000000-0005-0000-0000-0000BE080000}"/>
    <cellStyle name="Comma 4 2 4 2 3 3 2" xfId="13883" xr:uid="{946ADD6B-B2DB-4DA7-98F6-E16CE51C1EF7}"/>
    <cellStyle name="Comma 4 2 4 2 3 4" xfId="9665" xr:uid="{DB100209-602D-4C12-9404-331D4B0821B4}"/>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E404F628-5C69-4AC1-9D38-781B6F3C053D}"/>
    <cellStyle name="Comma 4 2 4 2 4 2 3" xfId="12223" xr:uid="{ED378489-4EE4-47F0-9E30-641557992038}"/>
    <cellStyle name="Comma 4 2 4 2 4 3" xfId="5854" xr:uid="{00000000-0005-0000-0000-0000C2080000}"/>
    <cellStyle name="Comma 4 2 4 2 4 3 2" xfId="14296" xr:uid="{A7C5D13E-AA91-4B8B-B8BC-C04BC6FBCACE}"/>
    <cellStyle name="Comma 4 2 4 2 4 4" xfId="10078" xr:uid="{A810246A-F00D-401E-94FB-ECF698E5CD1B}"/>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71E3E487-186B-4A07-900F-8BF39585DAB3}"/>
    <cellStyle name="Comma 4 2 4 2 5 2 3" xfId="12636" xr:uid="{9008442F-88F8-4907-8B4D-D5E8CAF6177E}"/>
    <cellStyle name="Comma 4 2 4 2 5 3" xfId="6267" xr:uid="{00000000-0005-0000-0000-0000C6080000}"/>
    <cellStyle name="Comma 4 2 4 2 5 3 2" xfId="14709" xr:uid="{3B34BB94-F3E7-4CD6-ACBB-F910C59F3AA2}"/>
    <cellStyle name="Comma 4 2 4 2 5 4" xfId="10491" xr:uid="{08BF19B9-22A5-4FF6-A7DA-8364D25F2859}"/>
    <cellStyle name="Comma 4 2 4 2 6" xfId="2395" xr:uid="{00000000-0005-0000-0000-0000C7080000}"/>
    <cellStyle name="Comma 4 2 4 2 6 2" xfId="6680" xr:uid="{00000000-0005-0000-0000-0000C8080000}"/>
    <cellStyle name="Comma 4 2 4 2 6 2 2" xfId="15122" xr:uid="{BFF96F25-D140-40FE-8941-CE9012E2642D}"/>
    <cellStyle name="Comma 4 2 4 2 6 3" xfId="10904" xr:uid="{44221F17-43CD-4FF3-A07B-F23C1391FA95}"/>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7FDE6539-E510-4B8E-A797-F92001BF399F}"/>
    <cellStyle name="Comma 4 2 4 2 8 3" xfId="11221" xr:uid="{ACDCB998-B6EC-41BA-9E39-536A549A1C28}"/>
    <cellStyle name="Comma 4 2 4 2 9" xfId="4614" xr:uid="{00000000-0005-0000-0000-0000CC080000}"/>
    <cellStyle name="Comma 4 2 4 2 9 2" xfId="13056" xr:uid="{02A8DC55-2457-476A-AB4C-161FE3343A97}"/>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6C42B199-8556-48DE-8933-FA7F20C1B2E9}"/>
    <cellStyle name="Comma 4 2 4 3 2 3" xfId="11396" xr:uid="{F92FCDA8-89A6-41F0-BB48-35D6EA43D56E}"/>
    <cellStyle name="Comma 4 2 4 3 3" xfId="5027" xr:uid="{00000000-0005-0000-0000-0000D0080000}"/>
    <cellStyle name="Comma 4 2 4 3 3 2" xfId="13469" xr:uid="{7E201BF3-28CD-4D02-8997-BBDD5A68DBC8}"/>
    <cellStyle name="Comma 4 2 4 3 4" xfId="9251" xr:uid="{9DF5574B-EA9F-4EEA-8464-C2E996D14785}"/>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BF3283AB-B22E-438E-9138-93EF14F0B0B5}"/>
    <cellStyle name="Comma 4 2 4 4 2 3" xfId="11809" xr:uid="{62CD4C26-1C26-4A66-81DF-ABD32C8C233B}"/>
    <cellStyle name="Comma 4 2 4 4 3" xfId="5440" xr:uid="{00000000-0005-0000-0000-0000D4080000}"/>
    <cellStyle name="Comma 4 2 4 4 3 2" xfId="13882" xr:uid="{3E907271-B11E-4162-AE94-B077162392A1}"/>
    <cellStyle name="Comma 4 2 4 4 4" xfId="9664" xr:uid="{552BD123-9269-4436-B819-7591FF197F06}"/>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BE9A8296-E402-4A26-8269-3104B6814064}"/>
    <cellStyle name="Comma 4 2 4 5 2 3" xfId="12222" xr:uid="{F1ADA3A2-B181-4FB9-9D75-D4369A3320F1}"/>
    <cellStyle name="Comma 4 2 4 5 3" xfId="5853" xr:uid="{00000000-0005-0000-0000-0000D8080000}"/>
    <cellStyle name="Comma 4 2 4 5 3 2" xfId="14295" xr:uid="{5EC0BDBB-173E-43F5-BA9D-20DBEA0E0C24}"/>
    <cellStyle name="Comma 4 2 4 5 4" xfId="10077" xr:uid="{BFDE0791-6DA8-4349-9251-DD7D9419A9B6}"/>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CEF3E200-5203-4CD5-A246-9F642E1D02FC}"/>
    <cellStyle name="Comma 4 2 4 6 2 3" xfId="12635" xr:uid="{AA316899-6D95-473C-A552-CA9F14B67D2F}"/>
    <cellStyle name="Comma 4 2 4 6 3" xfId="6266" xr:uid="{00000000-0005-0000-0000-0000DC080000}"/>
    <cellStyle name="Comma 4 2 4 6 3 2" xfId="14708" xr:uid="{21DF676F-0DE3-422C-8732-06E1D137B72E}"/>
    <cellStyle name="Comma 4 2 4 6 4" xfId="10490" xr:uid="{E6AA95CE-B9FE-4F3D-B52E-D69214EBC353}"/>
    <cellStyle name="Comma 4 2 4 7" xfId="2394" xr:uid="{00000000-0005-0000-0000-0000DD080000}"/>
    <cellStyle name="Comma 4 2 4 7 2" xfId="6679" xr:uid="{00000000-0005-0000-0000-0000DE080000}"/>
    <cellStyle name="Comma 4 2 4 7 2 2" xfId="15121" xr:uid="{2C57A37C-84F7-462E-B8B8-BF5360D0AF6C}"/>
    <cellStyle name="Comma 4 2 4 7 3" xfId="10903" xr:uid="{07ACDAF9-4380-4C6A-BF9F-A9399EF2ABC5}"/>
    <cellStyle name="Comma 4 2 4 8" xfId="2369" xr:uid="{00000000-0005-0000-0000-0000DF080000}"/>
    <cellStyle name="Comma 4 2 4 9" xfId="2772" xr:uid="{00000000-0005-0000-0000-0000E0080000}"/>
    <cellStyle name="Comma 4 2 4 9 2" xfId="6996" xr:uid="{00000000-0005-0000-0000-0000E1080000}"/>
    <cellStyle name="Comma 4 2 4 9 2 2" xfId="15438" xr:uid="{2EABC002-E91C-4807-BB3B-452B76AD3D0B}"/>
    <cellStyle name="Comma 4 2 4 9 3" xfId="11220" xr:uid="{E3EA166B-4639-47FB-9D74-5970238EA602}"/>
    <cellStyle name="Comma 4 2 5" xfId="142" xr:uid="{00000000-0005-0000-0000-0000E2080000}"/>
    <cellStyle name="Comma 4 2 5 10" xfId="8839" xr:uid="{CDEE8E4C-2ED3-4BC0-B060-B4ED5EC58F80}"/>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B77F3882-8F4D-4769-9C07-E4E8ED937AF1}"/>
    <cellStyle name="Comma 4 2 5 2 2 3" xfId="11398" xr:uid="{7BF8383C-78AD-4F18-92A5-C8FE25205852}"/>
    <cellStyle name="Comma 4 2 5 2 3" xfId="5029" xr:uid="{00000000-0005-0000-0000-0000E6080000}"/>
    <cellStyle name="Comma 4 2 5 2 3 2" xfId="13471" xr:uid="{77D83388-43EE-4CD9-9DBD-33661035060F}"/>
    <cellStyle name="Comma 4 2 5 2 4" xfId="9253" xr:uid="{16508738-9172-4502-B428-BC46DE6A3A87}"/>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053338CC-56D6-4525-91A5-BF61D832341D}"/>
    <cellStyle name="Comma 4 2 5 3 2 3" xfId="11811" xr:uid="{6B3E6082-2A7F-4653-B16E-B439A836A189}"/>
    <cellStyle name="Comma 4 2 5 3 3" xfId="5442" xr:uid="{00000000-0005-0000-0000-0000EA080000}"/>
    <cellStyle name="Comma 4 2 5 3 3 2" xfId="13884" xr:uid="{3A943523-E9C7-4C72-8834-F2B99A66F7C7}"/>
    <cellStyle name="Comma 4 2 5 3 4" xfId="9666" xr:uid="{1BC26648-3A33-4D7E-9877-B85879B40437}"/>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47C73FDD-F6CD-4CAA-9CB8-42BED63B4EDC}"/>
    <cellStyle name="Comma 4 2 5 4 2 3" xfId="12224" xr:uid="{AA53CA46-C181-421B-BABA-535F102CD3C1}"/>
    <cellStyle name="Comma 4 2 5 4 3" xfId="5855" xr:uid="{00000000-0005-0000-0000-0000EE080000}"/>
    <cellStyle name="Comma 4 2 5 4 3 2" xfId="14297" xr:uid="{A1E3766D-69BC-4B26-9F6C-F6505A6A4B45}"/>
    <cellStyle name="Comma 4 2 5 4 4" xfId="10079" xr:uid="{9BDCBCBB-264F-4E4C-9805-8D7B8F2F3058}"/>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957AE779-0C98-40A9-B55B-6C481E6D54E7}"/>
    <cellStyle name="Comma 4 2 5 5 2 3" xfId="12637" xr:uid="{0AE15A4F-D58C-4206-81F8-40EC83A33CA3}"/>
    <cellStyle name="Comma 4 2 5 5 3" xfId="6268" xr:uid="{00000000-0005-0000-0000-0000F2080000}"/>
    <cellStyle name="Comma 4 2 5 5 3 2" xfId="14710" xr:uid="{F201B874-63EE-41EF-9525-C342170AC5B9}"/>
    <cellStyle name="Comma 4 2 5 5 4" xfId="10492" xr:uid="{259161C7-3921-4F68-A008-C5F54CDB75CA}"/>
    <cellStyle name="Comma 4 2 5 6" xfId="2396" xr:uid="{00000000-0005-0000-0000-0000F3080000}"/>
    <cellStyle name="Comma 4 2 5 6 2" xfId="6681" xr:uid="{00000000-0005-0000-0000-0000F4080000}"/>
    <cellStyle name="Comma 4 2 5 6 2 2" xfId="15123" xr:uid="{868431BB-F474-478A-9A07-3FAC92545B65}"/>
    <cellStyle name="Comma 4 2 5 6 3" xfId="10905" xr:uid="{DC9BE150-56CB-46EB-A6D4-9B756FDBE349}"/>
    <cellStyle name="Comma 4 2 5 7" xfId="2367" xr:uid="{00000000-0005-0000-0000-0000F5080000}"/>
    <cellStyle name="Comma 4 2 5 8" xfId="2774" xr:uid="{00000000-0005-0000-0000-0000F6080000}"/>
    <cellStyle name="Comma 4 2 5 8 2" xfId="6998" xr:uid="{00000000-0005-0000-0000-0000F7080000}"/>
    <cellStyle name="Comma 4 2 5 8 2 2" xfId="15440" xr:uid="{A09F7957-9D8C-4FD9-ACE4-DFD68537FA76}"/>
    <cellStyle name="Comma 4 2 5 8 3" xfId="11222" xr:uid="{7672DB22-6C5C-4EDA-B7BE-0963BEF9F0C0}"/>
    <cellStyle name="Comma 4 2 5 9" xfId="4615" xr:uid="{00000000-0005-0000-0000-0000F8080000}"/>
    <cellStyle name="Comma 4 2 5 9 2" xfId="13057" xr:uid="{A6A27D0F-545A-4F8A-AF07-FE604FFFB203}"/>
    <cellStyle name="Comma 4 2 6" xfId="143" xr:uid="{00000000-0005-0000-0000-0000F9080000}"/>
    <cellStyle name="Comma 4 2 6 10" xfId="8840" xr:uid="{BAE32BE2-0ADB-4CED-B736-6BF7BC0CC9DD}"/>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443603AB-9A7D-4792-BBD1-7A73312F5FA2}"/>
    <cellStyle name="Comma 4 2 6 2 2 3" xfId="11399" xr:uid="{3CDBFCAE-8CEF-427B-A00A-573BF354A67D}"/>
    <cellStyle name="Comma 4 2 6 2 3" xfId="5030" xr:uid="{00000000-0005-0000-0000-0000FD080000}"/>
    <cellStyle name="Comma 4 2 6 2 3 2" xfId="13472" xr:uid="{43857A84-BB9E-436F-9844-648D17E23CBD}"/>
    <cellStyle name="Comma 4 2 6 2 4" xfId="9254" xr:uid="{03A6A649-9263-495A-B3CE-1FE1410F1459}"/>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5A36BECB-1E72-4C74-820E-A5E145302679}"/>
    <cellStyle name="Comma 4 2 6 3 2 3" xfId="11812" xr:uid="{564B42E9-7C10-4E1E-BF62-7D7BF3BDA48D}"/>
    <cellStyle name="Comma 4 2 6 3 3" xfId="5443" xr:uid="{00000000-0005-0000-0000-000001090000}"/>
    <cellStyle name="Comma 4 2 6 3 3 2" xfId="13885" xr:uid="{DBA36A9B-E944-4763-AD29-FBD4AB9B26C5}"/>
    <cellStyle name="Comma 4 2 6 3 4" xfId="9667" xr:uid="{59115A34-1F97-490B-9563-E37980CBEEF6}"/>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421FEB85-1560-4F6F-A1B7-C7D908F46124}"/>
    <cellStyle name="Comma 4 2 6 4 2 3" xfId="12225" xr:uid="{DE917AD5-829E-4A27-81CE-3ECBDAF558E3}"/>
    <cellStyle name="Comma 4 2 6 4 3" xfId="5856" xr:uid="{00000000-0005-0000-0000-000005090000}"/>
    <cellStyle name="Comma 4 2 6 4 3 2" xfId="14298" xr:uid="{EA9A1F7E-3AF7-42B6-99ED-E5EFCA446597}"/>
    <cellStyle name="Comma 4 2 6 4 4" xfId="10080" xr:uid="{79FD7950-3A3A-4CB1-90BB-3CA04C3A6B58}"/>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98797EBF-3B79-42CF-A908-32898160CDDC}"/>
    <cellStyle name="Comma 4 2 6 5 2 3" xfId="12638" xr:uid="{B27AE770-FF27-48C8-8074-313DAD607DE7}"/>
    <cellStyle name="Comma 4 2 6 5 3" xfId="6269" xr:uid="{00000000-0005-0000-0000-000009090000}"/>
    <cellStyle name="Comma 4 2 6 5 3 2" xfId="14711" xr:uid="{CD6BEF22-9BBE-4E21-8E99-6E32BE0CC6A0}"/>
    <cellStyle name="Comma 4 2 6 5 4" xfId="10493" xr:uid="{A55DEF28-84BD-4ACA-9771-F06FDC071E76}"/>
    <cellStyle name="Comma 4 2 6 6" xfId="2397" xr:uid="{00000000-0005-0000-0000-00000A090000}"/>
    <cellStyle name="Comma 4 2 6 6 2" xfId="6682" xr:uid="{00000000-0005-0000-0000-00000B090000}"/>
    <cellStyle name="Comma 4 2 6 6 2 2" xfId="15124" xr:uid="{056D3FF7-1E08-436F-8AF8-03190B7C5F7A}"/>
    <cellStyle name="Comma 4 2 6 6 3" xfId="10906" xr:uid="{AEA2B336-2F02-4AFB-962D-8688823E8F8C}"/>
    <cellStyle name="Comma 4 2 6 7" xfId="2366" xr:uid="{00000000-0005-0000-0000-00000C090000}"/>
    <cellStyle name="Comma 4 2 6 8" xfId="2775" xr:uid="{00000000-0005-0000-0000-00000D090000}"/>
    <cellStyle name="Comma 4 2 6 8 2" xfId="6999" xr:uid="{00000000-0005-0000-0000-00000E090000}"/>
    <cellStyle name="Comma 4 2 6 8 2 2" xfId="15441" xr:uid="{4425DAA7-A16A-4AC4-A19E-57C2A067652E}"/>
    <cellStyle name="Comma 4 2 6 8 3" xfId="11223" xr:uid="{6513D66E-BAB6-4D0A-A36A-E3D2B1D0D07B}"/>
    <cellStyle name="Comma 4 2 6 9" xfId="4616" xr:uid="{00000000-0005-0000-0000-00000F090000}"/>
    <cellStyle name="Comma 4 2 6 9 2" xfId="13058" xr:uid="{03BB5300-10D8-4827-972A-2CD64AF562A6}"/>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0F591BB2-0912-4599-A6B4-F247B6932793}"/>
    <cellStyle name="Comma 4 3 2 10 3" xfId="11224" xr:uid="{8AE24861-EA40-4920-9FC0-EEA62C265BC2}"/>
    <cellStyle name="Comma 4 3 2 11" xfId="4617" xr:uid="{00000000-0005-0000-0000-000014090000}"/>
    <cellStyle name="Comma 4 3 2 11 2" xfId="13059" xr:uid="{3A91B450-598A-4FF0-BE17-DE534BCD5093}"/>
    <cellStyle name="Comma 4 3 2 12" xfId="8841" xr:uid="{EFD6E691-BB30-453D-BBBD-FAE277D54C20}"/>
    <cellStyle name="Comma 4 3 2 2" xfId="146" xr:uid="{00000000-0005-0000-0000-000015090000}"/>
    <cellStyle name="Comma 4 3 2 2 10" xfId="4618" xr:uid="{00000000-0005-0000-0000-000016090000}"/>
    <cellStyle name="Comma 4 3 2 2 10 2" xfId="13060" xr:uid="{C1F53BE9-229E-4A0A-A4CE-E418F69E6897}"/>
    <cellStyle name="Comma 4 3 2 2 11" xfId="8842" xr:uid="{352F1C0B-494E-4F47-B599-B15BF65C726B}"/>
    <cellStyle name="Comma 4 3 2 2 2" xfId="147" xr:uid="{00000000-0005-0000-0000-000017090000}"/>
    <cellStyle name="Comma 4 3 2 2 2 10" xfId="8843" xr:uid="{56867BA0-CD62-448C-A306-AA6CB04AC289}"/>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9F0E98A9-BF7B-42EC-89D5-F03082C8893E}"/>
    <cellStyle name="Comma 4 3 2 2 2 2 2 3" xfId="11402" xr:uid="{77CCA1FF-D51B-44DA-B696-36D498A01B7B}"/>
    <cellStyle name="Comma 4 3 2 2 2 2 3" xfId="5033" xr:uid="{00000000-0005-0000-0000-00001B090000}"/>
    <cellStyle name="Comma 4 3 2 2 2 2 3 2" xfId="13475" xr:uid="{FB60A4F0-E95C-4F35-A8F7-33605C579FC3}"/>
    <cellStyle name="Comma 4 3 2 2 2 2 4" xfId="9257" xr:uid="{822248C8-F258-41D6-9126-018DAB7F4C20}"/>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BF1C75BC-B415-4440-9315-FED9B04B4F81}"/>
    <cellStyle name="Comma 4 3 2 2 2 3 2 3" xfId="11815" xr:uid="{F60FCFFD-51E7-4C17-B1A8-62449B5AFF60}"/>
    <cellStyle name="Comma 4 3 2 2 2 3 3" xfId="5446" xr:uid="{00000000-0005-0000-0000-00001F090000}"/>
    <cellStyle name="Comma 4 3 2 2 2 3 3 2" xfId="13888" xr:uid="{66E091FC-A553-4873-94DA-32C92BD5E18F}"/>
    <cellStyle name="Comma 4 3 2 2 2 3 4" xfId="9670" xr:uid="{C8EADB9A-E44D-49DD-96D0-9BEF05951D0C}"/>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B4593E8C-62B0-4D84-BEAB-0C7DCB515881}"/>
    <cellStyle name="Comma 4 3 2 2 2 4 2 3" xfId="12228" xr:uid="{D0206652-1DEC-49DB-B72B-AAB669B719E2}"/>
    <cellStyle name="Comma 4 3 2 2 2 4 3" xfId="5859" xr:uid="{00000000-0005-0000-0000-000023090000}"/>
    <cellStyle name="Comma 4 3 2 2 2 4 3 2" xfId="14301" xr:uid="{88526CA6-C358-4749-B7A4-29B81576B1B2}"/>
    <cellStyle name="Comma 4 3 2 2 2 4 4" xfId="10083" xr:uid="{7D5730B5-424E-47FA-96B4-B21371660B76}"/>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DEC4F87C-BBA0-4FEB-97BD-D915C96EFACF}"/>
    <cellStyle name="Comma 4 3 2 2 2 5 2 3" xfId="12641" xr:uid="{04B3B010-ACF6-4F21-BE59-173F5453DD88}"/>
    <cellStyle name="Comma 4 3 2 2 2 5 3" xfId="6272" xr:uid="{00000000-0005-0000-0000-000027090000}"/>
    <cellStyle name="Comma 4 3 2 2 2 5 3 2" xfId="14714" xr:uid="{B7EA59C4-A179-4113-A43B-CD1C0D5B8472}"/>
    <cellStyle name="Comma 4 3 2 2 2 5 4" xfId="10496" xr:uid="{078A4C46-3BEF-44D4-BA4C-43889117CDC1}"/>
    <cellStyle name="Comma 4 3 2 2 2 6" xfId="2400" xr:uid="{00000000-0005-0000-0000-000028090000}"/>
    <cellStyle name="Comma 4 3 2 2 2 6 2" xfId="6685" xr:uid="{00000000-0005-0000-0000-000029090000}"/>
    <cellStyle name="Comma 4 3 2 2 2 6 2 2" xfId="15127" xr:uid="{DE4C6A44-C6AD-4CB9-8C57-FDF13E0E6678}"/>
    <cellStyle name="Comma 4 3 2 2 2 6 3" xfId="10909" xr:uid="{986C3290-6F39-459B-A82D-53B59ADD29D6}"/>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EA86B4DE-F3DA-429D-A4B7-B7CFE595F7B4}"/>
    <cellStyle name="Comma 4 3 2 2 2 8 3" xfId="11226" xr:uid="{83EB92BF-ED58-42A2-9F1B-A9C963A3A6AD}"/>
    <cellStyle name="Comma 4 3 2 2 2 9" xfId="4619" xr:uid="{00000000-0005-0000-0000-00002D090000}"/>
    <cellStyle name="Comma 4 3 2 2 2 9 2" xfId="13061" xr:uid="{FE163ACB-8332-480D-B796-5FF6FEEED272}"/>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0274B62A-D6BE-432B-ADFF-F103982EF81C}"/>
    <cellStyle name="Comma 4 3 2 2 3 2 3" xfId="11401" xr:uid="{C64DE6FD-7B9A-4D48-B690-CEBB956D0F34}"/>
    <cellStyle name="Comma 4 3 2 2 3 3" xfId="5032" xr:uid="{00000000-0005-0000-0000-000031090000}"/>
    <cellStyle name="Comma 4 3 2 2 3 3 2" xfId="13474" xr:uid="{57FC3F85-F2FC-4CC1-9D18-606B812840BA}"/>
    <cellStyle name="Comma 4 3 2 2 3 4" xfId="9256" xr:uid="{A1800874-6F64-43B6-B67D-BE0D27088C4E}"/>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AFA20039-D3CF-4863-B03E-2D453DEA548A}"/>
    <cellStyle name="Comma 4 3 2 2 4 2 3" xfId="11814" xr:uid="{545FB807-CAFE-4301-958B-092B8AFB05E7}"/>
    <cellStyle name="Comma 4 3 2 2 4 3" xfId="5445" xr:uid="{00000000-0005-0000-0000-000035090000}"/>
    <cellStyle name="Comma 4 3 2 2 4 3 2" xfId="13887" xr:uid="{AE95DA13-D1C5-4E20-B36F-688BB8F635B2}"/>
    <cellStyle name="Comma 4 3 2 2 4 4" xfId="9669" xr:uid="{734ACD9F-28BC-4B66-A3B1-407FF23A4356}"/>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865962A8-126E-4A62-9562-3DED57055C1B}"/>
    <cellStyle name="Comma 4 3 2 2 5 2 3" xfId="12227" xr:uid="{08249C96-9C0E-4A53-9F04-D187F02FB577}"/>
    <cellStyle name="Comma 4 3 2 2 5 3" xfId="5858" xr:uid="{00000000-0005-0000-0000-000039090000}"/>
    <cellStyle name="Comma 4 3 2 2 5 3 2" xfId="14300" xr:uid="{14938C14-2306-4436-B517-69F9C90883F2}"/>
    <cellStyle name="Comma 4 3 2 2 5 4" xfId="10082" xr:uid="{4AF7ABF3-2768-4BE4-99E2-233BBFA85D35}"/>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80D513F0-6A26-46D9-904C-DD4A19C8FE8D}"/>
    <cellStyle name="Comma 4 3 2 2 6 2 3" xfId="12640" xr:uid="{27524555-DDED-464B-B9D3-6631772BDBBA}"/>
    <cellStyle name="Comma 4 3 2 2 6 3" xfId="6271" xr:uid="{00000000-0005-0000-0000-00003D090000}"/>
    <cellStyle name="Comma 4 3 2 2 6 3 2" xfId="14713" xr:uid="{73847B2B-D4FB-4FDC-9006-F4A0F33ED8DE}"/>
    <cellStyle name="Comma 4 3 2 2 6 4" xfId="10495" xr:uid="{1447FCF4-7283-4D07-9435-462A90B50AC1}"/>
    <cellStyle name="Comma 4 3 2 2 7" xfId="2399" xr:uid="{00000000-0005-0000-0000-00003E090000}"/>
    <cellStyle name="Comma 4 3 2 2 7 2" xfId="6684" xr:uid="{00000000-0005-0000-0000-00003F090000}"/>
    <cellStyle name="Comma 4 3 2 2 7 2 2" xfId="15126" xr:uid="{35FDA84C-AF38-4A3C-B698-948761C16AE0}"/>
    <cellStyle name="Comma 4 3 2 2 7 3" xfId="10908" xr:uid="{ED98F635-AB78-479C-8F8C-B6FE823D66BB}"/>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3CCF6E0E-5098-43F4-AAB7-77210CB99334}"/>
    <cellStyle name="Comma 4 3 2 2 9 3" xfId="11225" xr:uid="{B0B41403-F1AF-40A0-8802-B83405F08C4C}"/>
    <cellStyle name="Comma 4 3 2 3" xfId="148" xr:uid="{00000000-0005-0000-0000-000043090000}"/>
    <cellStyle name="Comma 4 3 2 3 10" xfId="8844" xr:uid="{710EAA32-3A0E-45D6-9E4B-8DEB380778F0}"/>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F090BF94-D9D3-4EB5-9625-A7DA124D9CC2}"/>
    <cellStyle name="Comma 4 3 2 3 2 2 3" xfId="11403" xr:uid="{5649053E-5C9C-4974-AD3D-B598FC7A219A}"/>
    <cellStyle name="Comma 4 3 2 3 2 3" xfId="5034" xr:uid="{00000000-0005-0000-0000-000047090000}"/>
    <cellStyle name="Comma 4 3 2 3 2 3 2" xfId="13476" xr:uid="{C9B47634-84B5-4E66-B6F6-926D9C5E92FF}"/>
    <cellStyle name="Comma 4 3 2 3 2 4" xfId="9258" xr:uid="{5B3C87E6-AEC2-4C06-956F-F25B1DF7F8C5}"/>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696BDB5E-1707-4157-8265-C096076E185D}"/>
    <cellStyle name="Comma 4 3 2 3 3 2 3" xfId="11816" xr:uid="{F8A234D2-83D8-4D19-8B68-433F79E4FB6B}"/>
    <cellStyle name="Comma 4 3 2 3 3 3" xfId="5447" xr:uid="{00000000-0005-0000-0000-00004B090000}"/>
    <cellStyle name="Comma 4 3 2 3 3 3 2" xfId="13889" xr:uid="{0DAD53E5-C17A-4F92-BD95-5FBD2B05894E}"/>
    <cellStyle name="Comma 4 3 2 3 3 4" xfId="9671" xr:uid="{0D854831-3BA8-491B-9005-14FA7E282CC3}"/>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ABD4E2CD-7E17-41D2-A6F9-E885D3E213FD}"/>
    <cellStyle name="Comma 4 3 2 3 4 2 3" xfId="12229" xr:uid="{0ED42267-695F-4753-9363-D3EB04F708D3}"/>
    <cellStyle name="Comma 4 3 2 3 4 3" xfId="5860" xr:uid="{00000000-0005-0000-0000-00004F090000}"/>
    <cellStyle name="Comma 4 3 2 3 4 3 2" xfId="14302" xr:uid="{B7C5C026-0D58-4CEC-9A99-F23BEA8D7816}"/>
    <cellStyle name="Comma 4 3 2 3 4 4" xfId="10084" xr:uid="{BBBA5209-85FD-4D08-A0A2-7D49273A6A99}"/>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D2C92FAF-3618-4EE8-B5FB-0C6A64596D53}"/>
    <cellStyle name="Comma 4 3 2 3 5 2 3" xfId="12642" xr:uid="{9D9D5BCB-CEC1-46BE-A3FC-A64ABB813370}"/>
    <cellStyle name="Comma 4 3 2 3 5 3" xfId="6273" xr:uid="{00000000-0005-0000-0000-000053090000}"/>
    <cellStyle name="Comma 4 3 2 3 5 3 2" xfId="14715" xr:uid="{3AC931F4-6922-4531-9F61-07CE50D90F41}"/>
    <cellStyle name="Comma 4 3 2 3 5 4" xfId="10497" xr:uid="{CA43128B-F8A6-4077-9C07-16FB90C53EC9}"/>
    <cellStyle name="Comma 4 3 2 3 6" xfId="2401" xr:uid="{00000000-0005-0000-0000-000054090000}"/>
    <cellStyle name="Comma 4 3 2 3 6 2" xfId="6686" xr:uid="{00000000-0005-0000-0000-000055090000}"/>
    <cellStyle name="Comma 4 3 2 3 6 2 2" xfId="15128" xr:uid="{4D2E306B-7F70-41ED-BC9F-B5C81F43EBF3}"/>
    <cellStyle name="Comma 4 3 2 3 6 3" xfId="10910" xr:uid="{0F4E69FC-5751-4946-B76D-C82FC1BA6BE3}"/>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E6DB7BB1-8E04-47A7-BAE7-0BE44E708344}"/>
    <cellStyle name="Comma 4 3 2 3 8 3" xfId="11227" xr:uid="{F9A59579-9740-48CF-A1E4-9EA64A0CA84A}"/>
    <cellStyle name="Comma 4 3 2 3 9" xfId="4620" xr:uid="{00000000-0005-0000-0000-000059090000}"/>
    <cellStyle name="Comma 4 3 2 3 9 2" xfId="13062" xr:uid="{05708F5F-367C-470C-911F-4738566A882A}"/>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7D6302C1-E9A7-42C9-8A4B-BDA0B5A33C74}"/>
    <cellStyle name="Comma 4 3 2 4 2 3" xfId="11400" xr:uid="{E9E2274F-FEEF-4365-B8F8-81B9F242E3D3}"/>
    <cellStyle name="Comma 4 3 2 4 3" xfId="5031" xr:uid="{00000000-0005-0000-0000-00005D090000}"/>
    <cellStyle name="Comma 4 3 2 4 3 2" xfId="13473" xr:uid="{F7DE0081-33A7-4B28-A26F-70AE191ECF34}"/>
    <cellStyle name="Comma 4 3 2 4 4" xfId="9255" xr:uid="{01B3E059-E44E-489D-A4DB-695DC595E00F}"/>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B5F05A8B-D8A6-43A8-A1DA-B3C46FF51F19}"/>
    <cellStyle name="Comma 4 3 2 5 2 3" xfId="11813" xr:uid="{63444E7F-5948-400F-933E-2FAE1F14182E}"/>
    <cellStyle name="Comma 4 3 2 5 3" xfId="5444" xr:uid="{00000000-0005-0000-0000-000061090000}"/>
    <cellStyle name="Comma 4 3 2 5 3 2" xfId="13886" xr:uid="{C4C82C05-6B18-4DFB-B794-84DFC3F493C7}"/>
    <cellStyle name="Comma 4 3 2 5 4" xfId="9668" xr:uid="{3681B2D0-6D1B-4281-A5C1-D08BBAA208AC}"/>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0A1955C2-5442-4B01-8BC3-578AC805076C}"/>
    <cellStyle name="Comma 4 3 2 6 2 3" xfId="12226" xr:uid="{C604B7AD-3385-4427-BD8C-94A23DB0490E}"/>
    <cellStyle name="Comma 4 3 2 6 3" xfId="5857" xr:uid="{00000000-0005-0000-0000-000065090000}"/>
    <cellStyle name="Comma 4 3 2 6 3 2" xfId="14299" xr:uid="{163DD1BB-AF09-40AA-ACEA-BBF982A254D1}"/>
    <cellStyle name="Comma 4 3 2 6 4" xfId="10081" xr:uid="{2327DE6D-75F2-45ED-BE5C-77B406E09C13}"/>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5467E2B0-EB7A-409A-9FAD-DDB55E2022B1}"/>
    <cellStyle name="Comma 4 3 2 7 2 3" xfId="12639" xr:uid="{844EBC65-124E-465B-877A-7B6CECD1C8E7}"/>
    <cellStyle name="Comma 4 3 2 7 3" xfId="6270" xr:uid="{00000000-0005-0000-0000-000069090000}"/>
    <cellStyle name="Comma 4 3 2 7 3 2" xfId="14712" xr:uid="{B00C6FF6-3C41-4259-8946-217ACAF26D36}"/>
    <cellStyle name="Comma 4 3 2 7 4" xfId="10494" xr:uid="{B74828D7-18FF-448D-8B53-9D97068361BD}"/>
    <cellStyle name="Comma 4 3 2 8" xfId="2398" xr:uid="{00000000-0005-0000-0000-00006A090000}"/>
    <cellStyle name="Comma 4 3 2 8 2" xfId="6683" xr:uid="{00000000-0005-0000-0000-00006B090000}"/>
    <cellStyle name="Comma 4 3 2 8 2 2" xfId="15125" xr:uid="{E541AD2E-7566-4668-917C-ACEBD7DAAC66}"/>
    <cellStyle name="Comma 4 3 2 8 3" xfId="10907" xr:uid="{0018F328-E39F-4968-8640-F34B2A5918A7}"/>
    <cellStyle name="Comma 4 3 2 9" xfId="2365" xr:uid="{00000000-0005-0000-0000-00006C090000}"/>
    <cellStyle name="Comma 4 3 3" xfId="149" xr:uid="{00000000-0005-0000-0000-00006D090000}"/>
    <cellStyle name="Comma 4 3 3 10" xfId="4621" xr:uid="{00000000-0005-0000-0000-00006E090000}"/>
    <cellStyle name="Comma 4 3 3 10 2" xfId="13063" xr:uid="{884AB7AC-C809-4BDB-9EE5-9A69037A4EEE}"/>
    <cellStyle name="Comma 4 3 3 11" xfId="8845" xr:uid="{522A566D-30BD-4909-A14D-7462DCF86D0E}"/>
    <cellStyle name="Comma 4 3 3 2" xfId="150" xr:uid="{00000000-0005-0000-0000-00006F090000}"/>
    <cellStyle name="Comma 4 3 3 2 10" xfId="8846" xr:uid="{C7466F4E-3FE9-4C79-90D4-0406D48ECFC8}"/>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78A8FE05-DD9E-49E9-949D-BA93EB262780}"/>
    <cellStyle name="Comma 4 3 3 2 2 2 3" xfId="11405" xr:uid="{C5B15C88-C33B-4D68-B5AB-5A087479B867}"/>
    <cellStyle name="Comma 4 3 3 2 2 3" xfId="5036" xr:uid="{00000000-0005-0000-0000-000073090000}"/>
    <cellStyle name="Comma 4 3 3 2 2 3 2" xfId="13478" xr:uid="{48109E66-5A4D-4092-8905-091C962DC138}"/>
    <cellStyle name="Comma 4 3 3 2 2 4" xfId="9260" xr:uid="{CBF18B56-B374-4B74-BB53-9036FCC0D262}"/>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92442E9F-B1EC-4B21-BC3C-6B3D8C603349}"/>
    <cellStyle name="Comma 4 3 3 2 3 2 3" xfId="11818" xr:uid="{8959AB59-DE30-46B2-A7BE-A7F6153349DC}"/>
    <cellStyle name="Comma 4 3 3 2 3 3" xfId="5449" xr:uid="{00000000-0005-0000-0000-000077090000}"/>
    <cellStyle name="Comma 4 3 3 2 3 3 2" xfId="13891" xr:uid="{586E2DB3-7563-40D3-A8F0-45ACCC41305D}"/>
    <cellStyle name="Comma 4 3 3 2 3 4" xfId="9673" xr:uid="{5FEDBF0C-ADC7-4349-8CDA-7A6193E20487}"/>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2318EF64-A530-4183-AD93-AC33CE29F0D4}"/>
    <cellStyle name="Comma 4 3 3 2 4 2 3" xfId="12231" xr:uid="{F636D2F5-C38D-4EF4-A8B4-768FD1D0E76B}"/>
    <cellStyle name="Comma 4 3 3 2 4 3" xfId="5862" xr:uid="{00000000-0005-0000-0000-00007B090000}"/>
    <cellStyle name="Comma 4 3 3 2 4 3 2" xfId="14304" xr:uid="{59CA8051-13E1-421B-8E05-A90B9D4E1C57}"/>
    <cellStyle name="Comma 4 3 3 2 4 4" xfId="10086" xr:uid="{45E5F8AC-F4BB-4582-A49B-31D040494F70}"/>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CCA901FE-0E63-44E9-BEB8-ECD1976C2E08}"/>
    <cellStyle name="Comma 4 3 3 2 5 2 3" xfId="12644" xr:uid="{B2414C0A-CC13-40C3-96DB-94448A1996D2}"/>
    <cellStyle name="Comma 4 3 3 2 5 3" xfId="6275" xr:uid="{00000000-0005-0000-0000-00007F090000}"/>
    <cellStyle name="Comma 4 3 3 2 5 3 2" xfId="14717" xr:uid="{0F265240-7FF0-4A00-BDA3-828E734DD0A9}"/>
    <cellStyle name="Comma 4 3 3 2 5 4" xfId="10499" xr:uid="{C73E7761-851F-4E31-AD80-2FBD0818CD1E}"/>
    <cellStyle name="Comma 4 3 3 2 6" xfId="2403" xr:uid="{00000000-0005-0000-0000-000080090000}"/>
    <cellStyle name="Comma 4 3 3 2 6 2" xfId="6688" xr:uid="{00000000-0005-0000-0000-000081090000}"/>
    <cellStyle name="Comma 4 3 3 2 6 2 2" xfId="15130" xr:uid="{C1C00DBA-E601-4004-8297-18FFF6D80479}"/>
    <cellStyle name="Comma 4 3 3 2 6 3" xfId="10912" xr:uid="{BB15F0AE-BC6F-489F-8110-3D7CAFE8F07A}"/>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0E1788CC-F664-4C06-9563-F37B54B636C9}"/>
    <cellStyle name="Comma 4 3 3 2 8 3" xfId="11229" xr:uid="{97144980-CA5E-4CB3-B375-107FC0E7A5CA}"/>
    <cellStyle name="Comma 4 3 3 2 9" xfId="4622" xr:uid="{00000000-0005-0000-0000-000085090000}"/>
    <cellStyle name="Comma 4 3 3 2 9 2" xfId="13064" xr:uid="{EA3D6494-B98A-4D75-93AA-9106A369E205}"/>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98A398CE-0A55-42D3-84AF-854E8B567FBE}"/>
    <cellStyle name="Comma 4 3 3 3 2 3" xfId="11404" xr:uid="{6E6449F4-3398-4E72-9994-16169C3A583D}"/>
    <cellStyle name="Comma 4 3 3 3 3" xfId="5035" xr:uid="{00000000-0005-0000-0000-000089090000}"/>
    <cellStyle name="Comma 4 3 3 3 3 2" xfId="13477" xr:uid="{473985B3-98E0-49E9-A49B-14382CF36031}"/>
    <cellStyle name="Comma 4 3 3 3 4" xfId="9259" xr:uid="{4227FA8A-E308-4FFC-8026-AE444F156EF3}"/>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061AFFD4-A9CB-4896-9486-13BC3FD2A6E1}"/>
    <cellStyle name="Comma 4 3 3 4 2 3" xfId="11817" xr:uid="{378B5C33-F5C8-4E17-844E-3C63120AABD7}"/>
    <cellStyle name="Comma 4 3 3 4 3" xfId="5448" xr:uid="{00000000-0005-0000-0000-00008D090000}"/>
    <cellStyle name="Comma 4 3 3 4 3 2" xfId="13890" xr:uid="{1A31FB1F-4E3D-417A-9400-ADCF37F17FBB}"/>
    <cellStyle name="Comma 4 3 3 4 4" xfId="9672" xr:uid="{C9BCCF3B-C1AD-42A7-B7DA-F0E7026F506C}"/>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F1CB7F78-B727-4860-B405-0D4D3DF09578}"/>
    <cellStyle name="Comma 4 3 3 5 2 3" xfId="12230" xr:uid="{3AE3CBB9-9878-448D-B331-75D96BDCBFC1}"/>
    <cellStyle name="Comma 4 3 3 5 3" xfId="5861" xr:uid="{00000000-0005-0000-0000-000091090000}"/>
    <cellStyle name="Comma 4 3 3 5 3 2" xfId="14303" xr:uid="{A70E5524-1FD3-4D22-BC49-FFB2C414EF9F}"/>
    <cellStyle name="Comma 4 3 3 5 4" xfId="10085" xr:uid="{6CC93723-D196-41F7-BCED-E30C61A68DCA}"/>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6515AAF0-7762-4A38-A387-50F85F33C5C0}"/>
    <cellStyle name="Comma 4 3 3 6 2 3" xfId="12643" xr:uid="{5BD69589-F424-481B-AACB-023141479EC4}"/>
    <cellStyle name="Comma 4 3 3 6 3" xfId="6274" xr:uid="{00000000-0005-0000-0000-000095090000}"/>
    <cellStyle name="Comma 4 3 3 6 3 2" xfId="14716" xr:uid="{6CA59841-D25C-4999-A8E3-423D22570CC6}"/>
    <cellStyle name="Comma 4 3 3 6 4" xfId="10498" xr:uid="{8DD71A50-0C20-48F0-8660-50E600936EF0}"/>
    <cellStyle name="Comma 4 3 3 7" xfId="2402" xr:uid="{00000000-0005-0000-0000-000096090000}"/>
    <cellStyle name="Comma 4 3 3 7 2" xfId="6687" xr:uid="{00000000-0005-0000-0000-000097090000}"/>
    <cellStyle name="Comma 4 3 3 7 2 2" xfId="15129" xr:uid="{FD11BAEB-B962-45C0-96E1-97E4EA128E62}"/>
    <cellStyle name="Comma 4 3 3 7 3" xfId="10911" xr:uid="{CDEDDCF2-B5DE-48A3-B13E-77CE126C6C3F}"/>
    <cellStyle name="Comma 4 3 3 8" xfId="2361" xr:uid="{00000000-0005-0000-0000-000098090000}"/>
    <cellStyle name="Comma 4 3 3 9" xfId="2780" xr:uid="{00000000-0005-0000-0000-000099090000}"/>
    <cellStyle name="Comma 4 3 3 9 2" xfId="7004" xr:uid="{00000000-0005-0000-0000-00009A090000}"/>
    <cellStyle name="Comma 4 3 3 9 2 2" xfId="15446" xr:uid="{57D357AB-B9BE-4B61-86EB-E342F8C4A0B5}"/>
    <cellStyle name="Comma 4 3 3 9 3" xfId="11228" xr:uid="{88839787-5651-4B4F-B901-90B331D76A4F}"/>
    <cellStyle name="Comma 4 3 4" xfId="151" xr:uid="{00000000-0005-0000-0000-00009B090000}"/>
    <cellStyle name="Comma 4 3 4 10" xfId="8847" xr:uid="{1A16CDB4-6B75-42F0-9D06-DCD97FAB1105}"/>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7DB124F8-837C-4653-B627-56FCAE186F7E}"/>
    <cellStyle name="Comma 4 3 4 2 2 3" xfId="11406" xr:uid="{0686A999-8D33-4A5F-BB6F-CB094C9A0E50}"/>
    <cellStyle name="Comma 4 3 4 2 3" xfId="5037" xr:uid="{00000000-0005-0000-0000-00009F090000}"/>
    <cellStyle name="Comma 4 3 4 2 3 2" xfId="13479" xr:uid="{22DE0439-9F71-4D28-A9D5-AEC7FA2BE3B4}"/>
    <cellStyle name="Comma 4 3 4 2 4" xfId="9261" xr:uid="{DA0954D4-C9C9-47E2-83E3-7352CC826696}"/>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1DD5277D-B604-41CC-9248-9DF32E3453F1}"/>
    <cellStyle name="Comma 4 3 4 3 2 3" xfId="11819" xr:uid="{EFE6183B-9214-42AE-B382-AC3D1189EFAB}"/>
    <cellStyle name="Comma 4 3 4 3 3" xfId="5450" xr:uid="{00000000-0005-0000-0000-0000A3090000}"/>
    <cellStyle name="Comma 4 3 4 3 3 2" xfId="13892" xr:uid="{1EDD7E06-4BB2-4BB6-A015-D4A0418E0CB3}"/>
    <cellStyle name="Comma 4 3 4 3 4" xfId="9674" xr:uid="{9CC20552-F580-4869-AFC6-45AF63D06591}"/>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A194F852-C3D5-40F5-8F1C-A3E3C8938C58}"/>
    <cellStyle name="Comma 4 3 4 4 2 3" xfId="12232" xr:uid="{3E58CA2E-24AA-4C8A-BF5D-92E77AB7BC03}"/>
    <cellStyle name="Comma 4 3 4 4 3" xfId="5863" xr:uid="{00000000-0005-0000-0000-0000A7090000}"/>
    <cellStyle name="Comma 4 3 4 4 3 2" xfId="14305" xr:uid="{1AC22115-FED4-41F6-A972-3DBFD6234D96}"/>
    <cellStyle name="Comma 4 3 4 4 4" xfId="10087" xr:uid="{799F2557-DCBE-4EA6-92BB-FA0D936FA857}"/>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8CD9E511-C2A6-4453-B13A-3682887EA03D}"/>
    <cellStyle name="Comma 4 3 4 5 2 3" xfId="12645" xr:uid="{FAC0909C-41C8-4FB4-AF08-DD2A062E3C88}"/>
    <cellStyle name="Comma 4 3 4 5 3" xfId="6276" xr:uid="{00000000-0005-0000-0000-0000AB090000}"/>
    <cellStyle name="Comma 4 3 4 5 3 2" xfId="14718" xr:uid="{4F9DAC6B-93C4-46E6-92D4-759E402ABD9C}"/>
    <cellStyle name="Comma 4 3 4 5 4" xfId="10500" xr:uid="{4D35E879-DE04-4335-AE6A-2CCD393CE31C}"/>
    <cellStyle name="Comma 4 3 4 6" xfId="2404" xr:uid="{00000000-0005-0000-0000-0000AC090000}"/>
    <cellStyle name="Comma 4 3 4 6 2" xfId="6689" xr:uid="{00000000-0005-0000-0000-0000AD090000}"/>
    <cellStyle name="Comma 4 3 4 6 2 2" xfId="15131" xr:uid="{2FFE1D1B-8E16-488E-B13F-99C9EB9EAB52}"/>
    <cellStyle name="Comma 4 3 4 6 3" xfId="10913" xr:uid="{C13A1F83-4B33-4AA2-8377-24A51A6BFC79}"/>
    <cellStyle name="Comma 4 3 4 7" xfId="2700" xr:uid="{00000000-0005-0000-0000-0000AE090000}"/>
    <cellStyle name="Comma 4 3 4 8" xfId="2782" xr:uid="{00000000-0005-0000-0000-0000AF090000}"/>
    <cellStyle name="Comma 4 3 4 8 2" xfId="7006" xr:uid="{00000000-0005-0000-0000-0000B0090000}"/>
    <cellStyle name="Comma 4 3 4 8 2 2" xfId="15448" xr:uid="{1202E71E-7D1D-4186-B66F-36C10E6231F0}"/>
    <cellStyle name="Comma 4 3 4 8 3" xfId="11230" xr:uid="{6C15E582-C6AC-4CB6-AB52-DB84392718B3}"/>
    <cellStyle name="Comma 4 3 4 9" xfId="4623" xr:uid="{00000000-0005-0000-0000-0000B1090000}"/>
    <cellStyle name="Comma 4 3 4 9 2" xfId="13065" xr:uid="{E4281C0D-9F10-4576-A1EA-0331E2941220}"/>
    <cellStyle name="Comma 4 3 5" xfId="152" xr:uid="{00000000-0005-0000-0000-0000B2090000}"/>
    <cellStyle name="Comma 4 3 5 10" xfId="8848" xr:uid="{A61F91A2-2C14-4380-BC1E-5013A93AC0AD}"/>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235C2194-0E02-439A-AEB3-7A457FD1D29B}"/>
    <cellStyle name="Comma 4 3 5 2 2 3" xfId="11407" xr:uid="{7BF3D72B-7BAD-4F5C-B51F-0EC153E0F57A}"/>
    <cellStyle name="Comma 4 3 5 2 3" xfId="5038" xr:uid="{00000000-0005-0000-0000-0000B6090000}"/>
    <cellStyle name="Comma 4 3 5 2 3 2" xfId="13480" xr:uid="{B92511AF-22E3-49C8-A75B-2BF9FF4D5743}"/>
    <cellStyle name="Comma 4 3 5 2 4" xfId="9262" xr:uid="{A21A8FCE-A864-4DAB-8298-65B02728A6D5}"/>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0A8FF584-E285-4E17-8FA3-0FE6C412047A}"/>
    <cellStyle name="Comma 4 3 5 3 2 3" xfId="11820" xr:uid="{65121AFE-6587-4BB5-BE09-B676088FA3E7}"/>
    <cellStyle name="Comma 4 3 5 3 3" xfId="5451" xr:uid="{00000000-0005-0000-0000-0000BA090000}"/>
    <cellStyle name="Comma 4 3 5 3 3 2" xfId="13893" xr:uid="{116B8204-4F3B-4C7D-9A52-57E4E394A5E0}"/>
    <cellStyle name="Comma 4 3 5 3 4" xfId="9675" xr:uid="{C344CF6E-8F23-42B8-B52A-0855FBD0CF79}"/>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BA075150-6217-4E92-A18F-F87974FFD640}"/>
    <cellStyle name="Comma 4 3 5 4 2 3" xfId="12233" xr:uid="{AFCB04A2-5B8D-4AFF-8B7B-7872ADCDBD69}"/>
    <cellStyle name="Comma 4 3 5 4 3" xfId="5864" xr:uid="{00000000-0005-0000-0000-0000BE090000}"/>
    <cellStyle name="Comma 4 3 5 4 3 2" xfId="14306" xr:uid="{F576E818-DDF3-4977-85BE-C10B4C761329}"/>
    <cellStyle name="Comma 4 3 5 4 4" xfId="10088" xr:uid="{E130DA1A-2D24-48F9-A092-E7562640F637}"/>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00ED3E36-3456-47B3-8013-355B7B2BBD7F}"/>
    <cellStyle name="Comma 4 3 5 5 2 3" xfId="12646" xr:uid="{5005DB10-62C5-4A3D-8E88-0159FB3E589B}"/>
    <cellStyle name="Comma 4 3 5 5 3" xfId="6277" xr:uid="{00000000-0005-0000-0000-0000C2090000}"/>
    <cellStyle name="Comma 4 3 5 5 3 2" xfId="14719" xr:uid="{5790CFB0-6E41-4755-A74F-6F4875E700EF}"/>
    <cellStyle name="Comma 4 3 5 5 4" xfId="10501" xr:uid="{84F716E0-9994-4639-9B32-DCFDF8710969}"/>
    <cellStyle name="Comma 4 3 5 6" xfId="2405" xr:uid="{00000000-0005-0000-0000-0000C3090000}"/>
    <cellStyle name="Comma 4 3 5 6 2" xfId="6690" xr:uid="{00000000-0005-0000-0000-0000C4090000}"/>
    <cellStyle name="Comma 4 3 5 6 2 2" xfId="15132" xr:uid="{752243C6-38AE-4167-B585-1702B7BD5984}"/>
    <cellStyle name="Comma 4 3 5 6 3" xfId="10914" xr:uid="{8E6D36AC-0118-40E1-8D2B-1C26387D005E}"/>
    <cellStyle name="Comma 4 3 5 7" xfId="2701" xr:uid="{00000000-0005-0000-0000-0000C5090000}"/>
    <cellStyle name="Comma 4 3 5 8" xfId="2783" xr:uid="{00000000-0005-0000-0000-0000C6090000}"/>
    <cellStyle name="Comma 4 3 5 8 2" xfId="7007" xr:uid="{00000000-0005-0000-0000-0000C7090000}"/>
    <cellStyle name="Comma 4 3 5 8 2 2" xfId="15449" xr:uid="{E2621ABC-3644-4C80-84CD-753F27CA6DA8}"/>
    <cellStyle name="Comma 4 3 5 8 3" xfId="11231" xr:uid="{A447D094-D60F-4CAA-AA1E-830ED6DA18BD}"/>
    <cellStyle name="Comma 4 3 5 9" xfId="4624" xr:uid="{00000000-0005-0000-0000-0000C8090000}"/>
    <cellStyle name="Comma 4 3 5 9 2" xfId="13066" xr:uid="{A396A35C-76FE-4328-AC4F-671B31865A93}"/>
    <cellStyle name="Comma 4 4" xfId="153" xr:uid="{00000000-0005-0000-0000-0000C9090000}"/>
    <cellStyle name="Comma 4 4 10" xfId="2784" xr:uid="{00000000-0005-0000-0000-0000CA090000}"/>
    <cellStyle name="Comma 4 4 10 2" xfId="7008" xr:uid="{00000000-0005-0000-0000-0000CB090000}"/>
    <cellStyle name="Comma 4 4 10 2 2" xfId="15450" xr:uid="{4015F120-B8B4-4D38-8DDA-2E5A04BF716D}"/>
    <cellStyle name="Comma 4 4 10 3" xfId="11232" xr:uid="{26018CAC-DAA9-4242-9F0D-39E17DD83B65}"/>
    <cellStyle name="Comma 4 4 11" xfId="4625" xr:uid="{00000000-0005-0000-0000-0000CC090000}"/>
    <cellStyle name="Comma 4 4 11 2" xfId="13067" xr:uid="{D350F48E-79D1-4F66-AFB0-E487920DA71B}"/>
    <cellStyle name="Comma 4 4 12" xfId="8849" xr:uid="{82581154-FF55-48DD-B1F3-9364672C2405}"/>
    <cellStyle name="Comma 4 4 2" xfId="154" xr:uid="{00000000-0005-0000-0000-0000CD090000}"/>
    <cellStyle name="Comma 4 4 2 10" xfId="4626" xr:uid="{00000000-0005-0000-0000-0000CE090000}"/>
    <cellStyle name="Comma 4 4 2 10 2" xfId="13068" xr:uid="{58220C50-EB13-445A-B1DA-3072749AB6A2}"/>
    <cellStyle name="Comma 4 4 2 11" xfId="8850" xr:uid="{270859BA-B960-4EFE-A602-0ECDF66A544D}"/>
    <cellStyle name="Comma 4 4 2 2" xfId="155" xr:uid="{00000000-0005-0000-0000-0000CF090000}"/>
    <cellStyle name="Comma 4 4 2 2 10" xfId="8851" xr:uid="{5B6D7CCF-8C39-465C-97A4-AB640321AA13}"/>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5213E71A-B6B3-417C-9E64-2692205CACA4}"/>
    <cellStyle name="Comma 4 4 2 2 2 2 3" xfId="11410" xr:uid="{A4A8544A-3450-4424-8CA7-6E57EBF3FF16}"/>
    <cellStyle name="Comma 4 4 2 2 2 3" xfId="5041" xr:uid="{00000000-0005-0000-0000-0000D3090000}"/>
    <cellStyle name="Comma 4 4 2 2 2 3 2" xfId="13483" xr:uid="{D95FA429-1BAE-434D-9D7E-5343C23847E9}"/>
    <cellStyle name="Comma 4 4 2 2 2 4" xfId="9265" xr:uid="{40C5DB68-9A66-4B32-BD95-A9EC5A8F5CAB}"/>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D528F312-8F8A-42DB-A1F0-F8DE55000D08}"/>
    <cellStyle name="Comma 4 4 2 2 3 2 3" xfId="11823" xr:uid="{413C2FBD-BB8C-4AB4-A156-FDD7C8B93924}"/>
    <cellStyle name="Comma 4 4 2 2 3 3" xfId="5454" xr:uid="{00000000-0005-0000-0000-0000D7090000}"/>
    <cellStyle name="Comma 4 4 2 2 3 3 2" xfId="13896" xr:uid="{2FA26DF0-995D-47C4-825E-0CB807AF2E22}"/>
    <cellStyle name="Comma 4 4 2 2 3 4" xfId="9678" xr:uid="{38C37AF2-5593-4A4F-BBD2-C824AA3DDF01}"/>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56957BF5-C854-4763-81FD-B25A0123F717}"/>
    <cellStyle name="Comma 4 4 2 2 4 2 3" xfId="12236" xr:uid="{1C06917C-9297-4BF5-90E4-DDC9C826ADC0}"/>
    <cellStyle name="Comma 4 4 2 2 4 3" xfId="5867" xr:uid="{00000000-0005-0000-0000-0000DB090000}"/>
    <cellStyle name="Comma 4 4 2 2 4 3 2" xfId="14309" xr:uid="{37E8F7B4-E57B-4650-B69C-39BBEE929432}"/>
    <cellStyle name="Comma 4 4 2 2 4 4" xfId="10091" xr:uid="{7F36CCF4-ABF2-41D5-B6DA-E42F719F4B6D}"/>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3DBCEB87-8A60-4DE9-A494-E3B01927B2E0}"/>
    <cellStyle name="Comma 4 4 2 2 5 2 3" xfId="12649" xr:uid="{BB6F6A5C-6F43-40F6-9D1D-AC59DC7688FC}"/>
    <cellStyle name="Comma 4 4 2 2 5 3" xfId="6280" xr:uid="{00000000-0005-0000-0000-0000DF090000}"/>
    <cellStyle name="Comma 4 4 2 2 5 3 2" xfId="14722" xr:uid="{4C6A05B2-D51C-4C23-BEAC-C9258DF47DFB}"/>
    <cellStyle name="Comma 4 4 2 2 5 4" xfId="10504" xr:uid="{EA3130A1-E7D1-4DEC-A09F-329A8FDDF3A7}"/>
    <cellStyle name="Comma 4 4 2 2 6" xfId="2408" xr:uid="{00000000-0005-0000-0000-0000E0090000}"/>
    <cellStyle name="Comma 4 4 2 2 6 2" xfId="6693" xr:uid="{00000000-0005-0000-0000-0000E1090000}"/>
    <cellStyle name="Comma 4 4 2 2 6 2 2" xfId="15135" xr:uid="{8BA6F820-9E95-4B34-93F2-5F74DF0C793E}"/>
    <cellStyle name="Comma 4 4 2 2 6 3" xfId="10917" xr:uid="{17C4B5AE-42BB-4BFE-A04E-D8FB59AAC8BD}"/>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75E84CC3-389B-4CEA-8AC3-ECDEE1A921A6}"/>
    <cellStyle name="Comma 4 4 2 2 8 3" xfId="11234" xr:uid="{A44CC4A8-939D-4046-ACA1-5F1FD0CBF01D}"/>
    <cellStyle name="Comma 4 4 2 2 9" xfId="4627" xr:uid="{00000000-0005-0000-0000-0000E5090000}"/>
    <cellStyle name="Comma 4 4 2 2 9 2" xfId="13069" xr:uid="{4BB96FA3-E2D3-4F6B-8A79-CA9DB6A82DB0}"/>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642A8CAE-CA3E-4332-9F4B-0ADC902C0CF6}"/>
    <cellStyle name="Comma 4 4 2 3 2 3" xfId="11409" xr:uid="{7017C700-B070-4B04-BF50-CE80AAEA09F9}"/>
    <cellStyle name="Comma 4 4 2 3 3" xfId="5040" xr:uid="{00000000-0005-0000-0000-0000E9090000}"/>
    <cellStyle name="Comma 4 4 2 3 3 2" xfId="13482" xr:uid="{32F3422B-AD93-4372-8E99-1F0CB3FCF375}"/>
    <cellStyle name="Comma 4 4 2 3 4" xfId="9264" xr:uid="{8080D09B-AF00-42D2-8225-BD8416C484AE}"/>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180FF8F2-3900-4C47-A3E2-1E47C25D5BC0}"/>
    <cellStyle name="Comma 4 4 2 4 2 3" xfId="11822" xr:uid="{32F88C30-9F17-46DA-AF61-85B33F9BB09F}"/>
    <cellStyle name="Comma 4 4 2 4 3" xfId="5453" xr:uid="{00000000-0005-0000-0000-0000ED090000}"/>
    <cellStyle name="Comma 4 4 2 4 3 2" xfId="13895" xr:uid="{135DB1A4-E3DE-4797-B561-94CB35D0B975}"/>
    <cellStyle name="Comma 4 4 2 4 4" xfId="9677" xr:uid="{17C40B5D-EDD5-43E9-B997-CA514249271E}"/>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B3AE6607-95DE-48FA-A8E5-E5B4766FDAFD}"/>
    <cellStyle name="Comma 4 4 2 5 2 3" xfId="12235" xr:uid="{5F0FFE85-56FC-42E4-8565-18865BC1BD78}"/>
    <cellStyle name="Comma 4 4 2 5 3" xfId="5866" xr:uid="{00000000-0005-0000-0000-0000F1090000}"/>
    <cellStyle name="Comma 4 4 2 5 3 2" xfId="14308" xr:uid="{EEE73382-BFCC-4155-A748-D52BC70E4741}"/>
    <cellStyle name="Comma 4 4 2 5 4" xfId="10090" xr:uid="{364831B3-2065-4073-B742-28E8134A23B7}"/>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89059A28-0F16-4042-AB68-8589F5C0A0FB}"/>
    <cellStyle name="Comma 4 4 2 6 2 3" xfId="12648" xr:uid="{577F150E-D1BC-4753-9950-99A7D540CD87}"/>
    <cellStyle name="Comma 4 4 2 6 3" xfId="6279" xr:uid="{00000000-0005-0000-0000-0000F5090000}"/>
    <cellStyle name="Comma 4 4 2 6 3 2" xfId="14721" xr:uid="{53160355-0C30-436A-AF5C-ADF41BFF0557}"/>
    <cellStyle name="Comma 4 4 2 6 4" xfId="10503" xr:uid="{6419E636-2588-4070-B695-421645482406}"/>
    <cellStyle name="Comma 4 4 2 7" xfId="2407" xr:uid="{00000000-0005-0000-0000-0000F6090000}"/>
    <cellStyle name="Comma 4 4 2 7 2" xfId="6692" xr:uid="{00000000-0005-0000-0000-0000F7090000}"/>
    <cellStyle name="Comma 4 4 2 7 2 2" xfId="15134" xr:uid="{025FDD4B-457C-44FB-9F65-2C6DED229A65}"/>
    <cellStyle name="Comma 4 4 2 7 3" xfId="10916" xr:uid="{5E54302B-8720-4671-B57F-600968B69B8C}"/>
    <cellStyle name="Comma 4 4 2 8" xfId="2703" xr:uid="{00000000-0005-0000-0000-0000F8090000}"/>
    <cellStyle name="Comma 4 4 2 9" xfId="2785" xr:uid="{00000000-0005-0000-0000-0000F9090000}"/>
    <cellStyle name="Comma 4 4 2 9 2" xfId="7009" xr:uid="{00000000-0005-0000-0000-0000FA090000}"/>
    <cellStyle name="Comma 4 4 2 9 2 2" xfId="15451" xr:uid="{901772A0-D287-410A-A25E-C66DABCB4585}"/>
    <cellStyle name="Comma 4 4 2 9 3" xfId="11233" xr:uid="{E6759AE6-C084-4582-8139-7699DC37D695}"/>
    <cellStyle name="Comma 4 4 3" xfId="156" xr:uid="{00000000-0005-0000-0000-0000FB090000}"/>
    <cellStyle name="Comma 4 4 3 10" xfId="8852" xr:uid="{417B12BC-37A7-461F-98DA-DA7CF6B34D41}"/>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ECF3AA20-40E9-423F-86CF-D944083ECB74}"/>
    <cellStyle name="Comma 4 4 3 2 2 3" xfId="11411" xr:uid="{D43474D2-189F-43E5-9CC4-1272C1EFA7FB}"/>
    <cellStyle name="Comma 4 4 3 2 3" xfId="5042" xr:uid="{00000000-0005-0000-0000-0000FF090000}"/>
    <cellStyle name="Comma 4 4 3 2 3 2" xfId="13484" xr:uid="{BAEABB41-11E2-4F5B-A555-DEA44571BD7F}"/>
    <cellStyle name="Comma 4 4 3 2 4" xfId="9266" xr:uid="{E4AEE211-D7F4-45BC-8DF0-469E6A804A65}"/>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F482FD95-42A5-4B95-B170-02FBFFAE25DC}"/>
    <cellStyle name="Comma 4 4 3 3 2 3" xfId="11824" xr:uid="{DFB9BB50-D068-455F-8FFA-32D3751A05F7}"/>
    <cellStyle name="Comma 4 4 3 3 3" xfId="5455" xr:uid="{00000000-0005-0000-0000-0000030A0000}"/>
    <cellStyle name="Comma 4 4 3 3 3 2" xfId="13897" xr:uid="{5A00D1AB-2538-490E-8EB0-D64A3E8124ED}"/>
    <cellStyle name="Comma 4 4 3 3 4" xfId="9679" xr:uid="{D8B3BD3A-47D8-4F74-BBBC-35AB33115201}"/>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0554E7B4-3BFE-4A7D-8C46-474ECCC5A617}"/>
    <cellStyle name="Comma 4 4 3 4 2 3" xfId="12237" xr:uid="{FCB1A9DD-B978-4487-9901-FF876D836858}"/>
    <cellStyle name="Comma 4 4 3 4 3" xfId="5868" xr:uid="{00000000-0005-0000-0000-0000070A0000}"/>
    <cellStyle name="Comma 4 4 3 4 3 2" xfId="14310" xr:uid="{0F293554-F2FD-45F6-BA0E-EC182507249D}"/>
    <cellStyle name="Comma 4 4 3 4 4" xfId="10092" xr:uid="{3D1C5034-6009-4D32-AA12-E5D8C594DA31}"/>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DEF33B21-3A79-439E-B5C3-FA8F8DE8D26F}"/>
    <cellStyle name="Comma 4 4 3 5 2 3" xfId="12650" xr:uid="{37A41C3D-F0BD-4E05-ADD3-F90FDAF6D0A3}"/>
    <cellStyle name="Comma 4 4 3 5 3" xfId="6281" xr:uid="{00000000-0005-0000-0000-00000B0A0000}"/>
    <cellStyle name="Comma 4 4 3 5 3 2" xfId="14723" xr:uid="{6DAD60F2-CE15-428D-9ACF-F8719ED347CD}"/>
    <cellStyle name="Comma 4 4 3 5 4" xfId="10505" xr:uid="{2E21CA87-0647-4D05-8C37-674DA1195795}"/>
    <cellStyle name="Comma 4 4 3 6" xfId="2409" xr:uid="{00000000-0005-0000-0000-00000C0A0000}"/>
    <cellStyle name="Comma 4 4 3 6 2" xfId="6694" xr:uid="{00000000-0005-0000-0000-00000D0A0000}"/>
    <cellStyle name="Comma 4 4 3 6 2 2" xfId="15136" xr:uid="{DDA2D5BB-BEAE-4F5F-B2EB-431958557A21}"/>
    <cellStyle name="Comma 4 4 3 6 3" xfId="10918" xr:uid="{62150B0D-EF1E-42BE-AFCA-31D6DC9605AE}"/>
    <cellStyle name="Comma 4 4 3 7" xfId="2705" xr:uid="{00000000-0005-0000-0000-00000E0A0000}"/>
    <cellStyle name="Comma 4 4 3 8" xfId="2787" xr:uid="{00000000-0005-0000-0000-00000F0A0000}"/>
    <cellStyle name="Comma 4 4 3 8 2" xfId="7011" xr:uid="{00000000-0005-0000-0000-0000100A0000}"/>
    <cellStyle name="Comma 4 4 3 8 2 2" xfId="15453" xr:uid="{853B4597-AAE5-47E9-8A71-5CFC1B48B8EA}"/>
    <cellStyle name="Comma 4 4 3 8 3" xfId="11235" xr:uid="{AF92DFD0-7710-404B-9F6B-84FD67F5C1F8}"/>
    <cellStyle name="Comma 4 4 3 9" xfId="4628" xr:uid="{00000000-0005-0000-0000-0000110A0000}"/>
    <cellStyle name="Comma 4 4 3 9 2" xfId="13070" xr:uid="{ECC6C68C-8FCF-4679-8A92-63D84CC07882}"/>
    <cellStyle name="Comma 4 4 4" xfId="690" xr:uid="{00000000-0005-0000-0000-0000120A0000}"/>
    <cellStyle name="Comma 4 4 4 2" xfId="2961" xr:uid="{00000000-0005-0000-0000-0000130A0000}"/>
    <cellStyle name="Comma 4 4 4 2 2" xfId="7184" xr:uid="{00000000-0005-0000-0000-0000140A0000}"/>
    <cellStyle name="Comma 4 4 4 2 2 2" xfId="15626" xr:uid="{E1B7A26F-A945-429B-A676-DC94F6057C83}"/>
    <cellStyle name="Comma 4 4 4 2 3" xfId="11408" xr:uid="{2C1899D8-55F8-423C-AFFD-DBAA2BA9E8F0}"/>
    <cellStyle name="Comma 4 4 4 3" xfId="5039" xr:uid="{00000000-0005-0000-0000-0000150A0000}"/>
    <cellStyle name="Comma 4 4 4 3 2" xfId="13481" xr:uid="{E2AC9C1D-31CD-4878-A7A1-EF33F1E1FB66}"/>
    <cellStyle name="Comma 4 4 4 4" xfId="9263" xr:uid="{EA71EACB-5F8A-4670-977C-115614EAA43A}"/>
    <cellStyle name="Comma 4 4 5" xfId="1143" xr:uid="{00000000-0005-0000-0000-0000160A0000}"/>
    <cellStyle name="Comma 4 4 5 2" xfId="3374" xr:uid="{00000000-0005-0000-0000-0000170A0000}"/>
    <cellStyle name="Comma 4 4 5 2 2" xfId="7597" xr:uid="{00000000-0005-0000-0000-0000180A0000}"/>
    <cellStyle name="Comma 4 4 5 2 2 2" xfId="16039" xr:uid="{1D94446D-B862-4A67-A3A2-3E13C5E5A837}"/>
    <cellStyle name="Comma 4 4 5 2 3" xfId="11821" xr:uid="{4D2A8261-D521-48D4-A4B1-64FAA74FECD1}"/>
    <cellStyle name="Comma 4 4 5 3" xfId="5452" xr:uid="{00000000-0005-0000-0000-0000190A0000}"/>
    <cellStyle name="Comma 4 4 5 3 2" xfId="13894" xr:uid="{544D53CB-95BD-4618-B4AA-70947281A00C}"/>
    <cellStyle name="Comma 4 4 5 4" xfId="9676" xr:uid="{F96537DB-CA9C-483A-B77D-E6071E1FD3CB}"/>
    <cellStyle name="Comma 4 4 6" xfId="1557" xr:uid="{00000000-0005-0000-0000-00001A0A0000}"/>
    <cellStyle name="Comma 4 4 6 2" xfId="3787" xr:uid="{00000000-0005-0000-0000-00001B0A0000}"/>
    <cellStyle name="Comma 4 4 6 2 2" xfId="8010" xr:uid="{00000000-0005-0000-0000-00001C0A0000}"/>
    <cellStyle name="Comma 4 4 6 2 2 2" xfId="16452" xr:uid="{773DE6BF-A255-4253-B4A1-8E2419A68B61}"/>
    <cellStyle name="Comma 4 4 6 2 3" xfId="12234" xr:uid="{1449E18D-B7D6-42AB-837C-5BD60CC1A071}"/>
    <cellStyle name="Comma 4 4 6 3" xfId="5865" xr:uid="{00000000-0005-0000-0000-00001D0A0000}"/>
    <cellStyle name="Comma 4 4 6 3 2" xfId="14307" xr:uid="{EE363E96-D78A-4E0D-8C63-405F58D36455}"/>
    <cellStyle name="Comma 4 4 6 4" xfId="10089" xr:uid="{0EC6E646-3927-4B4E-857F-BC2A12B3E3BB}"/>
    <cellStyle name="Comma 4 4 7" xfId="1971" xr:uid="{00000000-0005-0000-0000-00001E0A0000}"/>
    <cellStyle name="Comma 4 4 7 2" xfId="4200" xr:uid="{00000000-0005-0000-0000-00001F0A0000}"/>
    <cellStyle name="Comma 4 4 7 2 2" xfId="8423" xr:uid="{00000000-0005-0000-0000-0000200A0000}"/>
    <cellStyle name="Comma 4 4 7 2 2 2" xfId="16865" xr:uid="{5D7E4176-E1A3-4E87-8770-BF249DF0A209}"/>
    <cellStyle name="Comma 4 4 7 2 3" xfId="12647" xr:uid="{6925E295-54F3-4C57-A02D-C68D0D83F2E5}"/>
    <cellStyle name="Comma 4 4 7 3" xfId="6278" xr:uid="{00000000-0005-0000-0000-0000210A0000}"/>
    <cellStyle name="Comma 4 4 7 3 2" xfId="14720" xr:uid="{D63A65CE-0C14-4C75-BDDB-F5788445454E}"/>
    <cellStyle name="Comma 4 4 7 4" xfId="10502" xr:uid="{F9DD1947-D1A4-46AE-B876-B40A03614DC4}"/>
    <cellStyle name="Comma 4 4 8" xfId="2406" xr:uid="{00000000-0005-0000-0000-0000220A0000}"/>
    <cellStyle name="Comma 4 4 8 2" xfId="6691" xr:uid="{00000000-0005-0000-0000-0000230A0000}"/>
    <cellStyle name="Comma 4 4 8 2 2" xfId="15133" xr:uid="{77AA47C3-3856-409C-AAD8-EEC1BEEB75AB}"/>
    <cellStyle name="Comma 4 4 8 3" xfId="10915" xr:uid="{181B47B8-43F0-42A1-873B-2826ACE94C72}"/>
    <cellStyle name="Comma 4 4 9" xfId="2702" xr:uid="{00000000-0005-0000-0000-0000240A0000}"/>
    <cellStyle name="Comma 4 5" xfId="157" xr:uid="{00000000-0005-0000-0000-0000250A0000}"/>
    <cellStyle name="Comma 4 5 10" xfId="4629" xr:uid="{00000000-0005-0000-0000-0000260A0000}"/>
    <cellStyle name="Comma 4 5 10 2" xfId="13071" xr:uid="{A034BA85-72B5-47BF-94E7-534E16CB8A0A}"/>
    <cellStyle name="Comma 4 5 11" xfId="8853" xr:uid="{391D1F0E-59CB-4964-90E2-DBD386E6E478}"/>
    <cellStyle name="Comma 4 5 2" xfId="158" xr:uid="{00000000-0005-0000-0000-0000270A0000}"/>
    <cellStyle name="Comma 4 5 2 10" xfId="8854" xr:uid="{1A580EA2-E8AE-4864-B831-8358B3EF129C}"/>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440C1379-1247-4CB3-A0C1-F0C70FE5D5CB}"/>
    <cellStyle name="Comma 4 5 2 2 2 3" xfId="11413" xr:uid="{20335119-AAF5-4641-8936-439883A11A71}"/>
    <cellStyle name="Comma 4 5 2 2 3" xfId="5044" xr:uid="{00000000-0005-0000-0000-00002B0A0000}"/>
    <cellStyle name="Comma 4 5 2 2 3 2" xfId="13486" xr:uid="{1A472419-E123-4E47-A502-BB7F7D304257}"/>
    <cellStyle name="Comma 4 5 2 2 4" xfId="9268" xr:uid="{D65CB105-005B-4D2F-913F-05923CE84F6E}"/>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0B5C29D2-5DA0-4A4D-B3C9-2509C94164C3}"/>
    <cellStyle name="Comma 4 5 2 3 2 3" xfId="11826" xr:uid="{D3FDBF32-B739-4970-8819-AB2275C01847}"/>
    <cellStyle name="Comma 4 5 2 3 3" xfId="5457" xr:uid="{00000000-0005-0000-0000-00002F0A0000}"/>
    <cellStyle name="Comma 4 5 2 3 3 2" xfId="13899" xr:uid="{ADEC8CDA-2DCB-4C5F-9324-3FB185A61ED7}"/>
    <cellStyle name="Comma 4 5 2 3 4" xfId="9681" xr:uid="{8A0B1DBA-6D9F-4D9B-8C60-913F648A2821}"/>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1710B2E4-46FB-4B20-900B-004012EC3204}"/>
    <cellStyle name="Comma 4 5 2 4 2 3" xfId="12239" xr:uid="{F1ABA733-15B8-441C-8833-36CDC98F6264}"/>
    <cellStyle name="Comma 4 5 2 4 3" xfId="5870" xr:uid="{00000000-0005-0000-0000-0000330A0000}"/>
    <cellStyle name="Comma 4 5 2 4 3 2" xfId="14312" xr:uid="{12E0C667-8036-4C8C-A68B-F39ACC9D0C09}"/>
    <cellStyle name="Comma 4 5 2 4 4" xfId="10094" xr:uid="{E4C711B6-D21B-48F9-8D33-B20119F78A98}"/>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35DF366C-BDDC-4C3D-8B74-FFC4C7CF36D8}"/>
    <cellStyle name="Comma 4 5 2 5 2 3" xfId="12652" xr:uid="{58D24D00-B817-4B8B-847B-97A4FD2D36A1}"/>
    <cellStyle name="Comma 4 5 2 5 3" xfId="6283" xr:uid="{00000000-0005-0000-0000-0000370A0000}"/>
    <cellStyle name="Comma 4 5 2 5 3 2" xfId="14725" xr:uid="{359F7631-F42D-4AA9-BD95-A70736DFE0B8}"/>
    <cellStyle name="Comma 4 5 2 5 4" xfId="10507" xr:uid="{BCFB2317-0D2D-4974-880E-B727AEAAE275}"/>
    <cellStyle name="Comma 4 5 2 6" xfId="2411" xr:uid="{00000000-0005-0000-0000-0000380A0000}"/>
    <cellStyle name="Comma 4 5 2 6 2" xfId="6696" xr:uid="{00000000-0005-0000-0000-0000390A0000}"/>
    <cellStyle name="Comma 4 5 2 6 2 2" xfId="15138" xr:uid="{DEDA32A4-0054-42B4-8428-6B0F2994279B}"/>
    <cellStyle name="Comma 4 5 2 6 3" xfId="10920" xr:uid="{CBADC375-8BD1-4A7B-9656-4D96BE7BF3D6}"/>
    <cellStyle name="Comma 4 5 2 7" xfId="2707" xr:uid="{00000000-0005-0000-0000-00003A0A0000}"/>
    <cellStyle name="Comma 4 5 2 8" xfId="2789" xr:uid="{00000000-0005-0000-0000-00003B0A0000}"/>
    <cellStyle name="Comma 4 5 2 8 2" xfId="7013" xr:uid="{00000000-0005-0000-0000-00003C0A0000}"/>
    <cellStyle name="Comma 4 5 2 8 2 2" xfId="15455" xr:uid="{5D5BE8D4-A6B8-42EB-898C-1C5127B43888}"/>
    <cellStyle name="Comma 4 5 2 8 3" xfId="11237" xr:uid="{E130F49D-FC89-4D9A-B3E7-3263C120A7CB}"/>
    <cellStyle name="Comma 4 5 2 9" xfId="4630" xr:uid="{00000000-0005-0000-0000-00003D0A0000}"/>
    <cellStyle name="Comma 4 5 2 9 2" xfId="13072" xr:uid="{AD77678D-BCBD-4B81-B681-67C9066E6238}"/>
    <cellStyle name="Comma 4 5 3" xfId="694" xr:uid="{00000000-0005-0000-0000-00003E0A0000}"/>
    <cellStyle name="Comma 4 5 3 2" xfId="2965" xr:uid="{00000000-0005-0000-0000-00003F0A0000}"/>
    <cellStyle name="Comma 4 5 3 2 2" xfId="7188" xr:uid="{00000000-0005-0000-0000-0000400A0000}"/>
    <cellStyle name="Comma 4 5 3 2 2 2" xfId="15630" xr:uid="{C75C152F-E369-46C7-B60A-604EFA2E8F4C}"/>
    <cellStyle name="Comma 4 5 3 2 3" xfId="11412" xr:uid="{82CA9749-D4D2-478C-98D4-C1A1A68FAAAE}"/>
    <cellStyle name="Comma 4 5 3 3" xfId="5043" xr:uid="{00000000-0005-0000-0000-0000410A0000}"/>
    <cellStyle name="Comma 4 5 3 3 2" xfId="13485" xr:uid="{F58A7BF1-7283-4445-83FD-1A93E20168ED}"/>
    <cellStyle name="Comma 4 5 3 4" xfId="9267" xr:uid="{2E0FD233-0E7C-47C0-891D-94FC94426332}"/>
    <cellStyle name="Comma 4 5 4" xfId="1147" xr:uid="{00000000-0005-0000-0000-0000420A0000}"/>
    <cellStyle name="Comma 4 5 4 2" xfId="3378" xr:uid="{00000000-0005-0000-0000-0000430A0000}"/>
    <cellStyle name="Comma 4 5 4 2 2" xfId="7601" xr:uid="{00000000-0005-0000-0000-0000440A0000}"/>
    <cellStyle name="Comma 4 5 4 2 2 2" xfId="16043" xr:uid="{014664BA-2516-4760-B7E3-AAD02948A537}"/>
    <cellStyle name="Comma 4 5 4 2 3" xfId="11825" xr:uid="{B033D777-F0CD-4976-8741-2269010E9F8A}"/>
    <cellStyle name="Comma 4 5 4 3" xfId="5456" xr:uid="{00000000-0005-0000-0000-0000450A0000}"/>
    <cellStyle name="Comma 4 5 4 3 2" xfId="13898" xr:uid="{3758A340-54C2-43F9-AF6A-A236F671B3B2}"/>
    <cellStyle name="Comma 4 5 4 4" xfId="9680" xr:uid="{41F26462-EEB2-440A-A2F0-291A52F077BC}"/>
    <cellStyle name="Comma 4 5 5" xfId="1561" xr:uid="{00000000-0005-0000-0000-0000460A0000}"/>
    <cellStyle name="Comma 4 5 5 2" xfId="3791" xr:uid="{00000000-0005-0000-0000-0000470A0000}"/>
    <cellStyle name="Comma 4 5 5 2 2" xfId="8014" xr:uid="{00000000-0005-0000-0000-0000480A0000}"/>
    <cellStyle name="Comma 4 5 5 2 2 2" xfId="16456" xr:uid="{976C6AD0-6705-4583-A971-E2D39B6A10BA}"/>
    <cellStyle name="Comma 4 5 5 2 3" xfId="12238" xr:uid="{DA828D3E-D64A-46DB-8E0D-8AE8F7003CF9}"/>
    <cellStyle name="Comma 4 5 5 3" xfId="5869" xr:uid="{00000000-0005-0000-0000-0000490A0000}"/>
    <cellStyle name="Comma 4 5 5 3 2" xfId="14311" xr:uid="{0FAC9D3F-4DF1-4136-8124-9036B6B16DE6}"/>
    <cellStyle name="Comma 4 5 5 4" xfId="10093" xr:uid="{C282242F-3630-43E9-A59C-DB872CD7BA88}"/>
    <cellStyle name="Comma 4 5 6" xfId="1975" xr:uid="{00000000-0005-0000-0000-00004A0A0000}"/>
    <cellStyle name="Comma 4 5 6 2" xfId="4204" xr:uid="{00000000-0005-0000-0000-00004B0A0000}"/>
    <cellStyle name="Comma 4 5 6 2 2" xfId="8427" xr:uid="{00000000-0005-0000-0000-00004C0A0000}"/>
    <cellStyle name="Comma 4 5 6 2 2 2" xfId="16869" xr:uid="{2CF81CB8-EF57-4C76-A03F-F23A07025954}"/>
    <cellStyle name="Comma 4 5 6 2 3" xfId="12651" xr:uid="{04CBB17F-8E59-40DB-8217-A4EDE405B305}"/>
    <cellStyle name="Comma 4 5 6 3" xfId="6282" xr:uid="{00000000-0005-0000-0000-00004D0A0000}"/>
    <cellStyle name="Comma 4 5 6 3 2" xfId="14724" xr:uid="{617D0D3B-FAE7-4F4B-9760-863D6125252D}"/>
    <cellStyle name="Comma 4 5 6 4" xfId="10506" xr:uid="{9437815C-5D4F-4400-A90F-488683497FEC}"/>
    <cellStyle name="Comma 4 5 7" xfId="2410" xr:uid="{00000000-0005-0000-0000-00004E0A0000}"/>
    <cellStyle name="Comma 4 5 7 2" xfId="6695" xr:uid="{00000000-0005-0000-0000-00004F0A0000}"/>
    <cellStyle name="Comma 4 5 7 2 2" xfId="15137" xr:uid="{8FB5932C-31FE-4D76-9661-A94C619A0313}"/>
    <cellStyle name="Comma 4 5 7 3" xfId="10919" xr:uid="{18B5FB59-A7F3-46E1-B01B-9BE384FB2BAF}"/>
    <cellStyle name="Comma 4 5 8" xfId="2706" xr:uid="{00000000-0005-0000-0000-0000500A0000}"/>
    <cellStyle name="Comma 4 5 9" xfId="2788" xr:uid="{00000000-0005-0000-0000-0000510A0000}"/>
    <cellStyle name="Comma 4 5 9 2" xfId="7012" xr:uid="{00000000-0005-0000-0000-0000520A0000}"/>
    <cellStyle name="Comma 4 5 9 2 2" xfId="15454" xr:uid="{973A79DB-FD6A-4162-A986-0FF1B99DB98F}"/>
    <cellStyle name="Comma 4 5 9 3" xfId="11236" xr:uid="{14051BA5-4772-4715-9021-0B6462E0DA6B}"/>
    <cellStyle name="Comma 4 6" xfId="159" xr:uid="{00000000-0005-0000-0000-0000530A0000}"/>
    <cellStyle name="Comma 4 6 10" xfId="8855" xr:uid="{7A67BB29-BCFB-4277-9FE4-42AA20F4081E}"/>
    <cellStyle name="Comma 4 6 2" xfId="696" xr:uid="{00000000-0005-0000-0000-0000540A0000}"/>
    <cellStyle name="Comma 4 6 2 2" xfId="2967" xr:uid="{00000000-0005-0000-0000-0000550A0000}"/>
    <cellStyle name="Comma 4 6 2 2 2" xfId="7190" xr:uid="{00000000-0005-0000-0000-0000560A0000}"/>
    <cellStyle name="Comma 4 6 2 2 2 2" xfId="15632" xr:uid="{40EEB50B-8C40-43AB-AAC3-67F8C18E9C2B}"/>
    <cellStyle name="Comma 4 6 2 2 3" xfId="11414" xr:uid="{67A9CB81-D27E-492D-889B-42B66DC8CBA6}"/>
    <cellStyle name="Comma 4 6 2 3" xfId="5045" xr:uid="{00000000-0005-0000-0000-0000570A0000}"/>
    <cellStyle name="Comma 4 6 2 3 2" xfId="13487" xr:uid="{AFAC7ADC-87AA-4934-B548-8199C27B0062}"/>
    <cellStyle name="Comma 4 6 2 4" xfId="9269" xr:uid="{2943B8B9-33B9-4B1D-A207-5E0C17599473}"/>
    <cellStyle name="Comma 4 6 3" xfId="1149" xr:uid="{00000000-0005-0000-0000-0000580A0000}"/>
    <cellStyle name="Comma 4 6 3 2" xfId="3380" xr:uid="{00000000-0005-0000-0000-0000590A0000}"/>
    <cellStyle name="Comma 4 6 3 2 2" xfId="7603" xr:uid="{00000000-0005-0000-0000-00005A0A0000}"/>
    <cellStyle name="Comma 4 6 3 2 2 2" xfId="16045" xr:uid="{97F31325-C984-4541-BF4E-0C69AE31511C}"/>
    <cellStyle name="Comma 4 6 3 2 3" xfId="11827" xr:uid="{DE0FC815-3A84-4179-B7D2-1A59687C1A31}"/>
    <cellStyle name="Comma 4 6 3 3" xfId="5458" xr:uid="{00000000-0005-0000-0000-00005B0A0000}"/>
    <cellStyle name="Comma 4 6 3 3 2" xfId="13900" xr:uid="{4ADB5E46-08A7-41FC-B7DE-562FF7E13FB5}"/>
    <cellStyle name="Comma 4 6 3 4" xfId="9682" xr:uid="{A94ADA7A-B1D9-455C-9D21-6EF03B120625}"/>
    <cellStyle name="Comma 4 6 4" xfId="1563" xr:uid="{00000000-0005-0000-0000-00005C0A0000}"/>
    <cellStyle name="Comma 4 6 4 2" xfId="3793" xr:uid="{00000000-0005-0000-0000-00005D0A0000}"/>
    <cellStyle name="Comma 4 6 4 2 2" xfId="8016" xr:uid="{00000000-0005-0000-0000-00005E0A0000}"/>
    <cellStyle name="Comma 4 6 4 2 2 2" xfId="16458" xr:uid="{7D3E227B-68AE-40FA-A2C3-97E007B32651}"/>
    <cellStyle name="Comma 4 6 4 2 3" xfId="12240" xr:uid="{6D1A4EB7-37C2-4890-8628-411B00668A0B}"/>
    <cellStyle name="Comma 4 6 4 3" xfId="5871" xr:uid="{00000000-0005-0000-0000-00005F0A0000}"/>
    <cellStyle name="Comma 4 6 4 3 2" xfId="14313" xr:uid="{48AE0488-C096-4E77-A372-89495790AA12}"/>
    <cellStyle name="Comma 4 6 4 4" xfId="10095" xr:uid="{4150AC00-CF1C-4218-B70D-261B5B2871B3}"/>
    <cellStyle name="Comma 4 6 5" xfId="1977" xr:uid="{00000000-0005-0000-0000-0000600A0000}"/>
    <cellStyle name="Comma 4 6 5 2" xfId="4206" xr:uid="{00000000-0005-0000-0000-0000610A0000}"/>
    <cellStyle name="Comma 4 6 5 2 2" xfId="8429" xr:uid="{00000000-0005-0000-0000-0000620A0000}"/>
    <cellStyle name="Comma 4 6 5 2 2 2" xfId="16871" xr:uid="{5BC59E02-EAE8-434B-81AA-969583AC0EAF}"/>
    <cellStyle name="Comma 4 6 5 2 3" xfId="12653" xr:uid="{D46455D6-E057-46F3-B3A9-8031AFA1637B}"/>
    <cellStyle name="Comma 4 6 5 3" xfId="6284" xr:uid="{00000000-0005-0000-0000-0000630A0000}"/>
    <cellStyle name="Comma 4 6 5 3 2" xfId="14726" xr:uid="{491C5D03-372F-4108-B47F-41BE8A9BA369}"/>
    <cellStyle name="Comma 4 6 5 4" xfId="10508" xr:uid="{36CEFC4F-D107-4404-A368-098972E80E11}"/>
    <cellStyle name="Comma 4 6 6" xfId="2412" xr:uid="{00000000-0005-0000-0000-0000640A0000}"/>
    <cellStyle name="Comma 4 6 6 2" xfId="6697" xr:uid="{00000000-0005-0000-0000-0000650A0000}"/>
    <cellStyle name="Comma 4 6 6 2 2" xfId="15139" xr:uid="{86EE3D81-52D3-4E41-825F-4BA4A6335C0F}"/>
    <cellStyle name="Comma 4 6 6 3" xfId="10921" xr:uid="{2E149C23-235B-4A04-9A08-E010EA24CE97}"/>
    <cellStyle name="Comma 4 6 7" xfId="2708" xr:uid="{00000000-0005-0000-0000-0000660A0000}"/>
    <cellStyle name="Comma 4 6 8" xfId="2790" xr:uid="{00000000-0005-0000-0000-0000670A0000}"/>
    <cellStyle name="Comma 4 6 8 2" xfId="7014" xr:uid="{00000000-0005-0000-0000-0000680A0000}"/>
    <cellStyle name="Comma 4 6 8 2 2" xfId="15456" xr:uid="{9AA7DCDD-D906-4B44-918D-26927044B7B6}"/>
    <cellStyle name="Comma 4 6 8 3" xfId="11238" xr:uid="{BDC34E7A-5EBE-444F-8DEB-5E06042F4224}"/>
    <cellStyle name="Comma 4 6 9" xfId="4631" xr:uid="{00000000-0005-0000-0000-0000690A0000}"/>
    <cellStyle name="Comma 4 6 9 2" xfId="13073" xr:uid="{44F3F59B-A0D1-47B4-8BFB-3AAEFEC1EAEC}"/>
    <cellStyle name="Comma 4 7" xfId="160" xr:uid="{00000000-0005-0000-0000-00006A0A0000}"/>
    <cellStyle name="Comma 4 7 10" xfId="8856" xr:uid="{140F101B-7CE0-42A3-9746-1223E909990F}"/>
    <cellStyle name="Comma 4 7 2" xfId="697" xr:uid="{00000000-0005-0000-0000-00006B0A0000}"/>
    <cellStyle name="Comma 4 7 2 2" xfId="2968" xr:uid="{00000000-0005-0000-0000-00006C0A0000}"/>
    <cellStyle name="Comma 4 7 2 2 2" xfId="7191" xr:uid="{00000000-0005-0000-0000-00006D0A0000}"/>
    <cellStyle name="Comma 4 7 2 2 2 2" xfId="15633" xr:uid="{4ECF0C93-415C-4A03-B0E9-33706DA519F2}"/>
    <cellStyle name="Comma 4 7 2 2 3" xfId="11415" xr:uid="{80044D12-D837-4E69-BB6A-BEBCBC2E83E6}"/>
    <cellStyle name="Comma 4 7 2 3" xfId="5046" xr:uid="{00000000-0005-0000-0000-00006E0A0000}"/>
    <cellStyle name="Comma 4 7 2 3 2" xfId="13488" xr:uid="{EF17EC57-D4CD-4979-ABF9-7EAE183BDA2C}"/>
    <cellStyle name="Comma 4 7 2 4" xfId="9270" xr:uid="{23AD02DF-3731-4547-B9E7-22DB5F91305F}"/>
    <cellStyle name="Comma 4 7 3" xfId="1150" xr:uid="{00000000-0005-0000-0000-00006F0A0000}"/>
    <cellStyle name="Comma 4 7 3 2" xfId="3381" xr:uid="{00000000-0005-0000-0000-0000700A0000}"/>
    <cellStyle name="Comma 4 7 3 2 2" xfId="7604" xr:uid="{00000000-0005-0000-0000-0000710A0000}"/>
    <cellStyle name="Comma 4 7 3 2 2 2" xfId="16046" xr:uid="{496B9B32-A253-406F-A8CA-8C07AAC35EDD}"/>
    <cellStyle name="Comma 4 7 3 2 3" xfId="11828" xr:uid="{6100F272-E1E6-47B5-830B-9A9143F0EF7A}"/>
    <cellStyle name="Comma 4 7 3 3" xfId="5459" xr:uid="{00000000-0005-0000-0000-0000720A0000}"/>
    <cellStyle name="Comma 4 7 3 3 2" xfId="13901" xr:uid="{5F308BA4-0659-4B46-B34E-FB847E95FB83}"/>
    <cellStyle name="Comma 4 7 3 4" xfId="9683" xr:uid="{2812DDAF-8BD2-4022-8646-C25FC4CAF539}"/>
    <cellStyle name="Comma 4 7 4" xfId="1564" xr:uid="{00000000-0005-0000-0000-0000730A0000}"/>
    <cellStyle name="Comma 4 7 4 2" xfId="3794" xr:uid="{00000000-0005-0000-0000-0000740A0000}"/>
    <cellStyle name="Comma 4 7 4 2 2" xfId="8017" xr:uid="{00000000-0005-0000-0000-0000750A0000}"/>
    <cellStyle name="Comma 4 7 4 2 2 2" xfId="16459" xr:uid="{4FB13ED0-0BA4-4586-8A70-F3CD4B4D3929}"/>
    <cellStyle name="Comma 4 7 4 2 3" xfId="12241" xr:uid="{7EB78F62-BCE3-43A6-87AA-F54E7125ECCF}"/>
    <cellStyle name="Comma 4 7 4 3" xfId="5872" xr:uid="{00000000-0005-0000-0000-0000760A0000}"/>
    <cellStyle name="Comma 4 7 4 3 2" xfId="14314" xr:uid="{D10B7FA4-FC93-45E9-AB00-71BAFE52DC0A}"/>
    <cellStyle name="Comma 4 7 4 4" xfId="10096" xr:uid="{46DFA480-EF63-4B71-BDB9-D343037E60A3}"/>
    <cellStyle name="Comma 4 7 5" xfId="1978" xr:uid="{00000000-0005-0000-0000-0000770A0000}"/>
    <cellStyle name="Comma 4 7 5 2" xfId="4207" xr:uid="{00000000-0005-0000-0000-0000780A0000}"/>
    <cellStyle name="Comma 4 7 5 2 2" xfId="8430" xr:uid="{00000000-0005-0000-0000-0000790A0000}"/>
    <cellStyle name="Comma 4 7 5 2 2 2" xfId="16872" xr:uid="{2F39F71E-821A-49E1-940B-F86DDE88E418}"/>
    <cellStyle name="Comma 4 7 5 2 3" xfId="12654" xr:uid="{253178C4-C51C-4FF4-B4CC-7C4BF2286D7B}"/>
    <cellStyle name="Comma 4 7 5 3" xfId="6285" xr:uid="{00000000-0005-0000-0000-00007A0A0000}"/>
    <cellStyle name="Comma 4 7 5 3 2" xfId="14727" xr:uid="{468A7BB8-E4FC-4109-9D36-867D1A23D020}"/>
    <cellStyle name="Comma 4 7 5 4" xfId="10509" xr:uid="{75940151-740E-4B8C-AC4B-F6FA93FC6B92}"/>
    <cellStyle name="Comma 4 7 6" xfId="2413" xr:uid="{00000000-0005-0000-0000-00007B0A0000}"/>
    <cellStyle name="Comma 4 7 6 2" xfId="6698" xr:uid="{00000000-0005-0000-0000-00007C0A0000}"/>
    <cellStyle name="Comma 4 7 6 2 2" xfId="15140" xr:uid="{31CC84F6-9401-42EF-83B8-13B546B7019C}"/>
    <cellStyle name="Comma 4 7 6 3" xfId="10922" xr:uid="{D4A7082B-C2EA-455E-847A-564FE0FFF0C4}"/>
    <cellStyle name="Comma 4 7 7" xfId="2709" xr:uid="{00000000-0005-0000-0000-00007D0A0000}"/>
    <cellStyle name="Comma 4 7 8" xfId="2791" xr:uid="{00000000-0005-0000-0000-00007E0A0000}"/>
    <cellStyle name="Comma 4 7 8 2" xfId="7015" xr:uid="{00000000-0005-0000-0000-00007F0A0000}"/>
    <cellStyle name="Comma 4 7 8 2 2" xfId="15457" xr:uid="{382100AE-D4FC-4C0A-9035-4212C9E255C2}"/>
    <cellStyle name="Comma 4 7 8 3" xfId="11239" xr:uid="{8888666A-0A35-465F-8F4C-48ADBFF9A30B}"/>
    <cellStyle name="Comma 4 7 9" xfId="4632" xr:uid="{00000000-0005-0000-0000-0000800A0000}"/>
    <cellStyle name="Comma 4 7 9 2" xfId="13074" xr:uid="{33EA8735-06F0-4CD5-8F7B-E3CCDA2EC0B4}"/>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1E45B29E-44BE-45EE-9CF4-362810DCF827}"/>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5277C12D-8401-4DE5-877E-68304762C532}"/>
    <cellStyle name="Currency 14 3" xfId="8720" xr:uid="{729B09A7-2394-4D7C-912C-1471FB3455A3}"/>
    <cellStyle name="Currency 14 3 2" xfId="8724" xr:uid="{1945FB0F-31EC-4D98-B64C-BAFBADA341A1}"/>
    <cellStyle name="Currency 14 3 2 2" xfId="8727" xr:uid="{03BA8DEE-11D2-406B-B26D-8EE163916FB0}"/>
    <cellStyle name="Currency 14 3 3" xfId="17162" xr:uid="{08199389-BFB1-43D9-AED6-705DD3AD51C4}"/>
    <cellStyle name="Currency 14 4" xfId="12945" xr:uid="{D1F5B20A-BA01-44F8-8865-700C22F3CAAE}"/>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54EAEAD1-EA12-4763-866E-09C1A51DA0B3}"/>
    <cellStyle name="Currency 3 2 2 10 3" xfId="11240" xr:uid="{5423F066-E539-4723-AB5C-30FB0150E1FA}"/>
    <cellStyle name="Currency 3 2 2 11" xfId="4633" xr:uid="{00000000-0005-0000-0000-0000A50A0000}"/>
    <cellStyle name="Currency 3 2 2 11 2" xfId="13075" xr:uid="{DE79CF9C-9C56-48A0-8EA8-3637C74B7ED4}"/>
    <cellStyle name="Currency 3 2 2 12" xfId="8857" xr:uid="{39FFA594-A20F-4B41-82D4-C96E53283C8F}"/>
    <cellStyle name="Currency 3 2 2 2" xfId="179" xr:uid="{00000000-0005-0000-0000-0000A60A0000}"/>
    <cellStyle name="Currency 3 2 2 2 10" xfId="4634" xr:uid="{00000000-0005-0000-0000-0000A70A0000}"/>
    <cellStyle name="Currency 3 2 2 2 10 2" xfId="13076" xr:uid="{2C9F1B2F-A176-48DB-8A48-39B86C339910}"/>
    <cellStyle name="Currency 3 2 2 2 11" xfId="8858" xr:uid="{BEAAF71C-C477-4140-A392-41D281FE11F4}"/>
    <cellStyle name="Currency 3 2 2 2 2" xfId="180" xr:uid="{00000000-0005-0000-0000-0000A80A0000}"/>
    <cellStyle name="Currency 3 2 2 2 2 10" xfId="8859" xr:uid="{7525E522-C999-4EA9-B259-07FF51C66CB1}"/>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7549E3B6-7D77-4BD9-996D-D236C006542A}"/>
    <cellStyle name="Currency 3 2 2 2 2 2 2 3" xfId="11418" xr:uid="{660CEB71-2F19-4883-A0A2-CA1F6D668F79}"/>
    <cellStyle name="Currency 3 2 2 2 2 2 3" xfId="5049" xr:uid="{00000000-0005-0000-0000-0000AC0A0000}"/>
    <cellStyle name="Currency 3 2 2 2 2 2 3 2" xfId="13491" xr:uid="{203CFCD3-1EDC-47E1-A3F5-F9A79AABDD5A}"/>
    <cellStyle name="Currency 3 2 2 2 2 2 4" xfId="9273" xr:uid="{29858177-84EB-41CD-9D23-46E87614A864}"/>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DC71895A-09DA-4096-A9BC-7B66D5AF8401}"/>
    <cellStyle name="Currency 3 2 2 2 2 3 2 3" xfId="11831" xr:uid="{9DCF36E4-9DA4-42EE-B417-1327194DB684}"/>
    <cellStyle name="Currency 3 2 2 2 2 3 3" xfId="5462" xr:uid="{00000000-0005-0000-0000-0000B00A0000}"/>
    <cellStyle name="Currency 3 2 2 2 2 3 3 2" xfId="13904" xr:uid="{A6F399A4-E35E-40C2-A4A0-2C1253C0F8AF}"/>
    <cellStyle name="Currency 3 2 2 2 2 3 4" xfId="9686" xr:uid="{959CDA05-A00F-470E-8889-4C8E2767E38E}"/>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5C75D02F-D5FE-4A19-88F3-0301000676BE}"/>
    <cellStyle name="Currency 3 2 2 2 2 4 2 3" xfId="12244" xr:uid="{772F46BD-AFE7-4863-B264-3C4A54C940CE}"/>
    <cellStyle name="Currency 3 2 2 2 2 4 3" xfId="5875" xr:uid="{00000000-0005-0000-0000-0000B40A0000}"/>
    <cellStyle name="Currency 3 2 2 2 2 4 3 2" xfId="14317" xr:uid="{CF31CE8D-C1FC-4065-BD01-FE4524FCAF0A}"/>
    <cellStyle name="Currency 3 2 2 2 2 4 4" xfId="10099" xr:uid="{21D3C535-2394-4F9B-A46A-72A5F82C9545}"/>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FED68C01-F00E-48BE-BD9C-9F432999C568}"/>
    <cellStyle name="Currency 3 2 2 2 2 5 2 3" xfId="12657" xr:uid="{8FF28763-2BD6-4D30-AAC6-3832B3270822}"/>
    <cellStyle name="Currency 3 2 2 2 2 5 3" xfId="6288" xr:uid="{00000000-0005-0000-0000-0000B80A0000}"/>
    <cellStyle name="Currency 3 2 2 2 2 5 3 2" xfId="14730" xr:uid="{BF68CE90-B8D0-431D-A87A-1871687D5574}"/>
    <cellStyle name="Currency 3 2 2 2 2 5 4" xfId="10512" xr:uid="{DCA89E66-745C-4ECF-BFAE-137B93E8C369}"/>
    <cellStyle name="Currency 3 2 2 2 2 6" xfId="2416" xr:uid="{00000000-0005-0000-0000-0000B90A0000}"/>
    <cellStyle name="Currency 3 2 2 2 2 6 2" xfId="6701" xr:uid="{00000000-0005-0000-0000-0000BA0A0000}"/>
    <cellStyle name="Currency 3 2 2 2 2 6 2 2" xfId="15143" xr:uid="{ACDFA0F8-67FA-4BD3-A428-89B8B91D7D1A}"/>
    <cellStyle name="Currency 3 2 2 2 2 6 3" xfId="10925" xr:uid="{299D02D7-2B4E-4DFA-BB4E-67B27CB09D98}"/>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F838FB8D-C125-4191-B18E-5257DC04FDAC}"/>
    <cellStyle name="Currency 3 2 2 2 2 8 3" xfId="11242" xr:uid="{EA8052D6-1C5A-4522-99F2-09037EC18D19}"/>
    <cellStyle name="Currency 3 2 2 2 2 9" xfId="4635" xr:uid="{00000000-0005-0000-0000-0000BE0A0000}"/>
    <cellStyle name="Currency 3 2 2 2 2 9 2" xfId="13077" xr:uid="{15EF96A8-017C-4F20-A43A-DAD1E666C33E}"/>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477D01FB-A505-4497-828B-D7F1E60E6FB8}"/>
    <cellStyle name="Currency 3 2 2 2 3 2 3" xfId="11417" xr:uid="{5BCC097B-C093-48F1-88E5-A5689D8FD48B}"/>
    <cellStyle name="Currency 3 2 2 2 3 3" xfId="5048" xr:uid="{00000000-0005-0000-0000-0000C20A0000}"/>
    <cellStyle name="Currency 3 2 2 2 3 3 2" xfId="13490" xr:uid="{4C006631-3B02-4ADC-B54D-EA3952CF38EC}"/>
    <cellStyle name="Currency 3 2 2 2 3 4" xfId="9272" xr:uid="{82F0C25A-1A1A-47A1-8A30-D473D8D9F823}"/>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F20C3E38-6AAF-40DB-847B-0AFC2121AE59}"/>
    <cellStyle name="Currency 3 2 2 2 4 2 3" xfId="11830" xr:uid="{50B4F8DA-CF14-437D-A69A-E75289ABCE42}"/>
    <cellStyle name="Currency 3 2 2 2 4 3" xfId="5461" xr:uid="{00000000-0005-0000-0000-0000C60A0000}"/>
    <cellStyle name="Currency 3 2 2 2 4 3 2" xfId="13903" xr:uid="{8CCEC5BB-5BFD-4323-AE45-58B2CDCC8194}"/>
    <cellStyle name="Currency 3 2 2 2 4 4" xfId="9685" xr:uid="{5B6213FC-7086-4CF8-92E6-596A2A1A8ED8}"/>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64112DA3-CEDF-4E18-912F-D4B79EBF9CF6}"/>
    <cellStyle name="Currency 3 2 2 2 5 2 3" xfId="12243" xr:uid="{C7CAB74D-FB8B-481C-84B8-6077C408E3DB}"/>
    <cellStyle name="Currency 3 2 2 2 5 3" xfId="5874" xr:uid="{00000000-0005-0000-0000-0000CA0A0000}"/>
    <cellStyle name="Currency 3 2 2 2 5 3 2" xfId="14316" xr:uid="{B4B98FBE-E6C6-487B-904D-94DB2E333E08}"/>
    <cellStyle name="Currency 3 2 2 2 5 4" xfId="10098" xr:uid="{84881701-7CDE-40F8-B367-D33AB430C0A5}"/>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4B707FA5-161D-4A92-923E-2F761F9159D3}"/>
    <cellStyle name="Currency 3 2 2 2 6 2 3" xfId="12656" xr:uid="{9F373403-7395-43F5-87B7-BBA5F5D85F0D}"/>
    <cellStyle name="Currency 3 2 2 2 6 3" xfId="6287" xr:uid="{00000000-0005-0000-0000-0000CE0A0000}"/>
    <cellStyle name="Currency 3 2 2 2 6 3 2" xfId="14729" xr:uid="{E87CF1F9-89AB-49A9-9254-BEA1B9D4000C}"/>
    <cellStyle name="Currency 3 2 2 2 6 4" xfId="10511" xr:uid="{F5A6268F-4B81-4499-B7C9-6BCA9ACCBD8B}"/>
    <cellStyle name="Currency 3 2 2 2 7" xfId="2415" xr:uid="{00000000-0005-0000-0000-0000CF0A0000}"/>
    <cellStyle name="Currency 3 2 2 2 7 2" xfId="6700" xr:uid="{00000000-0005-0000-0000-0000D00A0000}"/>
    <cellStyle name="Currency 3 2 2 2 7 2 2" xfId="15142" xr:uid="{3ACED340-3CD4-4CD8-8D59-49BFBA1D3256}"/>
    <cellStyle name="Currency 3 2 2 2 7 3" xfId="10924" xr:uid="{36CE743D-22BE-4743-BD2C-2B276C87AA4D}"/>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7CA26C92-FCB7-4EDD-82D6-A9DFD8655403}"/>
    <cellStyle name="Currency 3 2 2 2 9 3" xfId="11241" xr:uid="{4E28CE8A-53E8-41B1-8CCD-1201A0138DC0}"/>
    <cellStyle name="Currency 3 2 2 3" xfId="181" xr:uid="{00000000-0005-0000-0000-0000D40A0000}"/>
    <cellStyle name="Currency 3 2 2 3 10" xfId="8860" xr:uid="{2BDD4E8B-AE28-4CCF-B2D8-192462F9E62F}"/>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8C69FF66-D3FD-467E-B407-2B2A9D40FF14}"/>
    <cellStyle name="Currency 3 2 2 3 2 2 3" xfId="11419" xr:uid="{A021889D-D49C-46D4-8291-483A41710E95}"/>
    <cellStyle name="Currency 3 2 2 3 2 3" xfId="5050" xr:uid="{00000000-0005-0000-0000-0000D80A0000}"/>
    <cellStyle name="Currency 3 2 2 3 2 3 2" xfId="13492" xr:uid="{8FE8AC09-7F9B-4D4D-A5CC-4D78BEFACDE2}"/>
    <cellStyle name="Currency 3 2 2 3 2 4" xfId="9274" xr:uid="{483D0076-E5D6-4B6B-BAC8-4CF7AAFDE93A}"/>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FF14BD10-655F-4880-9560-5826C13F434D}"/>
    <cellStyle name="Currency 3 2 2 3 3 2 3" xfId="11832" xr:uid="{9E9FC4DD-42A3-4F9C-AE4A-E581802C4893}"/>
    <cellStyle name="Currency 3 2 2 3 3 3" xfId="5463" xr:uid="{00000000-0005-0000-0000-0000DC0A0000}"/>
    <cellStyle name="Currency 3 2 2 3 3 3 2" xfId="13905" xr:uid="{1F7B4CCD-65CF-44AB-9CF0-80C86D4A5183}"/>
    <cellStyle name="Currency 3 2 2 3 3 4" xfId="9687" xr:uid="{CD171CE7-06EA-4115-B4A9-12E28FB9BA1E}"/>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DBC5C1FF-FC4A-4489-A5C8-27C6E357B437}"/>
    <cellStyle name="Currency 3 2 2 3 4 2 3" xfId="12245" xr:uid="{AFB989DA-4CF9-4F27-B2AA-45FE2CF281B8}"/>
    <cellStyle name="Currency 3 2 2 3 4 3" xfId="5876" xr:uid="{00000000-0005-0000-0000-0000E00A0000}"/>
    <cellStyle name="Currency 3 2 2 3 4 3 2" xfId="14318" xr:uid="{0C07364D-D644-4943-A342-D3C2FA63AEAD}"/>
    <cellStyle name="Currency 3 2 2 3 4 4" xfId="10100" xr:uid="{AB5FEA92-4081-41D2-A3F7-1E3298E794A2}"/>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664D53E7-5770-431E-8C29-E96222E41922}"/>
    <cellStyle name="Currency 3 2 2 3 5 2 3" xfId="12658" xr:uid="{1F200BA0-FB7D-49B7-894A-F3CCB7E6AA71}"/>
    <cellStyle name="Currency 3 2 2 3 5 3" xfId="6289" xr:uid="{00000000-0005-0000-0000-0000E40A0000}"/>
    <cellStyle name="Currency 3 2 2 3 5 3 2" xfId="14731" xr:uid="{FFC37AE3-F505-4DA1-9352-631EB884AC4D}"/>
    <cellStyle name="Currency 3 2 2 3 5 4" xfId="10513" xr:uid="{0E5636D5-6AD3-4E6B-BEE0-70BE5F3A6F27}"/>
    <cellStyle name="Currency 3 2 2 3 6" xfId="2417" xr:uid="{00000000-0005-0000-0000-0000E50A0000}"/>
    <cellStyle name="Currency 3 2 2 3 6 2" xfId="6702" xr:uid="{00000000-0005-0000-0000-0000E60A0000}"/>
    <cellStyle name="Currency 3 2 2 3 6 2 2" xfId="15144" xr:uid="{E30D9D7F-933E-4A7B-8B59-34C624815605}"/>
    <cellStyle name="Currency 3 2 2 3 6 3" xfId="10926" xr:uid="{48A73810-44A7-4ECB-A514-0AC37484D0C7}"/>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29976698-9015-4452-A71C-79BED96D8002}"/>
    <cellStyle name="Currency 3 2 2 3 8 3" xfId="11243" xr:uid="{EE7CD5E7-449B-4FC0-BFD9-727617672F95}"/>
    <cellStyle name="Currency 3 2 2 3 9" xfId="4636" xr:uid="{00000000-0005-0000-0000-0000EA0A0000}"/>
    <cellStyle name="Currency 3 2 2 3 9 2" xfId="13078" xr:uid="{145E7798-0D05-4078-97C0-BEE81FDAE0CE}"/>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D95C9A64-8C90-405E-817F-DBC7D3F55459}"/>
    <cellStyle name="Currency 3 2 2 4 2 3" xfId="11416" xr:uid="{B2271338-6506-4663-AE66-A3B8C7014C70}"/>
    <cellStyle name="Currency 3 2 2 4 3" xfId="5047" xr:uid="{00000000-0005-0000-0000-0000EE0A0000}"/>
    <cellStyle name="Currency 3 2 2 4 3 2" xfId="13489" xr:uid="{52F73650-CCE7-49BF-B146-6F7E40CB378F}"/>
    <cellStyle name="Currency 3 2 2 4 4" xfId="9271" xr:uid="{DC24B883-F2AC-49C7-B69F-BCB97FB7B2BB}"/>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8F6597A7-D72A-4AE8-BF43-FEC86CFDB5A7}"/>
    <cellStyle name="Currency 3 2 2 5 2 3" xfId="11829" xr:uid="{B52A46B1-0799-4783-9DD9-04B65D73A1B7}"/>
    <cellStyle name="Currency 3 2 2 5 3" xfId="5460" xr:uid="{00000000-0005-0000-0000-0000F20A0000}"/>
    <cellStyle name="Currency 3 2 2 5 3 2" xfId="13902" xr:uid="{FC8C4E50-EE56-4D9B-8953-398440F8DAD0}"/>
    <cellStyle name="Currency 3 2 2 5 4" xfId="9684" xr:uid="{40AB8390-B7EC-415D-B1E6-05D23FDE3450}"/>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1DB7499B-C0BD-4F69-8FD0-83E5E9627C4F}"/>
    <cellStyle name="Currency 3 2 2 6 2 3" xfId="12242" xr:uid="{A9577A6B-C258-43D9-A48D-38E8DF8D43CC}"/>
    <cellStyle name="Currency 3 2 2 6 3" xfId="5873" xr:uid="{00000000-0005-0000-0000-0000F60A0000}"/>
    <cellStyle name="Currency 3 2 2 6 3 2" xfId="14315" xr:uid="{F24B8E46-5FD1-4962-883F-CD37BD231593}"/>
    <cellStyle name="Currency 3 2 2 6 4" xfId="10097" xr:uid="{3BBDDF9B-CEEE-4382-86DB-2BBBFE905774}"/>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7C0DFB31-A0F8-4569-ACA5-FADBD1067BF5}"/>
    <cellStyle name="Currency 3 2 2 7 2 3" xfId="12655" xr:uid="{D32B1EBB-DBA8-415E-801C-C77964829961}"/>
    <cellStyle name="Currency 3 2 2 7 3" xfId="6286" xr:uid="{00000000-0005-0000-0000-0000FA0A0000}"/>
    <cellStyle name="Currency 3 2 2 7 3 2" xfId="14728" xr:uid="{E51FC99E-F1D4-4438-A7C1-C9B7418D509E}"/>
    <cellStyle name="Currency 3 2 2 7 4" xfId="10510" xr:uid="{95FA4AEF-9A17-4B72-912D-7B25F8B7EC49}"/>
    <cellStyle name="Currency 3 2 2 8" xfId="2414" xr:uid="{00000000-0005-0000-0000-0000FB0A0000}"/>
    <cellStyle name="Currency 3 2 2 8 2" xfId="6699" xr:uid="{00000000-0005-0000-0000-0000FC0A0000}"/>
    <cellStyle name="Currency 3 2 2 8 2 2" xfId="15141" xr:uid="{447B0A9B-E5B8-459C-9765-199C9583ABB7}"/>
    <cellStyle name="Currency 3 2 2 8 3" xfId="10923" xr:uid="{260DC672-51FD-405D-B59E-347F02B41B69}"/>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42F97263-0E1D-403B-A145-CD625920568B}"/>
    <cellStyle name="Currency 3 2 3 11" xfId="8861" xr:uid="{7AED7565-6AE9-4973-8AF4-C5366AFD2A45}"/>
    <cellStyle name="Currency 3 2 3 2" xfId="183" xr:uid="{00000000-0005-0000-0000-0000000B0000}"/>
    <cellStyle name="Currency 3 2 3 2 10" xfId="8862" xr:uid="{B0E7F6A5-1AF5-40FA-8410-A8D3ADA479F9}"/>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24ACFEA6-3DAF-4C16-A826-B0D133143D2E}"/>
    <cellStyle name="Currency 3 2 3 2 2 2 3" xfId="11421" xr:uid="{7DA9A1BA-F554-4F26-A4C9-0EF590F0976D}"/>
    <cellStyle name="Currency 3 2 3 2 2 3" xfId="5052" xr:uid="{00000000-0005-0000-0000-0000040B0000}"/>
    <cellStyle name="Currency 3 2 3 2 2 3 2" xfId="13494" xr:uid="{95016391-7EB2-4654-A901-CAFC2E031DD2}"/>
    <cellStyle name="Currency 3 2 3 2 2 4" xfId="9276" xr:uid="{31D7BE95-2980-4E10-A271-C707AD785A0B}"/>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451B94CD-B8BF-4EFC-9870-599198AFCD84}"/>
    <cellStyle name="Currency 3 2 3 2 3 2 3" xfId="11834" xr:uid="{E91F8C5B-ACE4-4F83-8AFA-0BB8927DA77A}"/>
    <cellStyle name="Currency 3 2 3 2 3 3" xfId="5465" xr:uid="{00000000-0005-0000-0000-0000080B0000}"/>
    <cellStyle name="Currency 3 2 3 2 3 3 2" xfId="13907" xr:uid="{4C41BCC8-1392-459D-992B-E97B1972F854}"/>
    <cellStyle name="Currency 3 2 3 2 3 4" xfId="9689" xr:uid="{B1FD24B1-24A0-49E4-B873-223EEAEA177D}"/>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337EE9DB-1785-4FA0-B912-4E9E95F5274E}"/>
    <cellStyle name="Currency 3 2 3 2 4 2 3" xfId="12247" xr:uid="{F1727871-CC99-4CD4-BA69-8EB30FF69C9D}"/>
    <cellStyle name="Currency 3 2 3 2 4 3" xfId="5878" xr:uid="{00000000-0005-0000-0000-00000C0B0000}"/>
    <cellStyle name="Currency 3 2 3 2 4 3 2" xfId="14320" xr:uid="{EC3DAB79-942D-462C-A3A1-2FC6147C3BEB}"/>
    <cellStyle name="Currency 3 2 3 2 4 4" xfId="10102" xr:uid="{ECDF483E-5811-4012-BE75-7CDBFB3B3A02}"/>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0C5D5014-967D-41CD-9F61-346862093C13}"/>
    <cellStyle name="Currency 3 2 3 2 5 2 3" xfId="12660" xr:uid="{7BC87FF3-15D1-468E-BE68-C21042BE4DB4}"/>
    <cellStyle name="Currency 3 2 3 2 5 3" xfId="6291" xr:uid="{00000000-0005-0000-0000-0000100B0000}"/>
    <cellStyle name="Currency 3 2 3 2 5 3 2" xfId="14733" xr:uid="{AD26906A-AC94-4EC9-B27D-3973B34A6F77}"/>
    <cellStyle name="Currency 3 2 3 2 5 4" xfId="10515" xr:uid="{BC7DDFD5-ED8F-4967-B34A-10768923E6B7}"/>
    <cellStyle name="Currency 3 2 3 2 6" xfId="2419" xr:uid="{00000000-0005-0000-0000-0000110B0000}"/>
    <cellStyle name="Currency 3 2 3 2 6 2" xfId="6704" xr:uid="{00000000-0005-0000-0000-0000120B0000}"/>
    <cellStyle name="Currency 3 2 3 2 6 2 2" xfId="15146" xr:uid="{248D360A-8A21-417F-84D0-2C178206B5DD}"/>
    <cellStyle name="Currency 3 2 3 2 6 3" xfId="10928" xr:uid="{7BBF01FD-E87A-4D72-88CA-022D4ED759BC}"/>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7B587AFA-8773-4EC1-80F5-0077FAC29804}"/>
    <cellStyle name="Currency 3 2 3 2 8 3" xfId="11245" xr:uid="{89D60210-3EEB-4A13-871A-A2B48B8FA848}"/>
    <cellStyle name="Currency 3 2 3 2 9" xfId="4638" xr:uid="{00000000-0005-0000-0000-0000160B0000}"/>
    <cellStyle name="Currency 3 2 3 2 9 2" xfId="13080" xr:uid="{0354411F-9D4F-4E07-8D6F-6DF96EB5C053}"/>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9F45F9B3-6FC4-4D24-8609-C78CC1957959}"/>
    <cellStyle name="Currency 3 2 3 3 2 3" xfId="11420" xr:uid="{EE807C39-BE35-4779-8013-CED5FFAB1683}"/>
    <cellStyle name="Currency 3 2 3 3 3" xfId="5051" xr:uid="{00000000-0005-0000-0000-00001A0B0000}"/>
    <cellStyle name="Currency 3 2 3 3 3 2" xfId="13493" xr:uid="{0F38AC0C-8894-4A29-8C89-E954941D267A}"/>
    <cellStyle name="Currency 3 2 3 3 4" xfId="9275" xr:uid="{1D8A7443-E851-402F-BAB0-BD56857303E1}"/>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D7C5A765-728D-43F0-AD12-B38C5FB95E5B}"/>
    <cellStyle name="Currency 3 2 3 4 2 3" xfId="11833" xr:uid="{77EC3126-9C49-4ECD-B51A-111249A7AEA2}"/>
    <cellStyle name="Currency 3 2 3 4 3" xfId="5464" xr:uid="{00000000-0005-0000-0000-00001E0B0000}"/>
    <cellStyle name="Currency 3 2 3 4 3 2" xfId="13906" xr:uid="{D57CBFD7-3D19-4B9D-B222-E3D7B08A5346}"/>
    <cellStyle name="Currency 3 2 3 4 4" xfId="9688" xr:uid="{B50C96DA-FA36-480A-8118-586130966698}"/>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B3200603-B62D-4A0D-9603-BFCDCDE9211D}"/>
    <cellStyle name="Currency 3 2 3 5 2 3" xfId="12246" xr:uid="{DE6B6B07-4F6F-45D5-8D8B-FCE6AD18F822}"/>
    <cellStyle name="Currency 3 2 3 5 3" xfId="5877" xr:uid="{00000000-0005-0000-0000-0000220B0000}"/>
    <cellStyle name="Currency 3 2 3 5 3 2" xfId="14319" xr:uid="{1426E005-FBBE-4A5D-8BE4-28F3F70967B8}"/>
    <cellStyle name="Currency 3 2 3 5 4" xfId="10101" xr:uid="{7B854DA9-EDEE-4D4F-86EF-B7C8D5B55949}"/>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F8A6E9F3-72EF-47E3-8016-44FCDA3B267C}"/>
    <cellStyle name="Currency 3 2 3 6 2 3" xfId="12659" xr:uid="{D4B6BF76-449B-4FDD-B74C-9A2754E1129C}"/>
    <cellStyle name="Currency 3 2 3 6 3" xfId="6290" xr:uid="{00000000-0005-0000-0000-0000260B0000}"/>
    <cellStyle name="Currency 3 2 3 6 3 2" xfId="14732" xr:uid="{BE40CCBC-2AFE-4C1A-909F-31C7B4788EB8}"/>
    <cellStyle name="Currency 3 2 3 6 4" xfId="10514" xr:uid="{9F08EB37-40E8-478C-8A3D-012829174735}"/>
    <cellStyle name="Currency 3 2 3 7" xfId="2418" xr:uid="{00000000-0005-0000-0000-0000270B0000}"/>
    <cellStyle name="Currency 3 2 3 7 2" xfId="6703" xr:uid="{00000000-0005-0000-0000-0000280B0000}"/>
    <cellStyle name="Currency 3 2 3 7 2 2" xfId="15145" xr:uid="{828E2FF5-5A34-4E6B-B2BA-B43059B4A23F}"/>
    <cellStyle name="Currency 3 2 3 7 3" xfId="10927" xr:uid="{9B5793FA-32E2-44BD-8605-40ACAF503694}"/>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CD6A0176-A0DC-4DF3-ACD0-EE7B045E4DD1}"/>
    <cellStyle name="Currency 3 2 3 9 3" xfId="11244" xr:uid="{2AB91562-6614-4069-A71B-15905DA4E84D}"/>
    <cellStyle name="Currency 3 2 4" xfId="184" xr:uid="{00000000-0005-0000-0000-00002C0B0000}"/>
    <cellStyle name="Currency 3 2 4 10" xfId="8863" xr:uid="{CCFE744D-2229-47E0-9FDF-B89AC3B16DE8}"/>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7AB5775D-5BBD-4D5A-9431-BB30129AE58C}"/>
    <cellStyle name="Currency 3 2 4 2 2 3" xfId="11422" xr:uid="{9CC9652A-7B81-4FDB-BC21-C7B1048DC75C}"/>
    <cellStyle name="Currency 3 2 4 2 3" xfId="5053" xr:uid="{00000000-0005-0000-0000-0000300B0000}"/>
    <cellStyle name="Currency 3 2 4 2 3 2" xfId="13495" xr:uid="{4EF7D44E-84C5-4138-846F-DBE79CDDB34F}"/>
    <cellStyle name="Currency 3 2 4 2 4" xfId="9277" xr:uid="{E4C465AB-8E9F-4655-B131-6B6487D70B09}"/>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48EDA815-98BB-47D7-A67B-7917C23C207C}"/>
    <cellStyle name="Currency 3 2 4 3 2 3" xfId="11835" xr:uid="{CB2F858E-40F9-4E94-9EB6-85F667EF15EF}"/>
    <cellStyle name="Currency 3 2 4 3 3" xfId="5466" xr:uid="{00000000-0005-0000-0000-0000340B0000}"/>
    <cellStyle name="Currency 3 2 4 3 3 2" xfId="13908" xr:uid="{F906D9E4-350B-47CA-803F-3E19E6C651BC}"/>
    <cellStyle name="Currency 3 2 4 3 4" xfId="9690" xr:uid="{A27ACE09-1829-4604-8DF8-024B7F082E5F}"/>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CE7C9911-C833-4727-9B4C-AB1D3A670654}"/>
    <cellStyle name="Currency 3 2 4 4 2 3" xfId="12248" xr:uid="{ADF6A668-1626-4EA5-A17D-7BD6D03D2E42}"/>
    <cellStyle name="Currency 3 2 4 4 3" xfId="5879" xr:uid="{00000000-0005-0000-0000-0000380B0000}"/>
    <cellStyle name="Currency 3 2 4 4 3 2" xfId="14321" xr:uid="{514E9BA3-5516-44F9-8421-614CDF506081}"/>
    <cellStyle name="Currency 3 2 4 4 4" xfId="10103" xr:uid="{EBAA3AE9-DB24-48B9-8F32-F28B6EA67C75}"/>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907301C9-38C6-4527-8F33-F4BEF6908C3C}"/>
    <cellStyle name="Currency 3 2 4 5 2 3" xfId="12661" xr:uid="{A79F6656-5B27-4A51-9421-598E67B5E0AF}"/>
    <cellStyle name="Currency 3 2 4 5 3" xfId="6292" xr:uid="{00000000-0005-0000-0000-00003C0B0000}"/>
    <cellStyle name="Currency 3 2 4 5 3 2" xfId="14734" xr:uid="{FBAA052B-1FFC-4145-AD36-9DE9BCB95514}"/>
    <cellStyle name="Currency 3 2 4 5 4" xfId="10516" xr:uid="{926934AB-C2AF-408C-8025-73070D9D7741}"/>
    <cellStyle name="Currency 3 2 4 6" xfId="2420" xr:uid="{00000000-0005-0000-0000-00003D0B0000}"/>
    <cellStyle name="Currency 3 2 4 6 2" xfId="6705" xr:uid="{00000000-0005-0000-0000-00003E0B0000}"/>
    <cellStyle name="Currency 3 2 4 6 2 2" xfId="15147" xr:uid="{4EA6579C-AB5D-4302-9072-70BE5B1F96FB}"/>
    <cellStyle name="Currency 3 2 4 6 3" xfId="10929" xr:uid="{89C8AD13-357E-4D1F-92A2-0328B0BCCA88}"/>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87235888-385A-49EE-B2C2-A00E7694DA1F}"/>
    <cellStyle name="Currency 3 2 4 8 3" xfId="11246" xr:uid="{4103A980-EDAF-4FC2-A3B1-AFFFFD5B6857}"/>
    <cellStyle name="Currency 3 2 4 9" xfId="4639" xr:uid="{00000000-0005-0000-0000-0000420B0000}"/>
    <cellStyle name="Currency 3 2 4 9 2" xfId="13081" xr:uid="{A049DD29-7C66-4DF1-828D-E717725AB945}"/>
    <cellStyle name="Currency 3 2 5" xfId="185" xr:uid="{00000000-0005-0000-0000-0000430B0000}"/>
    <cellStyle name="Currency 3 2 5 10" xfId="8864" xr:uid="{14FC6877-9562-4116-8512-936096F09DA3}"/>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D146376E-B9D4-4EC8-831C-A08718265D6A}"/>
    <cellStyle name="Currency 3 2 5 2 2 3" xfId="11423" xr:uid="{0F5B46B5-6392-4087-BE90-101A6151D52E}"/>
    <cellStyle name="Currency 3 2 5 2 3" xfId="5054" xr:uid="{00000000-0005-0000-0000-0000470B0000}"/>
    <cellStyle name="Currency 3 2 5 2 3 2" xfId="13496" xr:uid="{273ADCF7-BCC5-46E7-9AF6-55A65059A015}"/>
    <cellStyle name="Currency 3 2 5 2 4" xfId="9278" xr:uid="{55ADB23C-C280-4BE2-BCFB-DC1281DE4C1D}"/>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9C45B275-16BE-497D-A83B-F9BFB4CBEA0E}"/>
    <cellStyle name="Currency 3 2 5 3 2 3" xfId="11836" xr:uid="{963799F5-7BDB-425D-A3F0-DC58CC082BA6}"/>
    <cellStyle name="Currency 3 2 5 3 3" xfId="5467" xr:uid="{00000000-0005-0000-0000-00004B0B0000}"/>
    <cellStyle name="Currency 3 2 5 3 3 2" xfId="13909" xr:uid="{4C1C0FBC-6058-49B1-B3B9-2083F9E0EF7C}"/>
    <cellStyle name="Currency 3 2 5 3 4" xfId="9691" xr:uid="{F33DBA5E-A32B-4F1A-AC87-0DC4615CED40}"/>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290AD980-A39F-4769-B913-4A8FDD374813}"/>
    <cellStyle name="Currency 3 2 5 4 2 3" xfId="12249" xr:uid="{CC0F2F95-DC03-413E-A567-6743D978387A}"/>
    <cellStyle name="Currency 3 2 5 4 3" xfId="5880" xr:uid="{00000000-0005-0000-0000-00004F0B0000}"/>
    <cellStyle name="Currency 3 2 5 4 3 2" xfId="14322" xr:uid="{B75174C8-744C-47FF-A84B-88E6F63828B1}"/>
    <cellStyle name="Currency 3 2 5 4 4" xfId="10104" xr:uid="{DFC33A31-6ED6-4744-AD09-494C29FBA9D1}"/>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D417C7E1-BA54-4549-A7B1-B7D8C9F08283}"/>
    <cellStyle name="Currency 3 2 5 5 2 3" xfId="12662" xr:uid="{61F5812D-B308-40E7-AE52-E6CCA73F3B7F}"/>
    <cellStyle name="Currency 3 2 5 5 3" xfId="6293" xr:uid="{00000000-0005-0000-0000-0000530B0000}"/>
    <cellStyle name="Currency 3 2 5 5 3 2" xfId="14735" xr:uid="{0597F106-27A8-41B3-B1B7-068365D41F86}"/>
    <cellStyle name="Currency 3 2 5 5 4" xfId="10517" xr:uid="{08B2CFEE-F8AB-423A-8FEE-CA9991CA3D41}"/>
    <cellStyle name="Currency 3 2 5 6" xfId="2421" xr:uid="{00000000-0005-0000-0000-0000540B0000}"/>
    <cellStyle name="Currency 3 2 5 6 2" xfId="6706" xr:uid="{00000000-0005-0000-0000-0000550B0000}"/>
    <cellStyle name="Currency 3 2 5 6 2 2" xfId="15148" xr:uid="{E46D9CBD-7C6F-4D5C-BD30-A573677D3215}"/>
    <cellStyle name="Currency 3 2 5 6 3" xfId="10930" xr:uid="{0EA4B207-4004-47C7-A147-41C8740FD1CC}"/>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99FFE5B3-1AD8-41E1-91D7-A5C0BFE6DBA7}"/>
    <cellStyle name="Currency 3 2 5 8 3" xfId="11247" xr:uid="{274EE152-8C03-4577-98AD-318496A08D26}"/>
    <cellStyle name="Currency 3 2 5 9" xfId="4640" xr:uid="{00000000-0005-0000-0000-0000590B0000}"/>
    <cellStyle name="Currency 3 2 5 9 2" xfId="13082" xr:uid="{3139E369-C92F-4CBF-928B-49978868716B}"/>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32868531-C514-478C-AC1D-7E12E023A27A}"/>
    <cellStyle name="Currency 5 2 2 2 10 3" xfId="11248" xr:uid="{2EABF1FF-69AA-4A91-9C81-B1C887048191}"/>
    <cellStyle name="Currency 5 2 2 2 11" xfId="4641" xr:uid="{00000000-0005-0000-0000-00006C0B0000}"/>
    <cellStyle name="Currency 5 2 2 2 11 2" xfId="13083" xr:uid="{4AFECF53-A95F-44B5-9C5E-4B0F00A90447}"/>
    <cellStyle name="Currency 5 2 2 2 12" xfId="8865" xr:uid="{3504173A-EC33-42CE-9F93-23859F150C1E}"/>
    <cellStyle name="Currency 5 2 2 2 2" xfId="197" xr:uid="{00000000-0005-0000-0000-00006D0B0000}"/>
    <cellStyle name="Currency 5 2 2 2 2 10" xfId="4642" xr:uid="{00000000-0005-0000-0000-00006E0B0000}"/>
    <cellStyle name="Currency 5 2 2 2 2 10 2" xfId="13084" xr:uid="{5A447AFF-1AFB-45B1-ADF1-5EEDCAE0909D}"/>
    <cellStyle name="Currency 5 2 2 2 2 11" xfId="8866" xr:uid="{1FB83D93-5545-49E0-AB6F-1D07FF7D89F0}"/>
    <cellStyle name="Currency 5 2 2 2 2 2" xfId="198" xr:uid="{00000000-0005-0000-0000-00006F0B0000}"/>
    <cellStyle name="Currency 5 2 2 2 2 2 10" xfId="8867" xr:uid="{F9D012ED-9C7D-4F79-95EB-5A6B263B8ED4}"/>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99921ED5-2BC0-44CF-948E-C96C52EF3C0E}"/>
    <cellStyle name="Currency 5 2 2 2 2 2 2 2 3" xfId="11426" xr:uid="{B881DDAB-3F09-4AAB-80BB-2768A5313958}"/>
    <cellStyle name="Currency 5 2 2 2 2 2 2 3" xfId="5057" xr:uid="{00000000-0005-0000-0000-0000730B0000}"/>
    <cellStyle name="Currency 5 2 2 2 2 2 2 3 2" xfId="13499" xr:uid="{7FD4F32D-39BB-4159-94D8-2FC9EFC5CCC3}"/>
    <cellStyle name="Currency 5 2 2 2 2 2 2 4" xfId="9281" xr:uid="{618FAC92-3BF5-48C5-A238-9FF979A7F29A}"/>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57191CCB-4B6B-4435-B29E-921D2DF3C06D}"/>
    <cellStyle name="Currency 5 2 2 2 2 2 3 2 3" xfId="11839" xr:uid="{C6CA4F17-D05A-4F35-9947-60C89C543BB6}"/>
    <cellStyle name="Currency 5 2 2 2 2 2 3 3" xfId="5470" xr:uid="{00000000-0005-0000-0000-0000770B0000}"/>
    <cellStyle name="Currency 5 2 2 2 2 2 3 3 2" xfId="13912" xr:uid="{BF52D9B0-1D71-4965-A126-B1C0438346C3}"/>
    <cellStyle name="Currency 5 2 2 2 2 2 3 4" xfId="9694" xr:uid="{C9433D19-5E72-4135-85A1-1ACF36DF1D36}"/>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5A7E0BCA-E9A3-4648-B16B-1B69941A3CCA}"/>
    <cellStyle name="Currency 5 2 2 2 2 2 4 2 3" xfId="12252" xr:uid="{F86728E2-68D8-41C0-9BAF-C144AE9279E7}"/>
    <cellStyle name="Currency 5 2 2 2 2 2 4 3" xfId="5883" xr:uid="{00000000-0005-0000-0000-00007B0B0000}"/>
    <cellStyle name="Currency 5 2 2 2 2 2 4 3 2" xfId="14325" xr:uid="{B584B51D-CCF5-4291-B857-F35AADF03D46}"/>
    <cellStyle name="Currency 5 2 2 2 2 2 4 4" xfId="10107" xr:uid="{488BE841-6928-4A3E-B1AE-95468EE9A97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AEB30AE3-EB6C-4AD0-835A-9A12FEE13CA8}"/>
    <cellStyle name="Currency 5 2 2 2 2 2 5 2 3" xfId="12665" xr:uid="{CF8F02ED-EF83-4825-A584-02169B56A255}"/>
    <cellStyle name="Currency 5 2 2 2 2 2 5 3" xfId="6296" xr:uid="{00000000-0005-0000-0000-00007F0B0000}"/>
    <cellStyle name="Currency 5 2 2 2 2 2 5 3 2" xfId="14738" xr:uid="{66D7BCA1-6BE9-416A-8D32-33BF96F27847}"/>
    <cellStyle name="Currency 5 2 2 2 2 2 5 4" xfId="10520" xr:uid="{C08B408F-5ED2-4DF7-BE89-81932CE381AB}"/>
    <cellStyle name="Currency 5 2 2 2 2 2 6" xfId="2424" xr:uid="{00000000-0005-0000-0000-0000800B0000}"/>
    <cellStyle name="Currency 5 2 2 2 2 2 6 2" xfId="6709" xr:uid="{00000000-0005-0000-0000-0000810B0000}"/>
    <cellStyle name="Currency 5 2 2 2 2 2 6 2 2" xfId="15151" xr:uid="{C96AC003-FE3C-4718-A67F-5D60E0C56FFE}"/>
    <cellStyle name="Currency 5 2 2 2 2 2 6 3" xfId="10933" xr:uid="{EE5BBAE1-EC89-4442-8533-C82E12E0B94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798D05C3-6D3C-46F1-BA3E-268A12A8833F}"/>
    <cellStyle name="Currency 5 2 2 2 2 2 8 3" xfId="11250" xr:uid="{FA25F224-5E9A-4B8F-A521-1C37AD5F98B1}"/>
    <cellStyle name="Currency 5 2 2 2 2 2 9" xfId="4643" xr:uid="{00000000-0005-0000-0000-0000850B0000}"/>
    <cellStyle name="Currency 5 2 2 2 2 2 9 2" xfId="13085" xr:uid="{6A8FA881-DAA6-4A96-A73E-E8110B371E27}"/>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337EAF92-350C-4FF5-8566-5A0E60AE92CA}"/>
    <cellStyle name="Currency 5 2 2 2 2 3 2 3" xfId="11425" xr:uid="{33C72859-D3EE-4326-81C5-1B96358C8B1E}"/>
    <cellStyle name="Currency 5 2 2 2 2 3 3" xfId="5056" xr:uid="{00000000-0005-0000-0000-0000890B0000}"/>
    <cellStyle name="Currency 5 2 2 2 2 3 3 2" xfId="13498" xr:uid="{5993ADE2-F15E-4F91-9748-936242522332}"/>
    <cellStyle name="Currency 5 2 2 2 2 3 4" xfId="9280" xr:uid="{116DB239-D30B-489E-B479-34715EFBB2E9}"/>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61EEB812-C78D-4429-9377-FC27828C74ED}"/>
    <cellStyle name="Currency 5 2 2 2 2 4 2 3" xfId="11838" xr:uid="{BDB50B95-EA15-4C1B-878E-69B70ECDF1F2}"/>
    <cellStyle name="Currency 5 2 2 2 2 4 3" xfId="5469" xr:uid="{00000000-0005-0000-0000-00008D0B0000}"/>
    <cellStyle name="Currency 5 2 2 2 2 4 3 2" xfId="13911" xr:uid="{20DF831C-688E-46BD-818E-9F2C8A8FD4D7}"/>
    <cellStyle name="Currency 5 2 2 2 2 4 4" xfId="9693" xr:uid="{001AD8DA-8C89-4CB2-B888-9955D703E394}"/>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9C334B8E-ABE6-4668-ACC0-FAAFC398CD0C}"/>
    <cellStyle name="Currency 5 2 2 2 2 5 2 3" xfId="12251" xr:uid="{2153458D-7056-4391-8E64-BFBFD9388F6E}"/>
    <cellStyle name="Currency 5 2 2 2 2 5 3" xfId="5882" xr:uid="{00000000-0005-0000-0000-0000910B0000}"/>
    <cellStyle name="Currency 5 2 2 2 2 5 3 2" xfId="14324" xr:uid="{3891857B-2351-45CB-BC4B-F15BED1330A1}"/>
    <cellStyle name="Currency 5 2 2 2 2 5 4" xfId="10106" xr:uid="{0BB88745-E49D-409B-A46D-4A41908EC54F}"/>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F6056657-B13B-4F18-89E6-C1F9E8CB05CB}"/>
    <cellStyle name="Currency 5 2 2 2 2 6 2 3" xfId="12664" xr:uid="{5709C95F-FABD-417C-ADC7-0C76F8ABBD90}"/>
    <cellStyle name="Currency 5 2 2 2 2 6 3" xfId="6295" xr:uid="{00000000-0005-0000-0000-0000950B0000}"/>
    <cellStyle name="Currency 5 2 2 2 2 6 3 2" xfId="14737" xr:uid="{9B9AF382-A8FD-43B0-A069-8FCF475A4BE7}"/>
    <cellStyle name="Currency 5 2 2 2 2 6 4" xfId="10519" xr:uid="{D65802E6-9E80-42BB-8EFA-50FC93E09E80}"/>
    <cellStyle name="Currency 5 2 2 2 2 7" xfId="2423" xr:uid="{00000000-0005-0000-0000-0000960B0000}"/>
    <cellStyle name="Currency 5 2 2 2 2 7 2" xfId="6708" xr:uid="{00000000-0005-0000-0000-0000970B0000}"/>
    <cellStyle name="Currency 5 2 2 2 2 7 2 2" xfId="15150" xr:uid="{10A0DFAC-0516-4B98-B74C-6A394C23F3AA}"/>
    <cellStyle name="Currency 5 2 2 2 2 7 3" xfId="10932" xr:uid="{0694B394-662B-4596-B076-CFBDC390C703}"/>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1058FDA4-C3EB-4326-8BBE-F6E1DA2CEB71}"/>
    <cellStyle name="Currency 5 2 2 2 2 9 3" xfId="11249" xr:uid="{43AB3AEE-1A54-4412-A599-F201D36CC5EE}"/>
    <cellStyle name="Currency 5 2 2 2 3" xfId="199" xr:uid="{00000000-0005-0000-0000-00009B0B0000}"/>
    <cellStyle name="Currency 5 2 2 2 3 10" xfId="8868" xr:uid="{5A15E90C-8A52-4A64-8649-0C186B62AD55}"/>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A4182AEE-7202-4474-B2FC-0CEE3022AEE9}"/>
    <cellStyle name="Currency 5 2 2 2 3 2 2 3" xfId="11427" xr:uid="{3280910F-1591-4C2B-91CF-FD8389F30584}"/>
    <cellStyle name="Currency 5 2 2 2 3 2 3" xfId="5058" xr:uid="{00000000-0005-0000-0000-00009F0B0000}"/>
    <cellStyle name="Currency 5 2 2 2 3 2 3 2" xfId="13500" xr:uid="{88985D04-53DD-488C-8A55-ABB1D52434F7}"/>
    <cellStyle name="Currency 5 2 2 2 3 2 4" xfId="9282" xr:uid="{D9BEB5BA-37C7-4BCF-A664-633686F12D7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4D89622D-1D27-47C5-B9F3-083812E6B75F}"/>
    <cellStyle name="Currency 5 2 2 2 3 3 2 3" xfId="11840" xr:uid="{F73E38DA-35D3-429A-A510-BD2919D06923}"/>
    <cellStyle name="Currency 5 2 2 2 3 3 3" xfId="5471" xr:uid="{00000000-0005-0000-0000-0000A30B0000}"/>
    <cellStyle name="Currency 5 2 2 2 3 3 3 2" xfId="13913" xr:uid="{C94C646B-03D2-4051-B45F-4B03CDCE4482}"/>
    <cellStyle name="Currency 5 2 2 2 3 3 4" xfId="9695" xr:uid="{3EEE6F81-BFA1-4CED-A120-61214BC1BAAB}"/>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60C0A7F3-5D8F-4681-9074-AD5717940823}"/>
    <cellStyle name="Currency 5 2 2 2 3 4 2 3" xfId="12253" xr:uid="{FB4C3825-C8E5-4BC8-9524-6FE9A16D8CF0}"/>
    <cellStyle name="Currency 5 2 2 2 3 4 3" xfId="5884" xr:uid="{00000000-0005-0000-0000-0000A70B0000}"/>
    <cellStyle name="Currency 5 2 2 2 3 4 3 2" xfId="14326" xr:uid="{FF85F6AC-25C0-4C60-B405-963323EBF085}"/>
    <cellStyle name="Currency 5 2 2 2 3 4 4" xfId="10108" xr:uid="{6038F000-D723-4244-9DAE-21760282935E}"/>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62ADDB80-8540-4F55-AE0B-309C98EBCF8C}"/>
    <cellStyle name="Currency 5 2 2 2 3 5 2 3" xfId="12666" xr:uid="{9E0B78B3-A51B-4290-A658-A9475B746EAF}"/>
    <cellStyle name="Currency 5 2 2 2 3 5 3" xfId="6297" xr:uid="{00000000-0005-0000-0000-0000AB0B0000}"/>
    <cellStyle name="Currency 5 2 2 2 3 5 3 2" xfId="14739" xr:uid="{004664D1-9516-4A6A-8533-1111B5C7AF65}"/>
    <cellStyle name="Currency 5 2 2 2 3 5 4" xfId="10521" xr:uid="{21472A06-84F8-4702-B115-537C439672CD}"/>
    <cellStyle name="Currency 5 2 2 2 3 6" xfId="2425" xr:uid="{00000000-0005-0000-0000-0000AC0B0000}"/>
    <cellStyle name="Currency 5 2 2 2 3 6 2" xfId="6710" xr:uid="{00000000-0005-0000-0000-0000AD0B0000}"/>
    <cellStyle name="Currency 5 2 2 2 3 6 2 2" xfId="15152" xr:uid="{E5F01388-B474-4FE3-A9C3-DA5AB64326BD}"/>
    <cellStyle name="Currency 5 2 2 2 3 6 3" xfId="10934" xr:uid="{256E8D57-202A-46F8-BC89-2BF484099058}"/>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45C1E150-BB0D-4B19-B528-32358822E279}"/>
    <cellStyle name="Currency 5 2 2 2 3 8 3" xfId="11251" xr:uid="{063B3B71-2202-426F-BBDD-34B81423A90D}"/>
    <cellStyle name="Currency 5 2 2 2 3 9" xfId="4644" xr:uid="{00000000-0005-0000-0000-0000B10B0000}"/>
    <cellStyle name="Currency 5 2 2 2 3 9 2" xfId="13086" xr:uid="{B3082F6A-A471-4785-BD95-81663998CC4C}"/>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3DEF76D1-8E0A-4206-92DF-94A0A66BF971}"/>
    <cellStyle name="Currency 5 2 2 2 4 2 3" xfId="11424" xr:uid="{2BDC5F36-2359-4144-9004-39A1549FCFC8}"/>
    <cellStyle name="Currency 5 2 2 2 4 3" xfId="5055" xr:uid="{00000000-0005-0000-0000-0000B50B0000}"/>
    <cellStyle name="Currency 5 2 2 2 4 3 2" xfId="13497" xr:uid="{D082ACDF-B6CA-4A4B-9A2D-E7F6E7496E18}"/>
    <cellStyle name="Currency 5 2 2 2 4 4" xfId="9279" xr:uid="{22B538B0-3900-473C-BF67-7D737254E47C}"/>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F7855BBB-9C0A-4CF7-B948-4A4B8405898B}"/>
    <cellStyle name="Currency 5 2 2 2 5 2 3" xfId="11837" xr:uid="{C0840835-9CA5-4815-B785-9E4DEDB85FC5}"/>
    <cellStyle name="Currency 5 2 2 2 5 3" xfId="5468" xr:uid="{00000000-0005-0000-0000-0000B90B0000}"/>
    <cellStyle name="Currency 5 2 2 2 5 3 2" xfId="13910" xr:uid="{A1705CDF-5351-4054-98EF-FB359082A29D}"/>
    <cellStyle name="Currency 5 2 2 2 5 4" xfId="9692" xr:uid="{8EBAB4CA-5434-4889-A4A6-C4DEC6C5043C}"/>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2D264412-529B-46BA-AF4B-E5C058040A45}"/>
    <cellStyle name="Currency 5 2 2 2 6 2 3" xfId="12250" xr:uid="{CA1165E0-B674-4AAA-B504-639C7BD6445B}"/>
    <cellStyle name="Currency 5 2 2 2 6 3" xfId="5881" xr:uid="{00000000-0005-0000-0000-0000BD0B0000}"/>
    <cellStyle name="Currency 5 2 2 2 6 3 2" xfId="14323" xr:uid="{6088247A-7A1E-43CC-A1EC-FE159B642817}"/>
    <cellStyle name="Currency 5 2 2 2 6 4" xfId="10105" xr:uid="{417E8911-DBEF-4E51-AAF7-084F8E37BC49}"/>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50DB5FDE-19C3-4442-9C9E-D8B5F64E040C}"/>
    <cellStyle name="Currency 5 2 2 2 7 2 3" xfId="12663" xr:uid="{A24DC1D0-DB9C-45AE-843F-ADD7B152F48E}"/>
    <cellStyle name="Currency 5 2 2 2 7 3" xfId="6294" xr:uid="{00000000-0005-0000-0000-0000C10B0000}"/>
    <cellStyle name="Currency 5 2 2 2 7 3 2" xfId="14736" xr:uid="{771EA0BF-8B54-4073-8281-1B832945A5FC}"/>
    <cellStyle name="Currency 5 2 2 2 7 4" xfId="10518" xr:uid="{7240E39F-8CC9-4830-B99B-580341F5010C}"/>
    <cellStyle name="Currency 5 2 2 2 8" xfId="2422" xr:uid="{00000000-0005-0000-0000-0000C20B0000}"/>
    <cellStyle name="Currency 5 2 2 2 8 2" xfId="6707" xr:uid="{00000000-0005-0000-0000-0000C30B0000}"/>
    <cellStyle name="Currency 5 2 2 2 8 2 2" xfId="15149" xr:uid="{E3C842A3-E55B-450D-B4DE-71416AC7D2C4}"/>
    <cellStyle name="Currency 5 2 2 2 8 3" xfId="10931" xr:uid="{44765E39-BFD8-49EE-8163-E6CB115F5CD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304AC2CD-ACF3-463E-BB2A-CE49E8B3EA60}"/>
    <cellStyle name="Currency 5 2 2 3 11" xfId="8869" xr:uid="{FCE34817-5335-4866-A11F-0BF32CF3E59E}"/>
    <cellStyle name="Currency 5 2 2 3 2" xfId="201" xr:uid="{00000000-0005-0000-0000-0000C70B0000}"/>
    <cellStyle name="Currency 5 2 2 3 2 10" xfId="8870" xr:uid="{A0BF2D1F-7971-4311-82BD-B9E0A1DF470E}"/>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A1658769-C47C-43EE-8A52-BBAB883FE7A6}"/>
    <cellStyle name="Currency 5 2 2 3 2 2 2 3" xfId="11429" xr:uid="{7330A200-5720-41EC-B0A1-D53E853F95DE}"/>
    <cellStyle name="Currency 5 2 2 3 2 2 3" xfId="5060" xr:uid="{00000000-0005-0000-0000-0000CB0B0000}"/>
    <cellStyle name="Currency 5 2 2 3 2 2 3 2" xfId="13502" xr:uid="{77B71EE1-66FC-400F-8B9C-8C7D275BDF87}"/>
    <cellStyle name="Currency 5 2 2 3 2 2 4" xfId="9284" xr:uid="{65D7BB6E-6DCA-4A3E-8DB7-A0FB4A1E829F}"/>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53DD9958-3C22-47FD-A6A2-005501968FF2}"/>
    <cellStyle name="Currency 5 2 2 3 2 3 2 3" xfId="11842" xr:uid="{4D53AA3E-F293-45C9-8535-7370B5CCCC29}"/>
    <cellStyle name="Currency 5 2 2 3 2 3 3" xfId="5473" xr:uid="{00000000-0005-0000-0000-0000CF0B0000}"/>
    <cellStyle name="Currency 5 2 2 3 2 3 3 2" xfId="13915" xr:uid="{BD2EE453-0CC7-4378-865A-5C0096800D71}"/>
    <cellStyle name="Currency 5 2 2 3 2 3 4" xfId="9697" xr:uid="{07BC3DFC-E2C9-4A37-94D8-B4DC7D7CC7B5}"/>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AED55EA6-48FE-4903-AB38-5FF014848A8F}"/>
    <cellStyle name="Currency 5 2 2 3 2 4 2 3" xfId="12255" xr:uid="{1A426A8F-05BD-462A-9361-81E7C4310ACC}"/>
    <cellStyle name="Currency 5 2 2 3 2 4 3" xfId="5886" xr:uid="{00000000-0005-0000-0000-0000D30B0000}"/>
    <cellStyle name="Currency 5 2 2 3 2 4 3 2" xfId="14328" xr:uid="{A3879994-8390-47DA-95C7-00BECF618D36}"/>
    <cellStyle name="Currency 5 2 2 3 2 4 4" xfId="10110" xr:uid="{A518F7D2-33E9-41B0-A054-41311A7EE3A9}"/>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3878B3EF-3F49-436F-8FC3-C37761CF0FE0}"/>
    <cellStyle name="Currency 5 2 2 3 2 5 2 3" xfId="12668" xr:uid="{EF092A65-4E2A-4695-A772-5CA60F708F78}"/>
    <cellStyle name="Currency 5 2 2 3 2 5 3" xfId="6299" xr:uid="{00000000-0005-0000-0000-0000D70B0000}"/>
    <cellStyle name="Currency 5 2 2 3 2 5 3 2" xfId="14741" xr:uid="{AD938136-42C5-4DC5-ABEB-C1BD07CF42B4}"/>
    <cellStyle name="Currency 5 2 2 3 2 5 4" xfId="10523" xr:uid="{EEDB3190-E5C5-4A16-9EAB-1881BE90BC96}"/>
    <cellStyle name="Currency 5 2 2 3 2 6" xfId="2427" xr:uid="{00000000-0005-0000-0000-0000D80B0000}"/>
    <cellStyle name="Currency 5 2 2 3 2 6 2" xfId="6712" xr:uid="{00000000-0005-0000-0000-0000D90B0000}"/>
    <cellStyle name="Currency 5 2 2 3 2 6 2 2" xfId="15154" xr:uid="{B2120C73-4F44-4386-B458-03F8B5F4F006}"/>
    <cellStyle name="Currency 5 2 2 3 2 6 3" xfId="10936" xr:uid="{B43FA808-AED9-4876-90EC-EB4BFEB7AF03}"/>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2E6DA5EB-F705-48BC-BFC4-63318C125F46}"/>
    <cellStyle name="Currency 5 2 2 3 2 8 3" xfId="11253" xr:uid="{8EBE1613-E88A-48CE-AA7D-D75759306A89}"/>
    <cellStyle name="Currency 5 2 2 3 2 9" xfId="4646" xr:uid="{00000000-0005-0000-0000-0000DD0B0000}"/>
    <cellStyle name="Currency 5 2 2 3 2 9 2" xfId="13088" xr:uid="{35B1065F-5B8D-4FA4-B7F7-EAB94EB107D3}"/>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B40C4572-688A-4DC9-B30B-C8350BCD223B}"/>
    <cellStyle name="Currency 5 2 2 3 3 2 3" xfId="11428" xr:uid="{410377AD-5043-413D-865D-13B8ACDE31EF}"/>
    <cellStyle name="Currency 5 2 2 3 3 3" xfId="5059" xr:uid="{00000000-0005-0000-0000-0000E10B0000}"/>
    <cellStyle name="Currency 5 2 2 3 3 3 2" xfId="13501" xr:uid="{DAE93DD2-C45A-4433-86B4-F99558F7DBCA}"/>
    <cellStyle name="Currency 5 2 2 3 3 4" xfId="9283" xr:uid="{118224A4-76D3-4F52-847A-A782D2C0873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918D4BB8-E0C2-4A44-8379-E1FF7BD18C7F}"/>
    <cellStyle name="Currency 5 2 2 3 4 2 3" xfId="11841" xr:uid="{4780E0BC-E8D0-491C-A1B3-82F7AF001C0F}"/>
    <cellStyle name="Currency 5 2 2 3 4 3" xfId="5472" xr:uid="{00000000-0005-0000-0000-0000E50B0000}"/>
    <cellStyle name="Currency 5 2 2 3 4 3 2" xfId="13914" xr:uid="{3FF5093B-D501-4FFB-A968-5B746874D812}"/>
    <cellStyle name="Currency 5 2 2 3 4 4" xfId="9696" xr:uid="{866077D3-9EE3-4F44-A988-54B8BE6C8D66}"/>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53560F9B-2105-4502-A5FC-7C44008A01EA}"/>
    <cellStyle name="Currency 5 2 2 3 5 2 3" xfId="12254" xr:uid="{D8767EFE-88DE-4FE1-8DB9-385EC380C8E2}"/>
    <cellStyle name="Currency 5 2 2 3 5 3" xfId="5885" xr:uid="{00000000-0005-0000-0000-0000E90B0000}"/>
    <cellStyle name="Currency 5 2 2 3 5 3 2" xfId="14327" xr:uid="{1315D766-ED7E-4166-BDEF-79B2CE094C92}"/>
    <cellStyle name="Currency 5 2 2 3 5 4" xfId="10109" xr:uid="{BB2D46DE-D036-4AD1-B3DF-EC80422B21F1}"/>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07C8041C-3EEC-4FCC-A48F-6931B5127E75}"/>
    <cellStyle name="Currency 5 2 2 3 6 2 3" xfId="12667" xr:uid="{2F24A59C-EA7E-4130-83E6-56063AE1C2F1}"/>
    <cellStyle name="Currency 5 2 2 3 6 3" xfId="6298" xr:uid="{00000000-0005-0000-0000-0000ED0B0000}"/>
    <cellStyle name="Currency 5 2 2 3 6 3 2" xfId="14740" xr:uid="{B8993834-94D5-44B3-BD9C-1B50768E9DD4}"/>
    <cellStyle name="Currency 5 2 2 3 6 4" xfId="10522" xr:uid="{654EAD0C-7E5E-4FD2-9C72-8869654E4ECB}"/>
    <cellStyle name="Currency 5 2 2 3 7" xfId="2426" xr:uid="{00000000-0005-0000-0000-0000EE0B0000}"/>
    <cellStyle name="Currency 5 2 2 3 7 2" xfId="6711" xr:uid="{00000000-0005-0000-0000-0000EF0B0000}"/>
    <cellStyle name="Currency 5 2 2 3 7 2 2" xfId="15153" xr:uid="{CC94AE72-1D39-4B23-9DB1-DF201FF71304}"/>
    <cellStyle name="Currency 5 2 2 3 7 3" xfId="10935" xr:uid="{0D8093F1-B754-47AC-8DB0-6C4F2EDD8B9B}"/>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70A962EB-ACC6-43B0-8276-DF1D8F5B43B5}"/>
    <cellStyle name="Currency 5 2 2 3 9 3" xfId="11252" xr:uid="{C70E50C2-BB22-4C18-9C00-9C120D52B422}"/>
    <cellStyle name="Currency 5 2 2 4" xfId="202" xr:uid="{00000000-0005-0000-0000-0000F30B0000}"/>
    <cellStyle name="Currency 5 2 2 4 10" xfId="8871" xr:uid="{32B5F302-3A24-4EB8-BC84-0E2B168C52E4}"/>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64A99070-7F01-4EA8-8B6E-6B2026C7DDEF}"/>
    <cellStyle name="Currency 5 2 2 4 2 2 3" xfId="11430" xr:uid="{EC7CA3DB-2968-4C3B-8B86-21D97643BF88}"/>
    <cellStyle name="Currency 5 2 2 4 2 3" xfId="5061" xr:uid="{00000000-0005-0000-0000-0000F70B0000}"/>
    <cellStyle name="Currency 5 2 2 4 2 3 2" xfId="13503" xr:uid="{B18EF74F-6870-494A-B2FE-3FF0F1CAA22A}"/>
    <cellStyle name="Currency 5 2 2 4 2 4" xfId="9285" xr:uid="{507BA4B1-86AC-4CF8-AE41-F0E60B0A7A7D}"/>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DBC7FDCE-4917-4C0E-9E7B-AFDA3FAA64F8}"/>
    <cellStyle name="Currency 5 2 2 4 3 2 3" xfId="11843" xr:uid="{0779EF8B-A646-4C7E-9F20-E3D73168FC90}"/>
    <cellStyle name="Currency 5 2 2 4 3 3" xfId="5474" xr:uid="{00000000-0005-0000-0000-0000FB0B0000}"/>
    <cellStyle name="Currency 5 2 2 4 3 3 2" xfId="13916" xr:uid="{AC04C37A-FC90-4F87-8CE8-4B87080F4880}"/>
    <cellStyle name="Currency 5 2 2 4 3 4" xfId="9698" xr:uid="{F080C802-419F-4661-96AD-46A013BE212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685F7B97-6624-4E1F-8D76-36A0FA38A17B}"/>
    <cellStyle name="Currency 5 2 2 4 4 2 3" xfId="12256" xr:uid="{9931C3E2-DD1C-4918-895C-CB93BB4BC9FD}"/>
    <cellStyle name="Currency 5 2 2 4 4 3" xfId="5887" xr:uid="{00000000-0005-0000-0000-0000FF0B0000}"/>
    <cellStyle name="Currency 5 2 2 4 4 3 2" xfId="14329" xr:uid="{CFF0B7C4-3754-440B-8A44-5A353BC023A8}"/>
    <cellStyle name="Currency 5 2 2 4 4 4" xfId="10111" xr:uid="{9B60A658-FC0A-43F0-AC22-19574839C7E7}"/>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2AC87CA5-0A08-424C-9BAD-B743B110575F}"/>
    <cellStyle name="Currency 5 2 2 4 5 2 3" xfId="12669" xr:uid="{4EA06ABB-DB9B-45FB-95A6-941C34D97B34}"/>
    <cellStyle name="Currency 5 2 2 4 5 3" xfId="6300" xr:uid="{00000000-0005-0000-0000-0000030C0000}"/>
    <cellStyle name="Currency 5 2 2 4 5 3 2" xfId="14742" xr:uid="{1AD9BBCD-27E7-4721-838C-8130E6F044F1}"/>
    <cellStyle name="Currency 5 2 2 4 5 4" xfId="10524" xr:uid="{C50B5F22-C191-4491-8038-6E2B6E4A4A7C}"/>
    <cellStyle name="Currency 5 2 2 4 6" xfId="2428" xr:uid="{00000000-0005-0000-0000-0000040C0000}"/>
    <cellStyle name="Currency 5 2 2 4 6 2" xfId="6713" xr:uid="{00000000-0005-0000-0000-0000050C0000}"/>
    <cellStyle name="Currency 5 2 2 4 6 2 2" xfId="15155" xr:uid="{7FCB876B-1A79-4983-916B-F245A7B6D503}"/>
    <cellStyle name="Currency 5 2 2 4 6 3" xfId="10937" xr:uid="{30CA7CFD-44A1-461C-8B7C-1C72BC5C487D}"/>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D01FF08B-82D9-4880-A15B-387DA0776AD5}"/>
    <cellStyle name="Currency 5 2 2 4 8 3" xfId="11254" xr:uid="{2A34CB34-02E0-4DDA-83C1-9F3DDD1FCE87}"/>
    <cellStyle name="Currency 5 2 2 4 9" xfId="4647" xr:uid="{00000000-0005-0000-0000-0000090C0000}"/>
    <cellStyle name="Currency 5 2 2 4 9 2" xfId="13089" xr:uid="{DC4D5165-2925-41E3-B6E6-D279E08DCF00}"/>
    <cellStyle name="Currency 5 2 2 5" xfId="203" xr:uid="{00000000-0005-0000-0000-00000A0C0000}"/>
    <cellStyle name="Currency 5 2 2 5 10" xfId="8872" xr:uid="{F9A71B77-C555-4238-9904-7B45B4D6BC5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9F65A9FA-24AD-48D5-A841-E2115EC660F5}"/>
    <cellStyle name="Currency 5 2 2 5 2 2 3" xfId="11431" xr:uid="{131C3472-1DAE-4E58-B2F3-06CEBD45ABE6}"/>
    <cellStyle name="Currency 5 2 2 5 2 3" xfId="5062" xr:uid="{00000000-0005-0000-0000-00000E0C0000}"/>
    <cellStyle name="Currency 5 2 2 5 2 3 2" xfId="13504" xr:uid="{FA92846C-42D2-49D7-AB43-3EDCAA193B6F}"/>
    <cellStyle name="Currency 5 2 2 5 2 4" xfId="9286" xr:uid="{C784742A-C9D6-4489-953F-022A23F94ACE}"/>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434B7580-7540-4859-9093-972EAD8026FB}"/>
    <cellStyle name="Currency 5 2 2 5 3 2 3" xfId="11844" xr:uid="{259577DC-F77B-4FE7-9850-CA8AE289C6F6}"/>
    <cellStyle name="Currency 5 2 2 5 3 3" xfId="5475" xr:uid="{00000000-0005-0000-0000-0000120C0000}"/>
    <cellStyle name="Currency 5 2 2 5 3 3 2" xfId="13917" xr:uid="{E7A77FAA-3868-4301-805C-B9BEC78DF752}"/>
    <cellStyle name="Currency 5 2 2 5 3 4" xfId="9699" xr:uid="{2D29EEFE-BF7C-4269-B071-8F563022FD42}"/>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89C355E2-220E-45F8-A028-812AC2DD3AE0}"/>
    <cellStyle name="Currency 5 2 2 5 4 2 3" xfId="12257" xr:uid="{BE564F28-E2D0-42CB-862B-FCA5C686B70D}"/>
    <cellStyle name="Currency 5 2 2 5 4 3" xfId="5888" xr:uid="{00000000-0005-0000-0000-0000160C0000}"/>
    <cellStyle name="Currency 5 2 2 5 4 3 2" xfId="14330" xr:uid="{EC07181A-7509-40DB-A22C-699C52028130}"/>
    <cellStyle name="Currency 5 2 2 5 4 4" xfId="10112" xr:uid="{9239BD97-0540-4783-A239-840BB2214287}"/>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667BE84A-6C0A-40CE-A813-CE26FF5A398F}"/>
    <cellStyle name="Currency 5 2 2 5 5 2 3" xfId="12670" xr:uid="{12731D1F-882D-4519-BD74-E6DD3B79552F}"/>
    <cellStyle name="Currency 5 2 2 5 5 3" xfId="6301" xr:uid="{00000000-0005-0000-0000-00001A0C0000}"/>
    <cellStyle name="Currency 5 2 2 5 5 3 2" xfId="14743" xr:uid="{CD2BBEFE-3CB2-426C-BB08-D742AFC7A42A}"/>
    <cellStyle name="Currency 5 2 2 5 5 4" xfId="10525" xr:uid="{7BA27BA8-5F29-4D32-8366-03AC2D27F52D}"/>
    <cellStyle name="Currency 5 2 2 5 6" xfId="2429" xr:uid="{00000000-0005-0000-0000-00001B0C0000}"/>
    <cellStyle name="Currency 5 2 2 5 6 2" xfId="6714" xr:uid="{00000000-0005-0000-0000-00001C0C0000}"/>
    <cellStyle name="Currency 5 2 2 5 6 2 2" xfId="15156" xr:uid="{4950B827-D3E4-493B-8B1B-301A06823DBA}"/>
    <cellStyle name="Currency 5 2 2 5 6 3" xfId="10938" xr:uid="{09814EAD-1986-49D6-8174-8D7C948C9A44}"/>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B8016FF8-DC99-48CF-A27D-980A108E8CD0}"/>
    <cellStyle name="Currency 5 2 2 5 8 3" xfId="11255" xr:uid="{52E6F122-7041-4B39-861D-0171768B2687}"/>
    <cellStyle name="Currency 5 2 2 5 9" xfId="4648" xr:uid="{00000000-0005-0000-0000-0000200C0000}"/>
    <cellStyle name="Currency 5 2 2 5 9 2" xfId="13090" xr:uid="{F5F6A267-B626-4971-8582-48FD44476653}"/>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955F8AF9-0F7F-46B4-8204-6AB77AA4AA4B}"/>
    <cellStyle name="Currency 5 2 4 11" xfId="8873" xr:uid="{012500C4-CD21-4769-AE5A-8B940C8D191A}"/>
    <cellStyle name="Currency 5 2 4 2" xfId="206" xr:uid="{00000000-0005-0000-0000-0000250C0000}"/>
    <cellStyle name="Currency 5 2 4 2 10" xfId="8874" xr:uid="{FBE21576-96E9-4780-BF37-F917A580C69A}"/>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1C218671-8854-444F-8C52-766CFD87303C}"/>
    <cellStyle name="Currency 5 2 4 2 2 2 3" xfId="11433" xr:uid="{F877C173-1BC1-42DE-ABE1-74385C4E7CBD}"/>
    <cellStyle name="Currency 5 2 4 2 2 3" xfId="5064" xr:uid="{00000000-0005-0000-0000-0000290C0000}"/>
    <cellStyle name="Currency 5 2 4 2 2 3 2" xfId="13506" xr:uid="{A00A7C33-5298-487E-A28A-74DF3FE6044A}"/>
    <cellStyle name="Currency 5 2 4 2 2 4" xfId="9288" xr:uid="{D88B9E60-E3EB-407D-83C1-ECF8C3D02111}"/>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6D90E337-4EFF-4169-967D-861022C7AAD0}"/>
    <cellStyle name="Currency 5 2 4 2 3 2 3" xfId="11846" xr:uid="{FF18B996-318B-4B7F-8BD8-1454E5098C89}"/>
    <cellStyle name="Currency 5 2 4 2 3 3" xfId="5477" xr:uid="{00000000-0005-0000-0000-00002D0C0000}"/>
    <cellStyle name="Currency 5 2 4 2 3 3 2" xfId="13919" xr:uid="{FBD6E633-6CBF-4179-8B73-57EE5A4AF76A}"/>
    <cellStyle name="Currency 5 2 4 2 3 4" xfId="9701" xr:uid="{D2CBA8D8-FCE5-481B-B226-F808A07D079D}"/>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F2E75E83-7794-4C28-B81A-63B6A71942D2}"/>
    <cellStyle name="Currency 5 2 4 2 4 2 3" xfId="12259" xr:uid="{74D022F3-3FEA-455E-961A-C654CC371DB5}"/>
    <cellStyle name="Currency 5 2 4 2 4 3" xfId="5890" xr:uid="{00000000-0005-0000-0000-0000310C0000}"/>
    <cellStyle name="Currency 5 2 4 2 4 3 2" xfId="14332" xr:uid="{E1CB91A4-7266-4BE8-B270-045F92E9ADB1}"/>
    <cellStyle name="Currency 5 2 4 2 4 4" xfId="10114" xr:uid="{479C37CF-6547-4B76-A231-7254C541F388}"/>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C9D9D323-8232-4F79-9F3A-BDE50B151027}"/>
    <cellStyle name="Currency 5 2 4 2 5 2 3" xfId="12672" xr:uid="{0B093AC4-13C9-4521-89B1-C356A6F6F7A0}"/>
    <cellStyle name="Currency 5 2 4 2 5 3" xfId="6303" xr:uid="{00000000-0005-0000-0000-0000350C0000}"/>
    <cellStyle name="Currency 5 2 4 2 5 3 2" xfId="14745" xr:uid="{0762E9EA-178F-4349-B9C6-BF06D7BDDDA7}"/>
    <cellStyle name="Currency 5 2 4 2 5 4" xfId="10527" xr:uid="{7F932CE4-36F9-4EB8-BB50-4FDA380CFEB9}"/>
    <cellStyle name="Currency 5 2 4 2 6" xfId="2431" xr:uid="{00000000-0005-0000-0000-0000360C0000}"/>
    <cellStyle name="Currency 5 2 4 2 6 2" xfId="6716" xr:uid="{00000000-0005-0000-0000-0000370C0000}"/>
    <cellStyle name="Currency 5 2 4 2 6 2 2" xfId="15158" xr:uid="{9D69E99A-814C-47A9-93D4-8547D32CC6EA}"/>
    <cellStyle name="Currency 5 2 4 2 6 3" xfId="10940" xr:uid="{88A076DB-803B-47BF-9A64-9E2B00FB025A}"/>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9500DF58-B83F-40AA-94DA-5E40C1FC50F2}"/>
    <cellStyle name="Currency 5 2 4 2 8 3" xfId="11257" xr:uid="{542CD703-1B78-4AAE-A743-E75F19201C87}"/>
    <cellStyle name="Currency 5 2 4 2 9" xfId="4650" xr:uid="{00000000-0005-0000-0000-00003B0C0000}"/>
    <cellStyle name="Currency 5 2 4 2 9 2" xfId="13092" xr:uid="{D4297303-B89E-4604-A8F5-7A636849C98A}"/>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21F2A46B-FC3D-4ACA-902E-A513708B3B60}"/>
    <cellStyle name="Currency 5 2 4 3 2 3" xfId="11432" xr:uid="{63451D38-9FB6-4445-8545-0BF0A8AB77C7}"/>
    <cellStyle name="Currency 5 2 4 3 3" xfId="5063" xr:uid="{00000000-0005-0000-0000-00003F0C0000}"/>
    <cellStyle name="Currency 5 2 4 3 3 2" xfId="13505" xr:uid="{16CC4786-8404-460E-854E-8A1728811CA8}"/>
    <cellStyle name="Currency 5 2 4 3 4" xfId="9287" xr:uid="{B19D862F-1583-401B-9396-473AF7900BDA}"/>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8BDFCC01-CA01-4DD5-9CFC-E9C8E1548000}"/>
    <cellStyle name="Currency 5 2 4 4 2 3" xfId="11845" xr:uid="{84AE0537-DF57-4E15-9A31-DDC463E30A75}"/>
    <cellStyle name="Currency 5 2 4 4 3" xfId="5476" xr:uid="{00000000-0005-0000-0000-0000430C0000}"/>
    <cellStyle name="Currency 5 2 4 4 3 2" xfId="13918" xr:uid="{D0CBEC0A-6B3F-4508-98F1-A14844069470}"/>
    <cellStyle name="Currency 5 2 4 4 4" xfId="9700" xr:uid="{521579BB-3D44-4CB1-9F6D-8118B6A8E5D7}"/>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4BD8B50B-6B62-45DC-B7A2-8EC884D9879B}"/>
    <cellStyle name="Currency 5 2 4 5 2 3" xfId="12258" xr:uid="{36C422FD-2337-4CA1-8076-AF3A98779749}"/>
    <cellStyle name="Currency 5 2 4 5 3" xfId="5889" xr:uid="{00000000-0005-0000-0000-0000470C0000}"/>
    <cellStyle name="Currency 5 2 4 5 3 2" xfId="14331" xr:uid="{A9DBACFF-7949-48F3-9837-3D1CAEEF2149}"/>
    <cellStyle name="Currency 5 2 4 5 4" xfId="10113" xr:uid="{8BA8C0C7-44F3-469A-9922-A397F61C313D}"/>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0AB6F956-2178-4591-9402-EA8DD7E4ED8E}"/>
    <cellStyle name="Currency 5 2 4 6 2 3" xfId="12671" xr:uid="{5B3AA10C-8E96-4E58-88EF-6CDF7B0177E9}"/>
    <cellStyle name="Currency 5 2 4 6 3" xfId="6302" xr:uid="{00000000-0005-0000-0000-00004B0C0000}"/>
    <cellStyle name="Currency 5 2 4 6 3 2" xfId="14744" xr:uid="{D2E1CB83-5CE7-4FC6-A133-FAE629F70494}"/>
    <cellStyle name="Currency 5 2 4 6 4" xfId="10526" xr:uid="{EC9BE9A6-62D2-4B02-A881-DB3FBA588BF2}"/>
    <cellStyle name="Currency 5 2 4 7" xfId="2430" xr:uid="{00000000-0005-0000-0000-00004C0C0000}"/>
    <cellStyle name="Currency 5 2 4 7 2" xfId="6715" xr:uid="{00000000-0005-0000-0000-00004D0C0000}"/>
    <cellStyle name="Currency 5 2 4 7 2 2" xfId="15157" xr:uid="{28DC4298-23A2-4D81-981C-A7DD55A8520D}"/>
    <cellStyle name="Currency 5 2 4 7 3" xfId="10939" xr:uid="{EE16F42A-763F-4900-B1CD-D919F3DEB9D4}"/>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BA8ED2B1-8017-4FC4-9845-3CF6D89660D9}"/>
    <cellStyle name="Currency 5 2 4 9 3" xfId="11256" xr:uid="{9A4881F5-F757-448D-BB30-B24F16ACF9FF}"/>
    <cellStyle name="Currency 5 2 5" xfId="207" xr:uid="{00000000-0005-0000-0000-0000510C0000}"/>
    <cellStyle name="Currency 5 2 5 10" xfId="8875" xr:uid="{D9D7D6D0-7C36-498A-8723-D86CA7900AC6}"/>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D5BA62BE-D521-4D74-A711-82A4096D6497}"/>
    <cellStyle name="Currency 5 2 5 2 2 3" xfId="11434" xr:uid="{FB9092F8-11D5-46D4-BA70-54ED5C8EF6DA}"/>
    <cellStyle name="Currency 5 2 5 2 3" xfId="5065" xr:uid="{00000000-0005-0000-0000-0000550C0000}"/>
    <cellStyle name="Currency 5 2 5 2 3 2" xfId="13507" xr:uid="{4C328C53-7430-40D1-A4B8-43722881FCC5}"/>
    <cellStyle name="Currency 5 2 5 2 4" xfId="9289" xr:uid="{7071A15A-7D37-457C-AF89-F9FBBE4B39DB}"/>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D1EBBD2F-98D5-4021-9995-F27B57CC96A8}"/>
    <cellStyle name="Currency 5 2 5 3 2 3" xfId="11847" xr:uid="{1433C224-C431-4F94-ABDC-FEA53BB805C7}"/>
    <cellStyle name="Currency 5 2 5 3 3" xfId="5478" xr:uid="{00000000-0005-0000-0000-0000590C0000}"/>
    <cellStyle name="Currency 5 2 5 3 3 2" xfId="13920" xr:uid="{F8427519-4A88-4663-8EFC-D50A9EDD1573}"/>
    <cellStyle name="Currency 5 2 5 3 4" xfId="9702" xr:uid="{130D19A5-C28D-418D-B626-CCDBE35D9CAE}"/>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4291E204-1455-412F-B8C9-AC2CB8649487}"/>
    <cellStyle name="Currency 5 2 5 4 2 3" xfId="12260" xr:uid="{5E8C26A1-92A6-4260-BAA8-5CE89DE52054}"/>
    <cellStyle name="Currency 5 2 5 4 3" xfId="5891" xr:uid="{00000000-0005-0000-0000-00005D0C0000}"/>
    <cellStyle name="Currency 5 2 5 4 3 2" xfId="14333" xr:uid="{34556A3B-5B4D-4D34-AE6A-0629AE92BAC2}"/>
    <cellStyle name="Currency 5 2 5 4 4" xfId="10115" xr:uid="{7E6A0266-BD48-4621-92B7-A415D5CEF6EA}"/>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30D8BD22-471F-48BC-B706-E8712C311756}"/>
    <cellStyle name="Currency 5 2 5 5 2 3" xfId="12673" xr:uid="{11B8D58D-D63F-4B9B-A1EB-03E3256299C7}"/>
    <cellStyle name="Currency 5 2 5 5 3" xfId="6304" xr:uid="{00000000-0005-0000-0000-0000610C0000}"/>
    <cellStyle name="Currency 5 2 5 5 3 2" xfId="14746" xr:uid="{66B24CB1-6BE7-435C-9B3E-999C820C80F0}"/>
    <cellStyle name="Currency 5 2 5 5 4" xfId="10528" xr:uid="{DDF6FE91-E6FC-470D-BB0A-67F17FC9314B}"/>
    <cellStyle name="Currency 5 2 5 6" xfId="2432" xr:uid="{00000000-0005-0000-0000-0000620C0000}"/>
    <cellStyle name="Currency 5 2 5 6 2" xfId="6717" xr:uid="{00000000-0005-0000-0000-0000630C0000}"/>
    <cellStyle name="Currency 5 2 5 6 2 2" xfId="15159" xr:uid="{05E15105-39B5-426E-988E-A55830923E4E}"/>
    <cellStyle name="Currency 5 2 5 6 3" xfId="10941" xr:uid="{00299CDB-4F4C-40A1-BD9E-1D5353C86DDD}"/>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6FAB7EBE-B85E-45EC-94DE-EBB7FEC3B534}"/>
    <cellStyle name="Currency 5 2 5 8 3" xfId="11258" xr:uid="{6105AFAC-CFC3-4571-9150-D269EDFAD14D}"/>
    <cellStyle name="Currency 5 2 5 9" xfId="4651" xr:uid="{00000000-0005-0000-0000-0000670C0000}"/>
    <cellStyle name="Currency 5 2 5 9 2" xfId="13093" xr:uid="{2E30F5B6-2C3E-4355-8BA4-B26AF6D5CC7C}"/>
    <cellStyle name="Currency 5 2 6" xfId="208" xr:uid="{00000000-0005-0000-0000-0000680C0000}"/>
    <cellStyle name="Currency 5 2 6 10" xfId="8876" xr:uid="{94321242-BDC6-4580-8950-724B83A6A08B}"/>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211647B0-F0EA-4162-9F6F-BD24A591CDED}"/>
    <cellStyle name="Currency 5 2 6 2 2 3" xfId="11435" xr:uid="{E2E91631-0E36-40E1-AF8B-88C305157F72}"/>
    <cellStyle name="Currency 5 2 6 2 3" xfId="5066" xr:uid="{00000000-0005-0000-0000-00006C0C0000}"/>
    <cellStyle name="Currency 5 2 6 2 3 2" xfId="13508" xr:uid="{FD604EDD-3DAB-4DA8-991A-4AE681B9EF69}"/>
    <cellStyle name="Currency 5 2 6 2 4" xfId="9290" xr:uid="{EB32DE80-44B1-47D2-AF42-D08514B17674}"/>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694987E6-9D6A-40F8-B42A-4989F3127B51}"/>
    <cellStyle name="Currency 5 2 6 3 2 3" xfId="11848" xr:uid="{B59BAA0B-1027-4677-800B-EEBF780C5A6A}"/>
    <cellStyle name="Currency 5 2 6 3 3" xfId="5479" xr:uid="{00000000-0005-0000-0000-0000700C0000}"/>
    <cellStyle name="Currency 5 2 6 3 3 2" xfId="13921" xr:uid="{A5F5243A-5AF9-4962-BE1B-B3DAAD5F4B64}"/>
    <cellStyle name="Currency 5 2 6 3 4" xfId="9703" xr:uid="{4C7565BE-0D4B-49B8-BEFE-F20F21118BF2}"/>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A6116023-E7DB-48C6-A0EE-7DAFB7140B24}"/>
    <cellStyle name="Currency 5 2 6 4 2 3" xfId="12261" xr:uid="{CE7924E1-E35F-45CA-B145-66CE2827CDB4}"/>
    <cellStyle name="Currency 5 2 6 4 3" xfId="5892" xr:uid="{00000000-0005-0000-0000-0000740C0000}"/>
    <cellStyle name="Currency 5 2 6 4 3 2" xfId="14334" xr:uid="{ABD49E7A-44C4-4192-8AE3-2A33CB48844B}"/>
    <cellStyle name="Currency 5 2 6 4 4" xfId="10116" xr:uid="{25CB5A8E-03E0-4224-8134-33EE37EFEF9F}"/>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F3F6BABB-1916-41CC-944A-CB417FE198D2}"/>
    <cellStyle name="Currency 5 2 6 5 2 3" xfId="12674" xr:uid="{7E60A0D8-EFC0-47AD-90A5-6E5521CC34BF}"/>
    <cellStyle name="Currency 5 2 6 5 3" xfId="6305" xr:uid="{00000000-0005-0000-0000-0000780C0000}"/>
    <cellStyle name="Currency 5 2 6 5 3 2" xfId="14747" xr:uid="{434E3275-0463-4867-B9B7-C54F201B7AF0}"/>
    <cellStyle name="Currency 5 2 6 5 4" xfId="10529" xr:uid="{C38328E1-0F47-48CF-9293-0A356A630C21}"/>
    <cellStyle name="Currency 5 2 6 6" xfId="2433" xr:uid="{00000000-0005-0000-0000-0000790C0000}"/>
    <cellStyle name="Currency 5 2 6 6 2" xfId="6718" xr:uid="{00000000-0005-0000-0000-00007A0C0000}"/>
    <cellStyle name="Currency 5 2 6 6 2 2" xfId="15160" xr:uid="{B92AEA49-D551-453E-B5A7-2884A60A0593}"/>
    <cellStyle name="Currency 5 2 6 6 3" xfId="10942" xr:uid="{0B90FDC8-AAB9-43A4-9C4D-1E7C3FA2B11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CE1E1302-0F2F-475C-886C-08E7856E6049}"/>
    <cellStyle name="Currency 5 2 6 8 3" xfId="11259" xr:uid="{FFFC71E8-92BF-4908-88F3-354BF2212B4B}"/>
    <cellStyle name="Currency 5 2 6 9" xfId="4652" xr:uid="{00000000-0005-0000-0000-00007E0C0000}"/>
    <cellStyle name="Currency 5 2 6 9 2" xfId="13094" xr:uid="{63F9E976-8B38-4EDD-8151-F5F6787F226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CB82B489-5620-4831-8994-36403687DC32}"/>
    <cellStyle name="Currency 5 3 2 10 3" xfId="11260" xr:uid="{0AC0B713-7461-46DB-9D30-774021F042D7}"/>
    <cellStyle name="Currency 5 3 2 11" xfId="4653" xr:uid="{00000000-0005-0000-0000-0000840C0000}"/>
    <cellStyle name="Currency 5 3 2 11 2" xfId="13095" xr:uid="{7000D928-6666-41E0-98DC-6D258D191723}"/>
    <cellStyle name="Currency 5 3 2 12" xfId="8877" xr:uid="{0D51841C-1903-4CFE-86B3-A5E4FCFEAE55}"/>
    <cellStyle name="Currency 5 3 2 2" xfId="211" xr:uid="{00000000-0005-0000-0000-0000850C0000}"/>
    <cellStyle name="Currency 5 3 2 2 10" xfId="4654" xr:uid="{00000000-0005-0000-0000-0000860C0000}"/>
    <cellStyle name="Currency 5 3 2 2 10 2" xfId="13096" xr:uid="{53A49253-B90F-45EC-8B9C-B9743AC1C8F3}"/>
    <cellStyle name="Currency 5 3 2 2 11" xfId="8878" xr:uid="{180A8D56-3C2B-4723-B210-1AE6DB11311A}"/>
    <cellStyle name="Currency 5 3 2 2 2" xfId="212" xr:uid="{00000000-0005-0000-0000-0000870C0000}"/>
    <cellStyle name="Currency 5 3 2 2 2 10" xfId="8879" xr:uid="{BBF9AA6B-D1EB-4788-A729-0755AB5320BD}"/>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527E0B04-1AB6-4A42-ADFD-176891E28174}"/>
    <cellStyle name="Currency 5 3 2 2 2 2 2 3" xfId="11438" xr:uid="{E32F3B6A-CD9E-4A7A-84BC-75573CE1CE4D}"/>
    <cellStyle name="Currency 5 3 2 2 2 2 3" xfId="5069" xr:uid="{00000000-0005-0000-0000-00008B0C0000}"/>
    <cellStyle name="Currency 5 3 2 2 2 2 3 2" xfId="13511" xr:uid="{AE3ECDC6-3F0D-42F6-89EA-9FA3F813AA05}"/>
    <cellStyle name="Currency 5 3 2 2 2 2 4" xfId="9293" xr:uid="{E2E2DF2E-B2BA-4C49-A4DA-04647D40B02A}"/>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C8B8C037-41CF-4642-8AFD-6E54358AA8CB}"/>
    <cellStyle name="Currency 5 3 2 2 2 3 2 3" xfId="11851" xr:uid="{7DF10708-38CD-4461-88A0-D7E4BB24CC9B}"/>
    <cellStyle name="Currency 5 3 2 2 2 3 3" xfId="5482" xr:uid="{00000000-0005-0000-0000-00008F0C0000}"/>
    <cellStyle name="Currency 5 3 2 2 2 3 3 2" xfId="13924" xr:uid="{9005F7ED-2CF8-4672-9B59-2FCA216562FD}"/>
    <cellStyle name="Currency 5 3 2 2 2 3 4" xfId="9706" xr:uid="{27D6A9CC-78E0-4C21-970F-0F14BD00FCDA}"/>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A938E1CD-1BCE-4E88-BD0A-30F44AF67C20}"/>
    <cellStyle name="Currency 5 3 2 2 2 4 2 3" xfId="12264" xr:uid="{A842E8AD-0B3B-413A-ADB5-877585B33519}"/>
    <cellStyle name="Currency 5 3 2 2 2 4 3" xfId="5895" xr:uid="{00000000-0005-0000-0000-0000930C0000}"/>
    <cellStyle name="Currency 5 3 2 2 2 4 3 2" xfId="14337" xr:uid="{38E7B441-8D49-44CC-9829-3F0A3D7AFAE8}"/>
    <cellStyle name="Currency 5 3 2 2 2 4 4" xfId="10119" xr:uid="{45591D8E-52D2-4E3A-8E2E-0D38B7D52669}"/>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B08DE94C-113A-4500-872A-D293C6F2558A}"/>
    <cellStyle name="Currency 5 3 2 2 2 5 2 3" xfId="12677" xr:uid="{82D4D02A-FD5B-4BA1-8FEC-85934BBA2652}"/>
    <cellStyle name="Currency 5 3 2 2 2 5 3" xfId="6308" xr:uid="{00000000-0005-0000-0000-0000970C0000}"/>
    <cellStyle name="Currency 5 3 2 2 2 5 3 2" xfId="14750" xr:uid="{AC6D2925-C317-4BF2-842B-B05A8BD5E298}"/>
    <cellStyle name="Currency 5 3 2 2 2 5 4" xfId="10532" xr:uid="{D77B6FC6-AD7D-4743-AF30-B524701CF630}"/>
    <cellStyle name="Currency 5 3 2 2 2 6" xfId="2436" xr:uid="{00000000-0005-0000-0000-0000980C0000}"/>
    <cellStyle name="Currency 5 3 2 2 2 6 2" xfId="6721" xr:uid="{00000000-0005-0000-0000-0000990C0000}"/>
    <cellStyle name="Currency 5 3 2 2 2 6 2 2" xfId="15163" xr:uid="{4546036B-3AE6-4053-8428-A6FB9A732F3C}"/>
    <cellStyle name="Currency 5 3 2 2 2 6 3" xfId="10945" xr:uid="{305DD915-F287-426D-BAB4-0C5963554398}"/>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8BB21CE1-4B32-46F1-B014-8B404E33D8D0}"/>
    <cellStyle name="Currency 5 3 2 2 2 8 3" xfId="11262" xr:uid="{6BC3A72C-2B97-4B5D-BFD0-1E04746054D8}"/>
    <cellStyle name="Currency 5 3 2 2 2 9" xfId="4655" xr:uid="{00000000-0005-0000-0000-00009D0C0000}"/>
    <cellStyle name="Currency 5 3 2 2 2 9 2" xfId="13097" xr:uid="{65A3540D-C1A8-4167-83FA-61ED263F1A82}"/>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D68EDDF4-14BB-4186-9E05-6DEF3A537A90}"/>
    <cellStyle name="Currency 5 3 2 2 3 2 3" xfId="11437" xr:uid="{077D472F-1FDA-45A5-AF65-44F002CE9FF0}"/>
    <cellStyle name="Currency 5 3 2 2 3 3" xfId="5068" xr:uid="{00000000-0005-0000-0000-0000A10C0000}"/>
    <cellStyle name="Currency 5 3 2 2 3 3 2" xfId="13510" xr:uid="{A8EBBE41-4F19-4227-9C3C-957CC2B656A3}"/>
    <cellStyle name="Currency 5 3 2 2 3 4" xfId="9292" xr:uid="{8D537B8E-2EC7-48DF-BA2B-C18EB2DD06F5}"/>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F78B750A-58E3-4228-A603-5BF31BA2B67D}"/>
    <cellStyle name="Currency 5 3 2 2 4 2 3" xfId="11850" xr:uid="{7E061E91-0BC3-4614-B212-9B7E3C063A4C}"/>
    <cellStyle name="Currency 5 3 2 2 4 3" xfId="5481" xr:uid="{00000000-0005-0000-0000-0000A50C0000}"/>
    <cellStyle name="Currency 5 3 2 2 4 3 2" xfId="13923" xr:uid="{7B274E05-9E09-4ED8-B694-E001F5D187C3}"/>
    <cellStyle name="Currency 5 3 2 2 4 4" xfId="9705" xr:uid="{2FFB48A9-8B5A-4A9A-836A-D133FE1357AD}"/>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5773C899-52AA-48F0-97BE-D9BF27768E9B}"/>
    <cellStyle name="Currency 5 3 2 2 5 2 3" xfId="12263" xr:uid="{E210CA15-5AE3-4000-9C7D-52D8D5F0DF4A}"/>
    <cellStyle name="Currency 5 3 2 2 5 3" xfId="5894" xr:uid="{00000000-0005-0000-0000-0000A90C0000}"/>
    <cellStyle name="Currency 5 3 2 2 5 3 2" xfId="14336" xr:uid="{0B55C3F2-DC58-4532-A4BE-DEBB713A3002}"/>
    <cellStyle name="Currency 5 3 2 2 5 4" xfId="10118" xr:uid="{F5508615-F6A6-41ED-BC55-6BFDF9DE4E57}"/>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A1FC6742-17C9-4B8B-90FF-DC39E9E1D055}"/>
    <cellStyle name="Currency 5 3 2 2 6 2 3" xfId="12676" xr:uid="{D946EB59-1389-428D-B941-12B72C36C5E4}"/>
    <cellStyle name="Currency 5 3 2 2 6 3" xfId="6307" xr:uid="{00000000-0005-0000-0000-0000AD0C0000}"/>
    <cellStyle name="Currency 5 3 2 2 6 3 2" xfId="14749" xr:uid="{D15B5497-99F2-4C30-B8B7-56E8A58B2D05}"/>
    <cellStyle name="Currency 5 3 2 2 6 4" xfId="10531" xr:uid="{B5B026BE-3D2F-4BEC-B1E3-1A31E7F8F90D}"/>
    <cellStyle name="Currency 5 3 2 2 7" xfId="2435" xr:uid="{00000000-0005-0000-0000-0000AE0C0000}"/>
    <cellStyle name="Currency 5 3 2 2 7 2" xfId="6720" xr:uid="{00000000-0005-0000-0000-0000AF0C0000}"/>
    <cellStyle name="Currency 5 3 2 2 7 2 2" xfId="15162" xr:uid="{68124FBC-4BF8-4245-817F-996F3B08DEF6}"/>
    <cellStyle name="Currency 5 3 2 2 7 3" xfId="10944" xr:uid="{C3E2EB50-9A91-4A91-9F72-2A69172FC422}"/>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04555052-9657-41C7-BCF0-F072FC66D931}"/>
    <cellStyle name="Currency 5 3 2 2 9 3" xfId="11261" xr:uid="{76804D95-A687-446B-A43B-60CE6C297328}"/>
    <cellStyle name="Currency 5 3 2 3" xfId="213" xr:uid="{00000000-0005-0000-0000-0000B30C0000}"/>
    <cellStyle name="Currency 5 3 2 3 10" xfId="8880" xr:uid="{D317A34F-ABE2-4916-9105-AF79D50812F6}"/>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948CC55D-548D-49F8-929C-54EF904B25A9}"/>
    <cellStyle name="Currency 5 3 2 3 2 2 3" xfId="11439" xr:uid="{39109A4E-7B94-4BA5-878A-AAA623D11B48}"/>
    <cellStyle name="Currency 5 3 2 3 2 3" xfId="5070" xr:uid="{00000000-0005-0000-0000-0000B70C0000}"/>
    <cellStyle name="Currency 5 3 2 3 2 3 2" xfId="13512" xr:uid="{AA55CBCF-5132-45C3-913E-54E5A724F803}"/>
    <cellStyle name="Currency 5 3 2 3 2 4" xfId="9294" xr:uid="{0DC028A3-6FA2-4C1B-B87C-17FCDC0A26DF}"/>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4663B44D-6D8F-49A7-B0F4-E4DD78B39151}"/>
    <cellStyle name="Currency 5 3 2 3 3 2 3" xfId="11852" xr:uid="{6617BDCE-561B-4879-8ED4-F2FEBD406F1C}"/>
    <cellStyle name="Currency 5 3 2 3 3 3" xfId="5483" xr:uid="{00000000-0005-0000-0000-0000BB0C0000}"/>
    <cellStyle name="Currency 5 3 2 3 3 3 2" xfId="13925" xr:uid="{3E9169DA-2026-4A78-B65B-C6E7BC5C4C36}"/>
    <cellStyle name="Currency 5 3 2 3 3 4" xfId="9707" xr:uid="{89CC9334-3CB5-41D8-B45F-0D518A1ED9E2}"/>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50CB2E8C-CF44-4A51-94DB-4EA34BBB5C0E}"/>
    <cellStyle name="Currency 5 3 2 3 4 2 3" xfId="12265" xr:uid="{9C9797B3-97BC-43FE-B6C6-42FBAA46E6F2}"/>
    <cellStyle name="Currency 5 3 2 3 4 3" xfId="5896" xr:uid="{00000000-0005-0000-0000-0000BF0C0000}"/>
    <cellStyle name="Currency 5 3 2 3 4 3 2" xfId="14338" xr:uid="{63A3B40E-D55E-48DF-9CB8-9559BDDF0C59}"/>
    <cellStyle name="Currency 5 3 2 3 4 4" xfId="10120" xr:uid="{672B1C7B-2D0B-409D-A6EF-3A83E1F242D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B3143C85-22C8-41F3-922B-C3B2806EC3AA}"/>
    <cellStyle name="Currency 5 3 2 3 5 2 3" xfId="12678" xr:uid="{7F2D646B-B4E2-4675-B7ED-6ADFB8B53D52}"/>
    <cellStyle name="Currency 5 3 2 3 5 3" xfId="6309" xr:uid="{00000000-0005-0000-0000-0000C30C0000}"/>
    <cellStyle name="Currency 5 3 2 3 5 3 2" xfId="14751" xr:uid="{96197112-5BC3-45F9-B232-8F0CB68BD601}"/>
    <cellStyle name="Currency 5 3 2 3 5 4" xfId="10533" xr:uid="{6BEF7857-DE59-4A51-A14C-DACAB41ACCE8}"/>
    <cellStyle name="Currency 5 3 2 3 6" xfId="2437" xr:uid="{00000000-0005-0000-0000-0000C40C0000}"/>
    <cellStyle name="Currency 5 3 2 3 6 2" xfId="6722" xr:uid="{00000000-0005-0000-0000-0000C50C0000}"/>
    <cellStyle name="Currency 5 3 2 3 6 2 2" xfId="15164" xr:uid="{D64CD20D-4E88-4246-B136-4AF1DD855FE0}"/>
    <cellStyle name="Currency 5 3 2 3 6 3" xfId="10946" xr:uid="{A88D9909-DAF6-43A0-BB04-5E3763AED4CB}"/>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4271EF8B-DC32-4D7D-AE61-20F0DD0D6C7A}"/>
    <cellStyle name="Currency 5 3 2 3 8 3" xfId="11263" xr:uid="{F0B80491-C59F-4158-896E-FECAC1A78FDE}"/>
    <cellStyle name="Currency 5 3 2 3 9" xfId="4656" xr:uid="{00000000-0005-0000-0000-0000C90C0000}"/>
    <cellStyle name="Currency 5 3 2 3 9 2" xfId="13098" xr:uid="{65EEF5B8-41BB-45F2-8136-CF87CB8EDA7D}"/>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0489E8E6-C514-4C29-A409-CB0C5C68570D}"/>
    <cellStyle name="Currency 5 3 2 4 2 3" xfId="11436" xr:uid="{F646D83F-3074-4F60-9E47-E326EB20D03B}"/>
    <cellStyle name="Currency 5 3 2 4 3" xfId="5067" xr:uid="{00000000-0005-0000-0000-0000CD0C0000}"/>
    <cellStyle name="Currency 5 3 2 4 3 2" xfId="13509" xr:uid="{E0AEA5B4-3B02-4EBB-A3F5-05B84A97B43C}"/>
    <cellStyle name="Currency 5 3 2 4 4" xfId="9291" xr:uid="{8E0EAEE2-5841-41E6-BA89-29378A352F89}"/>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0F57EF81-C55C-4EC4-AF05-769E64B6C1E1}"/>
    <cellStyle name="Currency 5 3 2 5 2 3" xfId="11849" xr:uid="{8F3F6E7F-DD3C-4110-9A41-38B6432AD10E}"/>
    <cellStyle name="Currency 5 3 2 5 3" xfId="5480" xr:uid="{00000000-0005-0000-0000-0000D10C0000}"/>
    <cellStyle name="Currency 5 3 2 5 3 2" xfId="13922" xr:uid="{11C020FE-D710-42C3-8B03-E282207CCADF}"/>
    <cellStyle name="Currency 5 3 2 5 4" xfId="9704" xr:uid="{C488E496-4055-43C7-A98E-26080EA523E7}"/>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FC0C7CD2-5B1C-4EA4-B379-8465FAC7CD6B}"/>
    <cellStyle name="Currency 5 3 2 6 2 3" xfId="12262" xr:uid="{FBF90F35-6221-4D73-998F-639E0565C976}"/>
    <cellStyle name="Currency 5 3 2 6 3" xfId="5893" xr:uid="{00000000-0005-0000-0000-0000D50C0000}"/>
    <cellStyle name="Currency 5 3 2 6 3 2" xfId="14335" xr:uid="{54377E43-AB2B-4A1F-83B0-3121B2C5C562}"/>
    <cellStyle name="Currency 5 3 2 6 4" xfId="10117" xr:uid="{6438341C-CC34-4946-B118-9E35899C0516}"/>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BAA62849-3B3F-4EBF-924E-3CBBDE75B650}"/>
    <cellStyle name="Currency 5 3 2 7 2 3" xfId="12675" xr:uid="{282B22F8-30EC-46D6-BBCD-96F6363841BD}"/>
    <cellStyle name="Currency 5 3 2 7 3" xfId="6306" xr:uid="{00000000-0005-0000-0000-0000D90C0000}"/>
    <cellStyle name="Currency 5 3 2 7 3 2" xfId="14748" xr:uid="{031DFFD2-0057-4411-95A3-0C217317E332}"/>
    <cellStyle name="Currency 5 3 2 7 4" xfId="10530" xr:uid="{9CC93913-4F32-4874-8607-5DDB08E1DA80}"/>
    <cellStyle name="Currency 5 3 2 8" xfId="2434" xr:uid="{00000000-0005-0000-0000-0000DA0C0000}"/>
    <cellStyle name="Currency 5 3 2 8 2" xfId="6719" xr:uid="{00000000-0005-0000-0000-0000DB0C0000}"/>
    <cellStyle name="Currency 5 3 2 8 2 2" xfId="15161" xr:uid="{A4C141DE-2E24-4671-AFA0-DAB8EB51D552}"/>
    <cellStyle name="Currency 5 3 2 8 3" xfId="10943" xr:uid="{1546B300-973E-4BDA-A031-620D70DAC706}"/>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036942D8-F8AB-4894-9FBA-554DD9A6E910}"/>
    <cellStyle name="Currency 5 3 3 11" xfId="8881" xr:uid="{6E7759B3-54A9-4EFA-8E96-A2BC05BB4383}"/>
    <cellStyle name="Currency 5 3 3 2" xfId="215" xr:uid="{00000000-0005-0000-0000-0000DF0C0000}"/>
    <cellStyle name="Currency 5 3 3 2 10" xfId="8882" xr:uid="{70083190-D134-4438-85FB-DF141045109D}"/>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6CF9BEEC-831E-4264-A4AC-1E3BECD5183B}"/>
    <cellStyle name="Currency 5 3 3 2 2 2 3" xfId="11441" xr:uid="{2AE73F98-6BF5-4B0E-A21C-6D7660DDC67E}"/>
    <cellStyle name="Currency 5 3 3 2 2 3" xfId="5072" xr:uid="{00000000-0005-0000-0000-0000E30C0000}"/>
    <cellStyle name="Currency 5 3 3 2 2 3 2" xfId="13514" xr:uid="{DAC73562-C650-4DDB-82C5-8DD5DEFAA840}"/>
    <cellStyle name="Currency 5 3 3 2 2 4" xfId="9296" xr:uid="{ACBD592E-83F2-472D-B002-8D6ADCE6165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4AC895F0-40F3-437A-A31B-12111FC0DFF4}"/>
    <cellStyle name="Currency 5 3 3 2 3 2 3" xfId="11854" xr:uid="{62295B58-02EF-4652-959F-271011ACAEAF}"/>
    <cellStyle name="Currency 5 3 3 2 3 3" xfId="5485" xr:uid="{00000000-0005-0000-0000-0000E70C0000}"/>
    <cellStyle name="Currency 5 3 3 2 3 3 2" xfId="13927" xr:uid="{BAEB518A-738A-4A17-A00C-743FB1A462A8}"/>
    <cellStyle name="Currency 5 3 3 2 3 4" xfId="9709" xr:uid="{E9A4FC93-FDAF-42CB-B4B2-BE31FCD5F91B}"/>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BFD7CA98-029C-44FC-BF53-554ED5354B60}"/>
    <cellStyle name="Currency 5 3 3 2 4 2 3" xfId="12267" xr:uid="{FA912D8F-A2E5-4568-99AB-A528DACB31E1}"/>
    <cellStyle name="Currency 5 3 3 2 4 3" xfId="5898" xr:uid="{00000000-0005-0000-0000-0000EB0C0000}"/>
    <cellStyle name="Currency 5 3 3 2 4 3 2" xfId="14340" xr:uid="{0D1B440C-F1DF-464D-B75F-ECAE8691EE3A}"/>
    <cellStyle name="Currency 5 3 3 2 4 4" xfId="10122" xr:uid="{EC4BBCBF-86D6-4956-B775-F1A0A177E5DB}"/>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618D532F-D1F4-4438-B7A6-6344B200101F}"/>
    <cellStyle name="Currency 5 3 3 2 5 2 3" xfId="12680" xr:uid="{B876B829-3787-4C5D-A710-C326FD3A10FF}"/>
    <cellStyle name="Currency 5 3 3 2 5 3" xfId="6311" xr:uid="{00000000-0005-0000-0000-0000EF0C0000}"/>
    <cellStyle name="Currency 5 3 3 2 5 3 2" xfId="14753" xr:uid="{539B7595-E101-48B4-92E4-CB9CD198DED1}"/>
    <cellStyle name="Currency 5 3 3 2 5 4" xfId="10535" xr:uid="{299523AB-AC81-4C93-9612-CB466113731C}"/>
    <cellStyle name="Currency 5 3 3 2 6" xfId="2439" xr:uid="{00000000-0005-0000-0000-0000F00C0000}"/>
    <cellStyle name="Currency 5 3 3 2 6 2" xfId="6724" xr:uid="{00000000-0005-0000-0000-0000F10C0000}"/>
    <cellStyle name="Currency 5 3 3 2 6 2 2" xfId="15166" xr:uid="{57175B36-8337-429B-AEDE-CE250D3AE0BE}"/>
    <cellStyle name="Currency 5 3 3 2 6 3" xfId="10948" xr:uid="{6CFB7CFD-C730-4F7D-9E94-BD13319AD85A}"/>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5E6ADCBC-5CAE-4FB8-94FC-61B299061BFB}"/>
    <cellStyle name="Currency 5 3 3 2 8 3" xfId="11265" xr:uid="{5C1C2DDB-1066-40DF-88C6-098E62E66232}"/>
    <cellStyle name="Currency 5 3 3 2 9" xfId="4658" xr:uid="{00000000-0005-0000-0000-0000F50C0000}"/>
    <cellStyle name="Currency 5 3 3 2 9 2" xfId="13100" xr:uid="{BBB0AA62-E4E3-4E4E-9ED4-48C37C391DF8}"/>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1B475659-347E-47CA-9DC8-2F17EE42F067}"/>
    <cellStyle name="Currency 5 3 3 3 2 3" xfId="11440" xr:uid="{D9DB5CCC-17E3-404E-9A33-9924D6CFA3EA}"/>
    <cellStyle name="Currency 5 3 3 3 3" xfId="5071" xr:uid="{00000000-0005-0000-0000-0000F90C0000}"/>
    <cellStyle name="Currency 5 3 3 3 3 2" xfId="13513" xr:uid="{7DFD2388-AC90-4230-8E36-969DD5D352F9}"/>
    <cellStyle name="Currency 5 3 3 3 4" xfId="9295" xr:uid="{CE03B00D-6EB7-408E-85F6-13A812C9CEA8}"/>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2D742C53-35FA-4614-A3FB-E6B5C905967B}"/>
    <cellStyle name="Currency 5 3 3 4 2 3" xfId="11853" xr:uid="{A73F5D87-90F2-4C9F-8253-536633CD86C7}"/>
    <cellStyle name="Currency 5 3 3 4 3" xfId="5484" xr:uid="{00000000-0005-0000-0000-0000FD0C0000}"/>
    <cellStyle name="Currency 5 3 3 4 3 2" xfId="13926" xr:uid="{D9DCB311-B123-4362-93A3-C48A3895D989}"/>
    <cellStyle name="Currency 5 3 3 4 4" xfId="9708" xr:uid="{8B1708D0-94D1-40A8-AEA2-16D47E84C35C}"/>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388A9DF1-E128-4E2F-A2EC-A5133B71BC82}"/>
    <cellStyle name="Currency 5 3 3 5 2 3" xfId="12266" xr:uid="{3D263B25-7628-4D9C-B832-FF5960EC484C}"/>
    <cellStyle name="Currency 5 3 3 5 3" xfId="5897" xr:uid="{00000000-0005-0000-0000-0000010D0000}"/>
    <cellStyle name="Currency 5 3 3 5 3 2" xfId="14339" xr:uid="{3DF17524-4599-4D58-9CA2-6B33D6502503}"/>
    <cellStyle name="Currency 5 3 3 5 4" xfId="10121" xr:uid="{43A5F380-0992-40A8-9BE3-3C22993DA506}"/>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B7D7B79F-D23C-4228-AF71-1F3B5CCDCC2F}"/>
    <cellStyle name="Currency 5 3 3 6 2 3" xfId="12679" xr:uid="{23903AE2-B998-42FA-A65D-ADC38A60ED74}"/>
    <cellStyle name="Currency 5 3 3 6 3" xfId="6310" xr:uid="{00000000-0005-0000-0000-0000050D0000}"/>
    <cellStyle name="Currency 5 3 3 6 3 2" xfId="14752" xr:uid="{30056A55-5DF2-4DD0-A0AA-6D8EBC399771}"/>
    <cellStyle name="Currency 5 3 3 6 4" xfId="10534" xr:uid="{1BB9A35A-1CE2-414E-ABEF-77846EC526EE}"/>
    <cellStyle name="Currency 5 3 3 7" xfId="2438" xr:uid="{00000000-0005-0000-0000-0000060D0000}"/>
    <cellStyle name="Currency 5 3 3 7 2" xfId="6723" xr:uid="{00000000-0005-0000-0000-0000070D0000}"/>
    <cellStyle name="Currency 5 3 3 7 2 2" xfId="15165" xr:uid="{13838F64-24CE-43EC-97F7-54173FA8814D}"/>
    <cellStyle name="Currency 5 3 3 7 3" xfId="10947" xr:uid="{4794089D-CDD2-4C4D-BEB5-FC4AF4FAA4B7}"/>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D9343396-9809-446A-AF37-2D9EBB01FFB5}"/>
    <cellStyle name="Currency 5 3 3 9 3" xfId="11264" xr:uid="{9A2A3514-477A-4611-BF7B-8F079918FC55}"/>
    <cellStyle name="Currency 5 3 4" xfId="216" xr:uid="{00000000-0005-0000-0000-00000B0D0000}"/>
    <cellStyle name="Currency 5 3 4 10" xfId="8883" xr:uid="{920B85D2-875E-4222-8086-749DDFBE8076}"/>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1EBDC68F-6587-42DD-B327-1D4079C1D025}"/>
    <cellStyle name="Currency 5 3 4 2 2 3" xfId="11442" xr:uid="{9E94D820-AE14-4E80-8323-3EDE88CFB9B4}"/>
    <cellStyle name="Currency 5 3 4 2 3" xfId="5073" xr:uid="{00000000-0005-0000-0000-00000F0D0000}"/>
    <cellStyle name="Currency 5 3 4 2 3 2" xfId="13515" xr:uid="{480779D6-EC57-4DFA-A02C-98E84F777207}"/>
    <cellStyle name="Currency 5 3 4 2 4" xfId="9297" xr:uid="{77533FBD-FB09-4208-86AE-4E226E199E2C}"/>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BCEBFB32-147C-4487-BF3C-00408F0143A6}"/>
    <cellStyle name="Currency 5 3 4 3 2 3" xfId="11855" xr:uid="{11ED9557-529D-4C1C-BD88-A7A1121E16B1}"/>
    <cellStyle name="Currency 5 3 4 3 3" xfId="5486" xr:uid="{00000000-0005-0000-0000-0000130D0000}"/>
    <cellStyle name="Currency 5 3 4 3 3 2" xfId="13928" xr:uid="{AFEA15BD-3D0D-42A8-8643-F51DAA518EDC}"/>
    <cellStyle name="Currency 5 3 4 3 4" xfId="9710" xr:uid="{23D0BE82-0094-44A9-A041-D18317706C88}"/>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F0D41A2F-3FCD-42C2-853A-E1BEB2838AC2}"/>
    <cellStyle name="Currency 5 3 4 4 2 3" xfId="12268" xr:uid="{BCEDCC26-32D5-4B47-BA72-7C53287953C8}"/>
    <cellStyle name="Currency 5 3 4 4 3" xfId="5899" xr:uid="{00000000-0005-0000-0000-0000170D0000}"/>
    <cellStyle name="Currency 5 3 4 4 3 2" xfId="14341" xr:uid="{ED7B9D14-86E2-4987-8A1C-CE2977E130EA}"/>
    <cellStyle name="Currency 5 3 4 4 4" xfId="10123" xr:uid="{C46153E3-C3FC-47A5-9051-AE6F71B65E23}"/>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9C6D45F4-DB7A-4CB1-A1CA-F5F7DBADB6E4}"/>
    <cellStyle name="Currency 5 3 4 5 2 3" xfId="12681" xr:uid="{53C723F9-D28E-4B45-9AC8-B93AB3908AEA}"/>
    <cellStyle name="Currency 5 3 4 5 3" xfId="6312" xr:uid="{00000000-0005-0000-0000-00001B0D0000}"/>
    <cellStyle name="Currency 5 3 4 5 3 2" xfId="14754" xr:uid="{8EC1795F-CE69-4EE5-B13C-C58BDDE381AD}"/>
    <cellStyle name="Currency 5 3 4 5 4" xfId="10536" xr:uid="{43E3BEAE-4041-4EAF-93DB-726B8D58745C}"/>
    <cellStyle name="Currency 5 3 4 6" xfId="2440" xr:uid="{00000000-0005-0000-0000-00001C0D0000}"/>
    <cellStyle name="Currency 5 3 4 6 2" xfId="6725" xr:uid="{00000000-0005-0000-0000-00001D0D0000}"/>
    <cellStyle name="Currency 5 3 4 6 2 2" xfId="15167" xr:uid="{A14A3C82-507E-44DA-9E47-20C4A674EBE4}"/>
    <cellStyle name="Currency 5 3 4 6 3" xfId="10949" xr:uid="{67052BDE-4A8E-4728-AD92-4708E3E9E5D8}"/>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DD63C235-3F32-4C45-AE21-F0C6E04DFDCB}"/>
    <cellStyle name="Currency 5 3 4 8 3" xfId="11266" xr:uid="{8BD3F93F-AFC7-4212-8039-E80236ECA16C}"/>
    <cellStyle name="Currency 5 3 4 9" xfId="4659" xr:uid="{00000000-0005-0000-0000-0000210D0000}"/>
    <cellStyle name="Currency 5 3 4 9 2" xfId="13101" xr:uid="{0ED4CA8F-0C0F-4168-B664-1AD354212ABD}"/>
    <cellStyle name="Currency 5 3 5" xfId="217" xr:uid="{00000000-0005-0000-0000-0000220D0000}"/>
    <cellStyle name="Currency 5 3 5 10" xfId="8884" xr:uid="{020411E3-E5A4-47D2-BC76-A768D8F8614D}"/>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A4F1C424-ACB5-4EC7-A764-460EFCD24710}"/>
    <cellStyle name="Currency 5 3 5 2 2 3" xfId="11443" xr:uid="{198C0323-1CBB-402A-B684-50539A029BFD}"/>
    <cellStyle name="Currency 5 3 5 2 3" xfId="5074" xr:uid="{00000000-0005-0000-0000-0000260D0000}"/>
    <cellStyle name="Currency 5 3 5 2 3 2" xfId="13516" xr:uid="{2FA95CA6-3DED-4225-BEDF-C2183100C07E}"/>
    <cellStyle name="Currency 5 3 5 2 4" xfId="9298" xr:uid="{D0D162FB-F55D-450F-9967-AA0DD8E44C8B}"/>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C2F9F69F-5DDA-4070-AE36-955343B5FB9A}"/>
    <cellStyle name="Currency 5 3 5 3 2 3" xfId="11856" xr:uid="{69021F00-091C-4D12-A04E-5AA47C526259}"/>
    <cellStyle name="Currency 5 3 5 3 3" xfId="5487" xr:uid="{00000000-0005-0000-0000-00002A0D0000}"/>
    <cellStyle name="Currency 5 3 5 3 3 2" xfId="13929" xr:uid="{E80D3FBD-6E13-482D-8647-8275E7E77F0B}"/>
    <cellStyle name="Currency 5 3 5 3 4" xfId="9711" xr:uid="{7B8E0167-A2C6-41E9-BF39-B10593152ACC}"/>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16DFC65D-BE91-4F32-AFAC-CB17F902313D}"/>
    <cellStyle name="Currency 5 3 5 4 2 3" xfId="12269" xr:uid="{91C4AA65-5133-4F78-BD9A-405E7AC6752D}"/>
    <cellStyle name="Currency 5 3 5 4 3" xfId="5900" xr:uid="{00000000-0005-0000-0000-00002E0D0000}"/>
    <cellStyle name="Currency 5 3 5 4 3 2" xfId="14342" xr:uid="{080E9DE1-FB3D-4968-8472-4E3B9D60D770}"/>
    <cellStyle name="Currency 5 3 5 4 4" xfId="10124" xr:uid="{57ED174F-F7B6-46F3-8991-2F93F56AC57E}"/>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38A8D5B2-DBAC-4928-8104-3D24C3287301}"/>
    <cellStyle name="Currency 5 3 5 5 2 3" xfId="12682" xr:uid="{6BD1E4A9-188B-4F06-918A-D0E050A3F7F5}"/>
    <cellStyle name="Currency 5 3 5 5 3" xfId="6313" xr:uid="{00000000-0005-0000-0000-0000320D0000}"/>
    <cellStyle name="Currency 5 3 5 5 3 2" xfId="14755" xr:uid="{E48DDA6B-B09B-44A1-B531-31A371D9C261}"/>
    <cellStyle name="Currency 5 3 5 5 4" xfId="10537" xr:uid="{5406D2F7-AFA3-4078-869C-B3850AD5480A}"/>
    <cellStyle name="Currency 5 3 5 6" xfId="2441" xr:uid="{00000000-0005-0000-0000-0000330D0000}"/>
    <cellStyle name="Currency 5 3 5 6 2" xfId="6726" xr:uid="{00000000-0005-0000-0000-0000340D0000}"/>
    <cellStyle name="Currency 5 3 5 6 2 2" xfId="15168" xr:uid="{1F7307EA-E604-411E-967C-3294149E079D}"/>
    <cellStyle name="Currency 5 3 5 6 3" xfId="10950" xr:uid="{748E4A09-56ED-40BE-B167-CE3F1204F742}"/>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BBE28AD2-3552-4C95-8CAA-42DF2866B1F8}"/>
    <cellStyle name="Currency 5 3 5 8 3" xfId="11267" xr:uid="{E637F9C2-9FF6-4E72-A8C8-C858F9837AAA}"/>
    <cellStyle name="Currency 5 3 5 9" xfId="4660" xr:uid="{00000000-0005-0000-0000-0000380D0000}"/>
    <cellStyle name="Currency 5 3 5 9 2" xfId="13102" xr:uid="{42ADD122-2886-440C-9DF7-4E30388F9877}"/>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9B0D6ECE-60EF-43B8-B8CD-E63DFA307496}"/>
    <cellStyle name="Currency 5 5 11" xfId="8885" xr:uid="{121BCE87-31CB-414A-84D5-0601E6F34F1E}"/>
    <cellStyle name="Currency 5 5 2" xfId="220" xr:uid="{00000000-0005-0000-0000-00003D0D0000}"/>
    <cellStyle name="Currency 5 5 2 10" xfId="8886" xr:uid="{24DD01EB-22A7-41B4-8072-6C9F229B81FF}"/>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E65CE136-7E52-4AA7-9A11-124EA5FC7A31}"/>
    <cellStyle name="Currency 5 5 2 2 2 3" xfId="11445" xr:uid="{329D9890-AD0D-40C5-8A6F-961D6C5677E5}"/>
    <cellStyle name="Currency 5 5 2 2 3" xfId="5076" xr:uid="{00000000-0005-0000-0000-0000410D0000}"/>
    <cellStyle name="Currency 5 5 2 2 3 2" xfId="13518" xr:uid="{901DE8D2-1DA5-448F-8314-8C32F8F2083E}"/>
    <cellStyle name="Currency 5 5 2 2 4" xfId="9300" xr:uid="{F0656439-AE37-4703-91B8-5757A407CBF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EF220EF5-3801-4B92-921C-8F61B74509BB}"/>
    <cellStyle name="Currency 5 5 2 3 2 3" xfId="11858" xr:uid="{5FE118C0-8599-4B76-B92E-6E658F7A8E92}"/>
    <cellStyle name="Currency 5 5 2 3 3" xfId="5489" xr:uid="{00000000-0005-0000-0000-0000450D0000}"/>
    <cellStyle name="Currency 5 5 2 3 3 2" xfId="13931" xr:uid="{A873D7CE-62BA-4896-BFEC-1EA336C63DE2}"/>
    <cellStyle name="Currency 5 5 2 3 4" xfId="9713" xr:uid="{5E183DA3-632B-49F6-803A-055FBC045D51}"/>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F44EB49A-75D8-413D-B6D0-1D4D1A02663F}"/>
    <cellStyle name="Currency 5 5 2 4 2 3" xfId="12271" xr:uid="{B190A225-1951-4373-8EE2-364E602BEE68}"/>
    <cellStyle name="Currency 5 5 2 4 3" xfId="5902" xr:uid="{00000000-0005-0000-0000-0000490D0000}"/>
    <cellStyle name="Currency 5 5 2 4 3 2" xfId="14344" xr:uid="{5C0E3DC8-B56A-4A97-A96F-58564486102F}"/>
    <cellStyle name="Currency 5 5 2 4 4" xfId="10126" xr:uid="{3921707D-261A-4841-8DA8-28483ACC752B}"/>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77322D59-3EC8-4FE8-A804-04BC9B7C0FF4}"/>
    <cellStyle name="Currency 5 5 2 5 2 3" xfId="12684" xr:uid="{59D170AD-E5AA-459F-B7DE-AC410EA6393E}"/>
    <cellStyle name="Currency 5 5 2 5 3" xfId="6315" xr:uid="{00000000-0005-0000-0000-00004D0D0000}"/>
    <cellStyle name="Currency 5 5 2 5 3 2" xfId="14757" xr:uid="{FE78437E-D03B-467D-A303-C75D8E04A931}"/>
    <cellStyle name="Currency 5 5 2 5 4" xfId="10539" xr:uid="{50792615-A5E6-46E8-BDBA-D895CB8B1495}"/>
    <cellStyle name="Currency 5 5 2 6" xfId="2443" xr:uid="{00000000-0005-0000-0000-00004E0D0000}"/>
    <cellStyle name="Currency 5 5 2 6 2" xfId="6728" xr:uid="{00000000-0005-0000-0000-00004F0D0000}"/>
    <cellStyle name="Currency 5 5 2 6 2 2" xfId="15170" xr:uid="{7AA44ADE-011F-461E-96FA-F59B678CF182}"/>
    <cellStyle name="Currency 5 5 2 6 3" xfId="10952" xr:uid="{75BD1FB2-71EF-4760-ABA7-D1CCA638710D}"/>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68343A9D-E0B6-4B3F-B54A-BB266D4E79CF}"/>
    <cellStyle name="Currency 5 5 2 8 3" xfId="11269" xr:uid="{518F7AAF-5908-4548-A06D-BAA37CB933D1}"/>
    <cellStyle name="Currency 5 5 2 9" xfId="4662" xr:uid="{00000000-0005-0000-0000-0000530D0000}"/>
    <cellStyle name="Currency 5 5 2 9 2" xfId="13104" xr:uid="{ABD67ACD-6CAC-4D3E-9349-3136A629E281}"/>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C2E99E29-9CD1-428A-AFF9-0D076070B045}"/>
    <cellStyle name="Currency 5 5 3 2 3" xfId="11444" xr:uid="{DC4F9BC9-F907-4640-B2AC-A625F1E5C066}"/>
    <cellStyle name="Currency 5 5 3 3" xfId="5075" xr:uid="{00000000-0005-0000-0000-0000570D0000}"/>
    <cellStyle name="Currency 5 5 3 3 2" xfId="13517" xr:uid="{AC9922CB-ABD0-4FD9-9C63-92A6F5A388BE}"/>
    <cellStyle name="Currency 5 5 3 4" xfId="9299" xr:uid="{D67C3881-DCC0-415C-8722-1135A84FD851}"/>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8E777652-B9EC-4317-AE5B-58B095FB049C}"/>
    <cellStyle name="Currency 5 5 4 2 3" xfId="11857" xr:uid="{19C44507-BD0A-403B-9F7A-39FA3929D083}"/>
    <cellStyle name="Currency 5 5 4 3" xfId="5488" xr:uid="{00000000-0005-0000-0000-00005B0D0000}"/>
    <cellStyle name="Currency 5 5 4 3 2" xfId="13930" xr:uid="{7200F549-2A4E-4582-809B-91B077375C24}"/>
    <cellStyle name="Currency 5 5 4 4" xfId="9712" xr:uid="{8BEC4A8E-1C08-40C0-8353-E8646FBBC393}"/>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B0A4DE54-A867-40ED-A549-A0EE965C474E}"/>
    <cellStyle name="Currency 5 5 5 2 3" xfId="12270" xr:uid="{C22A9B36-3CA5-41A1-811C-2344C53C388F}"/>
    <cellStyle name="Currency 5 5 5 3" xfId="5901" xr:uid="{00000000-0005-0000-0000-00005F0D0000}"/>
    <cellStyle name="Currency 5 5 5 3 2" xfId="14343" xr:uid="{0F206DAB-6AB7-4297-BBD2-03A15E979779}"/>
    <cellStyle name="Currency 5 5 5 4" xfId="10125" xr:uid="{1AD767AA-E52E-4E08-B7E9-A0C131A4C051}"/>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7DA46526-D616-4898-83FD-39935F596ACF}"/>
    <cellStyle name="Currency 5 5 6 2 3" xfId="12683" xr:uid="{7960A57E-079B-44D0-B474-F11477DF7EC0}"/>
    <cellStyle name="Currency 5 5 6 3" xfId="6314" xr:uid="{00000000-0005-0000-0000-0000630D0000}"/>
    <cellStyle name="Currency 5 5 6 3 2" xfId="14756" xr:uid="{71D4C401-852C-42F0-9D6D-2FD59A35AD58}"/>
    <cellStyle name="Currency 5 5 6 4" xfId="10538" xr:uid="{7F047D3B-3575-4172-8309-161FBE82DEF3}"/>
    <cellStyle name="Currency 5 5 7" xfId="2442" xr:uid="{00000000-0005-0000-0000-0000640D0000}"/>
    <cellStyle name="Currency 5 5 7 2" xfId="6727" xr:uid="{00000000-0005-0000-0000-0000650D0000}"/>
    <cellStyle name="Currency 5 5 7 2 2" xfId="15169" xr:uid="{D0373C06-911B-476D-9138-D9C868B94ECD}"/>
    <cellStyle name="Currency 5 5 7 3" xfId="10951" xr:uid="{23B987F4-F5F5-4495-B7A0-D0AC1F41A896}"/>
    <cellStyle name="Currency 5 5 8" xfId="2739" xr:uid="{00000000-0005-0000-0000-0000660D0000}"/>
    <cellStyle name="Currency 5 5 9" xfId="2820" xr:uid="{00000000-0005-0000-0000-0000670D0000}"/>
    <cellStyle name="Currency 5 5 9 2" xfId="7044" xr:uid="{00000000-0005-0000-0000-0000680D0000}"/>
    <cellStyle name="Currency 5 5 9 2 2" xfId="15486" xr:uid="{9B044173-C44B-48AC-9FA1-817621016F6D}"/>
    <cellStyle name="Currency 5 5 9 3" xfId="11268" xr:uid="{7C4713DB-B325-4C7F-862E-0C673E325394}"/>
    <cellStyle name="Currency 5 6" xfId="221" xr:uid="{00000000-0005-0000-0000-0000690D0000}"/>
    <cellStyle name="Currency 5 6 10" xfId="8887" xr:uid="{A6240530-20BD-4AEC-9D55-50861640813F}"/>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8655FB4D-C9F6-4ED5-AB7F-BFA9EE3121B1}"/>
    <cellStyle name="Currency 5 6 2 2 3" xfId="11446" xr:uid="{5509CBB6-C0B0-4A2B-8173-562D27C4C680}"/>
    <cellStyle name="Currency 5 6 2 3" xfId="5077" xr:uid="{00000000-0005-0000-0000-00006D0D0000}"/>
    <cellStyle name="Currency 5 6 2 3 2" xfId="13519" xr:uid="{E35F359A-0EBE-4BBA-9CC5-7CB16C562A24}"/>
    <cellStyle name="Currency 5 6 2 4" xfId="9301" xr:uid="{6F46B4B2-D366-4DAC-970B-A483550491C7}"/>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86D7AB45-918B-4EA0-A78F-455A220E8D5A}"/>
    <cellStyle name="Currency 5 6 3 2 3" xfId="11859" xr:uid="{DA89EE1A-D198-485D-8A0E-BA933D83E243}"/>
    <cellStyle name="Currency 5 6 3 3" xfId="5490" xr:uid="{00000000-0005-0000-0000-0000710D0000}"/>
    <cellStyle name="Currency 5 6 3 3 2" xfId="13932" xr:uid="{78CA92ED-A4F6-4F4C-ABB4-D022A276C562}"/>
    <cellStyle name="Currency 5 6 3 4" xfId="9714" xr:uid="{8E0DB6E1-CD62-459F-B022-D9E608FBD5B8}"/>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914697F0-5F1F-43C2-B6A1-FA661B186ECB}"/>
    <cellStyle name="Currency 5 6 4 2 3" xfId="12272" xr:uid="{2C57DF1C-A924-45FD-9371-C71D05A4F868}"/>
    <cellStyle name="Currency 5 6 4 3" xfId="5903" xr:uid="{00000000-0005-0000-0000-0000750D0000}"/>
    <cellStyle name="Currency 5 6 4 3 2" xfId="14345" xr:uid="{34467589-F1E5-49DD-9730-B56B52B75E0A}"/>
    <cellStyle name="Currency 5 6 4 4" xfId="10127" xr:uid="{FDE0F1AD-A604-4C71-A47F-24BBF60A2349}"/>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F30D2ACD-A0C3-4903-AB79-7566F06BCEDB}"/>
    <cellStyle name="Currency 5 6 5 2 3" xfId="12685" xr:uid="{9EB8F9F8-C94A-4882-9EFC-27614A486D14}"/>
    <cellStyle name="Currency 5 6 5 3" xfId="6316" xr:uid="{00000000-0005-0000-0000-0000790D0000}"/>
    <cellStyle name="Currency 5 6 5 3 2" xfId="14758" xr:uid="{52FCDBAC-4F8F-4319-80E0-01DF35A9800D}"/>
    <cellStyle name="Currency 5 6 5 4" xfId="10540" xr:uid="{0A30D66E-E2F3-4B6F-960E-04CBB8A0170A}"/>
    <cellStyle name="Currency 5 6 6" xfId="2444" xr:uid="{00000000-0005-0000-0000-00007A0D0000}"/>
    <cellStyle name="Currency 5 6 6 2" xfId="6729" xr:uid="{00000000-0005-0000-0000-00007B0D0000}"/>
    <cellStyle name="Currency 5 6 6 2 2" xfId="15171" xr:uid="{EDBB7F26-2D4F-4A33-B2DF-FF73B46ECFFE}"/>
    <cellStyle name="Currency 5 6 6 3" xfId="10953" xr:uid="{13BCDAFC-5039-44E9-BD7F-CF97A5B23012}"/>
    <cellStyle name="Currency 5 6 7" xfId="2741" xr:uid="{00000000-0005-0000-0000-00007C0D0000}"/>
    <cellStyle name="Currency 5 6 8" xfId="2822" xr:uid="{00000000-0005-0000-0000-00007D0D0000}"/>
    <cellStyle name="Currency 5 6 8 2" xfId="7046" xr:uid="{00000000-0005-0000-0000-00007E0D0000}"/>
    <cellStyle name="Currency 5 6 8 2 2" xfId="15488" xr:uid="{2D550B28-2AF7-410A-8FA2-5E1D9F76649E}"/>
    <cellStyle name="Currency 5 6 8 3" xfId="11270" xr:uid="{2CAD302A-DD67-4AFA-B0A3-866DDEB2CA84}"/>
    <cellStyle name="Currency 5 6 9" xfId="4663" xr:uid="{00000000-0005-0000-0000-00007F0D0000}"/>
    <cellStyle name="Currency 5 6 9 2" xfId="13105" xr:uid="{02E9D7FC-3A8E-4849-BDCC-7585B887D637}"/>
    <cellStyle name="Currency 5 7" xfId="222" xr:uid="{00000000-0005-0000-0000-0000800D0000}"/>
    <cellStyle name="Currency 5 7 10" xfId="8888" xr:uid="{6F7D2574-6CB8-4467-8A4C-C487081DB404}"/>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E7BB39C9-2B53-4E15-BEF8-014DF76ED8BC}"/>
    <cellStyle name="Currency 5 7 2 2 3" xfId="11447" xr:uid="{B4C39601-32A2-42AA-9D82-0B1A7481DA01}"/>
    <cellStyle name="Currency 5 7 2 3" xfId="5078" xr:uid="{00000000-0005-0000-0000-0000840D0000}"/>
    <cellStyle name="Currency 5 7 2 3 2" xfId="13520" xr:uid="{AB92F51A-42CF-4675-AD89-F91A4B0F3EA6}"/>
    <cellStyle name="Currency 5 7 2 4" xfId="9302" xr:uid="{9D1E248C-C61A-40FE-B3F6-CFBC98412440}"/>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702B9EC3-3300-4A8B-A782-796D40D9971C}"/>
    <cellStyle name="Currency 5 7 3 2 3" xfId="11860" xr:uid="{9AAA5C15-166F-4A7C-837C-761293058828}"/>
    <cellStyle name="Currency 5 7 3 3" xfId="5491" xr:uid="{00000000-0005-0000-0000-0000880D0000}"/>
    <cellStyle name="Currency 5 7 3 3 2" xfId="13933" xr:uid="{B2734C21-40C6-4989-B4F2-B43041668DE8}"/>
    <cellStyle name="Currency 5 7 3 4" xfId="9715" xr:uid="{3CA9EEDD-58BD-44E4-BB16-F0AD5F0477D5}"/>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9107426F-DE98-4B49-9CED-6E62BA6F9B59}"/>
    <cellStyle name="Currency 5 7 4 2 3" xfId="12273" xr:uid="{30B80B85-650E-44A5-B99D-607EE933D694}"/>
    <cellStyle name="Currency 5 7 4 3" xfId="5904" xr:uid="{00000000-0005-0000-0000-00008C0D0000}"/>
    <cellStyle name="Currency 5 7 4 3 2" xfId="14346" xr:uid="{22025AEE-0F97-49FB-A418-A00A16F4861E}"/>
    <cellStyle name="Currency 5 7 4 4" xfId="10128" xr:uid="{C6094815-DC9F-4B40-A838-2FC1C756449E}"/>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2F952FC6-1769-4843-A70A-E7A59AEEC41D}"/>
    <cellStyle name="Currency 5 7 5 2 3" xfId="12686" xr:uid="{D49A3495-8942-476C-B4D8-F420FAAFC6E7}"/>
    <cellStyle name="Currency 5 7 5 3" xfId="6317" xr:uid="{00000000-0005-0000-0000-0000900D0000}"/>
    <cellStyle name="Currency 5 7 5 3 2" xfId="14759" xr:uid="{459DAB05-3A60-4B30-9AE8-8B6BA9550E34}"/>
    <cellStyle name="Currency 5 7 5 4" xfId="10541" xr:uid="{E7812FD4-CFE3-4FD4-AE2A-69A817D9CFA0}"/>
    <cellStyle name="Currency 5 7 6" xfId="2445" xr:uid="{00000000-0005-0000-0000-0000910D0000}"/>
    <cellStyle name="Currency 5 7 6 2" xfId="6730" xr:uid="{00000000-0005-0000-0000-0000920D0000}"/>
    <cellStyle name="Currency 5 7 6 2 2" xfId="15172" xr:uid="{82668C75-B414-4496-85EB-066F5E67C26A}"/>
    <cellStyle name="Currency 5 7 6 3" xfId="10954" xr:uid="{30E5AAEA-AA90-43B5-B98A-E04284C1E050}"/>
    <cellStyle name="Currency 5 7 7" xfId="2742" xr:uid="{00000000-0005-0000-0000-0000930D0000}"/>
    <cellStyle name="Currency 5 7 8" xfId="2823" xr:uid="{00000000-0005-0000-0000-0000940D0000}"/>
    <cellStyle name="Currency 5 7 8 2" xfId="7047" xr:uid="{00000000-0005-0000-0000-0000950D0000}"/>
    <cellStyle name="Currency 5 7 8 2 2" xfId="15489" xr:uid="{17AFD2BC-3BAF-4C65-A8FF-44E2B68F8A62}"/>
    <cellStyle name="Currency 5 7 8 3" xfId="11271" xr:uid="{58AC185C-9FDA-4A7B-8FAC-18E59EB1DF7D}"/>
    <cellStyle name="Currency 5 7 9" xfId="4664" xr:uid="{00000000-0005-0000-0000-0000960D0000}"/>
    <cellStyle name="Currency 5 7 9 2" xfId="13106" xr:uid="{BB20F7A1-EC78-4B50-B867-CCC4CAF1BE8D}"/>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AF272D35-8AB8-4EEF-946A-BEFD62825D87}"/>
    <cellStyle name="Normal 12 10 3" xfId="10955" xr:uid="{E7408792-555B-461E-A05E-39EBAD42B3F8}"/>
    <cellStyle name="Normal 12 11" xfId="4665" xr:uid="{00000000-0005-0000-0000-0000CC0D0000}"/>
    <cellStyle name="Normal 12 11 2" xfId="13107" xr:uid="{CF7549A6-9B4F-45A2-AEAA-EC0B02A888B5}"/>
    <cellStyle name="Normal 12 12" xfId="8889" xr:uid="{3BF733C5-E489-4C8A-8A4F-4DC64AEC04CE}"/>
    <cellStyle name="Normal 12 2" xfId="260" xr:uid="{00000000-0005-0000-0000-0000CD0D0000}"/>
    <cellStyle name="Normal 12 2 10" xfId="8890" xr:uid="{14E662F3-60F6-424D-93AA-A504A750D748}"/>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82FB2095-ACA2-45A4-9FC3-5015BFFC6BDE}"/>
    <cellStyle name="Normal 12 2 2 2 2 2 3" xfId="11451" xr:uid="{AA7240C8-12B2-446E-AC9B-04E92D469378}"/>
    <cellStyle name="Normal 12 2 2 2 2 3" xfId="5082" xr:uid="{00000000-0005-0000-0000-0000D30D0000}"/>
    <cellStyle name="Normal 12 2 2 2 2 3 2" xfId="13524" xr:uid="{C9E126FA-E9A2-4355-98C6-84A201DF7809}"/>
    <cellStyle name="Normal 12 2 2 2 2 4" xfId="9306" xr:uid="{24277F63-CE49-4023-9D60-ABC05614F203}"/>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822EA35B-1296-41AB-946F-A62947E73CF2}"/>
    <cellStyle name="Normal 12 2 2 2 3 2 3" xfId="11864" xr:uid="{7F4E329D-80FC-48DA-8557-DB5C1D7F6039}"/>
    <cellStyle name="Normal 12 2 2 2 3 3" xfId="5495" xr:uid="{00000000-0005-0000-0000-0000D70D0000}"/>
    <cellStyle name="Normal 12 2 2 2 3 3 2" xfId="13937" xr:uid="{DDD48224-4919-43E2-9E75-FEEED172B52C}"/>
    <cellStyle name="Normal 12 2 2 2 3 4" xfId="9719" xr:uid="{65ADCB00-4353-4F8C-8CE9-E8E656FD9FB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696474D3-A55E-462C-9420-85F7D4B15243}"/>
    <cellStyle name="Normal 12 2 2 2 4 2 3" xfId="12277" xr:uid="{2042DE24-80B2-48FD-B8FE-38F934CD6B6F}"/>
    <cellStyle name="Normal 12 2 2 2 4 3" xfId="5908" xr:uid="{00000000-0005-0000-0000-0000DB0D0000}"/>
    <cellStyle name="Normal 12 2 2 2 4 3 2" xfId="14350" xr:uid="{53F05A42-E854-4365-BE7E-7BF953945E5B}"/>
    <cellStyle name="Normal 12 2 2 2 4 4" xfId="10132" xr:uid="{16CEA7F0-14E9-488E-81D3-EFC820BDD003}"/>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244E03CA-318C-4EFF-B121-AF32C27F62A5}"/>
    <cellStyle name="Normal 12 2 2 2 5 2 3" xfId="12690" xr:uid="{0CB45E4A-6A63-4C1C-9EB9-E28428EF7A6B}"/>
    <cellStyle name="Normal 12 2 2 2 5 3" xfId="6321" xr:uid="{00000000-0005-0000-0000-0000DF0D0000}"/>
    <cellStyle name="Normal 12 2 2 2 5 3 2" xfId="14763" xr:uid="{71255AC1-08E1-44D6-AAEC-E4147B086F32}"/>
    <cellStyle name="Normal 12 2 2 2 5 4" xfId="10545" xr:uid="{E81AB690-7829-4A14-9568-107DA9D01DA3}"/>
    <cellStyle name="Normal 12 2 2 2 6" xfId="2450" xr:uid="{00000000-0005-0000-0000-0000E00D0000}"/>
    <cellStyle name="Normal 12 2 2 2 6 2" xfId="6734" xr:uid="{00000000-0005-0000-0000-0000E10D0000}"/>
    <cellStyle name="Normal 12 2 2 2 6 2 2" xfId="15176" xr:uid="{5A10D204-6A70-4E7C-AB0A-136F08A1D2A7}"/>
    <cellStyle name="Normal 12 2 2 2 6 3" xfId="10958" xr:uid="{9DB13FC9-A5A5-4860-8490-32A5F47F911F}"/>
    <cellStyle name="Normal 12 2 2 2 7" xfId="4668" xr:uid="{00000000-0005-0000-0000-0000E20D0000}"/>
    <cellStyle name="Normal 12 2 2 2 7 2" xfId="13110" xr:uid="{8B09D84A-8349-49B2-B649-DCE1FA57DDAA}"/>
    <cellStyle name="Normal 12 2 2 2 8" xfId="8892" xr:uid="{F9655BDE-C867-475D-8962-913605FACA99}"/>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F7B66013-81DC-4BED-8E4C-4DF8730DBD0C}"/>
    <cellStyle name="Normal 12 2 2 3 2 3" xfId="11450" xr:uid="{51D2BABB-B836-4BE3-AADC-EE1360CF85E6}"/>
    <cellStyle name="Normal 12 2 2 3 3" xfId="5081" xr:uid="{00000000-0005-0000-0000-0000E60D0000}"/>
    <cellStyle name="Normal 12 2 2 3 3 2" xfId="13523" xr:uid="{2BB66E3F-D37A-4C88-BD42-873F7B3302C9}"/>
    <cellStyle name="Normal 12 2 2 3 4" xfId="9305" xr:uid="{81BDE1AF-9AF2-4B36-AC5A-FF9605777142}"/>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B278A228-4532-4812-88D7-972517D9B2D4}"/>
    <cellStyle name="Normal 12 2 2 4 2 3" xfId="11863" xr:uid="{C058F9D1-46C9-4676-B9AD-37D4CEF66DB2}"/>
    <cellStyle name="Normal 12 2 2 4 3" xfId="5494" xr:uid="{00000000-0005-0000-0000-0000EA0D0000}"/>
    <cellStyle name="Normal 12 2 2 4 3 2" xfId="13936" xr:uid="{71FF276B-6831-4E31-B432-C2978A9E5100}"/>
    <cellStyle name="Normal 12 2 2 4 4" xfId="9718" xr:uid="{4FD6DF26-F644-4290-BC2B-E3AD1E56A559}"/>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9836FCBB-61A7-4BD6-84B7-AB63B7EB5882}"/>
    <cellStyle name="Normal 12 2 2 5 2 3" xfId="12276" xr:uid="{E2D46B42-BED3-4825-B647-6DE85CB7FBD6}"/>
    <cellStyle name="Normal 12 2 2 5 3" xfId="5907" xr:uid="{00000000-0005-0000-0000-0000EE0D0000}"/>
    <cellStyle name="Normal 12 2 2 5 3 2" xfId="14349" xr:uid="{CF7B2C16-F6C2-48BC-A7E2-95A2680529D6}"/>
    <cellStyle name="Normal 12 2 2 5 4" xfId="10131" xr:uid="{E32345DA-75AB-49A3-9C47-F002BD5C2314}"/>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BD192156-FE05-4950-A21C-87C29D40FAA9}"/>
    <cellStyle name="Normal 12 2 2 6 2 3" xfId="12689" xr:uid="{656E7415-7BDF-4AFE-A178-14B98A79B9B3}"/>
    <cellStyle name="Normal 12 2 2 6 3" xfId="6320" xr:uid="{00000000-0005-0000-0000-0000F20D0000}"/>
    <cellStyle name="Normal 12 2 2 6 3 2" xfId="14762" xr:uid="{413A17AE-DFD9-457A-9714-9FD87247AEEE}"/>
    <cellStyle name="Normal 12 2 2 6 4" xfId="10544" xr:uid="{CDB2E2DB-1AFC-43BD-8247-3808C4B044E2}"/>
    <cellStyle name="Normal 12 2 2 7" xfId="2449" xr:uid="{00000000-0005-0000-0000-0000F30D0000}"/>
    <cellStyle name="Normal 12 2 2 7 2" xfId="6733" xr:uid="{00000000-0005-0000-0000-0000F40D0000}"/>
    <cellStyle name="Normal 12 2 2 7 2 2" xfId="15175" xr:uid="{E1451D1B-ED49-48A9-A0C0-D533418DB828}"/>
    <cellStyle name="Normal 12 2 2 7 3" xfId="10957" xr:uid="{B371F611-08A8-4C61-9F6C-DE9339D9620B}"/>
    <cellStyle name="Normal 12 2 2 8" xfId="4667" xr:uid="{00000000-0005-0000-0000-0000F50D0000}"/>
    <cellStyle name="Normal 12 2 2 8 2" xfId="13109" xr:uid="{0DF8F974-90C9-4C6D-A3B5-544A6248D72B}"/>
    <cellStyle name="Normal 12 2 2 9" xfId="8891" xr:uid="{8F3A219C-BA82-43C5-85A8-14EB9D99A19A}"/>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70C536DE-E160-4568-85AB-27C9743EBEAA}"/>
    <cellStyle name="Normal 12 2 3 2 2 3" xfId="11452" xr:uid="{F3222826-BD72-4871-8B74-94B76F180346}"/>
    <cellStyle name="Normal 12 2 3 2 3" xfId="5083" xr:uid="{00000000-0005-0000-0000-0000FA0D0000}"/>
    <cellStyle name="Normal 12 2 3 2 3 2" xfId="13525" xr:uid="{C0A0FA5B-00D4-49DA-A611-3F1562EAC660}"/>
    <cellStyle name="Normal 12 2 3 2 4" xfId="9307" xr:uid="{BDBEBE9C-7005-4885-9C3C-5F193C146083}"/>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672F1CA8-89E9-447A-899C-EC59499F7DC0}"/>
    <cellStyle name="Normal 12 2 3 3 2 3" xfId="11865" xr:uid="{0F0D91C4-C094-4558-8DE4-A2896F85EDCD}"/>
    <cellStyle name="Normal 12 2 3 3 3" xfId="5496" xr:uid="{00000000-0005-0000-0000-0000FE0D0000}"/>
    <cellStyle name="Normal 12 2 3 3 3 2" xfId="13938" xr:uid="{B5241512-C68A-4976-A4FA-383C3674BCE8}"/>
    <cellStyle name="Normal 12 2 3 3 4" xfId="9720" xr:uid="{6CBF8A4F-9A82-48D7-8305-CDACDA52C732}"/>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68035BBB-7604-4F7B-A6D4-40055914CDF7}"/>
    <cellStyle name="Normal 12 2 3 4 2 3" xfId="12278" xr:uid="{25F3F6E8-C4D6-40DD-B0A9-5CD4BE1A53E4}"/>
    <cellStyle name="Normal 12 2 3 4 3" xfId="5909" xr:uid="{00000000-0005-0000-0000-0000020E0000}"/>
    <cellStyle name="Normal 12 2 3 4 3 2" xfId="14351" xr:uid="{1ED345F6-A004-4B78-9260-0B1CBDA56D50}"/>
    <cellStyle name="Normal 12 2 3 4 4" xfId="10133" xr:uid="{B6BC602D-0F5B-4859-A1E1-B00841DE924C}"/>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1B9F539A-C363-4791-B4B1-AD55279482FC}"/>
    <cellStyle name="Normal 12 2 3 5 2 3" xfId="12691" xr:uid="{3CF2958B-CA86-40C3-A611-E6AA46238860}"/>
    <cellStyle name="Normal 12 2 3 5 3" xfId="6322" xr:uid="{00000000-0005-0000-0000-0000060E0000}"/>
    <cellStyle name="Normal 12 2 3 5 3 2" xfId="14764" xr:uid="{A6EA9E3E-9C20-4F89-ABAB-4EA0873985F5}"/>
    <cellStyle name="Normal 12 2 3 5 4" xfId="10546" xr:uid="{F7FC2CFB-22FD-4EFA-8D4E-B84519DF4EB0}"/>
    <cellStyle name="Normal 12 2 3 6" xfId="2451" xr:uid="{00000000-0005-0000-0000-0000070E0000}"/>
    <cellStyle name="Normal 12 2 3 6 2" xfId="6735" xr:uid="{00000000-0005-0000-0000-0000080E0000}"/>
    <cellStyle name="Normal 12 2 3 6 2 2" xfId="15177" xr:uid="{5A729193-30B8-46B0-A5E8-A4110126D0C1}"/>
    <cellStyle name="Normal 12 2 3 6 3" xfId="10959" xr:uid="{F9967366-9959-413F-B7E4-AA6109F7BC35}"/>
    <cellStyle name="Normal 12 2 3 7" xfId="4669" xr:uid="{00000000-0005-0000-0000-0000090E0000}"/>
    <cellStyle name="Normal 12 2 3 7 2" xfId="13111" xr:uid="{A048AEA4-BDF8-4554-B715-5C0C427E7803}"/>
    <cellStyle name="Normal 12 2 3 8" xfId="8893" xr:uid="{7E781B34-648A-44B6-86DA-ED66A03D5882}"/>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2E9BA536-880D-481B-B706-72FB94A6FC9A}"/>
    <cellStyle name="Normal 12 2 4 2 3" xfId="11449" xr:uid="{6115966E-58FD-4D00-B4C8-29D70A317B26}"/>
    <cellStyle name="Normal 12 2 4 3" xfId="5080" xr:uid="{00000000-0005-0000-0000-00000D0E0000}"/>
    <cellStyle name="Normal 12 2 4 3 2" xfId="13522" xr:uid="{1A41624E-CA24-4F34-BB17-883E3C04ED3D}"/>
    <cellStyle name="Normal 12 2 4 4" xfId="9304" xr:uid="{6BC99D19-7CB2-4CB1-9674-6B99299163D6}"/>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A9958280-8599-4BE0-AD53-EDC94F2B92D5}"/>
    <cellStyle name="Normal 12 2 5 2 3" xfId="11862" xr:uid="{60E691BF-2A0A-4E4A-A585-497CEFD0442D}"/>
    <cellStyle name="Normal 12 2 5 3" xfId="5493" xr:uid="{00000000-0005-0000-0000-0000110E0000}"/>
    <cellStyle name="Normal 12 2 5 3 2" xfId="13935" xr:uid="{D26E70E4-19BA-4413-BDA3-20B2D0E77410}"/>
    <cellStyle name="Normal 12 2 5 4" xfId="9717" xr:uid="{B3EAF659-B7EB-40BF-8A9F-D52F1031F745}"/>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82BA4757-C3C0-49A6-98FB-1134FA57F312}"/>
    <cellStyle name="Normal 12 2 6 2 3" xfId="12275" xr:uid="{6DE0C24F-91BB-4CBE-B770-924982FF73EA}"/>
    <cellStyle name="Normal 12 2 6 3" xfId="5906" xr:uid="{00000000-0005-0000-0000-0000150E0000}"/>
    <cellStyle name="Normal 12 2 6 3 2" xfId="14348" xr:uid="{98763DA5-1282-4E85-99FA-092B54FC721B}"/>
    <cellStyle name="Normal 12 2 6 4" xfId="10130" xr:uid="{E2F4A521-C152-47B9-ADBE-F8A49FE19D14}"/>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7C88F632-DD8A-49FE-B126-9CE8D2535857}"/>
    <cellStyle name="Normal 12 2 7 2 3" xfId="12688" xr:uid="{3BE5E9CB-6A27-45F6-83D0-BD1DD222E8A2}"/>
    <cellStyle name="Normal 12 2 7 3" xfId="6319" xr:uid="{00000000-0005-0000-0000-0000190E0000}"/>
    <cellStyle name="Normal 12 2 7 3 2" xfId="14761" xr:uid="{8C26C891-C2DA-460B-B129-C64CF27F6EE0}"/>
    <cellStyle name="Normal 12 2 7 4" xfId="10543" xr:uid="{DA944853-2852-40F8-BE60-EAFF3B00728B}"/>
    <cellStyle name="Normal 12 2 8" xfId="2448" xr:uid="{00000000-0005-0000-0000-00001A0E0000}"/>
    <cellStyle name="Normal 12 2 8 2" xfId="6732" xr:uid="{00000000-0005-0000-0000-00001B0E0000}"/>
    <cellStyle name="Normal 12 2 8 2 2" xfId="15174" xr:uid="{2DAAA1BC-305D-4E3C-B768-9C2AC8409E3D}"/>
    <cellStyle name="Normal 12 2 8 3" xfId="10956" xr:uid="{05993248-CBB1-43D6-ACEB-49B07CC4D3BB}"/>
    <cellStyle name="Normal 12 2 9" xfId="4666" xr:uid="{00000000-0005-0000-0000-00001C0E0000}"/>
    <cellStyle name="Normal 12 2 9 2" xfId="13108" xr:uid="{CB915DDF-298A-476E-B43E-DB644197719D}"/>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4CEA9D9A-9B19-49C9-840A-252BFC4E4C75}"/>
    <cellStyle name="Normal 12 3 2 2 2 3" xfId="11454" xr:uid="{CD443FEC-71DB-4268-917B-B105D3D0945A}"/>
    <cellStyle name="Normal 12 3 2 2 3" xfId="5085" xr:uid="{00000000-0005-0000-0000-0000220E0000}"/>
    <cellStyle name="Normal 12 3 2 2 3 2" xfId="13527" xr:uid="{163CB747-3064-411A-94F3-494D8488BEE0}"/>
    <cellStyle name="Normal 12 3 2 2 4" xfId="9309" xr:uid="{D6787BC0-3C37-4DBE-BC5C-1945B44E1FB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1681564F-05B6-4E93-8F3A-E93967AC03E4}"/>
    <cellStyle name="Normal 12 3 2 3 2 3" xfId="11867" xr:uid="{386431B7-4ED0-4246-8B4F-2CA1F400E606}"/>
    <cellStyle name="Normal 12 3 2 3 3" xfId="5498" xr:uid="{00000000-0005-0000-0000-0000260E0000}"/>
    <cellStyle name="Normal 12 3 2 3 3 2" xfId="13940" xr:uid="{753D95D3-E94A-4C88-9A90-076F8D81AB1B}"/>
    <cellStyle name="Normal 12 3 2 3 4" xfId="9722" xr:uid="{B7414D15-D9C8-4F6F-A22B-19C46C738305}"/>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33077C59-DE94-4B8A-863E-30D1DD5000B2}"/>
    <cellStyle name="Normal 12 3 2 4 2 3" xfId="12280" xr:uid="{58BBDAB4-5E4B-41F6-ADB3-8D34CDC25119}"/>
    <cellStyle name="Normal 12 3 2 4 3" xfId="5911" xr:uid="{00000000-0005-0000-0000-00002A0E0000}"/>
    <cellStyle name="Normal 12 3 2 4 3 2" xfId="14353" xr:uid="{0AF9A0D9-DDAA-4A0F-B60B-6D50CC509A13}"/>
    <cellStyle name="Normal 12 3 2 4 4" xfId="10135" xr:uid="{32F5954F-DF45-4D9C-9FF3-ABC98BC65F4B}"/>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10F376FD-9CDB-45EE-BC93-2D1F34DB30B6}"/>
    <cellStyle name="Normal 12 3 2 5 2 3" xfId="12693" xr:uid="{9D723812-33F6-4F13-A338-038E5C2E1E86}"/>
    <cellStyle name="Normal 12 3 2 5 3" xfId="6324" xr:uid="{00000000-0005-0000-0000-00002E0E0000}"/>
    <cellStyle name="Normal 12 3 2 5 3 2" xfId="14766" xr:uid="{D8B6D3D3-7BF2-4FCC-878F-CE84B6C3AF1F}"/>
    <cellStyle name="Normal 12 3 2 5 4" xfId="10548" xr:uid="{614F6515-8464-4ABC-A1CE-DDC5A09C9795}"/>
    <cellStyle name="Normal 12 3 2 6" xfId="2453" xr:uid="{00000000-0005-0000-0000-00002F0E0000}"/>
    <cellStyle name="Normal 12 3 2 6 2" xfId="6737" xr:uid="{00000000-0005-0000-0000-0000300E0000}"/>
    <cellStyle name="Normal 12 3 2 6 2 2" xfId="15179" xr:uid="{85E89068-0E0B-434F-86C1-788742AB2EDC}"/>
    <cellStyle name="Normal 12 3 2 6 3" xfId="10961" xr:uid="{F0A287AC-8D16-4655-96E2-1E7C645ABF69}"/>
    <cellStyle name="Normal 12 3 2 7" xfId="4671" xr:uid="{00000000-0005-0000-0000-0000310E0000}"/>
    <cellStyle name="Normal 12 3 2 7 2" xfId="13113" xr:uid="{44722AE9-B785-4855-A9AD-2FE097F681D1}"/>
    <cellStyle name="Normal 12 3 2 8" xfId="8895" xr:uid="{0320104F-FEA1-4894-A5B0-AA715A7DE2C4}"/>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0502A8B7-C746-4300-9C19-6A4CDC03FECC}"/>
    <cellStyle name="Normal 12 3 3 2 3" xfId="11453" xr:uid="{6E12026E-F7DB-4601-96AD-4334AEDE7C0E}"/>
    <cellStyle name="Normal 12 3 3 3" xfId="5084" xr:uid="{00000000-0005-0000-0000-0000350E0000}"/>
    <cellStyle name="Normal 12 3 3 3 2" xfId="13526" xr:uid="{E95DB126-159C-4634-A9F1-1FAD8B872373}"/>
    <cellStyle name="Normal 12 3 3 4" xfId="9308" xr:uid="{17B9A25C-ED8C-4079-8E52-8425F0B04C4A}"/>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C42126C8-F1F3-4633-8632-0A015B6CBED1}"/>
    <cellStyle name="Normal 12 3 4 2 3" xfId="11866" xr:uid="{D4C511A5-E9A1-4093-9EB2-E2C6B2C524E2}"/>
    <cellStyle name="Normal 12 3 4 3" xfId="5497" xr:uid="{00000000-0005-0000-0000-0000390E0000}"/>
    <cellStyle name="Normal 12 3 4 3 2" xfId="13939" xr:uid="{ABD40FE0-7CE2-4099-9B50-0D1E3F24C4F4}"/>
    <cellStyle name="Normal 12 3 4 4" xfId="9721" xr:uid="{3DB0CB0F-AF4C-402E-8F7A-5EC2CA461AD9}"/>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7C489B06-789A-429A-837E-F015D1F3EE00}"/>
    <cellStyle name="Normal 12 3 5 2 3" xfId="12279" xr:uid="{6AC5AF99-7C17-4889-90BC-F9D742E974AF}"/>
    <cellStyle name="Normal 12 3 5 3" xfId="5910" xr:uid="{00000000-0005-0000-0000-00003D0E0000}"/>
    <cellStyle name="Normal 12 3 5 3 2" xfId="14352" xr:uid="{F3CCBB90-035A-4655-A9F4-383508532E69}"/>
    <cellStyle name="Normal 12 3 5 4" xfId="10134" xr:uid="{3145985F-2464-4BE9-A0E1-A1DBFBC35BF4}"/>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EABCBE27-9EA6-46F2-8FE5-258C47F1E3A4}"/>
    <cellStyle name="Normal 12 3 6 2 3" xfId="12692" xr:uid="{7B7013B8-69EF-43D3-A760-2010B1E80057}"/>
    <cellStyle name="Normal 12 3 6 3" xfId="6323" xr:uid="{00000000-0005-0000-0000-0000410E0000}"/>
    <cellStyle name="Normal 12 3 6 3 2" xfId="14765" xr:uid="{E193ADEB-F1FD-43F3-B5AF-07CF6FBB91A8}"/>
    <cellStyle name="Normal 12 3 6 4" xfId="10547" xr:uid="{5DC111E0-BED6-49A3-A077-76AEBEC8DE13}"/>
    <cellStyle name="Normal 12 3 7" xfId="2452" xr:uid="{00000000-0005-0000-0000-0000420E0000}"/>
    <cellStyle name="Normal 12 3 7 2" xfId="6736" xr:uid="{00000000-0005-0000-0000-0000430E0000}"/>
    <cellStyle name="Normal 12 3 7 2 2" xfId="15178" xr:uid="{18F2082A-D810-41C1-87B1-35BB7EA51D0B}"/>
    <cellStyle name="Normal 12 3 7 3" xfId="10960" xr:uid="{B5BDEDED-4C21-4306-B5BB-8467AD970A11}"/>
    <cellStyle name="Normal 12 3 8" xfId="4670" xr:uid="{00000000-0005-0000-0000-0000440E0000}"/>
    <cellStyle name="Normal 12 3 8 2" xfId="13112" xr:uid="{497CC64F-702A-4231-A7EA-CB314D170712}"/>
    <cellStyle name="Normal 12 3 9" xfId="8894" xr:uid="{A9ED2823-C02C-4046-88B6-CA01452CDBA3}"/>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AF3C0399-E93E-49A1-805C-9131A814DA55}"/>
    <cellStyle name="Normal 12 4 2 2 3" xfId="11455" xr:uid="{558CDB37-3B69-4B2D-B4D7-BCE31E53BB41}"/>
    <cellStyle name="Normal 12 4 2 3" xfId="5086" xr:uid="{00000000-0005-0000-0000-0000490E0000}"/>
    <cellStyle name="Normal 12 4 2 3 2" xfId="13528" xr:uid="{518C2A1C-68C8-491D-B736-C5F04EF7C8BE}"/>
    <cellStyle name="Normal 12 4 2 4" xfId="9310" xr:uid="{A2B3548B-1EE6-49FD-BC38-960FF4CC2724}"/>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54488C71-F383-4989-986E-719B53CE0AB6}"/>
    <cellStyle name="Normal 12 4 3 2 3" xfId="11868" xr:uid="{888D3555-5081-4A21-AF0A-5C4B796FB77E}"/>
    <cellStyle name="Normal 12 4 3 3" xfId="5499" xr:uid="{00000000-0005-0000-0000-00004D0E0000}"/>
    <cellStyle name="Normal 12 4 3 3 2" xfId="13941" xr:uid="{C22F503C-E6B6-4FA7-B71F-265933F8928E}"/>
    <cellStyle name="Normal 12 4 3 4" xfId="9723" xr:uid="{0CD9AE57-9443-4710-BC8C-E303CEC2C5A6}"/>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395CFB9F-B392-4A97-AD3C-B148DF8DCBCA}"/>
    <cellStyle name="Normal 12 4 4 2 3" xfId="12281" xr:uid="{86A2A089-0BFA-4C72-9848-10BC534D8540}"/>
    <cellStyle name="Normal 12 4 4 3" xfId="5912" xr:uid="{00000000-0005-0000-0000-0000510E0000}"/>
    <cellStyle name="Normal 12 4 4 3 2" xfId="14354" xr:uid="{7259290A-7308-436C-88B0-98E655838144}"/>
    <cellStyle name="Normal 12 4 4 4" xfId="10136" xr:uid="{CA7E5B9B-5BBB-4BEE-ABC7-FFFA94AB3DEA}"/>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304A8E34-F24B-4DB5-897C-B33ECA48CF74}"/>
    <cellStyle name="Normal 12 4 5 2 3" xfId="12694" xr:uid="{54C7D46F-FF9E-4ED5-BA51-F6E5D3BBE88A}"/>
    <cellStyle name="Normal 12 4 5 3" xfId="6325" xr:uid="{00000000-0005-0000-0000-0000550E0000}"/>
    <cellStyle name="Normal 12 4 5 3 2" xfId="14767" xr:uid="{DD50EE4C-42B9-4EA0-9C85-BD7D6575BD2F}"/>
    <cellStyle name="Normal 12 4 5 4" xfId="10549" xr:uid="{5ECDB2C3-10D0-4AEE-B6B1-4F2539A6E1B3}"/>
    <cellStyle name="Normal 12 4 6" xfId="2454" xr:uid="{00000000-0005-0000-0000-0000560E0000}"/>
    <cellStyle name="Normal 12 4 6 2" xfId="6738" xr:uid="{00000000-0005-0000-0000-0000570E0000}"/>
    <cellStyle name="Normal 12 4 6 2 2" xfId="15180" xr:uid="{ADD766E1-9036-4370-B570-E5ADED4EE736}"/>
    <cellStyle name="Normal 12 4 6 3" xfId="10962" xr:uid="{682FC9E4-5772-40C0-BB6B-DC57D1A92483}"/>
    <cellStyle name="Normal 12 4 7" xfId="4672" xr:uid="{00000000-0005-0000-0000-0000580E0000}"/>
    <cellStyle name="Normal 12 4 7 2" xfId="13114" xr:uid="{60F1D210-714B-4977-BA27-668224BC7EEC}"/>
    <cellStyle name="Normal 12 4 8" xfId="8896" xr:uid="{33BE7BD2-C1AB-49E3-870E-AB4E2D888923}"/>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A20647D8-4E67-45D7-BC86-486B2D2B79CB}"/>
    <cellStyle name="Normal 12 6 2 3" xfId="11448" xr:uid="{1356A736-144E-48EA-A5E0-8D0E3EEA1340}"/>
    <cellStyle name="Normal 12 6 3" xfId="5079" xr:uid="{00000000-0005-0000-0000-00005D0E0000}"/>
    <cellStyle name="Normal 12 6 3 2" xfId="13521" xr:uid="{833B35B0-36F4-46E5-AEBF-E14AD1524D18}"/>
    <cellStyle name="Normal 12 6 4" xfId="9303" xr:uid="{B15EE1D1-3DC6-4627-822F-C5E0D95FEAE7}"/>
    <cellStyle name="Normal 12 7" xfId="1183" xr:uid="{00000000-0005-0000-0000-00005E0E0000}"/>
    <cellStyle name="Normal 12 7 2" xfId="3414" xr:uid="{00000000-0005-0000-0000-00005F0E0000}"/>
    <cellStyle name="Normal 12 7 2 2" xfId="7637" xr:uid="{00000000-0005-0000-0000-0000600E0000}"/>
    <cellStyle name="Normal 12 7 2 2 2" xfId="16079" xr:uid="{1D8B278B-05CC-4934-A771-4BCAE22BFC5A}"/>
    <cellStyle name="Normal 12 7 2 3" xfId="11861" xr:uid="{9C549F8F-B417-40D5-8181-DF095837EA95}"/>
    <cellStyle name="Normal 12 7 3" xfId="5492" xr:uid="{00000000-0005-0000-0000-0000610E0000}"/>
    <cellStyle name="Normal 12 7 3 2" xfId="13934" xr:uid="{60B03187-6A6C-4C4D-9904-A6EACDE1FFEC}"/>
    <cellStyle name="Normal 12 7 4" xfId="9716" xr:uid="{9F7B04F9-9884-4A41-AAC9-C86BD7D4CF5A}"/>
    <cellStyle name="Normal 12 8" xfId="1597" xr:uid="{00000000-0005-0000-0000-0000620E0000}"/>
    <cellStyle name="Normal 12 8 2" xfId="3827" xr:uid="{00000000-0005-0000-0000-0000630E0000}"/>
    <cellStyle name="Normal 12 8 2 2" xfId="8050" xr:uid="{00000000-0005-0000-0000-0000640E0000}"/>
    <cellStyle name="Normal 12 8 2 2 2" xfId="16492" xr:uid="{9D10BA63-3ED3-4C77-9F7C-4E3F2E428946}"/>
    <cellStyle name="Normal 12 8 2 3" xfId="12274" xr:uid="{EEA40812-BF90-4BB9-B65D-3FCA3D8E8AD4}"/>
    <cellStyle name="Normal 12 8 3" xfId="5905" xr:uid="{00000000-0005-0000-0000-0000650E0000}"/>
    <cellStyle name="Normal 12 8 3 2" xfId="14347" xr:uid="{9DB2787A-A8C3-435E-805D-7DB07DE4702E}"/>
    <cellStyle name="Normal 12 8 4" xfId="10129" xr:uid="{148BC68E-36E8-4D70-945A-70ECEB0EFF1E}"/>
    <cellStyle name="Normal 12 9" xfId="2011" xr:uid="{00000000-0005-0000-0000-0000660E0000}"/>
    <cellStyle name="Normal 12 9 2" xfId="4240" xr:uid="{00000000-0005-0000-0000-0000670E0000}"/>
    <cellStyle name="Normal 12 9 2 2" xfId="8463" xr:uid="{00000000-0005-0000-0000-0000680E0000}"/>
    <cellStyle name="Normal 12 9 2 2 2" xfId="16905" xr:uid="{AD46BF00-92C2-4C6A-86C6-4A3B446E14C2}"/>
    <cellStyle name="Normal 12 9 2 3" xfId="12687" xr:uid="{ED719108-9B8F-4AAF-95CD-C9BCF92F7D91}"/>
    <cellStyle name="Normal 12 9 3" xfId="6318" xr:uid="{00000000-0005-0000-0000-0000690E0000}"/>
    <cellStyle name="Normal 12 9 3 2" xfId="14760" xr:uid="{ADB0F9BD-91ED-447C-B2FC-E06742DD73EF}"/>
    <cellStyle name="Normal 12 9 4" xfId="10542" xr:uid="{97745D3C-01FA-468C-BF7E-484655D8286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48BC28A4-807C-4C59-BED4-D011530F15B6}"/>
    <cellStyle name="Normal 14 2 2 3" xfId="11456" xr:uid="{792CD9CC-874D-406D-84CC-5B549EFD7363}"/>
    <cellStyle name="Normal 14 2 3" xfId="5087" xr:uid="{00000000-0005-0000-0000-0000700E0000}"/>
    <cellStyle name="Normal 14 2 3 2" xfId="13529" xr:uid="{AEF9E1FE-8DA2-4946-B02E-4104DAB5E8DB}"/>
    <cellStyle name="Normal 14 2 4" xfId="9311" xr:uid="{2461831C-4651-4C0B-8D2E-32F2D39FDB2F}"/>
    <cellStyle name="Normal 14 3" xfId="1191" xr:uid="{00000000-0005-0000-0000-0000710E0000}"/>
    <cellStyle name="Normal 14 3 2" xfId="3422" xr:uid="{00000000-0005-0000-0000-0000720E0000}"/>
    <cellStyle name="Normal 14 3 2 2" xfId="7645" xr:uid="{00000000-0005-0000-0000-0000730E0000}"/>
    <cellStyle name="Normal 14 3 2 2 2" xfId="16087" xr:uid="{869F53BB-DEFE-47F7-B80C-F4A009EFAC39}"/>
    <cellStyle name="Normal 14 3 2 3" xfId="11869" xr:uid="{6917DDCC-1808-4C14-B34D-295BDE403D58}"/>
    <cellStyle name="Normal 14 3 3" xfId="5500" xr:uid="{00000000-0005-0000-0000-0000740E0000}"/>
    <cellStyle name="Normal 14 3 3 2" xfId="13942" xr:uid="{5AB2C1FD-2677-4E80-AB09-C4C80B649C27}"/>
    <cellStyle name="Normal 14 3 4" xfId="9724" xr:uid="{DE490DC5-8D54-47AA-86B5-9DB4D11660B0}"/>
    <cellStyle name="Normal 14 4" xfId="1605" xr:uid="{00000000-0005-0000-0000-0000750E0000}"/>
    <cellStyle name="Normal 14 4 2" xfId="3835" xr:uid="{00000000-0005-0000-0000-0000760E0000}"/>
    <cellStyle name="Normal 14 4 2 2" xfId="8058" xr:uid="{00000000-0005-0000-0000-0000770E0000}"/>
    <cellStyle name="Normal 14 4 2 2 2" xfId="16500" xr:uid="{861EBFA2-DC95-4D3C-932F-6A0D088AB6AC}"/>
    <cellStyle name="Normal 14 4 2 3" xfId="12282" xr:uid="{F0A05CB2-A566-4342-AF80-977C295BB12D}"/>
    <cellStyle name="Normal 14 4 3" xfId="5913" xr:uid="{00000000-0005-0000-0000-0000780E0000}"/>
    <cellStyle name="Normal 14 4 3 2" xfId="14355" xr:uid="{6790A3A5-C918-4ED9-9C08-14337F897719}"/>
    <cellStyle name="Normal 14 4 4" xfId="10137" xr:uid="{7377196E-8BBA-4422-AB53-F57F6B56C24D}"/>
    <cellStyle name="Normal 14 5" xfId="2019" xr:uid="{00000000-0005-0000-0000-0000790E0000}"/>
    <cellStyle name="Normal 14 5 2" xfId="4248" xr:uid="{00000000-0005-0000-0000-00007A0E0000}"/>
    <cellStyle name="Normal 14 5 2 2" xfId="8471" xr:uid="{00000000-0005-0000-0000-00007B0E0000}"/>
    <cellStyle name="Normal 14 5 2 2 2" xfId="16913" xr:uid="{128C692A-333D-4756-8B4B-BE5DAF63A741}"/>
    <cellStyle name="Normal 14 5 2 3" xfId="12695" xr:uid="{0A258930-4A16-42E3-AC68-8C8915FCB798}"/>
    <cellStyle name="Normal 14 5 3" xfId="6326" xr:uid="{00000000-0005-0000-0000-00007C0E0000}"/>
    <cellStyle name="Normal 14 5 3 2" xfId="14768" xr:uid="{4AFDCC48-0C1C-43F4-9F39-F76730FF0D16}"/>
    <cellStyle name="Normal 14 5 4" xfId="10550" xr:uid="{E34DBB50-EDCE-4C46-AC28-F485E7C75AAB}"/>
    <cellStyle name="Normal 14 6" xfId="2455" xr:uid="{00000000-0005-0000-0000-00007D0E0000}"/>
    <cellStyle name="Normal 14 6 2" xfId="6739" xr:uid="{00000000-0005-0000-0000-00007E0E0000}"/>
    <cellStyle name="Normal 14 6 2 2" xfId="15181" xr:uid="{EF1BF99E-64C4-4EA6-A0FD-88B0F213FFFD}"/>
    <cellStyle name="Normal 14 6 3" xfId="10963" xr:uid="{9C7983B0-CAE9-4615-A75D-88902D0C3F4C}"/>
    <cellStyle name="Normal 14 7" xfId="4673" xr:uid="{00000000-0005-0000-0000-00007F0E0000}"/>
    <cellStyle name="Normal 14 7 2" xfId="13115" xr:uid="{91F7B6BA-98BE-4EDF-AA13-874E88987ED9}"/>
    <cellStyle name="Normal 14 8" xfId="8897" xr:uid="{A144E528-26D2-4B85-B60F-E865B1C67074}"/>
    <cellStyle name="Normal 15" xfId="4496" xr:uid="{00000000-0005-0000-0000-0000800E0000}"/>
    <cellStyle name="Normal 15 2" xfId="12941" xr:uid="{88AA02AE-D735-4AEA-B5C4-0AC54188A1D5}"/>
    <cellStyle name="Normal 16" xfId="4500" xr:uid="{00000000-0005-0000-0000-0000810E0000}"/>
    <cellStyle name="Normal 16 2" xfId="8716" xr:uid="{00000000-0005-0000-0000-0000820E0000}"/>
    <cellStyle name="Normal 16 2 2" xfId="17158" xr:uid="{2D22F7CC-4ADE-4E17-9623-CD145C5A67C5}"/>
    <cellStyle name="Normal 16 3" xfId="8719" xr:uid="{3DE1BEEB-61FA-4094-B10F-9E0444F68763}"/>
    <cellStyle name="Normal 16 3 2" xfId="8723" xr:uid="{FE0BC069-4698-40B2-814D-8E09719245E9}"/>
    <cellStyle name="Normal 16 3 2 2" xfId="8726" xr:uid="{D3E9609F-293A-4CFC-B194-1FF2F92D621D}"/>
    <cellStyle name="Normal 16 3 3" xfId="17161" xr:uid="{8F5A8DBA-7324-4DED-82BB-8515A9EA8BA7}"/>
    <cellStyle name="Normal 16 4" xfId="12944" xr:uid="{4A1CC332-F862-4FA9-BC50-83E7AEAEAAA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2B04B110-7FBC-45FA-95BE-D0E14AC0633B}"/>
    <cellStyle name="Normal 2 4 2 10 2 3" xfId="12696" xr:uid="{F827F377-9F8C-4D71-A408-144F503038CF}"/>
    <cellStyle name="Normal 2 4 2 10 3" xfId="6327" xr:uid="{00000000-0005-0000-0000-0000910E0000}"/>
    <cellStyle name="Normal 2 4 2 10 3 2" xfId="14769" xr:uid="{5BE1EF96-B354-41E2-BFBC-753A101FA45B}"/>
    <cellStyle name="Normal 2 4 2 10 4" xfId="10551" xr:uid="{A54819A1-B854-46FE-B210-7C1629CE8028}"/>
    <cellStyle name="Normal 2 4 2 11" xfId="2456" xr:uid="{00000000-0005-0000-0000-0000920E0000}"/>
    <cellStyle name="Normal 2 4 2 11 2" xfId="6740" xr:uid="{00000000-0005-0000-0000-0000930E0000}"/>
    <cellStyle name="Normal 2 4 2 11 2 2" xfId="15182" xr:uid="{79038341-F862-4B44-8D09-F6FE84C76A89}"/>
    <cellStyle name="Normal 2 4 2 11 3" xfId="10964" xr:uid="{9CC9D5C3-742C-4BE9-9164-06665F1329A5}"/>
    <cellStyle name="Normal 2 4 2 12" xfId="4674" xr:uid="{00000000-0005-0000-0000-0000940E0000}"/>
    <cellStyle name="Normal 2 4 2 12 2" xfId="13116" xr:uid="{7AB204CC-9EEE-44D8-9AD6-83F8533D03B2}"/>
    <cellStyle name="Normal 2 4 2 13" xfId="8898" xr:uid="{161531F3-4F56-44C0-8E42-E7789C729646}"/>
    <cellStyle name="Normal 2 4 2 2" xfId="280" xr:uid="{00000000-0005-0000-0000-0000950E0000}"/>
    <cellStyle name="Normal 2 4 2 3" xfId="281" xr:uid="{00000000-0005-0000-0000-0000960E0000}"/>
    <cellStyle name="Normal 2 4 2 3 10" xfId="4675" xr:uid="{00000000-0005-0000-0000-0000970E0000}"/>
    <cellStyle name="Normal 2 4 2 3 10 2" xfId="13117" xr:uid="{0F68CBC5-4982-401E-BDB4-854CA1E0A89C}"/>
    <cellStyle name="Normal 2 4 2 3 11" xfId="8899" xr:uid="{AD073FD4-E595-4DC5-B060-B17295B8BB6A}"/>
    <cellStyle name="Normal 2 4 2 3 2" xfId="282" xr:uid="{00000000-0005-0000-0000-0000980E0000}"/>
    <cellStyle name="Normal 2 4 2 3 2 10" xfId="8900" xr:uid="{455E2977-4A6A-4A4F-B13B-F259ECFC6ED1}"/>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A1D5EE2C-A34A-4F3C-B7E6-F79BEA3CC1CB}"/>
    <cellStyle name="Normal 2 4 2 3 2 2 2 2 2 3" xfId="11461" xr:uid="{47C65193-5578-4EF4-98A8-95633E2AE7B9}"/>
    <cellStyle name="Normal 2 4 2 3 2 2 2 2 3" xfId="5092" xr:uid="{00000000-0005-0000-0000-00009E0E0000}"/>
    <cellStyle name="Normal 2 4 2 3 2 2 2 2 3 2" xfId="13534" xr:uid="{2176DFD8-0703-4CFC-AB5C-7F66053F9F95}"/>
    <cellStyle name="Normal 2 4 2 3 2 2 2 2 4" xfId="9316" xr:uid="{49D569E7-5F31-41F0-B6FE-5A3BD03A481A}"/>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C67DD34A-EC6C-43C9-978C-72723C678E92}"/>
    <cellStyle name="Normal 2 4 2 3 2 2 2 3 2 3" xfId="11874" xr:uid="{917D8BF5-ED71-430F-8049-55B5430E7A34}"/>
    <cellStyle name="Normal 2 4 2 3 2 2 2 3 3" xfId="5505" xr:uid="{00000000-0005-0000-0000-0000A20E0000}"/>
    <cellStyle name="Normal 2 4 2 3 2 2 2 3 3 2" xfId="13947" xr:uid="{3CA31F5A-97BE-467F-B59C-7F79B36C7993}"/>
    <cellStyle name="Normal 2 4 2 3 2 2 2 3 4" xfId="9729" xr:uid="{29242CA1-F0E8-4D17-9693-A8D8916C25A4}"/>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B72BA47D-2564-4B3B-8955-89DA1C11E210}"/>
    <cellStyle name="Normal 2 4 2 3 2 2 2 4 2 3" xfId="12287" xr:uid="{BD849C23-35F2-447C-A585-525E78D18A1F}"/>
    <cellStyle name="Normal 2 4 2 3 2 2 2 4 3" xfId="5918" xr:uid="{00000000-0005-0000-0000-0000A60E0000}"/>
    <cellStyle name="Normal 2 4 2 3 2 2 2 4 3 2" xfId="14360" xr:uid="{A7B248D7-4057-4902-B8CC-0A70E3812535}"/>
    <cellStyle name="Normal 2 4 2 3 2 2 2 4 4" xfId="10142" xr:uid="{F4243431-1136-4D43-94E8-5E7AB377A2F2}"/>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F4E08156-F839-481B-BD91-8CBBDE36A704}"/>
    <cellStyle name="Normal 2 4 2 3 2 2 2 5 2 3" xfId="12700" xr:uid="{D8219254-410F-431F-B76D-2613CB22A2CC}"/>
    <cellStyle name="Normal 2 4 2 3 2 2 2 5 3" xfId="6331" xr:uid="{00000000-0005-0000-0000-0000AA0E0000}"/>
    <cellStyle name="Normal 2 4 2 3 2 2 2 5 3 2" xfId="14773" xr:uid="{C26B87E1-28D0-4C3C-B0C6-996092AD4A0E}"/>
    <cellStyle name="Normal 2 4 2 3 2 2 2 5 4" xfId="10555" xr:uid="{82B3BD67-A303-42AA-8344-2CF556186C25}"/>
    <cellStyle name="Normal 2 4 2 3 2 2 2 6" xfId="2460" xr:uid="{00000000-0005-0000-0000-0000AB0E0000}"/>
    <cellStyle name="Normal 2 4 2 3 2 2 2 6 2" xfId="6744" xr:uid="{00000000-0005-0000-0000-0000AC0E0000}"/>
    <cellStyle name="Normal 2 4 2 3 2 2 2 6 2 2" xfId="15186" xr:uid="{C60F677F-7EA6-4254-B2ED-24104BB12BB2}"/>
    <cellStyle name="Normal 2 4 2 3 2 2 2 6 3" xfId="10968" xr:uid="{694037F1-95AE-44D2-86AC-733D5D4F1ABE}"/>
    <cellStyle name="Normal 2 4 2 3 2 2 2 7" xfId="4678" xr:uid="{00000000-0005-0000-0000-0000AD0E0000}"/>
    <cellStyle name="Normal 2 4 2 3 2 2 2 7 2" xfId="13120" xr:uid="{3F6E12A9-CAD9-4B2C-8432-D4C5A689033E}"/>
    <cellStyle name="Normal 2 4 2 3 2 2 2 8" xfId="8902" xr:uid="{9EEA892E-C0FA-41DD-B99A-5F4F88F86637}"/>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A4E6016E-8EDE-4713-8473-07E7C57A6F49}"/>
    <cellStyle name="Normal 2 4 2 3 2 2 3 2 3" xfId="11460" xr:uid="{6F62A4FD-22D2-4132-B59E-E72EDD1B25F1}"/>
    <cellStyle name="Normal 2 4 2 3 2 2 3 3" xfId="5091" xr:uid="{00000000-0005-0000-0000-0000B10E0000}"/>
    <cellStyle name="Normal 2 4 2 3 2 2 3 3 2" xfId="13533" xr:uid="{5265CB29-4D70-47F8-A27E-B5916A2DB372}"/>
    <cellStyle name="Normal 2 4 2 3 2 2 3 4" xfId="9315" xr:uid="{BC7A8CB5-E7F3-44A4-98CB-E430F5D12ABE}"/>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154A7A77-EF67-4393-8853-94FE902A2658}"/>
    <cellStyle name="Normal 2 4 2 3 2 2 4 2 3" xfId="11873" xr:uid="{01CA3E37-9885-498E-9833-6575F09671A7}"/>
    <cellStyle name="Normal 2 4 2 3 2 2 4 3" xfId="5504" xr:uid="{00000000-0005-0000-0000-0000B50E0000}"/>
    <cellStyle name="Normal 2 4 2 3 2 2 4 3 2" xfId="13946" xr:uid="{F9DF5815-39A8-4089-887A-4256877A807A}"/>
    <cellStyle name="Normal 2 4 2 3 2 2 4 4" xfId="9728" xr:uid="{1045097F-0A90-4504-8AB4-D4BC852202FD}"/>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288D3F1B-7EE4-4520-8E5E-895D6AB5000F}"/>
    <cellStyle name="Normal 2 4 2 3 2 2 5 2 3" xfId="12286" xr:uid="{0CCC0EDA-F977-4B6D-87E7-D2D36C664AB3}"/>
    <cellStyle name="Normal 2 4 2 3 2 2 5 3" xfId="5917" xr:uid="{00000000-0005-0000-0000-0000B90E0000}"/>
    <cellStyle name="Normal 2 4 2 3 2 2 5 3 2" xfId="14359" xr:uid="{FDDAAA47-6872-4815-B6D6-2221B12CA745}"/>
    <cellStyle name="Normal 2 4 2 3 2 2 5 4" xfId="10141" xr:uid="{4CCC2412-C164-4335-AC34-A75BC0A731C4}"/>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AC6F2A54-0ADB-455D-BEDE-4E62283A3A95}"/>
    <cellStyle name="Normal 2 4 2 3 2 2 6 2 3" xfId="12699" xr:uid="{8F0E1092-24A9-4BAB-806E-231562926954}"/>
    <cellStyle name="Normal 2 4 2 3 2 2 6 3" xfId="6330" xr:uid="{00000000-0005-0000-0000-0000BD0E0000}"/>
    <cellStyle name="Normal 2 4 2 3 2 2 6 3 2" xfId="14772" xr:uid="{865B5FDD-63D4-447F-BDA5-F778634F83BC}"/>
    <cellStyle name="Normal 2 4 2 3 2 2 6 4" xfId="10554" xr:uid="{1358C6BE-2E25-4803-B7CC-89C2016A96AD}"/>
    <cellStyle name="Normal 2 4 2 3 2 2 7" xfId="2459" xr:uid="{00000000-0005-0000-0000-0000BE0E0000}"/>
    <cellStyle name="Normal 2 4 2 3 2 2 7 2" xfId="6743" xr:uid="{00000000-0005-0000-0000-0000BF0E0000}"/>
    <cellStyle name="Normal 2 4 2 3 2 2 7 2 2" xfId="15185" xr:uid="{19390DBA-ACF9-4D13-8976-F120AAA78563}"/>
    <cellStyle name="Normal 2 4 2 3 2 2 7 3" xfId="10967" xr:uid="{818AE7B2-3A70-4C5C-966F-CC281CEC0F67}"/>
    <cellStyle name="Normal 2 4 2 3 2 2 8" xfId="4677" xr:uid="{00000000-0005-0000-0000-0000C00E0000}"/>
    <cellStyle name="Normal 2 4 2 3 2 2 8 2" xfId="13119" xr:uid="{8BD82B1E-C549-4973-9031-30480ADCD740}"/>
    <cellStyle name="Normal 2 4 2 3 2 2 9" xfId="8901" xr:uid="{4352F1DB-37A8-437A-A20F-645DD2948138}"/>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FA1F2F1D-B3A7-4BAC-95D6-1E85160F4F09}"/>
    <cellStyle name="Normal 2 4 2 3 2 3 2 2 3" xfId="11462" xr:uid="{3FB99ABF-D5C0-4A4F-A731-E86A8DE1C6F9}"/>
    <cellStyle name="Normal 2 4 2 3 2 3 2 3" xfId="5093" xr:uid="{00000000-0005-0000-0000-0000C50E0000}"/>
    <cellStyle name="Normal 2 4 2 3 2 3 2 3 2" xfId="13535" xr:uid="{35B11580-EA11-4CB7-8A6E-98C3A53EBEAC}"/>
    <cellStyle name="Normal 2 4 2 3 2 3 2 4" xfId="9317" xr:uid="{3BF3DD2F-483A-4B6A-877E-FBF7A8D1197F}"/>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BA28CF5C-9B83-4300-8981-F6AB0BFAE569}"/>
    <cellStyle name="Normal 2 4 2 3 2 3 3 2 3" xfId="11875" xr:uid="{30B7D40F-FB45-4553-AB4C-82A2D4910C32}"/>
    <cellStyle name="Normal 2 4 2 3 2 3 3 3" xfId="5506" xr:uid="{00000000-0005-0000-0000-0000C90E0000}"/>
    <cellStyle name="Normal 2 4 2 3 2 3 3 3 2" xfId="13948" xr:uid="{B0C3DC92-C982-42AD-B6D1-C2472F73DB66}"/>
    <cellStyle name="Normal 2 4 2 3 2 3 3 4" xfId="9730" xr:uid="{564E7DC3-40D0-4791-BFDB-FB0AA521D86F}"/>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CE6DD78D-1BEB-423C-A81C-8CA53D12BEE4}"/>
    <cellStyle name="Normal 2 4 2 3 2 3 4 2 3" xfId="12288" xr:uid="{D8D1A65B-FCD1-4E3F-BF10-7D077002DAEE}"/>
    <cellStyle name="Normal 2 4 2 3 2 3 4 3" xfId="5919" xr:uid="{00000000-0005-0000-0000-0000CD0E0000}"/>
    <cellStyle name="Normal 2 4 2 3 2 3 4 3 2" xfId="14361" xr:uid="{C1B09AF4-1757-42EC-B25C-66EF7923CA28}"/>
    <cellStyle name="Normal 2 4 2 3 2 3 4 4" xfId="10143" xr:uid="{320FAA15-7792-4778-8CB0-E6072818CB9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C1A9CE2D-0CFC-456B-AC4C-07E2A1C832B3}"/>
    <cellStyle name="Normal 2 4 2 3 2 3 5 2 3" xfId="12701" xr:uid="{1DBDE9B8-E58B-4CF2-BDE2-5C74A13EC7BA}"/>
    <cellStyle name="Normal 2 4 2 3 2 3 5 3" xfId="6332" xr:uid="{00000000-0005-0000-0000-0000D10E0000}"/>
    <cellStyle name="Normal 2 4 2 3 2 3 5 3 2" xfId="14774" xr:uid="{8DB0F884-A649-4A32-A61C-E1AC06FA4ACC}"/>
    <cellStyle name="Normal 2 4 2 3 2 3 5 4" xfId="10556" xr:uid="{852D4F54-99B5-4129-8BD4-F549D5C5DFAB}"/>
    <cellStyle name="Normal 2 4 2 3 2 3 6" xfId="2461" xr:uid="{00000000-0005-0000-0000-0000D20E0000}"/>
    <cellStyle name="Normal 2 4 2 3 2 3 6 2" xfId="6745" xr:uid="{00000000-0005-0000-0000-0000D30E0000}"/>
    <cellStyle name="Normal 2 4 2 3 2 3 6 2 2" xfId="15187" xr:uid="{DF5C3073-4C99-4ED7-AF5B-910D3F2B240D}"/>
    <cellStyle name="Normal 2 4 2 3 2 3 6 3" xfId="10969" xr:uid="{400323ED-5BA2-4A84-9521-2A8FC534D197}"/>
    <cellStyle name="Normal 2 4 2 3 2 3 7" xfId="4679" xr:uid="{00000000-0005-0000-0000-0000D40E0000}"/>
    <cellStyle name="Normal 2 4 2 3 2 3 7 2" xfId="13121" xr:uid="{AB1D72E8-304A-40F5-9FFD-63ACC195C4DE}"/>
    <cellStyle name="Normal 2 4 2 3 2 3 8" xfId="8903" xr:uid="{986402F5-3A31-4EC5-9882-6710D9582CB3}"/>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38D89CCD-EC03-4D6A-BD24-E9F0D20B5685}"/>
    <cellStyle name="Normal 2 4 2 3 2 4 2 3" xfId="11459" xr:uid="{E79F06B4-AE30-4776-B6D8-C320C53D7BB5}"/>
    <cellStyle name="Normal 2 4 2 3 2 4 3" xfId="5090" xr:uid="{00000000-0005-0000-0000-0000D80E0000}"/>
    <cellStyle name="Normal 2 4 2 3 2 4 3 2" xfId="13532" xr:uid="{20272DBC-0EA0-4F65-A6D5-D26B9F946DD1}"/>
    <cellStyle name="Normal 2 4 2 3 2 4 4" xfId="9314" xr:uid="{544759F2-203B-47FE-BBB0-46C94A4E73EF}"/>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010E8ADA-C822-4ABF-8B32-C647BA3FF416}"/>
    <cellStyle name="Normal 2 4 2 3 2 5 2 3" xfId="11872" xr:uid="{3D0184A4-688D-471D-920E-C29CD6F1B423}"/>
    <cellStyle name="Normal 2 4 2 3 2 5 3" xfId="5503" xr:uid="{00000000-0005-0000-0000-0000DC0E0000}"/>
    <cellStyle name="Normal 2 4 2 3 2 5 3 2" xfId="13945" xr:uid="{7F506598-2EC0-43FC-BC21-25A2B2681A4C}"/>
    <cellStyle name="Normal 2 4 2 3 2 5 4" xfId="9727" xr:uid="{6886DF62-57FB-4C35-A695-71169D83788A}"/>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4FC0BFF9-F165-4F6B-AC50-51A6254F0C46}"/>
    <cellStyle name="Normal 2 4 2 3 2 6 2 3" xfId="12285" xr:uid="{E70E0242-64FA-447A-8DC0-31E7D64CED05}"/>
    <cellStyle name="Normal 2 4 2 3 2 6 3" xfId="5916" xr:uid="{00000000-0005-0000-0000-0000E00E0000}"/>
    <cellStyle name="Normal 2 4 2 3 2 6 3 2" xfId="14358" xr:uid="{954A3AE9-0015-4509-8FB1-67DE19BE3511}"/>
    <cellStyle name="Normal 2 4 2 3 2 6 4" xfId="10140" xr:uid="{3FFBE147-9F50-44B9-8ECC-43956266D3FB}"/>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1276D51D-BFEF-47F7-ABF8-7282783D9C46}"/>
    <cellStyle name="Normal 2 4 2 3 2 7 2 3" xfId="12698" xr:uid="{E7111CE0-9877-4304-91DD-34838426A8F9}"/>
    <cellStyle name="Normal 2 4 2 3 2 7 3" xfId="6329" xr:uid="{00000000-0005-0000-0000-0000E40E0000}"/>
    <cellStyle name="Normal 2 4 2 3 2 7 3 2" xfId="14771" xr:uid="{32FB7FFD-23E6-4F7A-9C50-5A0A070DEC67}"/>
    <cellStyle name="Normal 2 4 2 3 2 7 4" xfId="10553" xr:uid="{20145577-AA41-4614-9441-E6B5A46013CE}"/>
    <cellStyle name="Normal 2 4 2 3 2 8" xfId="2458" xr:uid="{00000000-0005-0000-0000-0000E50E0000}"/>
    <cellStyle name="Normal 2 4 2 3 2 8 2" xfId="6742" xr:uid="{00000000-0005-0000-0000-0000E60E0000}"/>
    <cellStyle name="Normal 2 4 2 3 2 8 2 2" xfId="15184" xr:uid="{14F7EFE9-8D22-4C90-B3CA-06C74A50D540}"/>
    <cellStyle name="Normal 2 4 2 3 2 8 3" xfId="10966" xr:uid="{1930E6CD-9183-4BFF-B4DC-9C7A7C47B854}"/>
    <cellStyle name="Normal 2 4 2 3 2 9" xfId="4676" xr:uid="{00000000-0005-0000-0000-0000E70E0000}"/>
    <cellStyle name="Normal 2 4 2 3 2 9 2" xfId="13118" xr:uid="{28823C34-B4D8-42B2-9824-05BFDDFEA4FD}"/>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9A3E3555-7577-4FB6-BF36-434E16D206C9}"/>
    <cellStyle name="Normal 2 4 2 3 3 2 2 2 3" xfId="11464" xr:uid="{60AF925E-3090-48B3-8FCF-00FB6C985462}"/>
    <cellStyle name="Normal 2 4 2 3 3 2 2 3" xfId="5095" xr:uid="{00000000-0005-0000-0000-0000ED0E0000}"/>
    <cellStyle name="Normal 2 4 2 3 3 2 2 3 2" xfId="13537" xr:uid="{7AB58ABD-67BA-4A2E-A257-0948390B94ED}"/>
    <cellStyle name="Normal 2 4 2 3 3 2 2 4" xfId="9319" xr:uid="{97AF07B6-0163-4937-9C37-C497BF8B6EFF}"/>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E400F5AA-4AF7-4F17-90B7-CDE95D6BDCE2}"/>
    <cellStyle name="Normal 2 4 2 3 3 2 3 2 3" xfId="11877" xr:uid="{CE8F3B87-88D5-4578-A7FF-0D57DB3B4EBB}"/>
    <cellStyle name="Normal 2 4 2 3 3 2 3 3" xfId="5508" xr:uid="{00000000-0005-0000-0000-0000F10E0000}"/>
    <cellStyle name="Normal 2 4 2 3 3 2 3 3 2" xfId="13950" xr:uid="{3D4C403F-76C9-4549-9B39-D884272E6DFC}"/>
    <cellStyle name="Normal 2 4 2 3 3 2 3 4" xfId="9732" xr:uid="{7515D365-AB7C-466F-9BC3-87473CA01466}"/>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5262FA3F-396C-485E-851C-5990F69275FC}"/>
    <cellStyle name="Normal 2 4 2 3 3 2 4 2 3" xfId="12290" xr:uid="{5A5FFCAD-7347-4E5F-8F14-EFD45324AB7A}"/>
    <cellStyle name="Normal 2 4 2 3 3 2 4 3" xfId="5921" xr:uid="{00000000-0005-0000-0000-0000F50E0000}"/>
    <cellStyle name="Normal 2 4 2 3 3 2 4 3 2" xfId="14363" xr:uid="{5DD1867A-B0AE-4DEC-8B7E-D17DAFD98428}"/>
    <cellStyle name="Normal 2 4 2 3 3 2 4 4" xfId="10145" xr:uid="{5143B854-D307-43E8-B279-B2EFCC858FE2}"/>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7FC1CDD7-59AA-467E-9265-B1290520F825}"/>
    <cellStyle name="Normal 2 4 2 3 3 2 5 2 3" xfId="12703" xr:uid="{65F16C68-9121-467A-9468-CFA0333AC9F0}"/>
    <cellStyle name="Normal 2 4 2 3 3 2 5 3" xfId="6334" xr:uid="{00000000-0005-0000-0000-0000F90E0000}"/>
    <cellStyle name="Normal 2 4 2 3 3 2 5 3 2" xfId="14776" xr:uid="{DB2DD39F-2043-4A14-BABC-43255B4BED65}"/>
    <cellStyle name="Normal 2 4 2 3 3 2 5 4" xfId="10558" xr:uid="{87825424-5FB0-4975-ADE6-937125997CA8}"/>
    <cellStyle name="Normal 2 4 2 3 3 2 6" xfId="2463" xr:uid="{00000000-0005-0000-0000-0000FA0E0000}"/>
    <cellStyle name="Normal 2 4 2 3 3 2 6 2" xfId="6747" xr:uid="{00000000-0005-0000-0000-0000FB0E0000}"/>
    <cellStyle name="Normal 2 4 2 3 3 2 6 2 2" xfId="15189" xr:uid="{11DDF696-2424-412E-8ADC-6FD67FCC7426}"/>
    <cellStyle name="Normal 2 4 2 3 3 2 6 3" xfId="10971" xr:uid="{070E6CF8-EF17-4B58-B5D6-D6D82D4BD15F}"/>
    <cellStyle name="Normal 2 4 2 3 3 2 7" xfId="4681" xr:uid="{00000000-0005-0000-0000-0000FC0E0000}"/>
    <cellStyle name="Normal 2 4 2 3 3 2 7 2" xfId="13123" xr:uid="{17E703B9-AC6D-4766-AC4D-48AE25B1DD1A}"/>
    <cellStyle name="Normal 2 4 2 3 3 2 8" xfId="8905" xr:uid="{47BB49AD-ACCC-450D-87F0-C0B523210505}"/>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C0ABDBA7-E928-43E0-AA32-3A55A7672860}"/>
    <cellStyle name="Normal 2 4 2 3 3 3 2 3" xfId="11463" xr:uid="{3C24C3AB-9296-4F2D-BF17-4497E31DDCA1}"/>
    <cellStyle name="Normal 2 4 2 3 3 3 3" xfId="5094" xr:uid="{00000000-0005-0000-0000-0000000F0000}"/>
    <cellStyle name="Normal 2 4 2 3 3 3 3 2" xfId="13536" xr:uid="{5827F2C6-B2C4-4AB1-B044-A1E10703D0D1}"/>
    <cellStyle name="Normal 2 4 2 3 3 3 4" xfId="9318" xr:uid="{56DCFA1A-F75C-4311-8F38-4D6DD59A5195}"/>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C846C657-C005-412E-856F-81FA4BEEDC59}"/>
    <cellStyle name="Normal 2 4 2 3 3 4 2 3" xfId="11876" xr:uid="{51048C93-E5D7-46FD-81A1-935887035152}"/>
    <cellStyle name="Normal 2 4 2 3 3 4 3" xfId="5507" xr:uid="{00000000-0005-0000-0000-0000040F0000}"/>
    <cellStyle name="Normal 2 4 2 3 3 4 3 2" xfId="13949" xr:uid="{8FECE550-26AD-41A1-8D76-AC0A57353FB9}"/>
    <cellStyle name="Normal 2 4 2 3 3 4 4" xfId="9731" xr:uid="{8134FB24-13BA-4898-922C-081CAE777618}"/>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22A432F5-B120-4508-9C35-B3D6EFF2C0BB}"/>
    <cellStyle name="Normal 2 4 2 3 3 5 2 3" xfId="12289" xr:uid="{CD88E1F0-BC01-4E1D-983C-AA12F7510A92}"/>
    <cellStyle name="Normal 2 4 2 3 3 5 3" xfId="5920" xr:uid="{00000000-0005-0000-0000-0000080F0000}"/>
    <cellStyle name="Normal 2 4 2 3 3 5 3 2" xfId="14362" xr:uid="{128DC70C-08A7-43CA-90DB-60EC22C54916}"/>
    <cellStyle name="Normal 2 4 2 3 3 5 4" xfId="10144" xr:uid="{91B822ED-A23F-4735-9E53-BB2C5156DB61}"/>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8FDD90BA-34CF-4DA4-AD55-EB5B7B2E2638}"/>
    <cellStyle name="Normal 2 4 2 3 3 6 2 3" xfId="12702" xr:uid="{E7D08067-73C3-4A36-8806-CAD062C0149D}"/>
    <cellStyle name="Normal 2 4 2 3 3 6 3" xfId="6333" xr:uid="{00000000-0005-0000-0000-00000C0F0000}"/>
    <cellStyle name="Normal 2 4 2 3 3 6 3 2" xfId="14775" xr:uid="{B9DF8BFC-77B2-4ABE-A688-E5CEB960B3A8}"/>
    <cellStyle name="Normal 2 4 2 3 3 6 4" xfId="10557" xr:uid="{66DE59EE-36FB-4085-A0CF-CF4DBF83C1FB}"/>
    <cellStyle name="Normal 2 4 2 3 3 7" xfId="2462" xr:uid="{00000000-0005-0000-0000-00000D0F0000}"/>
    <cellStyle name="Normal 2 4 2 3 3 7 2" xfId="6746" xr:uid="{00000000-0005-0000-0000-00000E0F0000}"/>
    <cellStyle name="Normal 2 4 2 3 3 7 2 2" xfId="15188" xr:uid="{7715720D-9930-495C-9344-67949A09630A}"/>
    <cellStyle name="Normal 2 4 2 3 3 7 3" xfId="10970" xr:uid="{81DD5D25-1562-4FCD-B38D-EB2D0784EC4A}"/>
    <cellStyle name="Normal 2 4 2 3 3 8" xfId="4680" xr:uid="{00000000-0005-0000-0000-00000F0F0000}"/>
    <cellStyle name="Normal 2 4 2 3 3 8 2" xfId="13122" xr:uid="{302794B2-5110-4BE0-A209-D1920BF1213B}"/>
    <cellStyle name="Normal 2 4 2 3 3 9" xfId="8904" xr:uid="{9D02A07E-11FB-4A94-89A8-3413885C50AD}"/>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DC6C296B-1A98-48E6-BB3D-2E293ED8503C}"/>
    <cellStyle name="Normal 2 4 2 3 4 2 2 3" xfId="11465" xr:uid="{F608B8D1-2CA1-4D0B-A74D-0D40F3A44EE5}"/>
    <cellStyle name="Normal 2 4 2 3 4 2 3" xfId="5096" xr:uid="{00000000-0005-0000-0000-0000140F0000}"/>
    <cellStyle name="Normal 2 4 2 3 4 2 3 2" xfId="13538" xr:uid="{36D1E0C2-7D93-4320-A3E4-D32D970D65B5}"/>
    <cellStyle name="Normal 2 4 2 3 4 2 4" xfId="9320" xr:uid="{E9CB9024-F3DE-48E1-B17B-9CADEAA2592B}"/>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9EBCEFCB-C9E4-461F-9F3C-1A87B73BC712}"/>
    <cellStyle name="Normal 2 4 2 3 4 3 2 3" xfId="11878" xr:uid="{C42C905F-CBBA-4C3C-8ECA-285114D656EE}"/>
    <cellStyle name="Normal 2 4 2 3 4 3 3" xfId="5509" xr:uid="{00000000-0005-0000-0000-0000180F0000}"/>
    <cellStyle name="Normal 2 4 2 3 4 3 3 2" xfId="13951" xr:uid="{18C7C225-FFF8-4CDC-8BCC-30BB12F74C89}"/>
    <cellStyle name="Normal 2 4 2 3 4 3 4" xfId="9733" xr:uid="{5B98F608-DD7C-4C1C-8A84-51418847B76E}"/>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978118BE-00D1-4226-A741-F002E2845224}"/>
    <cellStyle name="Normal 2 4 2 3 4 4 2 3" xfId="12291" xr:uid="{551636AF-A586-42F2-8E3A-1F5DF89F2319}"/>
    <cellStyle name="Normal 2 4 2 3 4 4 3" xfId="5922" xr:uid="{00000000-0005-0000-0000-00001C0F0000}"/>
    <cellStyle name="Normal 2 4 2 3 4 4 3 2" xfId="14364" xr:uid="{5DC3F70F-BC7D-4882-9628-78B8121931FB}"/>
    <cellStyle name="Normal 2 4 2 3 4 4 4" xfId="10146" xr:uid="{04EA64D0-A32E-41C4-A50E-BD9BE2FE0138}"/>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33CFA749-A706-4696-AE6B-6850FA322E5D}"/>
    <cellStyle name="Normal 2 4 2 3 4 5 2 3" xfId="12704" xr:uid="{3343D6EC-C72A-4D02-A7D1-E683A847A5C7}"/>
    <cellStyle name="Normal 2 4 2 3 4 5 3" xfId="6335" xr:uid="{00000000-0005-0000-0000-0000200F0000}"/>
    <cellStyle name="Normal 2 4 2 3 4 5 3 2" xfId="14777" xr:uid="{09A64C01-84F6-4B88-AABB-F770B1385BFD}"/>
    <cellStyle name="Normal 2 4 2 3 4 5 4" xfId="10559" xr:uid="{95228BF4-B490-432E-AB5A-3EAA003839AE}"/>
    <cellStyle name="Normal 2 4 2 3 4 6" xfId="2464" xr:uid="{00000000-0005-0000-0000-0000210F0000}"/>
    <cellStyle name="Normal 2 4 2 3 4 6 2" xfId="6748" xr:uid="{00000000-0005-0000-0000-0000220F0000}"/>
    <cellStyle name="Normal 2 4 2 3 4 6 2 2" xfId="15190" xr:uid="{1789D46A-E495-4156-84CE-675E3469269E}"/>
    <cellStyle name="Normal 2 4 2 3 4 6 3" xfId="10972" xr:uid="{E88B074B-A58B-4ADD-9400-6443CC5F3128}"/>
    <cellStyle name="Normal 2 4 2 3 4 7" xfId="4682" xr:uid="{00000000-0005-0000-0000-0000230F0000}"/>
    <cellStyle name="Normal 2 4 2 3 4 7 2" xfId="13124" xr:uid="{8FFBA4A7-048E-4D8B-B34A-5CB66C554D1B}"/>
    <cellStyle name="Normal 2 4 2 3 4 8" xfId="8906" xr:uid="{758264F5-A074-4857-898E-64659B76E218}"/>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A8C7204E-6C23-41E6-97C4-D73E75F892BB}"/>
    <cellStyle name="Normal 2 4 2 3 5 2 3" xfId="11458" xr:uid="{49A191CF-F8BC-4A9B-A661-32FD6B6CDAE9}"/>
    <cellStyle name="Normal 2 4 2 3 5 3" xfId="5089" xr:uid="{00000000-0005-0000-0000-0000270F0000}"/>
    <cellStyle name="Normal 2 4 2 3 5 3 2" xfId="13531" xr:uid="{258EA3CB-6A00-46C1-AFB6-0703FE6EA273}"/>
    <cellStyle name="Normal 2 4 2 3 5 4" xfId="9313" xr:uid="{2D0B723C-26BE-4FD4-B4F5-2D232ED9A4CC}"/>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AF10424F-6F58-4EDC-A671-F7563718FE50}"/>
    <cellStyle name="Normal 2 4 2 3 6 2 3" xfId="11871" xr:uid="{8C2A546C-5884-4AB1-8282-73028C06706F}"/>
    <cellStyle name="Normal 2 4 2 3 6 3" xfId="5502" xr:uid="{00000000-0005-0000-0000-00002B0F0000}"/>
    <cellStyle name="Normal 2 4 2 3 6 3 2" xfId="13944" xr:uid="{CB0E248E-D158-4B43-8888-D9AD5911A5C7}"/>
    <cellStyle name="Normal 2 4 2 3 6 4" xfId="9726" xr:uid="{8E09FAE0-099B-41AE-93CD-16B133858366}"/>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8E23EB8D-844F-4E90-8547-6E46D1D4471F}"/>
    <cellStyle name="Normal 2 4 2 3 7 2 3" xfId="12284" xr:uid="{E6953CF3-8BF5-45D8-89F3-D74458873888}"/>
    <cellStyle name="Normal 2 4 2 3 7 3" xfId="5915" xr:uid="{00000000-0005-0000-0000-00002F0F0000}"/>
    <cellStyle name="Normal 2 4 2 3 7 3 2" xfId="14357" xr:uid="{F1AB7F21-80A1-4C47-9669-C8A708A0A1F1}"/>
    <cellStyle name="Normal 2 4 2 3 7 4" xfId="10139" xr:uid="{0F0B4483-5E0C-41D0-9A91-86209C4D6D07}"/>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E35A33DF-1C70-493A-A261-5581C243B99E}"/>
    <cellStyle name="Normal 2 4 2 3 8 2 3" xfId="12697" xr:uid="{AA82545B-FC74-44E4-B77E-2459B2EC199C}"/>
    <cellStyle name="Normal 2 4 2 3 8 3" xfId="6328" xr:uid="{00000000-0005-0000-0000-0000330F0000}"/>
    <cellStyle name="Normal 2 4 2 3 8 3 2" xfId="14770" xr:uid="{418AE014-8582-4CFF-83E6-DDEA36277C34}"/>
    <cellStyle name="Normal 2 4 2 3 8 4" xfId="10552" xr:uid="{B5ADBD6E-3FD2-4835-BD12-E6A7A176F2F9}"/>
    <cellStyle name="Normal 2 4 2 3 9" xfId="2457" xr:uid="{00000000-0005-0000-0000-0000340F0000}"/>
    <cellStyle name="Normal 2 4 2 3 9 2" xfId="6741" xr:uid="{00000000-0005-0000-0000-0000350F0000}"/>
    <cellStyle name="Normal 2 4 2 3 9 2 2" xfId="15183" xr:uid="{BB2D4DE0-60F0-481A-8AC1-CB3F6FBF9AA7}"/>
    <cellStyle name="Normal 2 4 2 3 9 3" xfId="10965" xr:uid="{101253A9-995E-48E7-AAD5-DAAA38D1A404}"/>
    <cellStyle name="Normal 2 4 2 4" xfId="289" xr:uid="{00000000-0005-0000-0000-0000360F0000}"/>
    <cellStyle name="Normal 2 4 2 4 10" xfId="8907" xr:uid="{74B509EC-D028-4CA6-A7C2-6DA1F060DA95}"/>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5A708907-7CC5-4BB0-8AC4-73BB8EC62860}"/>
    <cellStyle name="Normal 2 4 2 4 2 2 2 2 3" xfId="11468" xr:uid="{C03AB029-F998-4F51-8D7D-4C16721F2A62}"/>
    <cellStyle name="Normal 2 4 2 4 2 2 2 3" xfId="5099" xr:uid="{00000000-0005-0000-0000-00003C0F0000}"/>
    <cellStyle name="Normal 2 4 2 4 2 2 2 3 2" xfId="13541" xr:uid="{E4C7DB80-3C03-4D00-9581-3019365ADFC3}"/>
    <cellStyle name="Normal 2 4 2 4 2 2 2 4" xfId="9323" xr:uid="{A78C7A0E-F2C8-4636-8055-65AB89066302}"/>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35F2B424-0B04-4701-84CF-183DC0858C04}"/>
    <cellStyle name="Normal 2 4 2 4 2 2 3 2 3" xfId="11881" xr:uid="{522FCBCD-7248-4F6D-8FC9-961E13BA0DD2}"/>
    <cellStyle name="Normal 2 4 2 4 2 2 3 3" xfId="5512" xr:uid="{00000000-0005-0000-0000-0000400F0000}"/>
    <cellStyle name="Normal 2 4 2 4 2 2 3 3 2" xfId="13954" xr:uid="{F401F44C-AB12-43AC-9B82-235DED701EE7}"/>
    <cellStyle name="Normal 2 4 2 4 2 2 3 4" xfId="9736" xr:uid="{8AB231B6-C618-43BA-8329-15BC3191F627}"/>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A7F46E75-61C1-4C87-AFC8-ECA8D0A2155C}"/>
    <cellStyle name="Normal 2 4 2 4 2 2 4 2 3" xfId="12294" xr:uid="{5A8AC8E4-3A01-4B2D-A067-18E0F7C0C4EB}"/>
    <cellStyle name="Normal 2 4 2 4 2 2 4 3" xfId="5925" xr:uid="{00000000-0005-0000-0000-0000440F0000}"/>
    <cellStyle name="Normal 2 4 2 4 2 2 4 3 2" xfId="14367" xr:uid="{7C8F285B-971E-4ED3-A5FD-7CADC685B529}"/>
    <cellStyle name="Normal 2 4 2 4 2 2 4 4" xfId="10149" xr:uid="{DC168D44-A9FE-4318-A2FA-A6D59A388033}"/>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B9BAF91D-A3EA-48EA-B5A8-5363BB2BA4B2}"/>
    <cellStyle name="Normal 2 4 2 4 2 2 5 2 3" xfId="12707" xr:uid="{0B4ED664-A929-4A45-98E1-64205E2E0D52}"/>
    <cellStyle name="Normal 2 4 2 4 2 2 5 3" xfId="6338" xr:uid="{00000000-0005-0000-0000-0000480F0000}"/>
    <cellStyle name="Normal 2 4 2 4 2 2 5 3 2" xfId="14780" xr:uid="{F60F871E-ADAC-4F52-9066-E63A7E755DCE}"/>
    <cellStyle name="Normal 2 4 2 4 2 2 5 4" xfId="10562" xr:uid="{62C7FC61-D3F8-46BB-8303-9655C7BE161F}"/>
    <cellStyle name="Normal 2 4 2 4 2 2 6" xfId="2467" xr:uid="{00000000-0005-0000-0000-0000490F0000}"/>
    <cellStyle name="Normal 2 4 2 4 2 2 6 2" xfId="6751" xr:uid="{00000000-0005-0000-0000-00004A0F0000}"/>
    <cellStyle name="Normal 2 4 2 4 2 2 6 2 2" xfId="15193" xr:uid="{1D0AA591-B8E5-40D8-90D4-2DAF5849F1AF}"/>
    <cellStyle name="Normal 2 4 2 4 2 2 6 3" xfId="10975" xr:uid="{93CA6356-5DEE-463A-AA64-55AC69C4F2A6}"/>
    <cellStyle name="Normal 2 4 2 4 2 2 7" xfId="4685" xr:uid="{00000000-0005-0000-0000-00004B0F0000}"/>
    <cellStyle name="Normal 2 4 2 4 2 2 7 2" xfId="13127" xr:uid="{D034EBA3-C604-4E7E-8EDF-8246451244E5}"/>
    <cellStyle name="Normal 2 4 2 4 2 2 8" xfId="8909" xr:uid="{E36A837A-8611-4C37-B554-4FF64F124B2E}"/>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132B63A9-AB9F-42DB-826C-712C3A67AE6E}"/>
    <cellStyle name="Normal 2 4 2 4 2 3 2 3" xfId="11467" xr:uid="{570BF754-AE10-4139-9303-A3B48DE300A7}"/>
    <cellStyle name="Normal 2 4 2 4 2 3 3" xfId="5098" xr:uid="{00000000-0005-0000-0000-00004F0F0000}"/>
    <cellStyle name="Normal 2 4 2 4 2 3 3 2" xfId="13540" xr:uid="{D3AA4C6B-0507-46B3-80AB-33995EDE8CA2}"/>
    <cellStyle name="Normal 2 4 2 4 2 3 4" xfId="9322" xr:uid="{8DC65CE4-C24A-4D05-AA72-F0271F92DA69}"/>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E1A1630A-C1D6-4C8E-B714-3A29C7981666}"/>
    <cellStyle name="Normal 2 4 2 4 2 4 2 3" xfId="11880" xr:uid="{061581D4-1E37-4E8F-BE33-C4B392D9D488}"/>
    <cellStyle name="Normal 2 4 2 4 2 4 3" xfId="5511" xr:uid="{00000000-0005-0000-0000-0000530F0000}"/>
    <cellStyle name="Normal 2 4 2 4 2 4 3 2" xfId="13953" xr:uid="{48867C63-0782-40C0-AD63-EB7593DA9B05}"/>
    <cellStyle name="Normal 2 4 2 4 2 4 4" xfId="9735" xr:uid="{8CDFE42A-65B6-4144-8431-B5DD56E3A182}"/>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92934662-39B5-41F9-9258-C8F7A27BB63B}"/>
    <cellStyle name="Normal 2 4 2 4 2 5 2 3" xfId="12293" xr:uid="{A6B74D5F-883C-47A5-8A86-B0293E2262D9}"/>
    <cellStyle name="Normal 2 4 2 4 2 5 3" xfId="5924" xr:uid="{00000000-0005-0000-0000-0000570F0000}"/>
    <cellStyle name="Normal 2 4 2 4 2 5 3 2" xfId="14366" xr:uid="{68F7A83C-B385-4705-9890-B842A46E5D3F}"/>
    <cellStyle name="Normal 2 4 2 4 2 5 4" xfId="10148" xr:uid="{932C4DC4-F4F6-4FC7-B027-C3D8D605A375}"/>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D632806E-4149-4BA2-992A-4DA07E952D28}"/>
    <cellStyle name="Normal 2 4 2 4 2 6 2 3" xfId="12706" xr:uid="{DC79DEEF-30C4-4BD5-910D-BAACD7A2D711}"/>
    <cellStyle name="Normal 2 4 2 4 2 6 3" xfId="6337" xr:uid="{00000000-0005-0000-0000-00005B0F0000}"/>
    <cellStyle name="Normal 2 4 2 4 2 6 3 2" xfId="14779" xr:uid="{A60E5361-F9DC-466E-A847-A355409CE0AA}"/>
    <cellStyle name="Normal 2 4 2 4 2 6 4" xfId="10561" xr:uid="{A5AC5DEA-5290-4D3A-86F7-1FFC973CF586}"/>
    <cellStyle name="Normal 2 4 2 4 2 7" xfId="2466" xr:uid="{00000000-0005-0000-0000-00005C0F0000}"/>
    <cellStyle name="Normal 2 4 2 4 2 7 2" xfId="6750" xr:uid="{00000000-0005-0000-0000-00005D0F0000}"/>
    <cellStyle name="Normal 2 4 2 4 2 7 2 2" xfId="15192" xr:uid="{DAE9D0E5-CCAE-48B1-BA44-133F0DB46AB2}"/>
    <cellStyle name="Normal 2 4 2 4 2 7 3" xfId="10974" xr:uid="{74338C95-3503-45E0-BD74-C5EAAD1A7E43}"/>
    <cellStyle name="Normal 2 4 2 4 2 8" xfId="4684" xr:uid="{00000000-0005-0000-0000-00005E0F0000}"/>
    <cellStyle name="Normal 2 4 2 4 2 8 2" xfId="13126" xr:uid="{964C7C98-7222-4356-9C04-1C3FBA10BB48}"/>
    <cellStyle name="Normal 2 4 2 4 2 9" xfId="8908" xr:uid="{A4EA83D1-A684-4AC8-942F-6AECE82A4987}"/>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600ADC36-BFF8-414D-A76A-346A3CC88CBF}"/>
    <cellStyle name="Normal 2 4 2 4 3 2 2 3" xfId="11469" xr:uid="{A78CBC33-A8D0-4A09-BEA6-72489C1474D1}"/>
    <cellStyle name="Normal 2 4 2 4 3 2 3" xfId="5100" xr:uid="{00000000-0005-0000-0000-0000630F0000}"/>
    <cellStyle name="Normal 2 4 2 4 3 2 3 2" xfId="13542" xr:uid="{BBDF4180-F038-481D-AB54-8979BC0C4979}"/>
    <cellStyle name="Normal 2 4 2 4 3 2 4" xfId="9324" xr:uid="{750E1452-95D3-4B28-B43C-CC3716B14C4C}"/>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CF01EE0A-42D2-43E6-8516-9C12ED62D96B}"/>
    <cellStyle name="Normal 2 4 2 4 3 3 2 3" xfId="11882" xr:uid="{C746A647-D687-4180-8E3E-C0DBB5E7A90F}"/>
    <cellStyle name="Normal 2 4 2 4 3 3 3" xfId="5513" xr:uid="{00000000-0005-0000-0000-0000670F0000}"/>
    <cellStyle name="Normal 2 4 2 4 3 3 3 2" xfId="13955" xr:uid="{3E130C6B-28E9-4727-B4DC-9DFEE0A9F960}"/>
    <cellStyle name="Normal 2 4 2 4 3 3 4" xfId="9737" xr:uid="{1290EB6C-573D-4B93-A974-FC57B54620FE}"/>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6243325A-954F-4CA6-A4BC-9AFB94CC80F9}"/>
    <cellStyle name="Normal 2 4 2 4 3 4 2 3" xfId="12295" xr:uid="{38AE2C39-04BD-4D59-BE28-46F8282F3EAE}"/>
    <cellStyle name="Normal 2 4 2 4 3 4 3" xfId="5926" xr:uid="{00000000-0005-0000-0000-00006B0F0000}"/>
    <cellStyle name="Normal 2 4 2 4 3 4 3 2" xfId="14368" xr:uid="{E6F3F8E0-DD7D-4824-9C37-0092A1A052B6}"/>
    <cellStyle name="Normal 2 4 2 4 3 4 4" xfId="10150" xr:uid="{B2163F55-C5E9-4607-BE9B-481E582C2016}"/>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0FC8152D-7322-4303-8405-70A6FDFE2FCD}"/>
    <cellStyle name="Normal 2 4 2 4 3 5 2 3" xfId="12708" xr:uid="{39957DCB-3657-47BC-9BE8-C5285AD90C47}"/>
    <cellStyle name="Normal 2 4 2 4 3 5 3" xfId="6339" xr:uid="{00000000-0005-0000-0000-00006F0F0000}"/>
    <cellStyle name="Normal 2 4 2 4 3 5 3 2" xfId="14781" xr:uid="{DEAD6328-C63B-4264-BB3B-218307EE9DAD}"/>
    <cellStyle name="Normal 2 4 2 4 3 5 4" xfId="10563" xr:uid="{6FD639A6-DABC-4E25-9490-FE8767EECEBE}"/>
    <cellStyle name="Normal 2 4 2 4 3 6" xfId="2468" xr:uid="{00000000-0005-0000-0000-0000700F0000}"/>
    <cellStyle name="Normal 2 4 2 4 3 6 2" xfId="6752" xr:uid="{00000000-0005-0000-0000-0000710F0000}"/>
    <cellStyle name="Normal 2 4 2 4 3 6 2 2" xfId="15194" xr:uid="{99F1E4A6-1F62-4B68-9ED2-4B3933EE58FC}"/>
    <cellStyle name="Normal 2 4 2 4 3 6 3" xfId="10976" xr:uid="{B6CB333B-E2BD-4ED4-9BD6-501E57F165C4}"/>
    <cellStyle name="Normal 2 4 2 4 3 7" xfId="4686" xr:uid="{00000000-0005-0000-0000-0000720F0000}"/>
    <cellStyle name="Normal 2 4 2 4 3 7 2" xfId="13128" xr:uid="{3596D74F-5644-4AD9-85C4-379E62BBCDC1}"/>
    <cellStyle name="Normal 2 4 2 4 3 8" xfId="8910" xr:uid="{B84EEEBB-3D25-4D1B-96DB-1034C1C654E1}"/>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72ADEA1E-C112-400A-883B-5D7C85A13EE4}"/>
    <cellStyle name="Normal 2 4 2 4 4 2 3" xfId="11466" xr:uid="{10F02B6A-0CC5-4FB3-BFEF-C1E5556F2D64}"/>
    <cellStyle name="Normal 2 4 2 4 4 3" xfId="5097" xr:uid="{00000000-0005-0000-0000-0000760F0000}"/>
    <cellStyle name="Normal 2 4 2 4 4 3 2" xfId="13539" xr:uid="{1A901311-C164-47B1-9D43-79AC135B6050}"/>
    <cellStyle name="Normal 2 4 2 4 4 4" xfId="9321" xr:uid="{175FE74E-1A69-4558-848E-ED683AF91312}"/>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D3F4B168-9A25-4657-9EAA-A43414C60FEC}"/>
    <cellStyle name="Normal 2 4 2 4 5 2 3" xfId="11879" xr:uid="{2888CD60-B12E-42B8-84A8-E5B0A8436D62}"/>
    <cellStyle name="Normal 2 4 2 4 5 3" xfId="5510" xr:uid="{00000000-0005-0000-0000-00007A0F0000}"/>
    <cellStyle name="Normal 2 4 2 4 5 3 2" xfId="13952" xr:uid="{472F9FB2-45A1-4B24-8858-076AE27C0110}"/>
    <cellStyle name="Normal 2 4 2 4 5 4" xfId="9734" xr:uid="{544AAD41-074B-4829-A6AB-BAA03E92AC68}"/>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E0FB20E7-F8E4-45EE-9F4D-DB6F92278113}"/>
    <cellStyle name="Normal 2 4 2 4 6 2 3" xfId="12292" xr:uid="{CAC1C53D-FEB6-4DDB-949E-CD6F9462236D}"/>
    <cellStyle name="Normal 2 4 2 4 6 3" xfId="5923" xr:uid="{00000000-0005-0000-0000-00007E0F0000}"/>
    <cellStyle name="Normal 2 4 2 4 6 3 2" xfId="14365" xr:uid="{8897829C-0E19-4B10-9886-F6E1BC48B495}"/>
    <cellStyle name="Normal 2 4 2 4 6 4" xfId="10147" xr:uid="{AEE17DA5-8305-4555-96F3-C3D61100EF5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626845E1-A5AA-4690-98C6-91D6BC1ED58D}"/>
    <cellStyle name="Normal 2 4 2 4 7 2 3" xfId="12705" xr:uid="{B71C6762-9983-4869-A3AF-4982B3291D91}"/>
    <cellStyle name="Normal 2 4 2 4 7 3" xfId="6336" xr:uid="{00000000-0005-0000-0000-0000820F0000}"/>
    <cellStyle name="Normal 2 4 2 4 7 3 2" xfId="14778" xr:uid="{B7173B35-49E5-41DE-949C-D093A3EA4659}"/>
    <cellStyle name="Normal 2 4 2 4 7 4" xfId="10560" xr:uid="{99418083-778B-4709-A75F-C6BDECCC3E78}"/>
    <cellStyle name="Normal 2 4 2 4 8" xfId="2465" xr:uid="{00000000-0005-0000-0000-0000830F0000}"/>
    <cellStyle name="Normal 2 4 2 4 8 2" xfId="6749" xr:uid="{00000000-0005-0000-0000-0000840F0000}"/>
    <cellStyle name="Normal 2 4 2 4 8 2 2" xfId="15191" xr:uid="{F9A12740-5D9E-40A9-BE2E-9CBC53669AF0}"/>
    <cellStyle name="Normal 2 4 2 4 8 3" xfId="10973" xr:uid="{7FD103DB-6A61-404D-BF79-A8BA767E52AE}"/>
    <cellStyle name="Normal 2 4 2 4 9" xfId="4683" xr:uid="{00000000-0005-0000-0000-0000850F0000}"/>
    <cellStyle name="Normal 2 4 2 4 9 2" xfId="13125" xr:uid="{61A3ED96-DDBE-4F83-AA2F-49B2F5F8C9FB}"/>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FF4EA574-9DE7-4383-9554-EAE5236767AD}"/>
    <cellStyle name="Normal 2 4 2 5 2 2 2 3" xfId="11471" xr:uid="{3FF0E542-2005-4770-9CCE-D8DB9562EDE8}"/>
    <cellStyle name="Normal 2 4 2 5 2 2 3" xfId="5102" xr:uid="{00000000-0005-0000-0000-00008B0F0000}"/>
    <cellStyle name="Normal 2 4 2 5 2 2 3 2" xfId="13544" xr:uid="{0B5DBF74-848E-453A-A1C3-09A6509C4E07}"/>
    <cellStyle name="Normal 2 4 2 5 2 2 4" xfId="9326" xr:uid="{646CFEE5-C1EF-49A2-B62A-6974D06CC8A7}"/>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ABF9F16A-48DA-466B-B920-D20037C8198E}"/>
    <cellStyle name="Normal 2 4 2 5 2 3 2 3" xfId="11884" xr:uid="{C22D61D4-A57B-4624-BB3A-74041DA95213}"/>
    <cellStyle name="Normal 2 4 2 5 2 3 3" xfId="5515" xr:uid="{00000000-0005-0000-0000-00008F0F0000}"/>
    <cellStyle name="Normal 2 4 2 5 2 3 3 2" xfId="13957" xr:uid="{0AEC4E26-342D-42D9-958C-080C499A1E68}"/>
    <cellStyle name="Normal 2 4 2 5 2 3 4" xfId="9739" xr:uid="{4EF6CE6F-E4F1-4593-9D84-591FC23CB7F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68CC3186-E667-4134-B015-F0A4650E312D}"/>
    <cellStyle name="Normal 2 4 2 5 2 4 2 3" xfId="12297" xr:uid="{0F853F18-8816-4216-A715-2B650FCF23BD}"/>
    <cellStyle name="Normal 2 4 2 5 2 4 3" xfId="5928" xr:uid="{00000000-0005-0000-0000-0000930F0000}"/>
    <cellStyle name="Normal 2 4 2 5 2 4 3 2" xfId="14370" xr:uid="{4B9181E7-8970-4778-9B30-2E0C076C1457}"/>
    <cellStyle name="Normal 2 4 2 5 2 4 4" xfId="10152" xr:uid="{44A5A60B-87A9-4B92-8AA8-FFE0B2FDA576}"/>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F3B96D91-7B88-4410-B4E6-AD6017CA51F8}"/>
    <cellStyle name="Normal 2 4 2 5 2 5 2 3" xfId="12710" xr:uid="{D8EA52B0-2F40-4EB1-8722-90D1916232D2}"/>
    <cellStyle name="Normal 2 4 2 5 2 5 3" xfId="6341" xr:uid="{00000000-0005-0000-0000-0000970F0000}"/>
    <cellStyle name="Normal 2 4 2 5 2 5 3 2" xfId="14783" xr:uid="{8F0FE51D-4378-4E2B-A2AF-22CF1B5B756A}"/>
    <cellStyle name="Normal 2 4 2 5 2 5 4" xfId="10565" xr:uid="{CAD11AC4-3856-4415-A520-8BCDCF2D6E60}"/>
    <cellStyle name="Normal 2 4 2 5 2 6" xfId="2470" xr:uid="{00000000-0005-0000-0000-0000980F0000}"/>
    <cellStyle name="Normal 2 4 2 5 2 6 2" xfId="6754" xr:uid="{00000000-0005-0000-0000-0000990F0000}"/>
    <cellStyle name="Normal 2 4 2 5 2 6 2 2" xfId="15196" xr:uid="{51E5F080-2389-4AEA-BBFE-193926107A87}"/>
    <cellStyle name="Normal 2 4 2 5 2 6 3" xfId="10978" xr:uid="{37711F59-D4E1-4F9C-B7AA-91480A1667A7}"/>
    <cellStyle name="Normal 2 4 2 5 2 7" xfId="4688" xr:uid="{00000000-0005-0000-0000-00009A0F0000}"/>
    <cellStyle name="Normal 2 4 2 5 2 7 2" xfId="13130" xr:uid="{C9F41266-ED37-4179-B36C-18E21759B8AF}"/>
    <cellStyle name="Normal 2 4 2 5 2 8" xfId="8912" xr:uid="{592B0F44-B5AF-4024-AAB5-890EC0B9E3B4}"/>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10F0A339-3018-4A9F-A5A4-8469F6B8C4FF}"/>
    <cellStyle name="Normal 2 4 2 5 3 2 3" xfId="11470" xr:uid="{4AD99C1D-DF13-4C40-A680-8879EF7CEAB7}"/>
    <cellStyle name="Normal 2 4 2 5 3 3" xfId="5101" xr:uid="{00000000-0005-0000-0000-00009E0F0000}"/>
    <cellStyle name="Normal 2 4 2 5 3 3 2" xfId="13543" xr:uid="{0482F73C-497C-406E-BA92-BC5CA65D0A03}"/>
    <cellStyle name="Normal 2 4 2 5 3 4" xfId="9325" xr:uid="{9C053DC4-5D68-4453-A77D-ADDF2C7D8ACE}"/>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AA52BBAA-66F2-4F47-A3F1-9DF7BF233260}"/>
    <cellStyle name="Normal 2 4 2 5 4 2 3" xfId="11883" xr:uid="{DACAE6A5-C008-46B4-8FCC-2D2DCCFB0143}"/>
    <cellStyle name="Normal 2 4 2 5 4 3" xfId="5514" xr:uid="{00000000-0005-0000-0000-0000A20F0000}"/>
    <cellStyle name="Normal 2 4 2 5 4 3 2" xfId="13956" xr:uid="{937DEE35-CFA1-4592-9B23-C67980DCCB57}"/>
    <cellStyle name="Normal 2 4 2 5 4 4" xfId="9738" xr:uid="{9CDED357-1450-4E49-B165-06826788DF97}"/>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E97D6A60-C353-4FFA-9512-4F154B3FAE00}"/>
    <cellStyle name="Normal 2 4 2 5 5 2 3" xfId="12296" xr:uid="{A705B0A1-EFFA-4622-8E75-271183F803A8}"/>
    <cellStyle name="Normal 2 4 2 5 5 3" xfId="5927" xr:uid="{00000000-0005-0000-0000-0000A60F0000}"/>
    <cellStyle name="Normal 2 4 2 5 5 3 2" xfId="14369" xr:uid="{1C0E21E1-38BA-4D67-AC08-07BE41B5B4F0}"/>
    <cellStyle name="Normal 2 4 2 5 5 4" xfId="10151" xr:uid="{1E781BA5-E903-4758-A86E-46448D80B162}"/>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70E494E8-9CA4-43ED-81AF-06CBDFA4984A}"/>
    <cellStyle name="Normal 2 4 2 5 6 2 3" xfId="12709" xr:uid="{D5686850-4990-4D41-8A9C-AA5B7F6ADB78}"/>
    <cellStyle name="Normal 2 4 2 5 6 3" xfId="6340" xr:uid="{00000000-0005-0000-0000-0000AA0F0000}"/>
    <cellStyle name="Normal 2 4 2 5 6 3 2" xfId="14782" xr:uid="{CBBFCAF0-BEF2-4C7C-81A6-FD3AEBE736DB}"/>
    <cellStyle name="Normal 2 4 2 5 6 4" xfId="10564" xr:uid="{899CB2E8-9D39-4A73-A944-D05579F288A8}"/>
    <cellStyle name="Normal 2 4 2 5 7" xfId="2469" xr:uid="{00000000-0005-0000-0000-0000AB0F0000}"/>
    <cellStyle name="Normal 2 4 2 5 7 2" xfId="6753" xr:uid="{00000000-0005-0000-0000-0000AC0F0000}"/>
    <cellStyle name="Normal 2 4 2 5 7 2 2" xfId="15195" xr:uid="{D069BD1A-AA27-4A44-B308-EC440EF59A11}"/>
    <cellStyle name="Normal 2 4 2 5 7 3" xfId="10977" xr:uid="{A4608D58-199C-4F55-991F-99179EE49353}"/>
    <cellStyle name="Normal 2 4 2 5 8" xfId="4687" xr:uid="{00000000-0005-0000-0000-0000AD0F0000}"/>
    <cellStyle name="Normal 2 4 2 5 8 2" xfId="13129" xr:uid="{8EB24626-6F80-4E24-86FA-4DD5D7887D1E}"/>
    <cellStyle name="Normal 2 4 2 5 9" xfId="8911" xr:uid="{3C71097A-F4AC-4917-99AC-6F47FB279819}"/>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78E3FEFA-2A68-4638-B5CD-A7C8C1967D2E}"/>
    <cellStyle name="Normal 2 4 2 6 2 2 3" xfId="11472" xr:uid="{B9E64A4D-8384-4474-B879-BAF1B2248856}"/>
    <cellStyle name="Normal 2 4 2 6 2 3" xfId="5103" xr:uid="{00000000-0005-0000-0000-0000B20F0000}"/>
    <cellStyle name="Normal 2 4 2 6 2 3 2" xfId="13545" xr:uid="{7882BD3C-1A4B-4667-95A4-A0D06DA21BD7}"/>
    <cellStyle name="Normal 2 4 2 6 2 4" xfId="9327" xr:uid="{F6A7EB6F-B469-46F5-A940-3BC5B0CE3B0B}"/>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65E46E67-7E4C-4BAC-B645-BD91C722F804}"/>
    <cellStyle name="Normal 2 4 2 6 3 2 3" xfId="11885" xr:uid="{2540BC8E-E212-40A9-B71D-D06138C19FB1}"/>
    <cellStyle name="Normal 2 4 2 6 3 3" xfId="5516" xr:uid="{00000000-0005-0000-0000-0000B60F0000}"/>
    <cellStyle name="Normal 2 4 2 6 3 3 2" xfId="13958" xr:uid="{13BF7042-0DCF-4936-8399-20A8C3BFC516}"/>
    <cellStyle name="Normal 2 4 2 6 3 4" xfId="9740" xr:uid="{DD731606-30FF-4136-A4E4-09DF79CF70EA}"/>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09A05976-B14C-4955-839E-E4BAF0C986AC}"/>
    <cellStyle name="Normal 2 4 2 6 4 2 3" xfId="12298" xr:uid="{E42352BD-7B22-4A10-9CBB-A17A5915B5F3}"/>
    <cellStyle name="Normal 2 4 2 6 4 3" xfId="5929" xr:uid="{00000000-0005-0000-0000-0000BA0F0000}"/>
    <cellStyle name="Normal 2 4 2 6 4 3 2" xfId="14371" xr:uid="{D2332E07-620B-4A32-A701-BE59BB44622D}"/>
    <cellStyle name="Normal 2 4 2 6 4 4" xfId="10153" xr:uid="{C604B8F3-BF07-4585-8389-EED60854DF14}"/>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CCE0C399-3FAF-4EFD-9E64-06D828913FC7}"/>
    <cellStyle name="Normal 2 4 2 6 5 2 3" xfId="12711" xr:uid="{BAA45424-032D-444A-AB77-A6B625B74181}"/>
    <cellStyle name="Normal 2 4 2 6 5 3" xfId="6342" xr:uid="{00000000-0005-0000-0000-0000BE0F0000}"/>
    <cellStyle name="Normal 2 4 2 6 5 3 2" xfId="14784" xr:uid="{4970D0FA-7915-4BC9-8EC1-316E81723EA0}"/>
    <cellStyle name="Normal 2 4 2 6 5 4" xfId="10566" xr:uid="{76000375-4871-4AFE-ADFE-90CE2AE7BCDB}"/>
    <cellStyle name="Normal 2 4 2 6 6" xfId="2471" xr:uid="{00000000-0005-0000-0000-0000BF0F0000}"/>
    <cellStyle name="Normal 2 4 2 6 6 2" xfId="6755" xr:uid="{00000000-0005-0000-0000-0000C00F0000}"/>
    <cellStyle name="Normal 2 4 2 6 6 2 2" xfId="15197" xr:uid="{E54982F8-32C9-44DB-BCE0-38BCB12987AF}"/>
    <cellStyle name="Normal 2 4 2 6 6 3" xfId="10979" xr:uid="{494CE33B-40E2-49B9-932D-48890D834FC1}"/>
    <cellStyle name="Normal 2 4 2 6 7" xfId="4689" xr:uid="{00000000-0005-0000-0000-0000C10F0000}"/>
    <cellStyle name="Normal 2 4 2 6 7 2" xfId="13131" xr:uid="{82EDFA04-7F28-4CBB-B240-26EE22D68F5F}"/>
    <cellStyle name="Normal 2 4 2 6 8" xfId="8913" xr:uid="{CC860020-4364-4088-9B94-86D6270F1F1B}"/>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F8E5629F-20C5-487E-88B7-3578D0474971}"/>
    <cellStyle name="Normal 2 4 2 7 2 3" xfId="11457" xr:uid="{93E84D54-1CE9-4E29-A435-E254512A2087}"/>
    <cellStyle name="Normal 2 4 2 7 3" xfId="5088" xr:uid="{00000000-0005-0000-0000-0000C50F0000}"/>
    <cellStyle name="Normal 2 4 2 7 3 2" xfId="13530" xr:uid="{803DE83B-C05E-468D-A5A7-5373A51CDBB5}"/>
    <cellStyle name="Normal 2 4 2 7 4" xfId="9312" xr:uid="{E9DD7C9F-A5F9-4ADD-B031-5294022312F6}"/>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3129AE97-1AD4-4172-9611-DA7DD682D1B4}"/>
    <cellStyle name="Normal 2 4 2 8 2 3" xfId="11870" xr:uid="{9F1DB672-2EDE-446D-96B8-0C3244E2D6BB}"/>
    <cellStyle name="Normal 2 4 2 8 3" xfId="5501" xr:uid="{00000000-0005-0000-0000-0000C90F0000}"/>
    <cellStyle name="Normal 2 4 2 8 3 2" xfId="13943" xr:uid="{BA4522E8-1413-4608-A1B7-1D9D5BD05254}"/>
    <cellStyle name="Normal 2 4 2 8 4" xfId="9725" xr:uid="{34802406-D07F-493B-BEE2-E5935CEE31DE}"/>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A1410656-FFC7-44EB-92E7-60FAB7F0E2EA}"/>
    <cellStyle name="Normal 2 4 2 9 2 3" xfId="12283" xr:uid="{A8F8CE96-D63D-4807-AB56-E95524D9B79C}"/>
    <cellStyle name="Normal 2 4 2 9 3" xfId="5914" xr:uid="{00000000-0005-0000-0000-0000CD0F0000}"/>
    <cellStyle name="Normal 2 4 2 9 3 2" xfId="14356" xr:uid="{5019932C-0A92-4366-AC76-619089DBA0D6}"/>
    <cellStyle name="Normal 2 4 2 9 4" xfId="10138" xr:uid="{632DE60B-DFEC-4B2D-B422-3D047A499782}"/>
    <cellStyle name="Normal 2 4 3" xfId="296" xr:uid="{00000000-0005-0000-0000-0000CE0F0000}"/>
    <cellStyle name="Normal 2 4 3 10" xfId="8914" xr:uid="{8777629A-6DC9-4A58-ACCE-12ACFB2F3CAA}"/>
    <cellStyle name="Normal 2 4 3 2" xfId="297" xr:uid="{00000000-0005-0000-0000-0000CF0F0000}"/>
    <cellStyle name="Normal 2 4 3 3" xfId="298" xr:uid="{00000000-0005-0000-0000-0000D00F0000}"/>
    <cellStyle name="Normal 2 4 3 3 10" xfId="8915" xr:uid="{2F9C7BB1-181E-4A4A-AA1C-1AA3F32D335D}"/>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4A0B9730-BBC4-438F-80C0-1242AB60AEC2}"/>
    <cellStyle name="Normal 2 4 3 3 2 2 2 2 3" xfId="11476" xr:uid="{25860904-DE5B-40FA-AE02-DD8CC47B34B3}"/>
    <cellStyle name="Normal 2 4 3 3 2 2 2 3" xfId="5107" xr:uid="{00000000-0005-0000-0000-0000D60F0000}"/>
    <cellStyle name="Normal 2 4 3 3 2 2 2 3 2" xfId="13549" xr:uid="{651A26A0-EEE0-4AFA-97F3-8955A24AD6EB}"/>
    <cellStyle name="Normal 2 4 3 3 2 2 2 4" xfId="9331" xr:uid="{C2E0E479-3216-4AEC-BBF6-58BBE35C149C}"/>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62E9123B-69B5-4218-B073-EC3A016126AF}"/>
    <cellStyle name="Normal 2 4 3 3 2 2 3 2 3" xfId="11889" xr:uid="{163670DD-6B9D-4CE9-BE70-36E8900AE08B}"/>
    <cellStyle name="Normal 2 4 3 3 2 2 3 3" xfId="5520" xr:uid="{00000000-0005-0000-0000-0000DA0F0000}"/>
    <cellStyle name="Normal 2 4 3 3 2 2 3 3 2" xfId="13962" xr:uid="{9F036C6D-E237-421D-A7DE-C9DD9AEEA5DC}"/>
    <cellStyle name="Normal 2 4 3 3 2 2 3 4" xfId="9744" xr:uid="{3643059D-6BE2-4E04-B859-336826CFCD94}"/>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7420918C-148F-431D-AEC7-8C8C05E13D55}"/>
    <cellStyle name="Normal 2 4 3 3 2 2 4 2 3" xfId="12302" xr:uid="{5FEC82C1-7E4C-47C2-B673-CE5C78DEDE9F}"/>
    <cellStyle name="Normal 2 4 3 3 2 2 4 3" xfId="5933" xr:uid="{00000000-0005-0000-0000-0000DE0F0000}"/>
    <cellStyle name="Normal 2 4 3 3 2 2 4 3 2" xfId="14375" xr:uid="{27C8A205-481C-4379-9765-6E6AA9921A4F}"/>
    <cellStyle name="Normal 2 4 3 3 2 2 4 4" xfId="10157" xr:uid="{020E3950-3F98-46BD-A572-398535B803D1}"/>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DC80BDB8-0FFE-4488-8D31-AD3C94858389}"/>
    <cellStyle name="Normal 2 4 3 3 2 2 5 2 3" xfId="12715" xr:uid="{143B3A8D-72C2-4366-849B-38C3F68ACE7C}"/>
    <cellStyle name="Normal 2 4 3 3 2 2 5 3" xfId="6346" xr:uid="{00000000-0005-0000-0000-0000E20F0000}"/>
    <cellStyle name="Normal 2 4 3 3 2 2 5 3 2" xfId="14788" xr:uid="{A388F0D9-06CF-4EDE-BD8B-3E357173A505}"/>
    <cellStyle name="Normal 2 4 3 3 2 2 5 4" xfId="10570" xr:uid="{8F0239A3-29AE-401A-BBE1-BD9BE395CCDF}"/>
    <cellStyle name="Normal 2 4 3 3 2 2 6" xfId="2475" xr:uid="{00000000-0005-0000-0000-0000E30F0000}"/>
    <cellStyle name="Normal 2 4 3 3 2 2 6 2" xfId="6759" xr:uid="{00000000-0005-0000-0000-0000E40F0000}"/>
    <cellStyle name="Normal 2 4 3 3 2 2 6 2 2" xfId="15201" xr:uid="{19D992A9-D598-469A-B4E8-3F90467D8D3D}"/>
    <cellStyle name="Normal 2 4 3 3 2 2 6 3" xfId="10983" xr:uid="{99F44A00-8BF8-41CF-90C2-3173B4F345C0}"/>
    <cellStyle name="Normal 2 4 3 3 2 2 7" xfId="4693" xr:uid="{00000000-0005-0000-0000-0000E50F0000}"/>
    <cellStyle name="Normal 2 4 3 3 2 2 7 2" xfId="13135" xr:uid="{96B9AA26-7ECF-4052-84A2-A9634BB2EEF6}"/>
    <cellStyle name="Normal 2 4 3 3 2 2 8" xfId="8917" xr:uid="{DDB112B0-1442-401D-B614-CA08894B2CA8}"/>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B7D61AAD-DE1B-42E2-8883-77E300F4949B}"/>
    <cellStyle name="Normal 2 4 3 3 2 3 2 3" xfId="11475" xr:uid="{A876396A-2AB4-4BC7-9F77-1E1FD7BF3C61}"/>
    <cellStyle name="Normal 2 4 3 3 2 3 3" xfId="5106" xr:uid="{00000000-0005-0000-0000-0000E90F0000}"/>
    <cellStyle name="Normal 2 4 3 3 2 3 3 2" xfId="13548" xr:uid="{73213E86-4A55-47CE-9C15-7C21B2D8AF79}"/>
    <cellStyle name="Normal 2 4 3 3 2 3 4" xfId="9330" xr:uid="{B553C355-6BBB-4767-B91B-9557E870F01C}"/>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29C766D7-E150-4169-8BAD-965595A701FD}"/>
    <cellStyle name="Normal 2 4 3 3 2 4 2 3" xfId="11888" xr:uid="{7BB02DE2-B1C3-41F4-94A6-3C157282DC76}"/>
    <cellStyle name="Normal 2 4 3 3 2 4 3" xfId="5519" xr:uid="{00000000-0005-0000-0000-0000ED0F0000}"/>
    <cellStyle name="Normal 2 4 3 3 2 4 3 2" xfId="13961" xr:uid="{9BE8C04A-EC89-4D90-8D2B-728F552418B4}"/>
    <cellStyle name="Normal 2 4 3 3 2 4 4" xfId="9743" xr:uid="{C56B1AD4-3BA0-4F4D-B272-D8FA706478B3}"/>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921CDA7C-EEB5-446E-98C1-D4BDE5776558}"/>
    <cellStyle name="Normal 2 4 3 3 2 5 2 3" xfId="12301" xr:uid="{BC1E3766-10CB-4EBA-9AAA-A8B883BB2530}"/>
    <cellStyle name="Normal 2 4 3 3 2 5 3" xfId="5932" xr:uid="{00000000-0005-0000-0000-0000F10F0000}"/>
    <cellStyle name="Normal 2 4 3 3 2 5 3 2" xfId="14374" xr:uid="{59561538-6932-44C5-AD5F-F1E23A812B61}"/>
    <cellStyle name="Normal 2 4 3 3 2 5 4" xfId="10156" xr:uid="{691F41C9-C536-4083-8F66-8CF60F16083F}"/>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999A6C0F-484F-42DB-98B9-3385D1FA6B8C}"/>
    <cellStyle name="Normal 2 4 3 3 2 6 2 3" xfId="12714" xr:uid="{EAB95DE0-DBDF-448E-8EB0-62E2E5E6C739}"/>
    <cellStyle name="Normal 2 4 3 3 2 6 3" xfId="6345" xr:uid="{00000000-0005-0000-0000-0000F50F0000}"/>
    <cellStyle name="Normal 2 4 3 3 2 6 3 2" xfId="14787" xr:uid="{DCB706CA-6A32-484C-BDE8-61755FA13634}"/>
    <cellStyle name="Normal 2 4 3 3 2 6 4" xfId="10569" xr:uid="{41260B17-C7B1-4362-8CEF-73A217E453EF}"/>
    <cellStyle name="Normal 2 4 3 3 2 7" xfId="2474" xr:uid="{00000000-0005-0000-0000-0000F60F0000}"/>
    <cellStyle name="Normal 2 4 3 3 2 7 2" xfId="6758" xr:uid="{00000000-0005-0000-0000-0000F70F0000}"/>
    <cellStyle name="Normal 2 4 3 3 2 7 2 2" xfId="15200" xr:uid="{5E58CA05-CB84-469F-853A-4F17884857C1}"/>
    <cellStyle name="Normal 2 4 3 3 2 7 3" xfId="10982" xr:uid="{72B25794-28B9-4DA5-9DA2-37D834D2DAF4}"/>
    <cellStyle name="Normal 2 4 3 3 2 8" xfId="4692" xr:uid="{00000000-0005-0000-0000-0000F80F0000}"/>
    <cellStyle name="Normal 2 4 3 3 2 8 2" xfId="13134" xr:uid="{FA79C2F0-90E0-4752-AE71-8AAA7E8183A8}"/>
    <cellStyle name="Normal 2 4 3 3 2 9" xfId="8916" xr:uid="{4B180C26-18BA-4B33-A922-F19EE48ACC42}"/>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0EE63479-3C35-4C52-9601-AFC621039496}"/>
    <cellStyle name="Normal 2 4 3 3 3 2 2 3" xfId="11477" xr:uid="{154E522D-2EFE-4D0C-BA41-59DA32E7941D}"/>
    <cellStyle name="Normal 2 4 3 3 3 2 3" xfId="5108" xr:uid="{00000000-0005-0000-0000-0000FD0F0000}"/>
    <cellStyle name="Normal 2 4 3 3 3 2 3 2" xfId="13550" xr:uid="{0A17DADC-03B8-402D-82BC-47745903786F}"/>
    <cellStyle name="Normal 2 4 3 3 3 2 4" xfId="9332" xr:uid="{B9A46771-B79E-4C07-83C5-4EA91268E183}"/>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DC05B981-D78A-43D6-8C5B-16595BE8A41C}"/>
    <cellStyle name="Normal 2 4 3 3 3 3 2 3" xfId="11890" xr:uid="{C13662A7-C801-4DBC-A211-8E64C0280B56}"/>
    <cellStyle name="Normal 2 4 3 3 3 3 3" xfId="5521" xr:uid="{00000000-0005-0000-0000-000001100000}"/>
    <cellStyle name="Normal 2 4 3 3 3 3 3 2" xfId="13963" xr:uid="{794B12E8-65D8-434A-8989-B31045192358}"/>
    <cellStyle name="Normal 2 4 3 3 3 3 4" xfId="9745" xr:uid="{257DF15B-A349-40B4-8F95-17D29E280004}"/>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18F99CD1-3FDB-4213-996A-19D4194AA413}"/>
    <cellStyle name="Normal 2 4 3 3 3 4 2 3" xfId="12303" xr:uid="{97E57814-8F35-4C69-815B-1286ED4D8E56}"/>
    <cellStyle name="Normal 2 4 3 3 3 4 3" xfId="5934" xr:uid="{00000000-0005-0000-0000-000005100000}"/>
    <cellStyle name="Normal 2 4 3 3 3 4 3 2" xfId="14376" xr:uid="{1F945D6A-FE47-4241-826B-16D210B52B42}"/>
    <cellStyle name="Normal 2 4 3 3 3 4 4" xfId="10158" xr:uid="{90650DEE-3FC5-464D-B2E6-D7A53E9CD666}"/>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E5C1480E-3F91-4861-B609-5C67F93F2F3B}"/>
    <cellStyle name="Normal 2 4 3 3 3 5 2 3" xfId="12716" xr:uid="{EFCB0078-5075-4119-8ED3-5491A8D70340}"/>
    <cellStyle name="Normal 2 4 3 3 3 5 3" xfId="6347" xr:uid="{00000000-0005-0000-0000-000009100000}"/>
    <cellStyle name="Normal 2 4 3 3 3 5 3 2" xfId="14789" xr:uid="{891ECBB5-4FAD-4987-A11D-796139D6AE24}"/>
    <cellStyle name="Normal 2 4 3 3 3 5 4" xfId="10571" xr:uid="{DC2F7833-75BE-4638-84EB-5C7D0C177DDE}"/>
    <cellStyle name="Normal 2 4 3 3 3 6" xfId="2476" xr:uid="{00000000-0005-0000-0000-00000A100000}"/>
    <cellStyle name="Normal 2 4 3 3 3 6 2" xfId="6760" xr:uid="{00000000-0005-0000-0000-00000B100000}"/>
    <cellStyle name="Normal 2 4 3 3 3 6 2 2" xfId="15202" xr:uid="{B39917E8-A802-4A86-B7AD-4EDC7A1E03D0}"/>
    <cellStyle name="Normal 2 4 3 3 3 6 3" xfId="10984" xr:uid="{824DDEAC-DFA9-426B-A392-FF1E97EC4B19}"/>
    <cellStyle name="Normal 2 4 3 3 3 7" xfId="4694" xr:uid="{00000000-0005-0000-0000-00000C100000}"/>
    <cellStyle name="Normal 2 4 3 3 3 7 2" xfId="13136" xr:uid="{552F5126-3794-42E5-99E4-425C2F2FEE3F}"/>
    <cellStyle name="Normal 2 4 3 3 3 8" xfId="8918" xr:uid="{E2CB6DEC-C154-4A34-B278-79D8BE4F13E7}"/>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87B6F348-545E-4BA6-B0C8-921A6DD26336}"/>
    <cellStyle name="Normal 2 4 3 3 4 2 3" xfId="11474" xr:uid="{2AEDCE8D-03DD-4806-B727-6706751448FE}"/>
    <cellStyle name="Normal 2 4 3 3 4 3" xfId="5105" xr:uid="{00000000-0005-0000-0000-000010100000}"/>
    <cellStyle name="Normal 2 4 3 3 4 3 2" xfId="13547" xr:uid="{3637DD5F-16F1-43E9-ACB2-56FA562B703B}"/>
    <cellStyle name="Normal 2 4 3 3 4 4" xfId="9329" xr:uid="{1136B657-1642-4119-95C1-D03F4E798849}"/>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8450306E-01D8-4B27-A171-9FB1F85624C9}"/>
    <cellStyle name="Normal 2 4 3 3 5 2 3" xfId="11887" xr:uid="{779EA0CA-C276-43BF-AF9B-17524C78547A}"/>
    <cellStyle name="Normal 2 4 3 3 5 3" xfId="5518" xr:uid="{00000000-0005-0000-0000-000014100000}"/>
    <cellStyle name="Normal 2 4 3 3 5 3 2" xfId="13960" xr:uid="{7C223396-F216-45FD-A588-D8C1DDB3CCCD}"/>
    <cellStyle name="Normal 2 4 3 3 5 4" xfId="9742" xr:uid="{C23536B2-D214-4DF6-8E18-DDD9D50E1498}"/>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6CCDC177-874F-47D0-B668-AE54E9823123}"/>
    <cellStyle name="Normal 2 4 3 3 6 2 3" xfId="12300" xr:uid="{2651335C-5313-458A-9214-FA420A1FAFB2}"/>
    <cellStyle name="Normal 2 4 3 3 6 3" xfId="5931" xr:uid="{00000000-0005-0000-0000-000018100000}"/>
    <cellStyle name="Normal 2 4 3 3 6 3 2" xfId="14373" xr:uid="{D090AB4C-126E-423A-88E5-7E008EA03769}"/>
    <cellStyle name="Normal 2 4 3 3 6 4" xfId="10155" xr:uid="{8700C062-A618-46F0-9F2D-C0DE90F7E9A6}"/>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0F6B0B59-4E30-46E7-8623-F65A447EBC97}"/>
    <cellStyle name="Normal 2 4 3 3 7 2 3" xfId="12713" xr:uid="{35B215BE-53F6-4878-AEF3-DA67524FD75C}"/>
    <cellStyle name="Normal 2 4 3 3 7 3" xfId="6344" xr:uid="{00000000-0005-0000-0000-00001C100000}"/>
    <cellStyle name="Normal 2 4 3 3 7 3 2" xfId="14786" xr:uid="{693D4872-231C-4043-832B-1C5B1A6B4D16}"/>
    <cellStyle name="Normal 2 4 3 3 7 4" xfId="10568" xr:uid="{5F5157F7-FE9A-4DEB-A33B-2C0C3BC6615D}"/>
    <cellStyle name="Normal 2 4 3 3 8" xfId="2473" xr:uid="{00000000-0005-0000-0000-00001D100000}"/>
    <cellStyle name="Normal 2 4 3 3 8 2" xfId="6757" xr:uid="{00000000-0005-0000-0000-00001E100000}"/>
    <cellStyle name="Normal 2 4 3 3 8 2 2" xfId="15199" xr:uid="{18DA9772-F299-4744-9417-742089B4784D}"/>
    <cellStyle name="Normal 2 4 3 3 8 3" xfId="10981" xr:uid="{27565F44-EA36-4622-A80B-D57E66B13C01}"/>
    <cellStyle name="Normal 2 4 3 3 9" xfId="4691" xr:uid="{00000000-0005-0000-0000-00001F100000}"/>
    <cellStyle name="Normal 2 4 3 3 9 2" xfId="13133" xr:uid="{BD598451-A1D4-46D8-A6A7-4E11D97E0A24}"/>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15084E33-6866-4170-B918-5DAA2024DEE2}"/>
    <cellStyle name="Normal 2 4 3 4 2 3" xfId="11473" xr:uid="{301C7D61-F222-4C06-B1CA-9C69F4B22DBB}"/>
    <cellStyle name="Normal 2 4 3 4 3" xfId="5104" xr:uid="{00000000-0005-0000-0000-000023100000}"/>
    <cellStyle name="Normal 2 4 3 4 3 2" xfId="13546" xr:uid="{C571B9C9-D566-4702-AD94-2CFEB3876F09}"/>
    <cellStyle name="Normal 2 4 3 4 4" xfId="9328" xr:uid="{4CCB8244-53A8-4D04-9405-CCEB99033C7E}"/>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FA496E32-A846-41C6-9CA6-9357889F8A66}"/>
    <cellStyle name="Normal 2 4 3 5 2 3" xfId="11886" xr:uid="{AECB7E1B-1E7E-43BF-94C1-940BCAB941A7}"/>
    <cellStyle name="Normal 2 4 3 5 3" xfId="5517" xr:uid="{00000000-0005-0000-0000-000027100000}"/>
    <cellStyle name="Normal 2 4 3 5 3 2" xfId="13959" xr:uid="{C28B0D01-7159-4319-99D6-F515F53BBA1D}"/>
    <cellStyle name="Normal 2 4 3 5 4" xfId="9741" xr:uid="{EBA15559-A34D-4A5C-8162-45A61F46AACC}"/>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A104B690-69C8-4E1C-A4F6-5CAB2AD49BCB}"/>
    <cellStyle name="Normal 2 4 3 6 2 3" xfId="12299" xr:uid="{26B8246D-963F-4C81-8618-1E3FFF435A82}"/>
    <cellStyle name="Normal 2 4 3 6 3" xfId="5930" xr:uid="{00000000-0005-0000-0000-00002B100000}"/>
    <cellStyle name="Normal 2 4 3 6 3 2" xfId="14372" xr:uid="{1EAE504E-8473-4F97-A94C-DCAFF57747EB}"/>
    <cellStyle name="Normal 2 4 3 6 4" xfId="10154" xr:uid="{AFF6CE43-C2B6-4D68-9AF7-576590331517}"/>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81F888C9-409D-4012-A019-F674570FA584}"/>
    <cellStyle name="Normal 2 4 3 7 2 3" xfId="12712" xr:uid="{DD8FFC52-EF46-4E2F-B128-3DF30C076E8B}"/>
    <cellStyle name="Normal 2 4 3 7 3" xfId="6343" xr:uid="{00000000-0005-0000-0000-00002F100000}"/>
    <cellStyle name="Normal 2 4 3 7 3 2" xfId="14785" xr:uid="{DF3DC61A-03F9-4D9E-BC5F-BC03D22F8B33}"/>
    <cellStyle name="Normal 2 4 3 7 4" xfId="10567" xr:uid="{8499FCDC-ADFC-4605-A75C-7A8C98765EDF}"/>
    <cellStyle name="Normal 2 4 3 8" xfId="2472" xr:uid="{00000000-0005-0000-0000-000030100000}"/>
    <cellStyle name="Normal 2 4 3 8 2" xfId="6756" xr:uid="{00000000-0005-0000-0000-000031100000}"/>
    <cellStyle name="Normal 2 4 3 8 2 2" xfId="15198" xr:uid="{742EC3E7-2A8C-43C5-A68C-4F8D12847726}"/>
    <cellStyle name="Normal 2 4 3 8 3" xfId="10980" xr:uid="{486431D2-315C-4FDF-9581-623BB62C5EBA}"/>
    <cellStyle name="Normal 2 4 3 9" xfId="4690" xr:uid="{00000000-0005-0000-0000-000032100000}"/>
    <cellStyle name="Normal 2 4 3 9 2" xfId="13132" xr:uid="{A5D4D294-522E-4D53-934B-D108764F12D9}"/>
    <cellStyle name="Normal 2 4 4" xfId="302" xr:uid="{00000000-0005-0000-0000-000033100000}"/>
    <cellStyle name="Normal 2 4 5" xfId="303" xr:uid="{00000000-0005-0000-0000-000034100000}"/>
    <cellStyle name="Normal 2 4 5 10" xfId="4695" xr:uid="{00000000-0005-0000-0000-000035100000}"/>
    <cellStyle name="Normal 2 4 5 10 2" xfId="13137" xr:uid="{16B2250F-505B-464B-BB59-0B881A47F2D2}"/>
    <cellStyle name="Normal 2 4 5 11" xfId="8919" xr:uid="{E2286B1A-4F34-4E84-9C54-24A654D3A8BB}"/>
    <cellStyle name="Normal 2 4 5 2" xfId="304" xr:uid="{00000000-0005-0000-0000-000036100000}"/>
    <cellStyle name="Normal 2 4 5 2 10" xfId="8920" xr:uid="{1374AF88-C002-420C-9CB8-3EEC0F5F750D}"/>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75E8660B-93BE-4B69-A437-7AE5B9FA5F55}"/>
    <cellStyle name="Normal 2 4 5 2 2 2 2 2 3" xfId="11481" xr:uid="{C77AE2B5-9E82-46DC-B90A-80ED3C4D6463}"/>
    <cellStyle name="Normal 2 4 5 2 2 2 2 3" xfId="5112" xr:uid="{00000000-0005-0000-0000-00003C100000}"/>
    <cellStyle name="Normal 2 4 5 2 2 2 2 3 2" xfId="13554" xr:uid="{1E4D87AE-5018-43B4-BD2C-F9AFC52E2EF2}"/>
    <cellStyle name="Normal 2 4 5 2 2 2 2 4" xfId="9336" xr:uid="{C0E872A3-0224-4069-AEAE-B6A504B8470D}"/>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29A5712A-1048-4EE0-9E46-BA2906004FF8}"/>
    <cellStyle name="Normal 2 4 5 2 2 2 3 2 3" xfId="11894" xr:uid="{BD28678A-FF1D-4AEE-8F78-50C2AF7C5123}"/>
    <cellStyle name="Normal 2 4 5 2 2 2 3 3" xfId="5525" xr:uid="{00000000-0005-0000-0000-000040100000}"/>
    <cellStyle name="Normal 2 4 5 2 2 2 3 3 2" xfId="13967" xr:uid="{F49B0AEA-2B4D-4D2D-B271-890A1DE3FB0C}"/>
    <cellStyle name="Normal 2 4 5 2 2 2 3 4" xfId="9749" xr:uid="{737A359A-E897-4975-A856-6C260E0E10C6}"/>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600A533E-A859-4394-95D4-E7A74A9DA83B}"/>
    <cellStyle name="Normal 2 4 5 2 2 2 4 2 3" xfId="12307" xr:uid="{98F0A611-DCFB-4867-8B0D-FF4D7E23841F}"/>
    <cellStyle name="Normal 2 4 5 2 2 2 4 3" xfId="5938" xr:uid="{00000000-0005-0000-0000-000044100000}"/>
    <cellStyle name="Normal 2 4 5 2 2 2 4 3 2" xfId="14380" xr:uid="{3F2B2EDE-E269-473D-80BD-A391F1058E8A}"/>
    <cellStyle name="Normal 2 4 5 2 2 2 4 4" xfId="10162" xr:uid="{66B193A6-664D-427B-88C6-171E587102CA}"/>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755E205C-971F-4A97-B6B0-FB3644EBC9BE}"/>
    <cellStyle name="Normal 2 4 5 2 2 2 5 2 3" xfId="12720" xr:uid="{BF4C6093-6A23-4F49-A389-ECA6C8470940}"/>
    <cellStyle name="Normal 2 4 5 2 2 2 5 3" xfId="6351" xr:uid="{00000000-0005-0000-0000-000048100000}"/>
    <cellStyle name="Normal 2 4 5 2 2 2 5 3 2" xfId="14793" xr:uid="{61BA1D0B-BE01-4E85-B125-8C09B15C47BB}"/>
    <cellStyle name="Normal 2 4 5 2 2 2 5 4" xfId="10575" xr:uid="{11B1C3A1-E178-4D56-8C27-40A7341ACBD6}"/>
    <cellStyle name="Normal 2 4 5 2 2 2 6" xfId="2480" xr:uid="{00000000-0005-0000-0000-000049100000}"/>
    <cellStyle name="Normal 2 4 5 2 2 2 6 2" xfId="6764" xr:uid="{00000000-0005-0000-0000-00004A100000}"/>
    <cellStyle name="Normal 2 4 5 2 2 2 6 2 2" xfId="15206" xr:uid="{471C754C-55DE-4A1A-A77E-642E70FB20BD}"/>
    <cellStyle name="Normal 2 4 5 2 2 2 6 3" xfId="10988" xr:uid="{37FEB28D-D94B-4FC9-861A-F2E76FDB1433}"/>
    <cellStyle name="Normal 2 4 5 2 2 2 7" xfId="4698" xr:uid="{00000000-0005-0000-0000-00004B100000}"/>
    <cellStyle name="Normal 2 4 5 2 2 2 7 2" xfId="13140" xr:uid="{732414E1-06BC-4E5B-849D-24DBC433F5EA}"/>
    <cellStyle name="Normal 2 4 5 2 2 2 8" xfId="8922" xr:uid="{79EC20D3-877B-4C28-9C4E-8C37055D1258}"/>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ECE2A54E-0F19-4DA2-89DB-377F23F5D8B0}"/>
    <cellStyle name="Normal 2 4 5 2 2 3 2 3" xfId="11480" xr:uid="{3E114E8A-5109-43BF-A87C-28C52BE91D1F}"/>
    <cellStyle name="Normal 2 4 5 2 2 3 3" xfId="5111" xr:uid="{00000000-0005-0000-0000-00004F100000}"/>
    <cellStyle name="Normal 2 4 5 2 2 3 3 2" xfId="13553" xr:uid="{5E2655F8-CC87-4A91-8FA5-79C85725453E}"/>
    <cellStyle name="Normal 2 4 5 2 2 3 4" xfId="9335" xr:uid="{2165F2B2-D684-453B-BA40-C83EED3B5195}"/>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956A7D0A-AADA-450C-B814-3C4934DF4078}"/>
    <cellStyle name="Normal 2 4 5 2 2 4 2 3" xfId="11893" xr:uid="{01077211-FA84-4FFD-BECB-66652744FDFC}"/>
    <cellStyle name="Normal 2 4 5 2 2 4 3" xfId="5524" xr:uid="{00000000-0005-0000-0000-000053100000}"/>
    <cellStyle name="Normal 2 4 5 2 2 4 3 2" xfId="13966" xr:uid="{0CD39645-392D-46C4-8CD8-5CE73CE39813}"/>
    <cellStyle name="Normal 2 4 5 2 2 4 4" xfId="9748" xr:uid="{62F607D9-7400-4E68-ABD3-5182972CB55A}"/>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946AC6E8-8238-4609-ABB5-66BC0D62F389}"/>
    <cellStyle name="Normal 2 4 5 2 2 5 2 3" xfId="12306" xr:uid="{89460A61-2545-41F0-9433-0E7E5CDFF5BF}"/>
    <cellStyle name="Normal 2 4 5 2 2 5 3" xfId="5937" xr:uid="{00000000-0005-0000-0000-000057100000}"/>
    <cellStyle name="Normal 2 4 5 2 2 5 3 2" xfId="14379" xr:uid="{763AECC9-3158-48B1-B9F1-9FECCD1FCD4C}"/>
    <cellStyle name="Normal 2 4 5 2 2 5 4" xfId="10161" xr:uid="{296CDBDF-9559-42D0-A68A-424AD02DFB77}"/>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C18F236F-28CE-40D6-8DF4-8E4764105DF2}"/>
    <cellStyle name="Normal 2 4 5 2 2 6 2 3" xfId="12719" xr:uid="{2166F7E0-90AD-4AC9-8547-918E5336BAD3}"/>
    <cellStyle name="Normal 2 4 5 2 2 6 3" xfId="6350" xr:uid="{00000000-0005-0000-0000-00005B100000}"/>
    <cellStyle name="Normal 2 4 5 2 2 6 3 2" xfId="14792" xr:uid="{18A2A9B2-99B0-4334-AAF6-18BC7EBD9922}"/>
    <cellStyle name="Normal 2 4 5 2 2 6 4" xfId="10574" xr:uid="{873725F5-B42A-4600-88A0-7C510609EEBF}"/>
    <cellStyle name="Normal 2 4 5 2 2 7" xfId="2479" xr:uid="{00000000-0005-0000-0000-00005C100000}"/>
    <cellStyle name="Normal 2 4 5 2 2 7 2" xfId="6763" xr:uid="{00000000-0005-0000-0000-00005D100000}"/>
    <cellStyle name="Normal 2 4 5 2 2 7 2 2" xfId="15205" xr:uid="{2661AEBB-7C3B-4859-BB84-D861BC3179BD}"/>
    <cellStyle name="Normal 2 4 5 2 2 7 3" xfId="10987" xr:uid="{03CED4FD-A9F4-46B0-BE5E-9732242C73B3}"/>
    <cellStyle name="Normal 2 4 5 2 2 8" xfId="4697" xr:uid="{00000000-0005-0000-0000-00005E100000}"/>
    <cellStyle name="Normal 2 4 5 2 2 8 2" xfId="13139" xr:uid="{28439622-BD15-4252-AC00-D61CDE80E806}"/>
    <cellStyle name="Normal 2 4 5 2 2 9" xfId="8921" xr:uid="{35AF965A-1044-40CD-ABF4-C22CAD1E190B}"/>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476A3698-40AE-4D1A-B261-40DDBE3CC66C}"/>
    <cellStyle name="Normal 2 4 5 2 3 2 2 3" xfId="11482" xr:uid="{C12C9FEF-BE27-4DC2-A46B-6D3725411A80}"/>
    <cellStyle name="Normal 2 4 5 2 3 2 3" xfId="5113" xr:uid="{00000000-0005-0000-0000-000063100000}"/>
    <cellStyle name="Normal 2 4 5 2 3 2 3 2" xfId="13555" xr:uid="{B62320CB-F786-4C38-9EE7-0B9255D2D5F6}"/>
    <cellStyle name="Normal 2 4 5 2 3 2 4" xfId="9337" xr:uid="{4FF6EFC7-4089-4B50-8E11-92D4AA8EC4DA}"/>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E03CD04C-FF3D-415A-A1A3-758C77E42F5D}"/>
    <cellStyle name="Normal 2 4 5 2 3 3 2 3" xfId="11895" xr:uid="{0E54897C-950B-4C8C-AB1A-46D165387D60}"/>
    <cellStyle name="Normal 2 4 5 2 3 3 3" xfId="5526" xr:uid="{00000000-0005-0000-0000-000067100000}"/>
    <cellStyle name="Normal 2 4 5 2 3 3 3 2" xfId="13968" xr:uid="{73C7E1D5-12A3-4EAD-9287-F3F5C28E98BD}"/>
    <cellStyle name="Normal 2 4 5 2 3 3 4" xfId="9750" xr:uid="{E51440DF-82F8-4439-8A94-FA76CE95F362}"/>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1B7422C2-4CC0-414E-B492-1E7B0C376968}"/>
    <cellStyle name="Normal 2 4 5 2 3 4 2 3" xfId="12308" xr:uid="{CBA3AB9E-CC9C-40B2-A4DA-BD72A9510F87}"/>
    <cellStyle name="Normal 2 4 5 2 3 4 3" xfId="5939" xr:uid="{00000000-0005-0000-0000-00006B100000}"/>
    <cellStyle name="Normal 2 4 5 2 3 4 3 2" xfId="14381" xr:uid="{A6F4732E-FCA4-4F95-857B-12FCE8072A0D}"/>
    <cellStyle name="Normal 2 4 5 2 3 4 4" xfId="10163" xr:uid="{B12A50C2-34DA-4DDE-8D16-DF794D6427FC}"/>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89B65DB4-2AEE-47BD-AF36-F6ED3575FFCA}"/>
    <cellStyle name="Normal 2 4 5 2 3 5 2 3" xfId="12721" xr:uid="{71F65B49-78E8-4DB9-A4CB-1270A48ECD58}"/>
    <cellStyle name="Normal 2 4 5 2 3 5 3" xfId="6352" xr:uid="{00000000-0005-0000-0000-00006F100000}"/>
    <cellStyle name="Normal 2 4 5 2 3 5 3 2" xfId="14794" xr:uid="{D2043320-7958-4A04-98F8-3C4F614E8BD1}"/>
    <cellStyle name="Normal 2 4 5 2 3 5 4" xfId="10576" xr:uid="{DBEF86ED-D227-4956-B1D8-A326607CA7D2}"/>
    <cellStyle name="Normal 2 4 5 2 3 6" xfId="2481" xr:uid="{00000000-0005-0000-0000-000070100000}"/>
    <cellStyle name="Normal 2 4 5 2 3 6 2" xfId="6765" xr:uid="{00000000-0005-0000-0000-000071100000}"/>
    <cellStyle name="Normal 2 4 5 2 3 6 2 2" xfId="15207" xr:uid="{F69E758F-E3BE-4C17-B4AE-3F171D2F7F6E}"/>
    <cellStyle name="Normal 2 4 5 2 3 6 3" xfId="10989" xr:uid="{5FDC3E4A-64F2-4AD9-AF22-848BC4CA6E6D}"/>
    <cellStyle name="Normal 2 4 5 2 3 7" xfId="4699" xr:uid="{00000000-0005-0000-0000-000072100000}"/>
    <cellStyle name="Normal 2 4 5 2 3 7 2" xfId="13141" xr:uid="{1334CA90-EC06-4804-A59E-24A8EF3F8538}"/>
    <cellStyle name="Normal 2 4 5 2 3 8" xfId="8923" xr:uid="{FA3B24C4-9F1B-4A99-B8B0-E2B87986A1F0}"/>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1BA993A9-DB7F-4085-8BBD-0009B8DFE273}"/>
    <cellStyle name="Normal 2 4 5 2 4 2 3" xfId="11479" xr:uid="{B18C55B3-FA21-4CBA-909E-F7E4D12CA639}"/>
    <cellStyle name="Normal 2 4 5 2 4 3" xfId="5110" xr:uid="{00000000-0005-0000-0000-000076100000}"/>
    <cellStyle name="Normal 2 4 5 2 4 3 2" xfId="13552" xr:uid="{8C7F78F2-27B6-4203-A8FE-D041DDDC59AF}"/>
    <cellStyle name="Normal 2 4 5 2 4 4" xfId="9334" xr:uid="{DBB7E7BB-3E2F-48EB-BDCB-CD1E03AD16FD}"/>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4FD52DB4-482E-40BD-8CBA-E20CAA86D85C}"/>
    <cellStyle name="Normal 2 4 5 2 5 2 3" xfId="11892" xr:uid="{C73FBE81-45F5-4661-B9F9-DD39AB4CCAEF}"/>
    <cellStyle name="Normal 2 4 5 2 5 3" xfId="5523" xr:uid="{00000000-0005-0000-0000-00007A100000}"/>
    <cellStyle name="Normal 2 4 5 2 5 3 2" xfId="13965" xr:uid="{C654D29C-2C4D-4381-9D10-7060A8BEB7CD}"/>
    <cellStyle name="Normal 2 4 5 2 5 4" xfId="9747" xr:uid="{83065B8A-74B3-40E2-B912-3E24486C5444}"/>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10A1366B-8459-42FE-BFED-74AEFE00B98B}"/>
    <cellStyle name="Normal 2 4 5 2 6 2 3" xfId="12305" xr:uid="{30CDF2B3-6381-46CC-AFD4-9FB52A8474AD}"/>
    <cellStyle name="Normal 2 4 5 2 6 3" xfId="5936" xr:uid="{00000000-0005-0000-0000-00007E100000}"/>
    <cellStyle name="Normal 2 4 5 2 6 3 2" xfId="14378" xr:uid="{7F696BD6-A638-4899-9450-D7011B6ACCFA}"/>
    <cellStyle name="Normal 2 4 5 2 6 4" xfId="10160" xr:uid="{7F588FE6-754E-4526-9845-85858574BE3B}"/>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8D4B6941-F3EA-4820-93AB-38B80F571214}"/>
    <cellStyle name="Normal 2 4 5 2 7 2 3" xfId="12718" xr:uid="{C65EAA6E-936A-432B-93E3-968E89D2A327}"/>
    <cellStyle name="Normal 2 4 5 2 7 3" xfId="6349" xr:uid="{00000000-0005-0000-0000-000082100000}"/>
    <cellStyle name="Normal 2 4 5 2 7 3 2" xfId="14791" xr:uid="{548EE5F3-9FFD-47F5-9B73-A4672321ED61}"/>
    <cellStyle name="Normal 2 4 5 2 7 4" xfId="10573" xr:uid="{85220911-260B-4D36-973C-2C5D9BC1FDF5}"/>
    <cellStyle name="Normal 2 4 5 2 8" xfId="2478" xr:uid="{00000000-0005-0000-0000-000083100000}"/>
    <cellStyle name="Normal 2 4 5 2 8 2" xfId="6762" xr:uid="{00000000-0005-0000-0000-000084100000}"/>
    <cellStyle name="Normal 2 4 5 2 8 2 2" xfId="15204" xr:uid="{A2483EB6-67F0-43B1-85B9-9C9433E48426}"/>
    <cellStyle name="Normal 2 4 5 2 8 3" xfId="10986" xr:uid="{0A5ED676-F05D-40EE-A8E8-0011216C627F}"/>
    <cellStyle name="Normal 2 4 5 2 9" xfId="4696" xr:uid="{00000000-0005-0000-0000-000085100000}"/>
    <cellStyle name="Normal 2 4 5 2 9 2" xfId="13138" xr:uid="{C42098C2-1265-4442-BBCC-4BBF69BBD96C}"/>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4FB17401-8F72-4445-8F24-D42C214CF044}"/>
    <cellStyle name="Normal 2 4 5 3 2 2 2 3" xfId="11484" xr:uid="{4B40925F-6EF4-4773-9730-D5D750F66E94}"/>
    <cellStyle name="Normal 2 4 5 3 2 2 3" xfId="5115" xr:uid="{00000000-0005-0000-0000-00008B100000}"/>
    <cellStyle name="Normal 2 4 5 3 2 2 3 2" xfId="13557" xr:uid="{94DE32C3-E49B-4F2D-8F07-22AF9606DEE3}"/>
    <cellStyle name="Normal 2 4 5 3 2 2 4" xfId="9339" xr:uid="{DAD9B920-85FA-4C07-8D12-9322DB3E1032}"/>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31880419-077F-4A48-A6B3-1F6A94F3C0B4}"/>
    <cellStyle name="Normal 2 4 5 3 2 3 2 3" xfId="11897" xr:uid="{E09D10AB-6236-42AD-A070-4A67AB3CFCD5}"/>
    <cellStyle name="Normal 2 4 5 3 2 3 3" xfId="5528" xr:uid="{00000000-0005-0000-0000-00008F100000}"/>
    <cellStyle name="Normal 2 4 5 3 2 3 3 2" xfId="13970" xr:uid="{58152FC3-392E-49CD-AEF4-180354EC4218}"/>
    <cellStyle name="Normal 2 4 5 3 2 3 4" xfId="9752" xr:uid="{AFE4223B-4281-49B0-96C5-86359D5FB16F}"/>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E1FD5C48-3807-44F4-8059-D4B4655B9862}"/>
    <cellStyle name="Normal 2 4 5 3 2 4 2 3" xfId="12310" xr:uid="{964CFC38-C502-4657-8F9E-3F55DF7EF06F}"/>
    <cellStyle name="Normal 2 4 5 3 2 4 3" xfId="5941" xr:uid="{00000000-0005-0000-0000-000093100000}"/>
    <cellStyle name="Normal 2 4 5 3 2 4 3 2" xfId="14383" xr:uid="{F356339C-771B-4EA8-ACD9-0B6D7CFCB163}"/>
    <cellStyle name="Normal 2 4 5 3 2 4 4" xfId="10165" xr:uid="{8BDAAB0A-A624-49CB-8DFA-D7EF8EC9D6C5}"/>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18DF47D3-405D-4847-979D-7F115667259C}"/>
    <cellStyle name="Normal 2 4 5 3 2 5 2 3" xfId="12723" xr:uid="{AA2F687A-8CC5-46B5-B44D-5149021AEE39}"/>
    <cellStyle name="Normal 2 4 5 3 2 5 3" xfId="6354" xr:uid="{00000000-0005-0000-0000-000097100000}"/>
    <cellStyle name="Normal 2 4 5 3 2 5 3 2" xfId="14796" xr:uid="{75802483-52EC-45F9-A881-6758F59C9442}"/>
    <cellStyle name="Normal 2 4 5 3 2 5 4" xfId="10578" xr:uid="{92F694DA-04AD-4899-AA3B-E57DB3B82071}"/>
    <cellStyle name="Normal 2 4 5 3 2 6" xfId="2483" xr:uid="{00000000-0005-0000-0000-000098100000}"/>
    <cellStyle name="Normal 2 4 5 3 2 6 2" xfId="6767" xr:uid="{00000000-0005-0000-0000-000099100000}"/>
    <cellStyle name="Normal 2 4 5 3 2 6 2 2" xfId="15209" xr:uid="{186485DA-7865-47B0-A55D-B024053906E6}"/>
    <cellStyle name="Normal 2 4 5 3 2 6 3" xfId="10991" xr:uid="{5D921C85-3C3A-4C09-A3CA-A73259C2AADC}"/>
    <cellStyle name="Normal 2 4 5 3 2 7" xfId="4701" xr:uid="{00000000-0005-0000-0000-00009A100000}"/>
    <cellStyle name="Normal 2 4 5 3 2 7 2" xfId="13143" xr:uid="{78502D56-2DC2-46D3-950E-2EE88EA3A680}"/>
    <cellStyle name="Normal 2 4 5 3 2 8" xfId="8925" xr:uid="{1DC9681E-900D-4172-B57D-9C4ADA57BA14}"/>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6961D8B9-CC34-42C2-AB5E-3DFEB44B7CFE}"/>
    <cellStyle name="Normal 2 4 5 3 3 2 3" xfId="11483" xr:uid="{E55AF790-2195-4BA0-865D-26B905F47055}"/>
    <cellStyle name="Normal 2 4 5 3 3 3" xfId="5114" xr:uid="{00000000-0005-0000-0000-00009E100000}"/>
    <cellStyle name="Normal 2 4 5 3 3 3 2" xfId="13556" xr:uid="{F223CB05-B92C-4F7C-AFF8-1E4CCB589FCB}"/>
    <cellStyle name="Normal 2 4 5 3 3 4" xfId="9338" xr:uid="{58FE289A-DC63-4A47-A778-02A7A656351B}"/>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D7DDE278-7CF7-4079-AD7E-F7F17D0172C1}"/>
    <cellStyle name="Normal 2 4 5 3 4 2 3" xfId="11896" xr:uid="{8D653D46-FE22-4071-8829-AF9695989CCE}"/>
    <cellStyle name="Normal 2 4 5 3 4 3" xfId="5527" xr:uid="{00000000-0005-0000-0000-0000A2100000}"/>
    <cellStyle name="Normal 2 4 5 3 4 3 2" xfId="13969" xr:uid="{367B8E8B-AE67-480A-824D-733CBCC56D99}"/>
    <cellStyle name="Normal 2 4 5 3 4 4" xfId="9751" xr:uid="{0352826D-C15E-4936-AD34-C58ECC0BC0A6}"/>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61229DE0-21E2-4F89-B03B-35C2E41AC4DF}"/>
    <cellStyle name="Normal 2 4 5 3 5 2 3" xfId="12309" xr:uid="{D64D879A-DCD4-4172-8577-D436EC9A1D8C}"/>
    <cellStyle name="Normal 2 4 5 3 5 3" xfId="5940" xr:uid="{00000000-0005-0000-0000-0000A6100000}"/>
    <cellStyle name="Normal 2 4 5 3 5 3 2" xfId="14382" xr:uid="{5E985DC1-C4A6-4DA3-8D43-B6E0975B378D}"/>
    <cellStyle name="Normal 2 4 5 3 5 4" xfId="10164" xr:uid="{8C287282-A372-4CA5-96AE-09B31E61EC63}"/>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00C4D71C-25A4-4D1B-BBE6-E184D8DCEF21}"/>
    <cellStyle name="Normal 2 4 5 3 6 2 3" xfId="12722" xr:uid="{ED2CD938-4F2F-460B-9090-ED63B007A08F}"/>
    <cellStyle name="Normal 2 4 5 3 6 3" xfId="6353" xr:uid="{00000000-0005-0000-0000-0000AA100000}"/>
    <cellStyle name="Normal 2 4 5 3 6 3 2" xfId="14795" xr:uid="{E800CD55-3375-47B4-AA92-F097ADB3F4B5}"/>
    <cellStyle name="Normal 2 4 5 3 6 4" xfId="10577" xr:uid="{A2C8F34E-47B3-4B1D-B064-AE120CD5A374}"/>
    <cellStyle name="Normal 2 4 5 3 7" xfId="2482" xr:uid="{00000000-0005-0000-0000-0000AB100000}"/>
    <cellStyle name="Normal 2 4 5 3 7 2" xfId="6766" xr:uid="{00000000-0005-0000-0000-0000AC100000}"/>
    <cellStyle name="Normal 2 4 5 3 7 2 2" xfId="15208" xr:uid="{72CB7D1D-4F22-48E2-97E0-1512E9691B29}"/>
    <cellStyle name="Normal 2 4 5 3 7 3" xfId="10990" xr:uid="{AB7EC631-8AC0-442C-B6CD-D0B37719EE65}"/>
    <cellStyle name="Normal 2 4 5 3 8" xfId="4700" xr:uid="{00000000-0005-0000-0000-0000AD100000}"/>
    <cellStyle name="Normal 2 4 5 3 8 2" xfId="13142" xr:uid="{75669E0F-C11B-4BA3-8E9D-206798DCC015}"/>
    <cellStyle name="Normal 2 4 5 3 9" xfId="8924" xr:uid="{E8E38FFC-9B89-4170-A9F1-1C0E05E3CF61}"/>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4D67F944-BF0F-46E7-83F9-A87B19A0E02C}"/>
    <cellStyle name="Normal 2 4 5 4 2 2 3" xfId="11485" xr:uid="{254F3B12-26C1-4297-8870-641B04733D9B}"/>
    <cellStyle name="Normal 2 4 5 4 2 3" xfId="5116" xr:uid="{00000000-0005-0000-0000-0000B2100000}"/>
    <cellStyle name="Normal 2 4 5 4 2 3 2" xfId="13558" xr:uid="{E4BDFEAF-857D-495C-8A52-E6152DBD2B54}"/>
    <cellStyle name="Normal 2 4 5 4 2 4" xfId="9340" xr:uid="{96547563-931D-42CD-ACAF-AA20A02A3CBF}"/>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819A4C41-907F-4227-9C1B-F7A6DEF66B03}"/>
    <cellStyle name="Normal 2 4 5 4 3 2 3" xfId="11898" xr:uid="{9FABB51E-F5E0-43CC-985B-88ABF3FC6869}"/>
    <cellStyle name="Normal 2 4 5 4 3 3" xfId="5529" xr:uid="{00000000-0005-0000-0000-0000B6100000}"/>
    <cellStyle name="Normal 2 4 5 4 3 3 2" xfId="13971" xr:uid="{83FBE714-2BE3-42A8-8FE8-1B2899DDED37}"/>
    <cellStyle name="Normal 2 4 5 4 3 4" xfId="9753" xr:uid="{A5E659DB-59E4-43E6-855A-D745842D9D51}"/>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84DC1F47-F479-4EFB-BCD7-9A6B2DB6043D}"/>
    <cellStyle name="Normal 2 4 5 4 4 2 3" xfId="12311" xr:uid="{E2B259B5-A42F-4E15-9E78-DD4B366D82F6}"/>
    <cellStyle name="Normal 2 4 5 4 4 3" xfId="5942" xr:uid="{00000000-0005-0000-0000-0000BA100000}"/>
    <cellStyle name="Normal 2 4 5 4 4 3 2" xfId="14384" xr:uid="{9E872460-7090-48B4-93A7-323AA7DD6F22}"/>
    <cellStyle name="Normal 2 4 5 4 4 4" xfId="10166" xr:uid="{1F2FE88F-6809-464B-9126-E5CAFCCAAC9B}"/>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E85861AA-7A46-4D39-B988-BC16ABFD16B1}"/>
    <cellStyle name="Normal 2 4 5 4 5 2 3" xfId="12724" xr:uid="{5AAF2DD8-BB19-4559-8130-AB401A705935}"/>
    <cellStyle name="Normal 2 4 5 4 5 3" xfId="6355" xr:uid="{00000000-0005-0000-0000-0000BE100000}"/>
    <cellStyle name="Normal 2 4 5 4 5 3 2" xfId="14797" xr:uid="{DBCC0057-C81A-4527-9C77-467B31DD5E88}"/>
    <cellStyle name="Normal 2 4 5 4 5 4" xfId="10579" xr:uid="{7D775923-8292-4210-9924-AF6EB4472AA9}"/>
    <cellStyle name="Normal 2 4 5 4 6" xfId="2484" xr:uid="{00000000-0005-0000-0000-0000BF100000}"/>
    <cellStyle name="Normal 2 4 5 4 6 2" xfId="6768" xr:uid="{00000000-0005-0000-0000-0000C0100000}"/>
    <cellStyle name="Normal 2 4 5 4 6 2 2" xfId="15210" xr:uid="{0EEC4356-715E-4F64-AD28-35C242949221}"/>
    <cellStyle name="Normal 2 4 5 4 6 3" xfId="10992" xr:uid="{8FA98CEA-9505-4558-8AB2-BCE33904A11B}"/>
    <cellStyle name="Normal 2 4 5 4 7" xfId="4702" xr:uid="{00000000-0005-0000-0000-0000C1100000}"/>
    <cellStyle name="Normal 2 4 5 4 7 2" xfId="13144" xr:uid="{C08EF218-FFCE-4297-8E59-57C5417F388C}"/>
    <cellStyle name="Normal 2 4 5 4 8" xfId="8926" xr:uid="{ED2FBBCC-2082-4866-9B49-792E2FA291A3}"/>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1CA5163F-858F-4CB4-A315-625CE5B01C56}"/>
    <cellStyle name="Normal 2 4 5 5 2 3" xfId="11478" xr:uid="{9ED3628B-673C-4BDE-8809-31D7D2F9DBC9}"/>
    <cellStyle name="Normal 2 4 5 5 3" xfId="5109" xr:uid="{00000000-0005-0000-0000-0000C5100000}"/>
    <cellStyle name="Normal 2 4 5 5 3 2" xfId="13551" xr:uid="{631D74D3-E6AE-4759-A02D-F96D497E4294}"/>
    <cellStyle name="Normal 2 4 5 5 4" xfId="9333" xr:uid="{588A219F-B01D-4656-93B6-80D750DDFE66}"/>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B36A6338-5A1B-4C23-AC90-314DAC6855A0}"/>
    <cellStyle name="Normal 2 4 5 6 2 3" xfId="11891" xr:uid="{DC542FAB-A316-4E94-92DC-0B8BF8CDA03E}"/>
    <cellStyle name="Normal 2 4 5 6 3" xfId="5522" xr:uid="{00000000-0005-0000-0000-0000C9100000}"/>
    <cellStyle name="Normal 2 4 5 6 3 2" xfId="13964" xr:uid="{D553BFAD-A968-49BD-B548-E47140AAC81D}"/>
    <cellStyle name="Normal 2 4 5 6 4" xfId="9746" xr:uid="{53BAA3F5-470D-4CD3-B3E9-B6A56D82FDED}"/>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47543F00-BE8F-4730-AFA6-FA08DFC48B5C}"/>
    <cellStyle name="Normal 2 4 5 7 2 3" xfId="12304" xr:uid="{43959EB0-B178-4925-8952-C37CCA621D13}"/>
    <cellStyle name="Normal 2 4 5 7 3" xfId="5935" xr:uid="{00000000-0005-0000-0000-0000CD100000}"/>
    <cellStyle name="Normal 2 4 5 7 3 2" xfId="14377" xr:uid="{25272F30-C360-4623-8C7F-F751586661D1}"/>
    <cellStyle name="Normal 2 4 5 7 4" xfId="10159" xr:uid="{AA33D3CA-CEC9-49A9-AA94-51B3160D980F}"/>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781A6D9D-657B-42A4-A15F-87DFD35CB269}"/>
    <cellStyle name="Normal 2 4 5 8 2 3" xfId="12717" xr:uid="{3E1C33D1-5DEC-48FD-9471-95A21A8700AE}"/>
    <cellStyle name="Normal 2 4 5 8 3" xfId="6348" xr:uid="{00000000-0005-0000-0000-0000D1100000}"/>
    <cellStyle name="Normal 2 4 5 8 3 2" xfId="14790" xr:uid="{27D016D3-EEEB-4082-A322-CE425409293D}"/>
    <cellStyle name="Normal 2 4 5 8 4" xfId="10572" xr:uid="{8BF7F524-F74E-4B96-AF18-AD3AD74FB8E1}"/>
    <cellStyle name="Normal 2 4 5 9" xfId="2477" xr:uid="{00000000-0005-0000-0000-0000D2100000}"/>
    <cellStyle name="Normal 2 4 5 9 2" xfId="6761" xr:uid="{00000000-0005-0000-0000-0000D3100000}"/>
    <cellStyle name="Normal 2 4 5 9 2 2" xfId="15203" xr:uid="{5FD0B77A-F3D4-45C7-93D6-D9B3C6D6C5BA}"/>
    <cellStyle name="Normal 2 4 5 9 3" xfId="10985" xr:uid="{DCC493B2-C2C2-4C6B-BAF5-EF3CF56D8AB5}"/>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8103CC51-AF53-4AC6-BE93-2B15564ECA24}"/>
    <cellStyle name="Normal 2 4 7 2 2 2 3" xfId="11487" xr:uid="{E9CF4525-B390-4B6A-B27E-CED93D1AC349}"/>
    <cellStyle name="Normal 2 4 7 2 2 3" xfId="5118" xr:uid="{00000000-0005-0000-0000-0000DA100000}"/>
    <cellStyle name="Normal 2 4 7 2 2 3 2" xfId="13560" xr:uid="{A9D5E2AE-57B0-4DA1-84CC-3E75215A42D3}"/>
    <cellStyle name="Normal 2 4 7 2 2 4" xfId="9342" xr:uid="{88231DDC-6770-41DA-AC3A-6DD9BC6DD206}"/>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350C5624-4F52-473E-B8D2-A37A7A7974E9}"/>
    <cellStyle name="Normal 2 4 7 2 3 2 3" xfId="11900" xr:uid="{4C1CCC4C-204B-45B2-9BC5-9A1509750233}"/>
    <cellStyle name="Normal 2 4 7 2 3 3" xfId="5531" xr:uid="{00000000-0005-0000-0000-0000DE100000}"/>
    <cellStyle name="Normal 2 4 7 2 3 3 2" xfId="13973" xr:uid="{56167589-C746-4A25-BE21-68EA61DB0D34}"/>
    <cellStyle name="Normal 2 4 7 2 3 4" xfId="9755" xr:uid="{84C62F91-253B-4B95-886F-B32AC34D910E}"/>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3DE2455D-058B-4E55-A2F2-2DC2F6851C29}"/>
    <cellStyle name="Normal 2 4 7 2 4 2 3" xfId="12313" xr:uid="{4B05D564-CEBB-48D0-B49F-44ECBFEC1670}"/>
    <cellStyle name="Normal 2 4 7 2 4 3" xfId="5944" xr:uid="{00000000-0005-0000-0000-0000E2100000}"/>
    <cellStyle name="Normal 2 4 7 2 4 3 2" xfId="14386" xr:uid="{4D1F56C0-474F-4365-8135-8FAACA818BBC}"/>
    <cellStyle name="Normal 2 4 7 2 4 4" xfId="10168" xr:uid="{E1CFEC5F-350E-41CA-9082-895C7351359A}"/>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D45D18E0-C507-4315-B388-955AFC360A67}"/>
    <cellStyle name="Normal 2 4 7 2 5 2 3" xfId="12726" xr:uid="{7EF9D48F-D033-4378-80A7-01131F6A49E6}"/>
    <cellStyle name="Normal 2 4 7 2 5 3" xfId="6357" xr:uid="{00000000-0005-0000-0000-0000E6100000}"/>
    <cellStyle name="Normal 2 4 7 2 5 3 2" xfId="14799" xr:uid="{92BDCF1B-E722-46FF-9BC8-9551E39D6406}"/>
    <cellStyle name="Normal 2 4 7 2 5 4" xfId="10581" xr:uid="{CF35C595-31A0-4736-A142-BE68A36701A4}"/>
    <cellStyle name="Normal 2 4 7 2 6" xfId="2486" xr:uid="{00000000-0005-0000-0000-0000E7100000}"/>
    <cellStyle name="Normal 2 4 7 2 6 2" xfId="6770" xr:uid="{00000000-0005-0000-0000-0000E8100000}"/>
    <cellStyle name="Normal 2 4 7 2 6 2 2" xfId="15212" xr:uid="{F9BC1DE8-FA00-492A-BC8F-84668FDB8E15}"/>
    <cellStyle name="Normal 2 4 7 2 6 3" xfId="10994" xr:uid="{F012B24F-BFCA-4ECF-8E3B-1F6D5D6345B1}"/>
    <cellStyle name="Normal 2 4 7 2 7" xfId="4704" xr:uid="{00000000-0005-0000-0000-0000E9100000}"/>
    <cellStyle name="Normal 2 4 7 2 7 2" xfId="13146" xr:uid="{635AB610-23CB-40A5-A0AA-1CE6F55456DB}"/>
    <cellStyle name="Normal 2 4 7 2 8" xfId="8928" xr:uid="{C8595D68-4A09-4AAD-8785-2BDCC08C85F9}"/>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6EE16142-5AF8-4C60-8AFB-B96EE83D6F7E}"/>
    <cellStyle name="Normal 2 4 7 3 2 3" xfId="11486" xr:uid="{EE15DBD0-8FC1-450B-AB13-D433B5C5FAB8}"/>
    <cellStyle name="Normal 2 4 7 3 3" xfId="5117" xr:uid="{00000000-0005-0000-0000-0000ED100000}"/>
    <cellStyle name="Normal 2 4 7 3 3 2" xfId="13559" xr:uid="{FA4E603C-D7D3-4529-8A07-890178DD4578}"/>
    <cellStyle name="Normal 2 4 7 3 4" xfId="9341" xr:uid="{44A3FC15-D848-49AE-82C7-DFB36831131D}"/>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80F2D479-7A2D-4EF1-A2E5-EF534CDBFE89}"/>
    <cellStyle name="Normal 2 4 7 4 2 3" xfId="11899" xr:uid="{18D139FB-80EA-47E5-8F60-9EBB41A47C01}"/>
    <cellStyle name="Normal 2 4 7 4 3" xfId="5530" xr:uid="{00000000-0005-0000-0000-0000F1100000}"/>
    <cellStyle name="Normal 2 4 7 4 3 2" xfId="13972" xr:uid="{0934B0C3-042A-4477-8D02-8E8158EFABA3}"/>
    <cellStyle name="Normal 2 4 7 4 4" xfId="9754" xr:uid="{05AC854D-D276-4C70-8AC9-4D0086D1458D}"/>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17FECA64-8384-41EE-AB75-0F7C34762D87}"/>
    <cellStyle name="Normal 2 4 7 5 2 3" xfId="12312" xr:uid="{0B280CD5-FB12-4EB8-A658-2D6DABD98314}"/>
    <cellStyle name="Normal 2 4 7 5 3" xfId="5943" xr:uid="{00000000-0005-0000-0000-0000F5100000}"/>
    <cellStyle name="Normal 2 4 7 5 3 2" xfId="14385" xr:uid="{67035B58-2959-45BC-951D-FA94F0F4A8EF}"/>
    <cellStyle name="Normal 2 4 7 5 4" xfId="10167" xr:uid="{B92DE170-0AFE-4D7E-BB7A-FA19F315B1D4}"/>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C99C5CB-A6BE-48CD-89F2-A8350568650E}"/>
    <cellStyle name="Normal 2 4 7 6 2 3" xfId="12725" xr:uid="{832443AD-ACFE-48F5-A133-D35413AAF215}"/>
    <cellStyle name="Normal 2 4 7 6 3" xfId="6356" xr:uid="{00000000-0005-0000-0000-0000F9100000}"/>
    <cellStyle name="Normal 2 4 7 6 3 2" xfId="14798" xr:uid="{32EE00DF-4B88-4EC1-A226-9715579DC1EF}"/>
    <cellStyle name="Normal 2 4 7 6 4" xfId="10580" xr:uid="{27F1CFDF-EC64-4B96-84C3-94196DE5F49B}"/>
    <cellStyle name="Normal 2 4 7 7" xfId="2485" xr:uid="{00000000-0005-0000-0000-0000FA100000}"/>
    <cellStyle name="Normal 2 4 7 7 2" xfId="6769" xr:uid="{00000000-0005-0000-0000-0000FB100000}"/>
    <cellStyle name="Normal 2 4 7 7 2 2" xfId="15211" xr:uid="{D613A0D4-4FAA-47AA-9187-1437AD16B231}"/>
    <cellStyle name="Normal 2 4 7 7 3" xfId="10993" xr:uid="{34ECED71-C18F-4E39-843D-4DF13241881B}"/>
    <cellStyle name="Normal 2 4 7 8" xfId="4703" xr:uid="{00000000-0005-0000-0000-0000FC100000}"/>
    <cellStyle name="Normal 2 4 7 8 2" xfId="13145" xr:uid="{BAE96599-C98A-44BA-AB97-5C6BD91964F7}"/>
    <cellStyle name="Normal 2 4 7 9" xfId="8927" xr:uid="{85D6B797-077A-4CD5-9B5F-3000620BFF22}"/>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6929DF43-A75E-48AE-9321-FDBF93F43BAD}"/>
    <cellStyle name="Normal 2 4 8 2 2 3" xfId="11488" xr:uid="{9DE4A106-0DEC-4DDE-B334-A76FFC3D2F24}"/>
    <cellStyle name="Normal 2 4 8 2 3" xfId="5119" xr:uid="{00000000-0005-0000-0000-000001110000}"/>
    <cellStyle name="Normal 2 4 8 2 3 2" xfId="13561" xr:uid="{85220EED-E159-41D2-8A14-FFF6A2F54665}"/>
    <cellStyle name="Normal 2 4 8 2 4" xfId="9343" xr:uid="{55489A21-6F8E-4C4B-A5FD-436E320CEF81}"/>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9FC5D494-D918-4D49-A4C3-63CE3B4A2231}"/>
    <cellStyle name="Normal 2 4 8 3 2 3" xfId="11901" xr:uid="{E92BA01E-5CBA-472A-BB30-1D8C47A5B3E4}"/>
    <cellStyle name="Normal 2 4 8 3 3" xfId="5532" xr:uid="{00000000-0005-0000-0000-000005110000}"/>
    <cellStyle name="Normal 2 4 8 3 3 2" xfId="13974" xr:uid="{CA2BCE35-CFDC-468D-ABFC-FB2D944E7269}"/>
    <cellStyle name="Normal 2 4 8 3 4" xfId="9756" xr:uid="{31C5DA59-F93E-4048-9DED-1E437DECFCF9}"/>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6D5DB730-69E5-42A1-A5B8-C44F978D24F6}"/>
    <cellStyle name="Normal 2 4 8 4 2 3" xfId="12314" xr:uid="{F6AC2042-608C-4D70-8C52-6BC634A40146}"/>
    <cellStyle name="Normal 2 4 8 4 3" xfId="5945" xr:uid="{00000000-0005-0000-0000-000009110000}"/>
    <cellStyle name="Normal 2 4 8 4 3 2" xfId="14387" xr:uid="{B4C344C9-3482-44C6-B832-25BF5EFCF9F8}"/>
    <cellStyle name="Normal 2 4 8 4 4" xfId="10169" xr:uid="{9C308F7A-2835-4C8C-8CE9-B5102A4F087A}"/>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FDAD0765-D1CF-4FE0-99F3-87209EC7010A}"/>
    <cellStyle name="Normal 2 4 8 5 2 3" xfId="12727" xr:uid="{538C1505-AF63-46D8-979F-FD69343B7DBB}"/>
    <cellStyle name="Normal 2 4 8 5 3" xfId="6358" xr:uid="{00000000-0005-0000-0000-00000D110000}"/>
    <cellStyle name="Normal 2 4 8 5 3 2" xfId="14800" xr:uid="{CB60CEE7-B6B1-435C-877B-0DCD31BCC565}"/>
    <cellStyle name="Normal 2 4 8 5 4" xfId="10582" xr:uid="{8322E0EF-47FC-4A50-97DD-027F5339988A}"/>
    <cellStyle name="Normal 2 4 8 6" xfId="2487" xr:uid="{00000000-0005-0000-0000-00000E110000}"/>
    <cellStyle name="Normal 2 4 8 6 2" xfId="6771" xr:uid="{00000000-0005-0000-0000-00000F110000}"/>
    <cellStyle name="Normal 2 4 8 6 2 2" xfId="15213" xr:uid="{4CDFB706-F485-4ABE-B833-874A001ECB98}"/>
    <cellStyle name="Normal 2 4 8 6 3" xfId="10995" xr:uid="{72993DDE-A1CB-4257-8DFF-D1A08522148D}"/>
    <cellStyle name="Normal 2 4 8 7" xfId="4705" xr:uid="{00000000-0005-0000-0000-000010110000}"/>
    <cellStyle name="Normal 2 4 8 7 2" xfId="13147" xr:uid="{CC826ED3-2E3A-4EC6-A597-23D9491A49A9}"/>
    <cellStyle name="Normal 2 4 8 8" xfId="8929" xr:uid="{E3068614-6D2E-48C5-893A-538A998C0752}"/>
    <cellStyle name="Normal 2 5" xfId="315" xr:uid="{00000000-0005-0000-0000-000011110000}"/>
    <cellStyle name="Normal 2 5 10" xfId="4706" xr:uid="{00000000-0005-0000-0000-000012110000}"/>
    <cellStyle name="Normal 2 5 10 2" xfId="13148" xr:uid="{B9AAE697-4FEF-433A-9367-50B76FD26C96}"/>
    <cellStyle name="Normal 2 5 11" xfId="8930" xr:uid="{DD731B68-9273-42E8-8C22-E8B45849CEE2}"/>
    <cellStyle name="Normal 2 5 2" xfId="316" xr:uid="{00000000-0005-0000-0000-000013110000}"/>
    <cellStyle name="Normal 2 5 3" xfId="317" xr:uid="{00000000-0005-0000-0000-000014110000}"/>
    <cellStyle name="Normal 2 5 4" xfId="318" xr:uid="{00000000-0005-0000-0000-000015110000}"/>
    <cellStyle name="Normal 2 5 4 10" xfId="8931" xr:uid="{C45D7CC4-CAAD-47CE-B1B4-4054C5DB0FD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79E9AEB0-769A-4927-9A5A-E3018E524814}"/>
    <cellStyle name="Normal 2 5 4 2 2 2 2 3" xfId="11492" xr:uid="{1035D0B3-3BBC-4DD3-9720-4DC29D1D283B}"/>
    <cellStyle name="Normal 2 5 4 2 2 2 3" xfId="5123" xr:uid="{00000000-0005-0000-0000-00001B110000}"/>
    <cellStyle name="Normal 2 5 4 2 2 2 3 2" xfId="13565" xr:uid="{36B9328C-0C51-4433-AEE6-4773A6D392DB}"/>
    <cellStyle name="Normal 2 5 4 2 2 2 4" xfId="9347" xr:uid="{56BD33A1-E788-48D7-BEFE-FF8865AAEEEF}"/>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C5460C62-F1B7-4D12-B57B-F966E164137B}"/>
    <cellStyle name="Normal 2 5 4 2 2 3 2 3" xfId="11905" xr:uid="{9621A3D1-83E2-4E01-9EC2-816CACD229E8}"/>
    <cellStyle name="Normal 2 5 4 2 2 3 3" xfId="5536" xr:uid="{00000000-0005-0000-0000-00001F110000}"/>
    <cellStyle name="Normal 2 5 4 2 2 3 3 2" xfId="13978" xr:uid="{62B40843-DF7C-4507-92BF-BBF66467CF0E}"/>
    <cellStyle name="Normal 2 5 4 2 2 3 4" xfId="9760" xr:uid="{C9FD7911-DA3D-4FC2-907E-C84FB88EAEB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0ECFFF42-1DFB-4B2A-BB12-5C0CAA408C3D}"/>
    <cellStyle name="Normal 2 5 4 2 2 4 2 3" xfId="12318" xr:uid="{B1D72B2E-631A-4481-8618-89314DAA0830}"/>
    <cellStyle name="Normal 2 5 4 2 2 4 3" xfId="5949" xr:uid="{00000000-0005-0000-0000-000023110000}"/>
    <cellStyle name="Normal 2 5 4 2 2 4 3 2" xfId="14391" xr:uid="{52F1EA9F-A610-4753-A0B9-A3D98BF7021A}"/>
    <cellStyle name="Normal 2 5 4 2 2 4 4" xfId="10173" xr:uid="{C5369BCE-4121-47F5-AED6-EB25D86C87FD}"/>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0EC612CC-B56B-4F4F-BE8F-3E7C8924BCF6}"/>
    <cellStyle name="Normal 2 5 4 2 2 5 2 3" xfId="12731" xr:uid="{B65A73E7-B94C-4CD0-B550-C0B8DAD8AE35}"/>
    <cellStyle name="Normal 2 5 4 2 2 5 3" xfId="6362" xr:uid="{00000000-0005-0000-0000-000027110000}"/>
    <cellStyle name="Normal 2 5 4 2 2 5 3 2" xfId="14804" xr:uid="{53A1167D-6777-4DE3-AB29-B9E19FBA9288}"/>
    <cellStyle name="Normal 2 5 4 2 2 5 4" xfId="10586" xr:uid="{DBD50002-9567-4C16-9A42-41CABE663D91}"/>
    <cellStyle name="Normal 2 5 4 2 2 6" xfId="2491" xr:uid="{00000000-0005-0000-0000-000028110000}"/>
    <cellStyle name="Normal 2 5 4 2 2 6 2" xfId="6775" xr:uid="{00000000-0005-0000-0000-000029110000}"/>
    <cellStyle name="Normal 2 5 4 2 2 6 2 2" xfId="15217" xr:uid="{87C63A1E-694E-4B10-854F-273822178105}"/>
    <cellStyle name="Normal 2 5 4 2 2 6 3" xfId="10999" xr:uid="{C9A88499-5DAE-47A5-BEB9-196A46889C9C}"/>
    <cellStyle name="Normal 2 5 4 2 2 7" xfId="4709" xr:uid="{00000000-0005-0000-0000-00002A110000}"/>
    <cellStyle name="Normal 2 5 4 2 2 7 2" xfId="13151" xr:uid="{4045904D-E9C1-4383-9D18-3FBD1743A2EC}"/>
    <cellStyle name="Normal 2 5 4 2 2 8" xfId="8933" xr:uid="{44C23344-1159-44E0-9D51-4A6ADB08ED8B}"/>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EB9DC83E-6FDC-4251-9634-06267E973C55}"/>
    <cellStyle name="Normal 2 5 4 2 3 2 3" xfId="11491" xr:uid="{DB9939DD-4C65-4F69-AD59-CB1DEA89D6BA}"/>
    <cellStyle name="Normal 2 5 4 2 3 3" xfId="5122" xr:uid="{00000000-0005-0000-0000-00002E110000}"/>
    <cellStyle name="Normal 2 5 4 2 3 3 2" xfId="13564" xr:uid="{04FE4DD1-068E-424E-ACE3-71C0880839DB}"/>
    <cellStyle name="Normal 2 5 4 2 3 4" xfId="9346" xr:uid="{A4CA65F5-7066-494E-8740-09E18B137DDA}"/>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BF206F57-DEC2-4B36-9FA4-C03569552ACB}"/>
    <cellStyle name="Normal 2 5 4 2 4 2 3" xfId="11904" xr:uid="{41BBDE96-AA1A-459B-8BE1-04E3FB07D8FE}"/>
    <cellStyle name="Normal 2 5 4 2 4 3" xfId="5535" xr:uid="{00000000-0005-0000-0000-000032110000}"/>
    <cellStyle name="Normal 2 5 4 2 4 3 2" xfId="13977" xr:uid="{3D9EF1F6-5E3B-4F02-9CD1-FA45535CBED0}"/>
    <cellStyle name="Normal 2 5 4 2 4 4" xfId="9759" xr:uid="{8E1CBDD7-FBA2-4DD9-8A32-2E5FAF90AD67}"/>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F2E0D9F3-AB83-4B1F-A97D-8E5CFC653587}"/>
    <cellStyle name="Normal 2 5 4 2 5 2 3" xfId="12317" xr:uid="{2813A07F-3130-4048-943D-81C16DEA597A}"/>
    <cellStyle name="Normal 2 5 4 2 5 3" xfId="5948" xr:uid="{00000000-0005-0000-0000-000036110000}"/>
    <cellStyle name="Normal 2 5 4 2 5 3 2" xfId="14390" xr:uid="{854B611A-645E-41B4-86AF-9E9009F73AA1}"/>
    <cellStyle name="Normal 2 5 4 2 5 4" xfId="10172" xr:uid="{6F6E6561-FA81-4C5B-AEEB-C3D50ADA5E0A}"/>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254E3D76-4102-445E-877D-00212E39399B}"/>
    <cellStyle name="Normal 2 5 4 2 6 2 3" xfId="12730" xr:uid="{75B4C792-AEB2-4DAC-B895-3F8102F15493}"/>
    <cellStyle name="Normal 2 5 4 2 6 3" xfId="6361" xr:uid="{00000000-0005-0000-0000-00003A110000}"/>
    <cellStyle name="Normal 2 5 4 2 6 3 2" xfId="14803" xr:uid="{A1755B61-5682-47EB-85C8-CB8D180E16E2}"/>
    <cellStyle name="Normal 2 5 4 2 6 4" xfId="10585" xr:uid="{0FD3FE53-1F2B-49EB-932D-68778CEC0002}"/>
    <cellStyle name="Normal 2 5 4 2 7" xfId="2490" xr:uid="{00000000-0005-0000-0000-00003B110000}"/>
    <cellStyle name="Normal 2 5 4 2 7 2" xfId="6774" xr:uid="{00000000-0005-0000-0000-00003C110000}"/>
    <cellStyle name="Normal 2 5 4 2 7 2 2" xfId="15216" xr:uid="{E7DA07B0-20C9-40F8-A104-5FF354A6EA37}"/>
    <cellStyle name="Normal 2 5 4 2 7 3" xfId="10998" xr:uid="{69263B59-47E9-4A11-B6A9-4BAD064F98E2}"/>
    <cellStyle name="Normal 2 5 4 2 8" xfId="4708" xr:uid="{00000000-0005-0000-0000-00003D110000}"/>
    <cellStyle name="Normal 2 5 4 2 8 2" xfId="13150" xr:uid="{2552E2B7-3FDD-413B-967B-318BBA43EE22}"/>
    <cellStyle name="Normal 2 5 4 2 9" xfId="8932" xr:uid="{841ECD8F-4C7A-4A9F-8F2B-3C569D78F364}"/>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7979BB30-4C88-4E9F-AB09-3FF54E53BAF4}"/>
    <cellStyle name="Normal 2 5 4 3 2 2 3" xfId="11493" xr:uid="{8FC9BCA9-C758-4DBA-A52C-25642307DF57}"/>
    <cellStyle name="Normal 2 5 4 3 2 3" xfId="5124" xr:uid="{00000000-0005-0000-0000-000042110000}"/>
    <cellStyle name="Normal 2 5 4 3 2 3 2" xfId="13566" xr:uid="{54F15B84-4CF0-4697-AFC0-04AFC90FD20D}"/>
    <cellStyle name="Normal 2 5 4 3 2 4" xfId="9348" xr:uid="{66F83134-FACF-44C1-B072-9AC49810B774}"/>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C2BD0D04-B71F-4DD5-865B-BE79A9E7808E}"/>
    <cellStyle name="Normal 2 5 4 3 3 2 3" xfId="11906" xr:uid="{2AF5D15A-A1F7-41F2-B5FD-8127C479A1C1}"/>
    <cellStyle name="Normal 2 5 4 3 3 3" xfId="5537" xr:uid="{00000000-0005-0000-0000-000046110000}"/>
    <cellStyle name="Normal 2 5 4 3 3 3 2" xfId="13979" xr:uid="{B6E47433-ED0C-4F40-AA0C-94807498043D}"/>
    <cellStyle name="Normal 2 5 4 3 3 4" xfId="9761" xr:uid="{5724EE25-4413-4A05-97A1-173CBF167673}"/>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BC87A84C-0E6F-4575-BBBB-F942245A686C}"/>
    <cellStyle name="Normal 2 5 4 3 4 2 3" xfId="12319" xr:uid="{322D8111-275C-4CA5-8FAD-6E5FDF140CFE}"/>
    <cellStyle name="Normal 2 5 4 3 4 3" xfId="5950" xr:uid="{00000000-0005-0000-0000-00004A110000}"/>
    <cellStyle name="Normal 2 5 4 3 4 3 2" xfId="14392" xr:uid="{32DE85FE-834C-4CDD-B3BC-B288E78F97C7}"/>
    <cellStyle name="Normal 2 5 4 3 4 4" xfId="10174" xr:uid="{410F49DB-938A-43A6-AB34-9184CAB91246}"/>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C5FB5CB4-0840-40F8-AA58-2BA8AAF5042D}"/>
    <cellStyle name="Normal 2 5 4 3 5 2 3" xfId="12732" xr:uid="{0AF59C00-1C06-47F5-92D8-C313971660E0}"/>
    <cellStyle name="Normal 2 5 4 3 5 3" xfId="6363" xr:uid="{00000000-0005-0000-0000-00004E110000}"/>
    <cellStyle name="Normal 2 5 4 3 5 3 2" xfId="14805" xr:uid="{92DBEF2E-BE55-4EDF-A059-2C899D2C3B98}"/>
    <cellStyle name="Normal 2 5 4 3 5 4" xfId="10587" xr:uid="{9FEF8CA5-23B5-4EF5-9AD6-416676C0E441}"/>
    <cellStyle name="Normal 2 5 4 3 6" xfId="2492" xr:uid="{00000000-0005-0000-0000-00004F110000}"/>
    <cellStyle name="Normal 2 5 4 3 6 2" xfId="6776" xr:uid="{00000000-0005-0000-0000-000050110000}"/>
    <cellStyle name="Normal 2 5 4 3 6 2 2" xfId="15218" xr:uid="{798B1A0E-BBBB-49D2-BA98-169774C51E91}"/>
    <cellStyle name="Normal 2 5 4 3 6 3" xfId="11000" xr:uid="{9AA9027D-43C7-49A6-B793-D8164B443D9C}"/>
    <cellStyle name="Normal 2 5 4 3 7" xfId="4710" xr:uid="{00000000-0005-0000-0000-000051110000}"/>
    <cellStyle name="Normal 2 5 4 3 7 2" xfId="13152" xr:uid="{8CCF8030-D63F-4EB1-B22B-252E1B31E20E}"/>
    <cellStyle name="Normal 2 5 4 3 8" xfId="8934" xr:uid="{3758CA6A-F2E3-4EBB-885B-018CDC919243}"/>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D1A83C35-CDB1-4810-86C7-FEB52F567705}"/>
    <cellStyle name="Normal 2 5 4 4 2 3" xfId="11490" xr:uid="{0CF72D28-8B92-4ED5-9284-5E18FE0436AB}"/>
    <cellStyle name="Normal 2 5 4 4 3" xfId="5121" xr:uid="{00000000-0005-0000-0000-000055110000}"/>
    <cellStyle name="Normal 2 5 4 4 3 2" xfId="13563" xr:uid="{77A997F0-298A-4D7A-BD57-2E2BAF7E8950}"/>
    <cellStyle name="Normal 2 5 4 4 4" xfId="9345" xr:uid="{415D86D9-689F-491B-95B6-5703F0310B7E}"/>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EBF11AC7-890C-4768-A323-D9679882B2B8}"/>
    <cellStyle name="Normal 2 5 4 5 2 3" xfId="11903" xr:uid="{F2AB012A-E7A9-4791-BB62-AEBAD09900A6}"/>
    <cellStyle name="Normal 2 5 4 5 3" xfId="5534" xr:uid="{00000000-0005-0000-0000-000059110000}"/>
    <cellStyle name="Normal 2 5 4 5 3 2" xfId="13976" xr:uid="{CBDEA947-FE68-4A4D-B83E-3EB09C0013A4}"/>
    <cellStyle name="Normal 2 5 4 5 4" xfId="9758" xr:uid="{FCF00F9C-7AD3-43D3-9389-5471DF0713DB}"/>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79F5D09D-F86E-4EC8-8022-8B6B5C49EA3F}"/>
    <cellStyle name="Normal 2 5 4 6 2 3" xfId="12316" xr:uid="{7EA84714-622F-4E22-98FC-C9686586EB72}"/>
    <cellStyle name="Normal 2 5 4 6 3" xfId="5947" xr:uid="{00000000-0005-0000-0000-00005D110000}"/>
    <cellStyle name="Normal 2 5 4 6 3 2" xfId="14389" xr:uid="{DDE55DD3-1C88-4D77-89D7-62238CBD5933}"/>
    <cellStyle name="Normal 2 5 4 6 4" xfId="10171" xr:uid="{DBCFB9CC-74CA-4999-82F1-0A2816AB79C6}"/>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77A267D3-27BF-45F4-A452-BC372A068F06}"/>
    <cellStyle name="Normal 2 5 4 7 2 3" xfId="12729" xr:uid="{18B4F8E7-8FB4-494A-9151-8F1699A94304}"/>
    <cellStyle name="Normal 2 5 4 7 3" xfId="6360" xr:uid="{00000000-0005-0000-0000-000061110000}"/>
    <cellStyle name="Normal 2 5 4 7 3 2" xfId="14802" xr:uid="{6635FD4F-BC00-4146-B7C5-E92BA714AEB9}"/>
    <cellStyle name="Normal 2 5 4 7 4" xfId="10584" xr:uid="{014529CD-D369-4155-8BBE-BC64113F99BB}"/>
    <cellStyle name="Normal 2 5 4 8" xfId="2489" xr:uid="{00000000-0005-0000-0000-000062110000}"/>
    <cellStyle name="Normal 2 5 4 8 2" xfId="6773" xr:uid="{00000000-0005-0000-0000-000063110000}"/>
    <cellStyle name="Normal 2 5 4 8 2 2" xfId="15215" xr:uid="{ADCD5FEE-C8CD-4F86-8F18-CFA363B1274B}"/>
    <cellStyle name="Normal 2 5 4 8 3" xfId="10997" xr:uid="{E1AF589A-39A5-49D0-BC08-D522946A454D}"/>
    <cellStyle name="Normal 2 5 4 9" xfId="4707" xr:uid="{00000000-0005-0000-0000-000064110000}"/>
    <cellStyle name="Normal 2 5 4 9 2" xfId="13149" xr:uid="{6B52727F-787D-41C0-9D57-DF2B223AF18F}"/>
    <cellStyle name="Normal 2 5 5" xfId="803" xr:uid="{00000000-0005-0000-0000-000065110000}"/>
    <cellStyle name="Normal 2 5 5 2" xfId="3042" xr:uid="{00000000-0005-0000-0000-000066110000}"/>
    <cellStyle name="Normal 2 5 5 2 2" xfId="7265" xr:uid="{00000000-0005-0000-0000-000067110000}"/>
    <cellStyle name="Normal 2 5 5 2 2 2" xfId="15707" xr:uid="{BA9E476F-D800-4856-B15A-A53746083752}"/>
    <cellStyle name="Normal 2 5 5 2 3" xfId="11489" xr:uid="{810355B2-46A9-4953-9F5C-327DAD776494}"/>
    <cellStyle name="Normal 2 5 5 3" xfId="5120" xr:uid="{00000000-0005-0000-0000-000068110000}"/>
    <cellStyle name="Normal 2 5 5 3 2" xfId="13562" xr:uid="{52E3E15C-C7DF-45BE-B006-0D64DB84EA14}"/>
    <cellStyle name="Normal 2 5 5 4" xfId="9344" xr:uid="{76B82492-4E27-44CD-9130-0EFD36C714CD}"/>
    <cellStyle name="Normal 2 5 6" xfId="1225" xr:uid="{00000000-0005-0000-0000-000069110000}"/>
    <cellStyle name="Normal 2 5 6 2" xfId="3455" xr:uid="{00000000-0005-0000-0000-00006A110000}"/>
    <cellStyle name="Normal 2 5 6 2 2" xfId="7678" xr:uid="{00000000-0005-0000-0000-00006B110000}"/>
    <cellStyle name="Normal 2 5 6 2 2 2" xfId="16120" xr:uid="{5A6693A6-9331-44CD-81F3-278D13756ADE}"/>
    <cellStyle name="Normal 2 5 6 2 3" xfId="11902" xr:uid="{D528B4C1-FB46-4FB3-BAE0-B3273F63B34E}"/>
    <cellStyle name="Normal 2 5 6 3" xfId="5533" xr:uid="{00000000-0005-0000-0000-00006C110000}"/>
    <cellStyle name="Normal 2 5 6 3 2" xfId="13975" xr:uid="{3D82BA74-1595-42D8-A2DA-028190035E82}"/>
    <cellStyle name="Normal 2 5 6 4" xfId="9757" xr:uid="{017418C7-2CF2-4A1D-BE14-4A11D960DB13}"/>
    <cellStyle name="Normal 2 5 7" xfId="1638" xr:uid="{00000000-0005-0000-0000-00006D110000}"/>
    <cellStyle name="Normal 2 5 7 2" xfId="3868" xr:uid="{00000000-0005-0000-0000-00006E110000}"/>
    <cellStyle name="Normal 2 5 7 2 2" xfId="8091" xr:uid="{00000000-0005-0000-0000-00006F110000}"/>
    <cellStyle name="Normal 2 5 7 2 2 2" xfId="16533" xr:uid="{F63E4D89-401C-4A01-8E81-3DF5F4111BC6}"/>
    <cellStyle name="Normal 2 5 7 2 3" xfId="12315" xr:uid="{833994CD-A7C8-45AB-A7BE-083B21AE188C}"/>
    <cellStyle name="Normal 2 5 7 3" xfId="5946" xr:uid="{00000000-0005-0000-0000-000070110000}"/>
    <cellStyle name="Normal 2 5 7 3 2" xfId="14388" xr:uid="{23F709B7-3811-4001-99C3-770653F25A44}"/>
    <cellStyle name="Normal 2 5 7 4" xfId="10170" xr:uid="{B2C7096E-FDCE-4A8A-B2AC-723C540C3A52}"/>
    <cellStyle name="Normal 2 5 8" xfId="2052" xr:uid="{00000000-0005-0000-0000-000071110000}"/>
    <cellStyle name="Normal 2 5 8 2" xfId="4281" xr:uid="{00000000-0005-0000-0000-000072110000}"/>
    <cellStyle name="Normal 2 5 8 2 2" xfId="8504" xr:uid="{00000000-0005-0000-0000-000073110000}"/>
    <cellStyle name="Normal 2 5 8 2 2 2" xfId="16946" xr:uid="{35FA95FF-80B9-4EE9-A698-F8D541192AE2}"/>
    <cellStyle name="Normal 2 5 8 2 3" xfId="12728" xr:uid="{72256FA6-1EEB-42DB-AC01-F5CEAA7796FA}"/>
    <cellStyle name="Normal 2 5 8 3" xfId="6359" xr:uid="{00000000-0005-0000-0000-000074110000}"/>
    <cellStyle name="Normal 2 5 8 3 2" xfId="14801" xr:uid="{02AFD44E-6BAF-47F7-8D37-1304657BFB97}"/>
    <cellStyle name="Normal 2 5 8 4" xfId="10583" xr:uid="{BC37A6CC-EA60-404C-97E3-B97E562549E1}"/>
    <cellStyle name="Normal 2 5 9" xfId="2488" xr:uid="{00000000-0005-0000-0000-000075110000}"/>
    <cellStyle name="Normal 2 5 9 2" xfId="6772" xr:uid="{00000000-0005-0000-0000-000076110000}"/>
    <cellStyle name="Normal 2 5 9 2 2" xfId="15214" xr:uid="{09B70FB6-F5D9-444B-B6C3-2220349ACDF9}"/>
    <cellStyle name="Normal 2 5 9 3" xfId="10996" xr:uid="{9DB9A39F-08FC-4BB4-9EC8-6A4AFF8EBAFE}"/>
    <cellStyle name="Normal 2 6" xfId="322" xr:uid="{00000000-0005-0000-0000-000077110000}"/>
    <cellStyle name="Normal 2 7" xfId="769" xr:uid="{00000000-0005-0000-0000-000078110000}"/>
    <cellStyle name="Normal 2 8" xfId="4495" xr:uid="{00000000-0005-0000-0000-000079110000}"/>
    <cellStyle name="Normal 2 8 2" xfId="12940" xr:uid="{0EDFCD48-901D-4DB7-A4C4-122604961EF3}"/>
    <cellStyle name="Normal 3" xfId="323" xr:uid="{00000000-0005-0000-0000-00007A110000}"/>
    <cellStyle name="Normal 3 2" xfId="324" xr:uid="{00000000-0005-0000-0000-00007B110000}"/>
    <cellStyle name="Normal 3 2 10" xfId="8935" xr:uid="{54B279C8-9071-4D1A-ABF0-6B9ABF80DFAF}"/>
    <cellStyle name="Normal 3 2 2" xfId="325" xr:uid="{00000000-0005-0000-0000-00007C110000}"/>
    <cellStyle name="Normal 3 2 2 2" xfId="810" xr:uid="{00000000-0005-0000-0000-00007D110000}"/>
    <cellStyle name="Normal 3 2 3" xfId="326" xr:uid="{00000000-0005-0000-0000-00007E110000}"/>
    <cellStyle name="Normal 3 2 3 10" xfId="8936" xr:uid="{F011CCAA-849C-4FF5-BDAD-52E38424134A}"/>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FAD07128-FCCD-434D-A6DF-9EB5CC411DE5}"/>
    <cellStyle name="Normal 3 2 3 2 2 2 2 3" xfId="11497" xr:uid="{59309B5B-8D01-4362-AA69-FEA62B5EFFCD}"/>
    <cellStyle name="Normal 3 2 3 2 2 2 3" xfId="5128" xr:uid="{00000000-0005-0000-0000-000084110000}"/>
    <cellStyle name="Normal 3 2 3 2 2 2 3 2" xfId="13570" xr:uid="{51EC2679-06AD-4749-9453-344F181C6699}"/>
    <cellStyle name="Normal 3 2 3 2 2 2 4" xfId="9352" xr:uid="{53139D0F-048F-44E9-B7BD-723679DCA82A}"/>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A9EF2A9C-ADB7-4080-B61A-0466B35A2E8A}"/>
    <cellStyle name="Normal 3 2 3 2 2 3 2 3" xfId="11910" xr:uid="{0C740836-E409-4ACD-AED4-97C3D4CA6787}"/>
    <cellStyle name="Normal 3 2 3 2 2 3 3" xfId="5541" xr:uid="{00000000-0005-0000-0000-000088110000}"/>
    <cellStyle name="Normal 3 2 3 2 2 3 3 2" xfId="13983" xr:uid="{BC9E2146-1F7A-4075-93BA-D2E5932E793E}"/>
    <cellStyle name="Normal 3 2 3 2 2 3 4" xfId="9765" xr:uid="{6ADD1188-3332-4E62-AEA2-29C4C636E4DC}"/>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B0246568-2D6E-4A8B-88B1-6A75AD257054}"/>
    <cellStyle name="Normal 3 2 3 2 2 4 2 3" xfId="12323" xr:uid="{186BE6A9-2B9F-4E96-A990-81A4360722D2}"/>
    <cellStyle name="Normal 3 2 3 2 2 4 3" xfId="5954" xr:uid="{00000000-0005-0000-0000-00008C110000}"/>
    <cellStyle name="Normal 3 2 3 2 2 4 3 2" xfId="14396" xr:uid="{1B78B05F-A5BD-4252-B4A0-7B39367EAFF5}"/>
    <cellStyle name="Normal 3 2 3 2 2 4 4" xfId="10178" xr:uid="{19D53AF5-8173-4CC0-BD63-973E225C3A8B}"/>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47631390-8AD1-402F-944C-0082A9DDDB78}"/>
    <cellStyle name="Normal 3 2 3 2 2 5 2 3" xfId="12736" xr:uid="{77F3E12C-1A04-481B-97CF-D6249B3CBE4B}"/>
    <cellStyle name="Normal 3 2 3 2 2 5 3" xfId="6367" xr:uid="{00000000-0005-0000-0000-000090110000}"/>
    <cellStyle name="Normal 3 2 3 2 2 5 3 2" xfId="14809" xr:uid="{1C6BD7CD-BC43-498F-BF92-783D94CA5173}"/>
    <cellStyle name="Normal 3 2 3 2 2 5 4" xfId="10591" xr:uid="{BC0AAE77-F191-4CC4-9F74-D89D3239360F}"/>
    <cellStyle name="Normal 3 2 3 2 2 6" xfId="2496" xr:uid="{00000000-0005-0000-0000-000091110000}"/>
    <cellStyle name="Normal 3 2 3 2 2 6 2" xfId="6780" xr:uid="{00000000-0005-0000-0000-000092110000}"/>
    <cellStyle name="Normal 3 2 3 2 2 6 2 2" xfId="15222" xr:uid="{8B45010A-6C76-4BC2-9B6E-C7884EAA913A}"/>
    <cellStyle name="Normal 3 2 3 2 2 6 3" xfId="11004" xr:uid="{19AE15C2-8770-42DC-8B3C-E1A3F5769DAD}"/>
    <cellStyle name="Normal 3 2 3 2 2 7" xfId="4714" xr:uid="{00000000-0005-0000-0000-000093110000}"/>
    <cellStyle name="Normal 3 2 3 2 2 7 2" xfId="13156" xr:uid="{D1226F33-1514-4174-8591-7760B899AE99}"/>
    <cellStyle name="Normal 3 2 3 2 2 8" xfId="8938" xr:uid="{3559470A-29C7-4665-8846-FF04804152C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B6C456AC-A73C-4CC5-9F49-F140EB10C0A6}"/>
    <cellStyle name="Normal 3 2 3 2 3 2 3" xfId="11496" xr:uid="{68CB41BF-A4B5-42E8-B135-9581A1F611B9}"/>
    <cellStyle name="Normal 3 2 3 2 3 3" xfId="5127" xr:uid="{00000000-0005-0000-0000-000097110000}"/>
    <cellStyle name="Normal 3 2 3 2 3 3 2" xfId="13569" xr:uid="{8D72A475-D24C-41F5-AFFA-FA1B41E46EAE}"/>
    <cellStyle name="Normal 3 2 3 2 3 4" xfId="9351" xr:uid="{7116FD6F-9E9D-4A86-8C22-A5F85D0474C1}"/>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05EBCE17-A017-445B-8E3F-1EAC67C0A479}"/>
    <cellStyle name="Normal 3 2 3 2 4 2 3" xfId="11909" xr:uid="{9B1C9CB3-D1B3-47D2-B4DC-C0B9AAA8C522}"/>
    <cellStyle name="Normal 3 2 3 2 4 3" xfId="5540" xr:uid="{00000000-0005-0000-0000-00009B110000}"/>
    <cellStyle name="Normal 3 2 3 2 4 3 2" xfId="13982" xr:uid="{908694F6-A19D-45B0-8251-794DC15CF659}"/>
    <cellStyle name="Normal 3 2 3 2 4 4" xfId="9764" xr:uid="{F5E15F90-8207-4A55-A5C1-CB6CF0835D72}"/>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0F5D6B79-86F0-4A4D-A287-BAE27103DD5E}"/>
    <cellStyle name="Normal 3 2 3 2 5 2 3" xfId="12322" xr:uid="{44B6DBF9-AD78-47C0-8145-604A1F1EBC49}"/>
    <cellStyle name="Normal 3 2 3 2 5 3" xfId="5953" xr:uid="{00000000-0005-0000-0000-00009F110000}"/>
    <cellStyle name="Normal 3 2 3 2 5 3 2" xfId="14395" xr:uid="{4EC7B886-AEE9-4ABF-8FF9-BD89A270E7E9}"/>
    <cellStyle name="Normal 3 2 3 2 5 4" xfId="10177" xr:uid="{65398C61-635B-454A-956E-59AB069AE0A1}"/>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95A2DEEC-2D20-4A36-BF37-848A96DCF0FB}"/>
    <cellStyle name="Normal 3 2 3 2 6 2 3" xfId="12735" xr:uid="{C18FC032-BAB7-4A06-9D1A-DA1BAECD9EBB}"/>
    <cellStyle name="Normal 3 2 3 2 6 3" xfId="6366" xr:uid="{00000000-0005-0000-0000-0000A3110000}"/>
    <cellStyle name="Normal 3 2 3 2 6 3 2" xfId="14808" xr:uid="{B118F314-15CF-4CC9-8EDC-80296A031AF7}"/>
    <cellStyle name="Normal 3 2 3 2 6 4" xfId="10590" xr:uid="{3EC21EA9-F583-4E89-A33E-A77D46BE6C9A}"/>
    <cellStyle name="Normal 3 2 3 2 7" xfId="2495" xr:uid="{00000000-0005-0000-0000-0000A4110000}"/>
    <cellStyle name="Normal 3 2 3 2 7 2" xfId="6779" xr:uid="{00000000-0005-0000-0000-0000A5110000}"/>
    <cellStyle name="Normal 3 2 3 2 7 2 2" xfId="15221" xr:uid="{329BC467-77E7-4AE2-9D30-C6EDE72FD789}"/>
    <cellStyle name="Normal 3 2 3 2 7 3" xfId="11003" xr:uid="{0DE10C52-A6A6-4A7B-B373-AD6C39722661}"/>
    <cellStyle name="Normal 3 2 3 2 8" xfId="4713" xr:uid="{00000000-0005-0000-0000-0000A6110000}"/>
    <cellStyle name="Normal 3 2 3 2 8 2" xfId="13155" xr:uid="{B20E8C46-5839-4D34-ADD3-15C991950BAF}"/>
    <cellStyle name="Normal 3 2 3 2 9" xfId="8937" xr:uid="{264DD9B1-B59E-4F6B-8D10-BE2BC309AA3D}"/>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A5D69153-8A26-40E2-A8FA-AB920BECF5CF}"/>
    <cellStyle name="Normal 3 2 3 3 2 2 3" xfId="11498" xr:uid="{F7CA0A90-5452-4B17-9AA2-D94FE0AED3D5}"/>
    <cellStyle name="Normal 3 2 3 3 2 3" xfId="5129" xr:uid="{00000000-0005-0000-0000-0000AB110000}"/>
    <cellStyle name="Normal 3 2 3 3 2 3 2" xfId="13571" xr:uid="{403E5DB5-4DA1-4BE7-8992-FAAF3B62CD7C}"/>
    <cellStyle name="Normal 3 2 3 3 2 4" xfId="9353" xr:uid="{B9978140-A9E7-4F47-A550-82F5BB4DC05C}"/>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8E4B46E0-C8EA-454E-BE60-373D5C630AB8}"/>
    <cellStyle name="Normal 3 2 3 3 3 2 3" xfId="11911" xr:uid="{548E6614-E270-476F-A25D-A66C697615A8}"/>
    <cellStyle name="Normal 3 2 3 3 3 3" xfId="5542" xr:uid="{00000000-0005-0000-0000-0000AF110000}"/>
    <cellStyle name="Normal 3 2 3 3 3 3 2" xfId="13984" xr:uid="{F4BAABE0-A10A-4A59-A955-E5AFDC3F92EC}"/>
    <cellStyle name="Normal 3 2 3 3 3 4" xfId="9766" xr:uid="{3B9904DC-46EE-4C39-868F-F1597BE7C704}"/>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6D6E6E70-0B18-4A4B-B5C6-D94FF8EFD7D5}"/>
    <cellStyle name="Normal 3 2 3 3 4 2 3" xfId="12324" xr:uid="{646EF2D5-DE41-4E27-9B2E-03A914BCD832}"/>
    <cellStyle name="Normal 3 2 3 3 4 3" xfId="5955" xr:uid="{00000000-0005-0000-0000-0000B3110000}"/>
    <cellStyle name="Normal 3 2 3 3 4 3 2" xfId="14397" xr:uid="{BC9CAE67-57F7-4C17-A5C4-841ADFFC0498}"/>
    <cellStyle name="Normal 3 2 3 3 4 4" xfId="10179" xr:uid="{AFB26F32-4852-479C-A6E7-388C3A744A6E}"/>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EA648E63-D8C9-497D-879E-1F976A7B0024}"/>
    <cellStyle name="Normal 3 2 3 3 5 2 3" xfId="12737" xr:uid="{F4ADE54F-95B6-4E4B-B76F-35DAA9970936}"/>
    <cellStyle name="Normal 3 2 3 3 5 3" xfId="6368" xr:uid="{00000000-0005-0000-0000-0000B7110000}"/>
    <cellStyle name="Normal 3 2 3 3 5 3 2" xfId="14810" xr:uid="{F516DBBE-1498-4AE0-BA73-E5674DA67FE2}"/>
    <cellStyle name="Normal 3 2 3 3 5 4" xfId="10592" xr:uid="{1206E98F-7D51-4FA5-A836-240AC68AA6D9}"/>
    <cellStyle name="Normal 3 2 3 3 6" xfId="2497" xr:uid="{00000000-0005-0000-0000-0000B8110000}"/>
    <cellStyle name="Normal 3 2 3 3 6 2" xfId="6781" xr:uid="{00000000-0005-0000-0000-0000B9110000}"/>
    <cellStyle name="Normal 3 2 3 3 6 2 2" xfId="15223" xr:uid="{82505D63-CEA2-4863-A251-75824C615F94}"/>
    <cellStyle name="Normal 3 2 3 3 6 3" xfId="11005" xr:uid="{51E188B2-DBBF-4868-9374-80532EB42218}"/>
    <cellStyle name="Normal 3 2 3 3 7" xfId="4715" xr:uid="{00000000-0005-0000-0000-0000BA110000}"/>
    <cellStyle name="Normal 3 2 3 3 7 2" xfId="13157" xr:uid="{472F643E-05AF-4533-9FC6-21E8361F1725}"/>
    <cellStyle name="Normal 3 2 3 3 8" xfId="8939" xr:uid="{1C730BE5-A1D1-4074-8F42-4CA074C2C1BB}"/>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5F7CE1D5-9A81-4F12-9C73-1237D33BDA3C}"/>
    <cellStyle name="Normal 3 2 3 4 2 3" xfId="11495" xr:uid="{52DE5D42-C1E3-487B-B21E-B98BB25A8E24}"/>
    <cellStyle name="Normal 3 2 3 4 3" xfId="5126" xr:uid="{00000000-0005-0000-0000-0000BE110000}"/>
    <cellStyle name="Normal 3 2 3 4 3 2" xfId="13568" xr:uid="{1BB0D6F5-A886-41DC-A5D7-CF5A895238AB}"/>
    <cellStyle name="Normal 3 2 3 4 4" xfId="9350" xr:uid="{DFB3ACC1-D360-42C9-A521-29073625B74C}"/>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7C90F9F6-FF88-43FA-96A3-5A2C12CDD028}"/>
    <cellStyle name="Normal 3 2 3 5 2 3" xfId="11908" xr:uid="{483B9FBC-9ECB-4FCF-91D3-FF29432D4AD2}"/>
    <cellStyle name="Normal 3 2 3 5 3" xfId="5539" xr:uid="{00000000-0005-0000-0000-0000C2110000}"/>
    <cellStyle name="Normal 3 2 3 5 3 2" xfId="13981" xr:uid="{6E9ACA88-35F1-4AE7-95B4-9579C770B457}"/>
    <cellStyle name="Normal 3 2 3 5 4" xfId="9763" xr:uid="{2D586534-6B65-4008-B81F-09526A1921E1}"/>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A1869573-663B-4A53-A123-44768C88C340}"/>
    <cellStyle name="Normal 3 2 3 6 2 3" xfId="12321" xr:uid="{614504F5-2FBF-4751-A1DC-02B4EE9C46EA}"/>
    <cellStyle name="Normal 3 2 3 6 3" xfId="5952" xr:uid="{00000000-0005-0000-0000-0000C6110000}"/>
    <cellStyle name="Normal 3 2 3 6 3 2" xfId="14394" xr:uid="{D44EDDB0-5721-4696-BEB6-5F90A896112B}"/>
    <cellStyle name="Normal 3 2 3 6 4" xfId="10176" xr:uid="{E09392F6-CFD9-4209-AEEE-463130A03941}"/>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1920578A-7687-4CA0-9DAF-E7E2C7B7D955}"/>
    <cellStyle name="Normal 3 2 3 7 2 3" xfId="12734" xr:uid="{71AF6256-07CE-498F-8553-ABE25B36BB24}"/>
    <cellStyle name="Normal 3 2 3 7 3" xfId="6365" xr:uid="{00000000-0005-0000-0000-0000CA110000}"/>
    <cellStyle name="Normal 3 2 3 7 3 2" xfId="14807" xr:uid="{FADB209B-5E40-466D-AF11-6B38260D5059}"/>
    <cellStyle name="Normal 3 2 3 7 4" xfId="10589" xr:uid="{B27E9CDF-834E-470F-B2D9-E11E6E1C7179}"/>
    <cellStyle name="Normal 3 2 3 8" xfId="2494" xr:uid="{00000000-0005-0000-0000-0000CB110000}"/>
    <cellStyle name="Normal 3 2 3 8 2" xfId="6778" xr:uid="{00000000-0005-0000-0000-0000CC110000}"/>
    <cellStyle name="Normal 3 2 3 8 2 2" xfId="15220" xr:uid="{FEF02178-D775-4557-AB01-FC574BE5E34B}"/>
    <cellStyle name="Normal 3 2 3 8 3" xfId="11002" xr:uid="{0BAB4654-483B-46B7-A48D-F9A706F1C7FC}"/>
    <cellStyle name="Normal 3 2 3 9" xfId="4712" xr:uid="{00000000-0005-0000-0000-0000CD110000}"/>
    <cellStyle name="Normal 3 2 3 9 2" xfId="13154" xr:uid="{ACB34198-262D-404F-8C4E-B794C79549F0}"/>
    <cellStyle name="Normal 3 2 4" xfId="809" xr:uid="{00000000-0005-0000-0000-0000CE110000}"/>
    <cellStyle name="Normal 3 2 4 2" xfId="3047" xr:uid="{00000000-0005-0000-0000-0000CF110000}"/>
    <cellStyle name="Normal 3 2 4 2 2" xfId="7270" xr:uid="{00000000-0005-0000-0000-0000D0110000}"/>
    <cellStyle name="Normal 3 2 4 2 2 2" xfId="15712" xr:uid="{5506CEC1-86C4-4345-8F26-B2C9675F5E95}"/>
    <cellStyle name="Normal 3 2 4 2 3" xfId="11494" xr:uid="{182CE6B7-95FA-450C-90D3-BD3444F216FF}"/>
    <cellStyle name="Normal 3 2 4 3" xfId="5125" xr:uid="{00000000-0005-0000-0000-0000D1110000}"/>
    <cellStyle name="Normal 3 2 4 3 2" xfId="13567" xr:uid="{F1A757AB-E0E0-458D-99B8-D7618A65BF17}"/>
    <cellStyle name="Normal 3 2 4 4" xfId="9349" xr:uid="{4441F58A-CA9F-4223-964A-F41586478039}"/>
    <cellStyle name="Normal 3 2 5" xfId="1230" xr:uid="{00000000-0005-0000-0000-0000D2110000}"/>
    <cellStyle name="Normal 3 2 5 2" xfId="3460" xr:uid="{00000000-0005-0000-0000-0000D3110000}"/>
    <cellStyle name="Normal 3 2 5 2 2" xfId="7683" xr:uid="{00000000-0005-0000-0000-0000D4110000}"/>
    <cellStyle name="Normal 3 2 5 2 2 2" xfId="16125" xr:uid="{C83C338F-48E8-4324-B2FB-E2354474D896}"/>
    <cellStyle name="Normal 3 2 5 2 3" xfId="11907" xr:uid="{D107E41D-5F03-4983-80B7-580B9546DB09}"/>
    <cellStyle name="Normal 3 2 5 3" xfId="5538" xr:uid="{00000000-0005-0000-0000-0000D5110000}"/>
    <cellStyle name="Normal 3 2 5 3 2" xfId="13980" xr:uid="{5452906B-C9AE-4978-9EAB-E6D37DC60797}"/>
    <cellStyle name="Normal 3 2 5 4" xfId="9762" xr:uid="{0018A164-A0D9-4EA2-9F6E-9B6D69E0C1D7}"/>
    <cellStyle name="Normal 3 2 6" xfId="1643" xr:uid="{00000000-0005-0000-0000-0000D6110000}"/>
    <cellStyle name="Normal 3 2 6 2" xfId="3873" xr:uid="{00000000-0005-0000-0000-0000D7110000}"/>
    <cellStyle name="Normal 3 2 6 2 2" xfId="8096" xr:uid="{00000000-0005-0000-0000-0000D8110000}"/>
    <cellStyle name="Normal 3 2 6 2 2 2" xfId="16538" xr:uid="{E5CE70E1-3AC3-48E8-A839-EED968AA93B2}"/>
    <cellStyle name="Normal 3 2 6 2 3" xfId="12320" xr:uid="{7F9D897B-8F96-46CB-8D2B-E187A7452B3C}"/>
    <cellStyle name="Normal 3 2 6 3" xfId="5951" xr:uid="{00000000-0005-0000-0000-0000D9110000}"/>
    <cellStyle name="Normal 3 2 6 3 2" xfId="14393" xr:uid="{3D0711CD-1EF9-4FA6-B58F-6D6DA7F8A9BF}"/>
    <cellStyle name="Normal 3 2 6 4" xfId="10175" xr:uid="{1C03B1AC-4191-4975-B0D6-6E6A8C546567}"/>
    <cellStyle name="Normal 3 2 7" xfId="2057" xr:uid="{00000000-0005-0000-0000-0000DA110000}"/>
    <cellStyle name="Normal 3 2 7 2" xfId="4286" xr:uid="{00000000-0005-0000-0000-0000DB110000}"/>
    <cellStyle name="Normal 3 2 7 2 2" xfId="8509" xr:uid="{00000000-0005-0000-0000-0000DC110000}"/>
    <cellStyle name="Normal 3 2 7 2 2 2" xfId="16951" xr:uid="{D186C1FA-D1CD-4B00-8205-D28884F91B4D}"/>
    <cellStyle name="Normal 3 2 7 2 3" xfId="12733" xr:uid="{A2F27FBC-A709-4DDA-B7CE-0A200B519D0C}"/>
    <cellStyle name="Normal 3 2 7 3" xfId="6364" xr:uid="{00000000-0005-0000-0000-0000DD110000}"/>
    <cellStyle name="Normal 3 2 7 3 2" xfId="14806" xr:uid="{361D823E-EDC2-437F-B672-83565573DAC3}"/>
    <cellStyle name="Normal 3 2 7 4" xfId="10588" xr:uid="{2FEB234F-CB4B-4C21-9C14-31912CC343D5}"/>
    <cellStyle name="Normal 3 2 8" xfId="2493" xr:uid="{00000000-0005-0000-0000-0000DE110000}"/>
    <cellStyle name="Normal 3 2 8 2" xfId="6777" xr:uid="{00000000-0005-0000-0000-0000DF110000}"/>
    <cellStyle name="Normal 3 2 8 2 2" xfId="15219" xr:uid="{E26D7C3A-0E93-498F-880C-9965D2FC2612}"/>
    <cellStyle name="Normal 3 2 8 3" xfId="11001" xr:uid="{94294F64-4557-456F-A683-E2FC248ACD16}"/>
    <cellStyle name="Normal 3 2 9" xfId="4711" xr:uid="{00000000-0005-0000-0000-0000E0110000}"/>
    <cellStyle name="Normal 3 2 9 2" xfId="13153" xr:uid="{301E7913-CF73-4411-9D29-E1CC455165A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47B9A185-7781-419E-9E82-5F0A458B07CC}"/>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DA1E66CA-F3AE-4C1A-8FAB-91BCD482E4F4}"/>
    <cellStyle name="Normal 4 2 2 10 2 3" xfId="12738" xr:uid="{FDB101C1-FEC5-43DD-9643-86D253D3BA77}"/>
    <cellStyle name="Normal 4 2 2 10 3" xfId="6369" xr:uid="{00000000-0005-0000-0000-0000ED110000}"/>
    <cellStyle name="Normal 4 2 2 10 3 2" xfId="14811" xr:uid="{9617F874-2613-4BE7-91DD-C6DADDC937DE}"/>
    <cellStyle name="Normal 4 2 2 10 4" xfId="10593" xr:uid="{823DA25A-BC06-4418-831C-11585362D75F}"/>
    <cellStyle name="Normal 4 2 2 11" xfId="2498" xr:uid="{00000000-0005-0000-0000-0000EE110000}"/>
    <cellStyle name="Normal 4 2 2 11 2" xfId="6782" xr:uid="{00000000-0005-0000-0000-0000EF110000}"/>
    <cellStyle name="Normal 4 2 2 11 2 2" xfId="15224" xr:uid="{4287D1EE-69F4-42EF-A98E-C7809E5E8306}"/>
    <cellStyle name="Normal 4 2 2 11 3" xfId="11006" xr:uid="{20D26B80-AC3F-4AE7-ACC3-2393BC3AF8AE}"/>
    <cellStyle name="Normal 4 2 2 12" xfId="4717" xr:uid="{00000000-0005-0000-0000-0000F0110000}"/>
    <cellStyle name="Normal 4 2 2 12 2" xfId="13159" xr:uid="{0F479E18-5443-4C89-BA37-BC15A6800C86}"/>
    <cellStyle name="Normal 4 2 2 13" xfId="8941" xr:uid="{48F3EB37-F442-4992-BADA-9E3E5D200BB9}"/>
    <cellStyle name="Normal 4 2 2 2" xfId="338" xr:uid="{00000000-0005-0000-0000-0000F1110000}"/>
    <cellStyle name="Normal 4 2 2 3" xfId="339" xr:uid="{00000000-0005-0000-0000-0000F2110000}"/>
    <cellStyle name="Normal 4 2 2 3 10" xfId="4718" xr:uid="{00000000-0005-0000-0000-0000F3110000}"/>
    <cellStyle name="Normal 4 2 2 3 10 2" xfId="13160" xr:uid="{3718F8E6-5D23-446C-9120-66F61A247C2C}"/>
    <cellStyle name="Normal 4 2 2 3 11" xfId="8942" xr:uid="{CE20C072-4A7D-46B6-A13C-FAF061C22F07}"/>
    <cellStyle name="Normal 4 2 2 3 2" xfId="340" xr:uid="{00000000-0005-0000-0000-0000F4110000}"/>
    <cellStyle name="Normal 4 2 2 3 2 10" xfId="8943" xr:uid="{BE45803E-6BDF-4EBD-BA4E-A3AAC9450CFA}"/>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6E4A861E-3899-4364-BA7D-94E304DE4F60}"/>
    <cellStyle name="Normal 4 2 2 3 2 2 2 2 2 3" xfId="11503" xr:uid="{F25D58F6-D3D5-4B93-83CD-11AAF2AC007E}"/>
    <cellStyle name="Normal 4 2 2 3 2 2 2 2 3" xfId="5134" xr:uid="{00000000-0005-0000-0000-0000FA110000}"/>
    <cellStyle name="Normal 4 2 2 3 2 2 2 2 3 2" xfId="13576" xr:uid="{7003F640-8E27-4F28-82F0-869D27ABA1FB}"/>
    <cellStyle name="Normal 4 2 2 3 2 2 2 2 4" xfId="9358" xr:uid="{6D8B6238-227B-4CAD-A7D8-CE7F3E22104A}"/>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288ADA36-5DBD-496B-ABFA-FD3559418EF8}"/>
    <cellStyle name="Normal 4 2 2 3 2 2 2 3 2 3" xfId="11916" xr:uid="{CD292E85-D4F8-42C1-8E0A-352BD637BA6B}"/>
    <cellStyle name="Normal 4 2 2 3 2 2 2 3 3" xfId="5547" xr:uid="{00000000-0005-0000-0000-0000FE110000}"/>
    <cellStyle name="Normal 4 2 2 3 2 2 2 3 3 2" xfId="13989" xr:uid="{05E7A410-11ED-418E-9F64-642CA2E31773}"/>
    <cellStyle name="Normal 4 2 2 3 2 2 2 3 4" xfId="9771" xr:uid="{7A54BA7A-A43C-4ED9-92FF-73BE2B5A940C}"/>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36BF400A-DB21-4943-8249-E6A97E3598A1}"/>
    <cellStyle name="Normal 4 2 2 3 2 2 2 4 2 3" xfId="12329" xr:uid="{AC421A74-443F-465E-B842-7A8092785179}"/>
    <cellStyle name="Normal 4 2 2 3 2 2 2 4 3" xfId="5960" xr:uid="{00000000-0005-0000-0000-000002120000}"/>
    <cellStyle name="Normal 4 2 2 3 2 2 2 4 3 2" xfId="14402" xr:uid="{FD00C691-9801-4E0F-A1F8-C39D1D9AD283}"/>
    <cellStyle name="Normal 4 2 2 3 2 2 2 4 4" xfId="10184" xr:uid="{A7EFC480-FDDB-47D2-8999-F6C7A79E587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472D19FE-312E-4A42-8C78-7DBBACA3DB58}"/>
    <cellStyle name="Normal 4 2 2 3 2 2 2 5 2 3" xfId="12742" xr:uid="{70F481FE-462E-40A4-9E01-EC16B2B7F9D8}"/>
    <cellStyle name="Normal 4 2 2 3 2 2 2 5 3" xfId="6373" xr:uid="{00000000-0005-0000-0000-000006120000}"/>
    <cellStyle name="Normal 4 2 2 3 2 2 2 5 3 2" xfId="14815" xr:uid="{8A222816-025A-4CF3-9579-D12A6E3657DB}"/>
    <cellStyle name="Normal 4 2 2 3 2 2 2 5 4" xfId="10597" xr:uid="{E8711FC5-F7DB-49D8-BDFF-2646580A51ED}"/>
    <cellStyle name="Normal 4 2 2 3 2 2 2 6" xfId="2502" xr:uid="{00000000-0005-0000-0000-000007120000}"/>
    <cellStyle name="Normal 4 2 2 3 2 2 2 6 2" xfId="6786" xr:uid="{00000000-0005-0000-0000-000008120000}"/>
    <cellStyle name="Normal 4 2 2 3 2 2 2 6 2 2" xfId="15228" xr:uid="{C3959417-7CCB-41E7-9095-D44131C1E43F}"/>
    <cellStyle name="Normal 4 2 2 3 2 2 2 6 3" xfId="11010" xr:uid="{987286AA-89B5-42B0-B448-F2E295AEACDD}"/>
    <cellStyle name="Normal 4 2 2 3 2 2 2 7" xfId="4721" xr:uid="{00000000-0005-0000-0000-000009120000}"/>
    <cellStyle name="Normal 4 2 2 3 2 2 2 7 2" xfId="13163" xr:uid="{5E9BA522-960B-4F48-9D9C-7AE6E249E735}"/>
    <cellStyle name="Normal 4 2 2 3 2 2 2 8" xfId="8945" xr:uid="{C0094DA5-F39E-4816-BDAA-D9BE9AC371E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489A7B46-F2BE-4C28-93B6-7C8FE4E6D992}"/>
    <cellStyle name="Normal 4 2 2 3 2 2 3 2 3" xfId="11502" xr:uid="{7765CDF5-0405-4286-8549-17F24B3AFA53}"/>
    <cellStyle name="Normal 4 2 2 3 2 2 3 3" xfId="5133" xr:uid="{00000000-0005-0000-0000-00000D120000}"/>
    <cellStyle name="Normal 4 2 2 3 2 2 3 3 2" xfId="13575" xr:uid="{420D8551-7A2F-4E87-8DF0-F0412E093651}"/>
    <cellStyle name="Normal 4 2 2 3 2 2 3 4" xfId="9357" xr:uid="{FAC854D4-D43F-44A9-9318-13A46A18A3EE}"/>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D279B4E4-E90C-48E3-A081-C8F21D29B96A}"/>
    <cellStyle name="Normal 4 2 2 3 2 2 4 2 3" xfId="11915" xr:uid="{81DCC8A8-C78E-4A15-BA4C-B15ED331D3C6}"/>
    <cellStyle name="Normal 4 2 2 3 2 2 4 3" xfId="5546" xr:uid="{00000000-0005-0000-0000-000011120000}"/>
    <cellStyle name="Normal 4 2 2 3 2 2 4 3 2" xfId="13988" xr:uid="{0D2811C8-86A2-4878-AAE0-EE32B7E4EBA7}"/>
    <cellStyle name="Normal 4 2 2 3 2 2 4 4" xfId="9770" xr:uid="{ACC7B283-D8D5-47F8-A385-EDEA2BB2EC54}"/>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4C48A57D-78A4-4EC6-9D3D-DC583E0DADFF}"/>
    <cellStyle name="Normal 4 2 2 3 2 2 5 2 3" xfId="12328" xr:uid="{3A58F049-F749-4519-8AFE-061DCA55978A}"/>
    <cellStyle name="Normal 4 2 2 3 2 2 5 3" xfId="5959" xr:uid="{00000000-0005-0000-0000-000015120000}"/>
    <cellStyle name="Normal 4 2 2 3 2 2 5 3 2" xfId="14401" xr:uid="{8BE84DC2-E9D5-4BED-8E87-9DE8E817D08E}"/>
    <cellStyle name="Normal 4 2 2 3 2 2 5 4" xfId="10183" xr:uid="{64B2EDE8-3ED9-43FB-A1E5-508D664E20FD}"/>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C327EDEB-7382-421A-8D14-8C9C29B78A08}"/>
    <cellStyle name="Normal 4 2 2 3 2 2 6 2 3" xfId="12741" xr:uid="{706B14FE-EB31-4E57-B2DA-0F8C9652A568}"/>
    <cellStyle name="Normal 4 2 2 3 2 2 6 3" xfId="6372" xr:uid="{00000000-0005-0000-0000-000019120000}"/>
    <cellStyle name="Normal 4 2 2 3 2 2 6 3 2" xfId="14814" xr:uid="{E8A591C3-83DB-4B5D-AE9F-E597F6C3C475}"/>
    <cellStyle name="Normal 4 2 2 3 2 2 6 4" xfId="10596" xr:uid="{E2C8C4AD-D7C8-42BF-8A26-4AF2C5E3E7E0}"/>
    <cellStyle name="Normal 4 2 2 3 2 2 7" xfId="2501" xr:uid="{00000000-0005-0000-0000-00001A120000}"/>
    <cellStyle name="Normal 4 2 2 3 2 2 7 2" xfId="6785" xr:uid="{00000000-0005-0000-0000-00001B120000}"/>
    <cellStyle name="Normal 4 2 2 3 2 2 7 2 2" xfId="15227" xr:uid="{EFEE828F-AEE8-4E8D-9495-2C07201E12A2}"/>
    <cellStyle name="Normal 4 2 2 3 2 2 7 3" xfId="11009" xr:uid="{91E12AB9-7731-44B6-AB93-A958E426ADA3}"/>
    <cellStyle name="Normal 4 2 2 3 2 2 8" xfId="4720" xr:uid="{00000000-0005-0000-0000-00001C120000}"/>
    <cellStyle name="Normal 4 2 2 3 2 2 8 2" xfId="13162" xr:uid="{21C31958-D736-4910-A388-9DB6671E05E6}"/>
    <cellStyle name="Normal 4 2 2 3 2 2 9" xfId="8944" xr:uid="{349F1957-7C61-42C1-B050-2B5204E1758E}"/>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85789D39-82F2-4761-91EF-87F1623D8D2A}"/>
    <cellStyle name="Normal 4 2 2 3 2 3 2 2 3" xfId="11504" xr:uid="{C65B35C8-CA8C-46B9-AB66-467E767B125C}"/>
    <cellStyle name="Normal 4 2 2 3 2 3 2 3" xfId="5135" xr:uid="{00000000-0005-0000-0000-000021120000}"/>
    <cellStyle name="Normal 4 2 2 3 2 3 2 3 2" xfId="13577" xr:uid="{C3FF7B60-9BAC-4448-9235-86638F33AE99}"/>
    <cellStyle name="Normal 4 2 2 3 2 3 2 4" xfId="9359" xr:uid="{3A0E649E-49A1-40C3-939D-1B805E60186A}"/>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AC86C23F-FEEF-4B17-88E0-836B69BDCF42}"/>
    <cellStyle name="Normal 4 2 2 3 2 3 3 2 3" xfId="11917" xr:uid="{3D1A1A76-61BD-4E9F-881A-BE42D6468D2A}"/>
    <cellStyle name="Normal 4 2 2 3 2 3 3 3" xfId="5548" xr:uid="{00000000-0005-0000-0000-000025120000}"/>
    <cellStyle name="Normal 4 2 2 3 2 3 3 3 2" xfId="13990" xr:uid="{60B63B35-3777-4CC8-A9A3-414039F85902}"/>
    <cellStyle name="Normal 4 2 2 3 2 3 3 4" xfId="9772" xr:uid="{06669EC0-2BBD-4371-81CF-2C1BB5EB26BE}"/>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0732FAA9-2C78-4508-B4B1-14AB4FB48435}"/>
    <cellStyle name="Normal 4 2 2 3 2 3 4 2 3" xfId="12330" xr:uid="{F3F4AE6F-ADA7-489E-BF69-15F834F227E8}"/>
    <cellStyle name="Normal 4 2 2 3 2 3 4 3" xfId="5961" xr:uid="{00000000-0005-0000-0000-000029120000}"/>
    <cellStyle name="Normal 4 2 2 3 2 3 4 3 2" xfId="14403" xr:uid="{AF326A5E-B8A4-4192-8A38-755638F1485C}"/>
    <cellStyle name="Normal 4 2 2 3 2 3 4 4" xfId="10185" xr:uid="{B83C6353-BF69-40A5-8C59-DD69BC73D407}"/>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21D14CA3-4670-41B3-ADE3-6B7FD8C27B07}"/>
    <cellStyle name="Normal 4 2 2 3 2 3 5 2 3" xfId="12743" xr:uid="{400FA5D7-CBF1-472D-973F-E7A8D76339C2}"/>
    <cellStyle name="Normal 4 2 2 3 2 3 5 3" xfId="6374" xr:uid="{00000000-0005-0000-0000-00002D120000}"/>
    <cellStyle name="Normal 4 2 2 3 2 3 5 3 2" xfId="14816" xr:uid="{C85FDA34-4E0B-450E-A219-5F468B2A2643}"/>
    <cellStyle name="Normal 4 2 2 3 2 3 5 4" xfId="10598" xr:uid="{33EF423F-5001-4084-B01D-74E7D40E4476}"/>
    <cellStyle name="Normal 4 2 2 3 2 3 6" xfId="2503" xr:uid="{00000000-0005-0000-0000-00002E120000}"/>
    <cellStyle name="Normal 4 2 2 3 2 3 6 2" xfId="6787" xr:uid="{00000000-0005-0000-0000-00002F120000}"/>
    <cellStyle name="Normal 4 2 2 3 2 3 6 2 2" xfId="15229" xr:uid="{8D0B90CF-05A0-4E9B-816A-CAB5274A74CB}"/>
    <cellStyle name="Normal 4 2 2 3 2 3 6 3" xfId="11011" xr:uid="{17A11422-6ECB-4286-9BC8-2E2323D07954}"/>
    <cellStyle name="Normal 4 2 2 3 2 3 7" xfId="4722" xr:uid="{00000000-0005-0000-0000-000030120000}"/>
    <cellStyle name="Normal 4 2 2 3 2 3 7 2" xfId="13164" xr:uid="{646EFBFA-021D-45A1-B8F9-211C0C706B47}"/>
    <cellStyle name="Normal 4 2 2 3 2 3 8" xfId="8946" xr:uid="{C1959D3B-9C36-4D19-A3B0-E62810C5EE82}"/>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EE2C64F8-3F90-4E56-9D18-6BC9D5EC5C9C}"/>
    <cellStyle name="Normal 4 2 2 3 2 4 2 3" xfId="11501" xr:uid="{F58883CE-133F-4609-9A1A-7494F6618C4B}"/>
    <cellStyle name="Normal 4 2 2 3 2 4 3" xfId="5132" xr:uid="{00000000-0005-0000-0000-000034120000}"/>
    <cellStyle name="Normal 4 2 2 3 2 4 3 2" xfId="13574" xr:uid="{AC3DAC39-0A01-4A7A-9E81-9E2C10DCFB34}"/>
    <cellStyle name="Normal 4 2 2 3 2 4 4" xfId="9356" xr:uid="{E82E782A-CBB6-4A1A-83C5-FCDD32A3798E}"/>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57BA25BB-A986-4773-8843-879AB6A78B45}"/>
    <cellStyle name="Normal 4 2 2 3 2 5 2 3" xfId="11914" xr:uid="{BFD8BDDC-298C-4BD4-9CC8-158853074297}"/>
    <cellStyle name="Normal 4 2 2 3 2 5 3" xfId="5545" xr:uid="{00000000-0005-0000-0000-000038120000}"/>
    <cellStyle name="Normal 4 2 2 3 2 5 3 2" xfId="13987" xr:uid="{654B40FD-7ED2-4096-A254-F7477D22C26B}"/>
    <cellStyle name="Normal 4 2 2 3 2 5 4" xfId="9769" xr:uid="{8B88DE59-464E-496D-9CB9-98CF4BCF8934}"/>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4B589C07-DA4D-4368-95EC-9FAAF843C1E1}"/>
    <cellStyle name="Normal 4 2 2 3 2 6 2 3" xfId="12327" xr:uid="{EFDEEAA7-4519-4F6C-8967-A4ECEC4A5E51}"/>
    <cellStyle name="Normal 4 2 2 3 2 6 3" xfId="5958" xr:uid="{00000000-0005-0000-0000-00003C120000}"/>
    <cellStyle name="Normal 4 2 2 3 2 6 3 2" xfId="14400" xr:uid="{614D7F76-5D3F-4005-8D28-3C4F0D8D61EB}"/>
    <cellStyle name="Normal 4 2 2 3 2 6 4" xfId="10182" xr:uid="{9BCCB961-C2CF-4D1B-BF01-E4B82B765852}"/>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F59CC279-9F94-4068-8B07-277254A947F2}"/>
    <cellStyle name="Normal 4 2 2 3 2 7 2 3" xfId="12740" xr:uid="{E9047D39-985E-482B-9ADE-1C727BF1D8C1}"/>
    <cellStyle name="Normal 4 2 2 3 2 7 3" xfId="6371" xr:uid="{00000000-0005-0000-0000-000040120000}"/>
    <cellStyle name="Normal 4 2 2 3 2 7 3 2" xfId="14813" xr:uid="{2AA469D7-D501-4D65-984E-40B6EFEC101F}"/>
    <cellStyle name="Normal 4 2 2 3 2 7 4" xfId="10595" xr:uid="{F34B5AB4-633A-4E85-AC84-91E7BAE580FB}"/>
    <cellStyle name="Normal 4 2 2 3 2 8" xfId="2500" xr:uid="{00000000-0005-0000-0000-000041120000}"/>
    <cellStyle name="Normal 4 2 2 3 2 8 2" xfId="6784" xr:uid="{00000000-0005-0000-0000-000042120000}"/>
    <cellStyle name="Normal 4 2 2 3 2 8 2 2" xfId="15226" xr:uid="{CB7C24AD-79F8-41EC-AE10-277A885AC53A}"/>
    <cellStyle name="Normal 4 2 2 3 2 8 3" xfId="11008" xr:uid="{3B93D7A1-DAFE-4209-9150-DBA58AAFFE06}"/>
    <cellStyle name="Normal 4 2 2 3 2 9" xfId="4719" xr:uid="{00000000-0005-0000-0000-000043120000}"/>
    <cellStyle name="Normal 4 2 2 3 2 9 2" xfId="13161" xr:uid="{78AE4E33-889E-4084-97DF-D2C24BEF8074}"/>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F7EAAA46-23CD-41BB-BA48-1A616412A3B5}"/>
    <cellStyle name="Normal 4 2 2 3 3 2 2 2 3" xfId="11506" xr:uid="{7F6FDB93-5998-4111-9624-E35602119835}"/>
    <cellStyle name="Normal 4 2 2 3 3 2 2 3" xfId="5137" xr:uid="{00000000-0005-0000-0000-000049120000}"/>
    <cellStyle name="Normal 4 2 2 3 3 2 2 3 2" xfId="13579" xr:uid="{D6957481-410E-4694-9265-D111DB2A2EEC}"/>
    <cellStyle name="Normal 4 2 2 3 3 2 2 4" xfId="9361" xr:uid="{F6E002A2-EE25-406C-9BA2-1C74AC0C038E}"/>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0BDEEF81-B0F1-441A-B9BA-556AE9D3DBEC}"/>
    <cellStyle name="Normal 4 2 2 3 3 2 3 2 3" xfId="11919" xr:uid="{51567D32-936F-4976-8B89-2CC0E07534A8}"/>
    <cellStyle name="Normal 4 2 2 3 3 2 3 3" xfId="5550" xr:uid="{00000000-0005-0000-0000-00004D120000}"/>
    <cellStyle name="Normal 4 2 2 3 3 2 3 3 2" xfId="13992" xr:uid="{B60288F1-B04A-4190-8AB4-69772343F900}"/>
    <cellStyle name="Normal 4 2 2 3 3 2 3 4" xfId="9774" xr:uid="{250187C9-50B4-4602-8C88-CC9A9A838936}"/>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89F2B359-62CA-4305-B0E7-7B23BDE73D48}"/>
    <cellStyle name="Normal 4 2 2 3 3 2 4 2 3" xfId="12332" xr:uid="{E1FFC67D-DFBF-4AA0-A2B3-A546C6D26BEA}"/>
    <cellStyle name="Normal 4 2 2 3 3 2 4 3" xfId="5963" xr:uid="{00000000-0005-0000-0000-000051120000}"/>
    <cellStyle name="Normal 4 2 2 3 3 2 4 3 2" xfId="14405" xr:uid="{E36BB31D-5545-4C5C-A4D5-FFF8BAC543C0}"/>
    <cellStyle name="Normal 4 2 2 3 3 2 4 4" xfId="10187" xr:uid="{B398A18A-DFA1-44C5-9155-AA5DC899AD95}"/>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58FA9E75-3A47-43E0-B899-D386237FE08E}"/>
    <cellStyle name="Normal 4 2 2 3 3 2 5 2 3" xfId="12745" xr:uid="{EFB5E4EA-CDEB-420C-ADAF-FE663971CEEE}"/>
    <cellStyle name="Normal 4 2 2 3 3 2 5 3" xfId="6376" xr:uid="{00000000-0005-0000-0000-000055120000}"/>
    <cellStyle name="Normal 4 2 2 3 3 2 5 3 2" xfId="14818" xr:uid="{7078D146-CA46-4003-A1DC-4D51BF54B96E}"/>
    <cellStyle name="Normal 4 2 2 3 3 2 5 4" xfId="10600" xr:uid="{D571325C-5971-4AC3-B6FE-FEA4669314F0}"/>
    <cellStyle name="Normal 4 2 2 3 3 2 6" xfId="2505" xr:uid="{00000000-0005-0000-0000-000056120000}"/>
    <cellStyle name="Normal 4 2 2 3 3 2 6 2" xfId="6789" xr:uid="{00000000-0005-0000-0000-000057120000}"/>
    <cellStyle name="Normal 4 2 2 3 3 2 6 2 2" xfId="15231" xr:uid="{52837942-69B9-4198-BAF7-74E28293A598}"/>
    <cellStyle name="Normal 4 2 2 3 3 2 6 3" xfId="11013" xr:uid="{B6B9AD1A-5CD0-444A-B8A6-0771121391F7}"/>
    <cellStyle name="Normal 4 2 2 3 3 2 7" xfId="4724" xr:uid="{00000000-0005-0000-0000-000058120000}"/>
    <cellStyle name="Normal 4 2 2 3 3 2 7 2" xfId="13166" xr:uid="{46EDC6F6-ABE8-4FBA-9E8D-B0812D6CCFCC}"/>
    <cellStyle name="Normal 4 2 2 3 3 2 8" xfId="8948" xr:uid="{CA54C9B7-9778-4385-B852-32CF62FFE2E9}"/>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1608D6EE-7FD5-4F08-B9E2-8A1064CC1D91}"/>
    <cellStyle name="Normal 4 2 2 3 3 3 2 3" xfId="11505" xr:uid="{03469B44-17DB-4CAE-9BD6-0DB45BB73786}"/>
    <cellStyle name="Normal 4 2 2 3 3 3 3" xfId="5136" xr:uid="{00000000-0005-0000-0000-00005C120000}"/>
    <cellStyle name="Normal 4 2 2 3 3 3 3 2" xfId="13578" xr:uid="{3D82F5BE-A169-4051-BB48-AFDB7E1F31D4}"/>
    <cellStyle name="Normal 4 2 2 3 3 3 4" xfId="9360" xr:uid="{16263ADD-345D-46BB-8982-61C95F2E3458}"/>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C14065A6-DB56-42C9-8004-BF8A9FF4A9A6}"/>
    <cellStyle name="Normal 4 2 2 3 3 4 2 3" xfId="11918" xr:uid="{7593ACF1-E130-49FE-80CB-0BC604628911}"/>
    <cellStyle name="Normal 4 2 2 3 3 4 3" xfId="5549" xr:uid="{00000000-0005-0000-0000-000060120000}"/>
    <cellStyle name="Normal 4 2 2 3 3 4 3 2" xfId="13991" xr:uid="{64A2D896-441E-4637-A144-C70499139937}"/>
    <cellStyle name="Normal 4 2 2 3 3 4 4" xfId="9773" xr:uid="{6AF75972-A818-43B1-A644-A518F0AAA74E}"/>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0A57934C-6902-4C8B-AABE-E48787A923EA}"/>
    <cellStyle name="Normal 4 2 2 3 3 5 2 3" xfId="12331" xr:uid="{39B17DC7-DD6C-4E6B-98C9-853DCCEE3901}"/>
    <cellStyle name="Normal 4 2 2 3 3 5 3" xfId="5962" xr:uid="{00000000-0005-0000-0000-000064120000}"/>
    <cellStyle name="Normal 4 2 2 3 3 5 3 2" xfId="14404" xr:uid="{660498D2-D5AF-40F8-8AD2-F3FC664FA8F9}"/>
    <cellStyle name="Normal 4 2 2 3 3 5 4" xfId="10186" xr:uid="{87DF1600-0ACF-418E-8803-E99FF3E1937F}"/>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1A7BF963-B0EA-48A7-B9B7-5B5F7DEC337A}"/>
    <cellStyle name="Normal 4 2 2 3 3 6 2 3" xfId="12744" xr:uid="{1C120A71-723A-4524-9CAA-9C6A1C1230CB}"/>
    <cellStyle name="Normal 4 2 2 3 3 6 3" xfId="6375" xr:uid="{00000000-0005-0000-0000-000068120000}"/>
    <cellStyle name="Normal 4 2 2 3 3 6 3 2" xfId="14817" xr:uid="{A19546EF-DC96-431C-8DC5-090237325DDB}"/>
    <cellStyle name="Normal 4 2 2 3 3 6 4" xfId="10599" xr:uid="{2090DFEE-6808-4EF7-9588-3E8A0F62DDDB}"/>
    <cellStyle name="Normal 4 2 2 3 3 7" xfId="2504" xr:uid="{00000000-0005-0000-0000-000069120000}"/>
    <cellStyle name="Normal 4 2 2 3 3 7 2" xfId="6788" xr:uid="{00000000-0005-0000-0000-00006A120000}"/>
    <cellStyle name="Normal 4 2 2 3 3 7 2 2" xfId="15230" xr:uid="{422281A0-2C76-4D9B-9CB1-18BFE5F15E18}"/>
    <cellStyle name="Normal 4 2 2 3 3 7 3" xfId="11012" xr:uid="{4EE1D728-09C2-4D6F-8B99-3F0D38FAB6B6}"/>
    <cellStyle name="Normal 4 2 2 3 3 8" xfId="4723" xr:uid="{00000000-0005-0000-0000-00006B120000}"/>
    <cellStyle name="Normal 4 2 2 3 3 8 2" xfId="13165" xr:uid="{FEADF782-5549-4701-8D83-F6CE39A75F17}"/>
    <cellStyle name="Normal 4 2 2 3 3 9" xfId="8947" xr:uid="{A3D29241-7E79-4B78-A19D-9CB3FB79E387}"/>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8E358033-C342-4603-B70F-CD1792F691C2}"/>
    <cellStyle name="Normal 4 2 2 3 4 2 2 3" xfId="11507" xr:uid="{C4B59162-03DD-4485-871A-FA62D0B75D0A}"/>
    <cellStyle name="Normal 4 2 2 3 4 2 3" xfId="5138" xr:uid="{00000000-0005-0000-0000-000070120000}"/>
    <cellStyle name="Normal 4 2 2 3 4 2 3 2" xfId="13580" xr:uid="{EBE23219-B676-4825-AC46-0DB349A7377E}"/>
    <cellStyle name="Normal 4 2 2 3 4 2 4" xfId="9362" xr:uid="{C95462E5-3F2D-400F-AA20-3F981B51DA75}"/>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B45167A2-75A0-430A-A4B5-E8A17C33999B}"/>
    <cellStyle name="Normal 4 2 2 3 4 3 2 3" xfId="11920" xr:uid="{0C62C349-EBEA-498F-A881-4B6BE1637532}"/>
    <cellStyle name="Normal 4 2 2 3 4 3 3" xfId="5551" xr:uid="{00000000-0005-0000-0000-000074120000}"/>
    <cellStyle name="Normal 4 2 2 3 4 3 3 2" xfId="13993" xr:uid="{60944541-FDEF-4C89-A58D-A63F0AC7C5C2}"/>
    <cellStyle name="Normal 4 2 2 3 4 3 4" xfId="9775" xr:uid="{10AA6C7D-D7CC-42CE-BB26-8DFE5DC6A649}"/>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656B7C4D-D6FA-4BC6-8F37-3C477578AE8E}"/>
    <cellStyle name="Normal 4 2 2 3 4 4 2 3" xfId="12333" xr:uid="{410E717F-D4DC-46F1-97C0-200A3E7DFC94}"/>
    <cellStyle name="Normal 4 2 2 3 4 4 3" xfId="5964" xr:uid="{00000000-0005-0000-0000-000078120000}"/>
    <cellStyle name="Normal 4 2 2 3 4 4 3 2" xfId="14406" xr:uid="{3D23E591-C30D-4D69-9CBF-2C13180AB907}"/>
    <cellStyle name="Normal 4 2 2 3 4 4 4" xfId="10188" xr:uid="{B90EDB5C-5A53-4F0D-81A4-0E21F55DB718}"/>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02D710F5-CB2E-44A3-914C-C7A6825C9641}"/>
    <cellStyle name="Normal 4 2 2 3 4 5 2 3" xfId="12746" xr:uid="{F3857FE5-95F4-4BD5-A24A-6F5C1C3BD702}"/>
    <cellStyle name="Normal 4 2 2 3 4 5 3" xfId="6377" xr:uid="{00000000-0005-0000-0000-00007C120000}"/>
    <cellStyle name="Normal 4 2 2 3 4 5 3 2" xfId="14819" xr:uid="{5F4173DC-BACC-4407-B8CC-47321B6113E1}"/>
    <cellStyle name="Normal 4 2 2 3 4 5 4" xfId="10601" xr:uid="{8832AB69-6B44-49E2-97CD-3351518BC0CF}"/>
    <cellStyle name="Normal 4 2 2 3 4 6" xfId="2506" xr:uid="{00000000-0005-0000-0000-00007D120000}"/>
    <cellStyle name="Normal 4 2 2 3 4 6 2" xfId="6790" xr:uid="{00000000-0005-0000-0000-00007E120000}"/>
    <cellStyle name="Normal 4 2 2 3 4 6 2 2" xfId="15232" xr:uid="{2A61E5ED-CD5D-44E0-94B3-3FFD727F6C78}"/>
    <cellStyle name="Normal 4 2 2 3 4 6 3" xfId="11014" xr:uid="{AACBA34F-EEC0-406D-B051-60E2370B06C2}"/>
    <cellStyle name="Normal 4 2 2 3 4 7" xfId="4725" xr:uid="{00000000-0005-0000-0000-00007F120000}"/>
    <cellStyle name="Normal 4 2 2 3 4 7 2" xfId="13167" xr:uid="{E00D5214-05C7-47A0-B3BC-DC829CA4B111}"/>
    <cellStyle name="Normal 4 2 2 3 4 8" xfId="8949" xr:uid="{296501C0-01EF-4E7E-8768-C578542C17BC}"/>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8300A25F-097A-4421-9A25-DC89F32F72D0}"/>
    <cellStyle name="Normal 4 2 2 3 5 2 3" xfId="11500" xr:uid="{430B1D00-4CFC-4AC5-9658-6AF8966F2921}"/>
    <cellStyle name="Normal 4 2 2 3 5 3" xfId="5131" xr:uid="{00000000-0005-0000-0000-000083120000}"/>
    <cellStyle name="Normal 4 2 2 3 5 3 2" xfId="13573" xr:uid="{C2A2658D-9CF3-4695-B04C-055B6083C087}"/>
    <cellStyle name="Normal 4 2 2 3 5 4" xfId="9355" xr:uid="{DD7E9243-8474-4C6B-982F-B214DB5B34BF}"/>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0A8D4BB1-D943-42BE-AEEA-E3DE3623C0A9}"/>
    <cellStyle name="Normal 4 2 2 3 6 2 3" xfId="11913" xr:uid="{898B6F25-52BC-4DAD-A3DE-E8CD4CF610C3}"/>
    <cellStyle name="Normal 4 2 2 3 6 3" xfId="5544" xr:uid="{00000000-0005-0000-0000-000087120000}"/>
    <cellStyle name="Normal 4 2 2 3 6 3 2" xfId="13986" xr:uid="{7F633CFF-C89B-43E2-9739-D3DB2CB8FD29}"/>
    <cellStyle name="Normal 4 2 2 3 6 4" xfId="9768" xr:uid="{036CAF5F-9AC8-4236-B36E-25734B6ECB18}"/>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015B17F4-D615-4B04-B64A-A9E344141969}"/>
    <cellStyle name="Normal 4 2 2 3 7 2 3" xfId="12326" xr:uid="{AA5A34CA-D6C6-4AB5-80FE-918E4A6E85DA}"/>
    <cellStyle name="Normal 4 2 2 3 7 3" xfId="5957" xr:uid="{00000000-0005-0000-0000-00008B120000}"/>
    <cellStyle name="Normal 4 2 2 3 7 3 2" xfId="14399" xr:uid="{CEAD37A1-8A1D-4D87-B8D6-95A32C07F061}"/>
    <cellStyle name="Normal 4 2 2 3 7 4" xfId="10181" xr:uid="{F29C3E79-C885-43E3-B727-E3452A2E47BE}"/>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A5947950-94E2-46D0-B5D3-43A6E8494BC2}"/>
    <cellStyle name="Normal 4 2 2 3 8 2 3" xfId="12739" xr:uid="{7AAC906F-D0F5-4B6D-BC7B-1BB3B4747012}"/>
    <cellStyle name="Normal 4 2 2 3 8 3" xfId="6370" xr:uid="{00000000-0005-0000-0000-00008F120000}"/>
    <cellStyle name="Normal 4 2 2 3 8 3 2" xfId="14812" xr:uid="{EF54A1CD-41A7-411B-B2FC-702610AF1B72}"/>
    <cellStyle name="Normal 4 2 2 3 8 4" xfId="10594" xr:uid="{E77DD84E-B8DE-4DCB-B1D6-767D9939279B}"/>
    <cellStyle name="Normal 4 2 2 3 9" xfId="2499" xr:uid="{00000000-0005-0000-0000-000090120000}"/>
    <cellStyle name="Normal 4 2 2 3 9 2" xfId="6783" xr:uid="{00000000-0005-0000-0000-000091120000}"/>
    <cellStyle name="Normal 4 2 2 3 9 2 2" xfId="15225" xr:uid="{41DC9120-F9AD-45C1-B00D-C0ADBDACAD4F}"/>
    <cellStyle name="Normal 4 2 2 3 9 3" xfId="11007" xr:uid="{EBE4B1F7-31AE-43C3-987A-1C2A25A38660}"/>
    <cellStyle name="Normal 4 2 2 4" xfId="347" xr:uid="{00000000-0005-0000-0000-000092120000}"/>
    <cellStyle name="Normal 4 2 2 4 10" xfId="8950" xr:uid="{187CB3FE-BFF5-40E1-8BF6-2EC000633DB3}"/>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FA9573CA-8F63-4194-8C3C-564B6E24FE1E}"/>
    <cellStyle name="Normal 4 2 2 4 2 2 2 2 3" xfId="11510" xr:uid="{650EDB29-A489-446A-9FB1-C53A532B2B6F}"/>
    <cellStyle name="Normal 4 2 2 4 2 2 2 3" xfId="5141" xr:uid="{00000000-0005-0000-0000-000098120000}"/>
    <cellStyle name="Normal 4 2 2 4 2 2 2 3 2" xfId="13583" xr:uid="{C863EA48-E4DB-48F6-AD1E-04B63B518D8C}"/>
    <cellStyle name="Normal 4 2 2 4 2 2 2 4" xfId="9365" xr:uid="{E3897A3C-31A7-416A-9F2A-9811D02CD47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1FBA1771-2071-4387-AD62-48F6EEC40998}"/>
    <cellStyle name="Normal 4 2 2 4 2 2 3 2 3" xfId="11923" xr:uid="{BE6FE3AB-0537-41D0-BD61-50E2696CCE66}"/>
    <cellStyle name="Normal 4 2 2 4 2 2 3 3" xfId="5554" xr:uid="{00000000-0005-0000-0000-00009C120000}"/>
    <cellStyle name="Normal 4 2 2 4 2 2 3 3 2" xfId="13996" xr:uid="{D88A62F1-7D64-4637-A869-374239536021}"/>
    <cellStyle name="Normal 4 2 2 4 2 2 3 4" xfId="9778" xr:uid="{06FD262C-86A8-4529-883C-17EAEE799C71}"/>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C124586E-0DF8-4655-A06E-299814340CC4}"/>
    <cellStyle name="Normal 4 2 2 4 2 2 4 2 3" xfId="12336" xr:uid="{895AC709-555A-4B97-BC3A-BA59D1286C86}"/>
    <cellStyle name="Normal 4 2 2 4 2 2 4 3" xfId="5967" xr:uid="{00000000-0005-0000-0000-0000A0120000}"/>
    <cellStyle name="Normal 4 2 2 4 2 2 4 3 2" xfId="14409" xr:uid="{BF30C8BD-72D8-4566-A8B5-A8F84847EBA5}"/>
    <cellStyle name="Normal 4 2 2 4 2 2 4 4" xfId="10191" xr:uid="{6D46CFD4-6EC7-4614-8051-183F0DDCFE03}"/>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0EA9A26C-5836-4631-A9DB-2480831A2A80}"/>
    <cellStyle name="Normal 4 2 2 4 2 2 5 2 3" xfId="12749" xr:uid="{B2733DFA-D341-4D98-9A2F-BC8C4B1B2A5D}"/>
    <cellStyle name="Normal 4 2 2 4 2 2 5 3" xfId="6380" xr:uid="{00000000-0005-0000-0000-0000A4120000}"/>
    <cellStyle name="Normal 4 2 2 4 2 2 5 3 2" xfId="14822" xr:uid="{C2B3E4C1-CF30-40C2-BFF1-20A45868239E}"/>
    <cellStyle name="Normal 4 2 2 4 2 2 5 4" xfId="10604" xr:uid="{08FC1E37-B6A7-487D-866E-9B65AA50EF9B}"/>
    <cellStyle name="Normal 4 2 2 4 2 2 6" xfId="2509" xr:uid="{00000000-0005-0000-0000-0000A5120000}"/>
    <cellStyle name="Normal 4 2 2 4 2 2 6 2" xfId="6793" xr:uid="{00000000-0005-0000-0000-0000A6120000}"/>
    <cellStyle name="Normal 4 2 2 4 2 2 6 2 2" xfId="15235" xr:uid="{64890028-3D74-4C1E-BA94-CD3906DAA3FA}"/>
    <cellStyle name="Normal 4 2 2 4 2 2 6 3" xfId="11017" xr:uid="{91BBE861-AF40-4C88-89AD-6FFD4C537B1D}"/>
    <cellStyle name="Normal 4 2 2 4 2 2 7" xfId="4728" xr:uid="{00000000-0005-0000-0000-0000A7120000}"/>
    <cellStyle name="Normal 4 2 2 4 2 2 7 2" xfId="13170" xr:uid="{DD63F397-E467-4780-B53B-2D7FFFED0379}"/>
    <cellStyle name="Normal 4 2 2 4 2 2 8" xfId="8952" xr:uid="{C7B2165C-205A-4974-8A65-69F0C0874725}"/>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DEC21B1C-8CA5-46EC-A045-303E17C05EC4}"/>
    <cellStyle name="Normal 4 2 2 4 2 3 2 3" xfId="11509" xr:uid="{5A686FBD-9D27-4AEA-9C7A-0CE15FD10802}"/>
    <cellStyle name="Normal 4 2 2 4 2 3 3" xfId="5140" xr:uid="{00000000-0005-0000-0000-0000AB120000}"/>
    <cellStyle name="Normal 4 2 2 4 2 3 3 2" xfId="13582" xr:uid="{18BD38F4-B5E2-48D7-8C71-0FCF945E5ECD}"/>
    <cellStyle name="Normal 4 2 2 4 2 3 4" xfId="9364" xr:uid="{07361A76-7F09-428D-9731-00048AAA763C}"/>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569D69D2-B826-4C32-84FF-5085754B982A}"/>
    <cellStyle name="Normal 4 2 2 4 2 4 2 3" xfId="11922" xr:uid="{C68B4861-B1AD-4A21-B792-5C6E09AB7790}"/>
    <cellStyle name="Normal 4 2 2 4 2 4 3" xfId="5553" xr:uid="{00000000-0005-0000-0000-0000AF120000}"/>
    <cellStyle name="Normal 4 2 2 4 2 4 3 2" xfId="13995" xr:uid="{DBC1BAA9-23C6-473A-BF67-F68D2057DB22}"/>
    <cellStyle name="Normal 4 2 2 4 2 4 4" xfId="9777" xr:uid="{DCDB14AE-B2ED-4CC2-B7B4-CB4FBCD25503}"/>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522FCE6D-62C8-493D-AE12-3BE5D1D05B4B}"/>
    <cellStyle name="Normal 4 2 2 4 2 5 2 3" xfId="12335" xr:uid="{0774AFD1-A005-40CE-9494-347932944A21}"/>
    <cellStyle name="Normal 4 2 2 4 2 5 3" xfId="5966" xr:uid="{00000000-0005-0000-0000-0000B3120000}"/>
    <cellStyle name="Normal 4 2 2 4 2 5 3 2" xfId="14408" xr:uid="{7E0FD65C-F07E-4B69-A0E0-2E11CB01189A}"/>
    <cellStyle name="Normal 4 2 2 4 2 5 4" xfId="10190" xr:uid="{E26AD4DC-5218-4F74-92F4-35BF1BF1E9D7}"/>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3CC72710-F2A9-4F4C-9C38-4D45165CF755}"/>
    <cellStyle name="Normal 4 2 2 4 2 6 2 3" xfId="12748" xr:uid="{0B0A0CCB-333A-44BB-959D-EE0E83AB4F2B}"/>
    <cellStyle name="Normal 4 2 2 4 2 6 3" xfId="6379" xr:uid="{00000000-0005-0000-0000-0000B7120000}"/>
    <cellStyle name="Normal 4 2 2 4 2 6 3 2" xfId="14821" xr:uid="{025647BC-17AC-4972-9DC9-2C3B0C86BAAF}"/>
    <cellStyle name="Normal 4 2 2 4 2 6 4" xfId="10603" xr:uid="{3E7FA81B-7ECA-4F68-93DA-B272EF0570DA}"/>
    <cellStyle name="Normal 4 2 2 4 2 7" xfId="2508" xr:uid="{00000000-0005-0000-0000-0000B8120000}"/>
    <cellStyle name="Normal 4 2 2 4 2 7 2" xfId="6792" xr:uid="{00000000-0005-0000-0000-0000B9120000}"/>
    <cellStyle name="Normal 4 2 2 4 2 7 2 2" xfId="15234" xr:uid="{395C54E8-07DE-4090-A681-E137620F2E9B}"/>
    <cellStyle name="Normal 4 2 2 4 2 7 3" xfId="11016" xr:uid="{F93E286E-5EEE-4A08-8076-E3709E716DAB}"/>
    <cellStyle name="Normal 4 2 2 4 2 8" xfId="4727" xr:uid="{00000000-0005-0000-0000-0000BA120000}"/>
    <cellStyle name="Normal 4 2 2 4 2 8 2" xfId="13169" xr:uid="{9CE57D36-08D9-4C56-A3A1-1C1609FB821B}"/>
    <cellStyle name="Normal 4 2 2 4 2 9" xfId="8951" xr:uid="{3155114E-0095-4E89-B627-BD1F2D880515}"/>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8D6B90DD-E7A1-41D1-8823-6929F8F08784}"/>
    <cellStyle name="Normal 4 2 2 4 3 2 2 3" xfId="11511" xr:uid="{78A89FB1-B4F1-4A9C-A774-22B76B6F0BBA}"/>
    <cellStyle name="Normal 4 2 2 4 3 2 3" xfId="5142" xr:uid="{00000000-0005-0000-0000-0000BF120000}"/>
    <cellStyle name="Normal 4 2 2 4 3 2 3 2" xfId="13584" xr:uid="{5FE228FE-A4E2-4D1C-93DE-77345B262AAB}"/>
    <cellStyle name="Normal 4 2 2 4 3 2 4" xfId="9366" xr:uid="{2FCC0264-6CFE-4075-A1E7-AAA1E153622A}"/>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A8D0B0FE-27DF-444F-9CDD-2466301CE05A}"/>
    <cellStyle name="Normal 4 2 2 4 3 3 2 3" xfId="11924" xr:uid="{BDE906B3-F56B-4348-B65D-D5AF2176A36A}"/>
    <cellStyle name="Normal 4 2 2 4 3 3 3" xfId="5555" xr:uid="{00000000-0005-0000-0000-0000C3120000}"/>
    <cellStyle name="Normal 4 2 2 4 3 3 3 2" xfId="13997" xr:uid="{FF40E835-F156-4824-9A7C-9A4325E5262A}"/>
    <cellStyle name="Normal 4 2 2 4 3 3 4" xfId="9779" xr:uid="{31EC2444-69A8-4645-8004-3A8F95AF260F}"/>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0EDD1678-37E9-4D0A-BDDA-35944047E34C}"/>
    <cellStyle name="Normal 4 2 2 4 3 4 2 3" xfId="12337" xr:uid="{14781CA1-3DE8-45B4-BECE-8C5F421FC3DF}"/>
    <cellStyle name="Normal 4 2 2 4 3 4 3" xfId="5968" xr:uid="{00000000-0005-0000-0000-0000C7120000}"/>
    <cellStyle name="Normal 4 2 2 4 3 4 3 2" xfId="14410" xr:uid="{90E29F47-26FE-400A-9E63-F3B713C7A30D}"/>
    <cellStyle name="Normal 4 2 2 4 3 4 4" xfId="10192" xr:uid="{294706F3-0899-41A8-9FDC-24C52966FCA6}"/>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D46C08B3-C7E7-440B-BD9A-3492912A1DEB}"/>
    <cellStyle name="Normal 4 2 2 4 3 5 2 3" xfId="12750" xr:uid="{A6431B5C-AB6C-4891-A22E-F9346D231E38}"/>
    <cellStyle name="Normal 4 2 2 4 3 5 3" xfId="6381" xr:uid="{00000000-0005-0000-0000-0000CB120000}"/>
    <cellStyle name="Normal 4 2 2 4 3 5 3 2" xfId="14823" xr:uid="{064C7C11-CBC1-40CC-B531-1F12703AB879}"/>
    <cellStyle name="Normal 4 2 2 4 3 5 4" xfId="10605" xr:uid="{E718D635-E754-4D6B-A2F0-E401D4B12541}"/>
    <cellStyle name="Normal 4 2 2 4 3 6" xfId="2510" xr:uid="{00000000-0005-0000-0000-0000CC120000}"/>
    <cellStyle name="Normal 4 2 2 4 3 6 2" xfId="6794" xr:uid="{00000000-0005-0000-0000-0000CD120000}"/>
    <cellStyle name="Normal 4 2 2 4 3 6 2 2" xfId="15236" xr:uid="{3FC1F429-74B6-4841-9488-55578542EC7C}"/>
    <cellStyle name="Normal 4 2 2 4 3 6 3" xfId="11018" xr:uid="{4EBA1DB8-A092-455C-B671-C86BC61C9481}"/>
    <cellStyle name="Normal 4 2 2 4 3 7" xfId="4729" xr:uid="{00000000-0005-0000-0000-0000CE120000}"/>
    <cellStyle name="Normal 4 2 2 4 3 7 2" xfId="13171" xr:uid="{B92AA5C0-BF5C-4D5D-A3A2-81BB140F6E1D}"/>
    <cellStyle name="Normal 4 2 2 4 3 8" xfId="8953" xr:uid="{8140683A-10B3-4922-8220-600574ED69D0}"/>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35D8F68E-B37F-4A83-A141-C7BDC032710B}"/>
    <cellStyle name="Normal 4 2 2 4 4 2 3" xfId="11508" xr:uid="{198C888E-0C07-409F-B7FD-148F77C9D662}"/>
    <cellStyle name="Normal 4 2 2 4 4 3" xfId="5139" xr:uid="{00000000-0005-0000-0000-0000D2120000}"/>
    <cellStyle name="Normal 4 2 2 4 4 3 2" xfId="13581" xr:uid="{135B7964-156D-4ED1-B8E0-68CCFE6B8DCC}"/>
    <cellStyle name="Normal 4 2 2 4 4 4" xfId="9363" xr:uid="{6455333B-C6E6-49F5-9377-BC1159ED97D1}"/>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952F14E8-9FC2-4216-B349-C3490DEE5AE3}"/>
    <cellStyle name="Normal 4 2 2 4 5 2 3" xfId="11921" xr:uid="{99C4382F-FAB9-4DE6-8A8A-710E568F8A45}"/>
    <cellStyle name="Normal 4 2 2 4 5 3" xfId="5552" xr:uid="{00000000-0005-0000-0000-0000D6120000}"/>
    <cellStyle name="Normal 4 2 2 4 5 3 2" xfId="13994" xr:uid="{C8660386-1556-4486-A83A-CE305B39D2B2}"/>
    <cellStyle name="Normal 4 2 2 4 5 4" xfId="9776" xr:uid="{444E6ED1-53E7-4131-9F4C-52FEDFF9BC37}"/>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D74F0B72-4DC0-47B5-B375-0856779A4F19}"/>
    <cellStyle name="Normal 4 2 2 4 6 2 3" xfId="12334" xr:uid="{FF125262-6ACB-4B1A-9A1F-0AB9437780A4}"/>
    <cellStyle name="Normal 4 2 2 4 6 3" xfId="5965" xr:uid="{00000000-0005-0000-0000-0000DA120000}"/>
    <cellStyle name="Normal 4 2 2 4 6 3 2" xfId="14407" xr:uid="{C5C0A25C-A9D1-47C1-B864-5D3ECA34A458}"/>
    <cellStyle name="Normal 4 2 2 4 6 4" xfId="10189" xr:uid="{6DF0FC5C-C4A6-4161-88CC-CFFCDC95F971}"/>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9559CB5A-1FAC-4C3A-BE0D-233EBE010DA0}"/>
    <cellStyle name="Normal 4 2 2 4 7 2 3" xfId="12747" xr:uid="{6D38E657-E1E4-4D25-B82B-3F7824F77240}"/>
    <cellStyle name="Normal 4 2 2 4 7 3" xfId="6378" xr:uid="{00000000-0005-0000-0000-0000DE120000}"/>
    <cellStyle name="Normal 4 2 2 4 7 3 2" xfId="14820" xr:uid="{03D82833-82A7-4BDC-93E1-FC68A4AD6B9D}"/>
    <cellStyle name="Normal 4 2 2 4 7 4" xfId="10602" xr:uid="{DBC24711-634C-4CE7-87CA-E99193EC7D83}"/>
    <cellStyle name="Normal 4 2 2 4 8" xfId="2507" xr:uid="{00000000-0005-0000-0000-0000DF120000}"/>
    <cellStyle name="Normal 4 2 2 4 8 2" xfId="6791" xr:uid="{00000000-0005-0000-0000-0000E0120000}"/>
    <cellStyle name="Normal 4 2 2 4 8 2 2" xfId="15233" xr:uid="{E02C6914-6597-4BD3-A330-8EADB869E0D2}"/>
    <cellStyle name="Normal 4 2 2 4 8 3" xfId="11015" xr:uid="{BB163D1E-D836-4084-A381-EBD3CB821D09}"/>
    <cellStyle name="Normal 4 2 2 4 9" xfId="4726" xr:uid="{00000000-0005-0000-0000-0000E1120000}"/>
    <cellStyle name="Normal 4 2 2 4 9 2" xfId="13168" xr:uid="{05EC1402-934A-4765-94AC-2436FD1BF248}"/>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2387743B-278C-486E-BDD8-D93F3200F186}"/>
    <cellStyle name="Normal 4 2 2 5 2 2 2 3" xfId="11513" xr:uid="{E0D64C38-E521-43C5-95C9-77BA21F12BD1}"/>
    <cellStyle name="Normal 4 2 2 5 2 2 3" xfId="5144" xr:uid="{00000000-0005-0000-0000-0000E7120000}"/>
    <cellStyle name="Normal 4 2 2 5 2 2 3 2" xfId="13586" xr:uid="{29B19E54-6F70-4441-8C07-F7D9BE90E69F}"/>
    <cellStyle name="Normal 4 2 2 5 2 2 4" xfId="9368" xr:uid="{FB4AFA07-F770-4ABF-9935-93A5F669702B}"/>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EEFC4C2C-FCFF-4E35-B218-18DD2463335F}"/>
    <cellStyle name="Normal 4 2 2 5 2 3 2 3" xfId="11926" xr:uid="{72FC6A41-9334-4A78-8F57-B957F90ABC4F}"/>
    <cellStyle name="Normal 4 2 2 5 2 3 3" xfId="5557" xr:uid="{00000000-0005-0000-0000-0000EB120000}"/>
    <cellStyle name="Normal 4 2 2 5 2 3 3 2" xfId="13999" xr:uid="{35260BB6-1DB9-4B55-9DFF-2162BACC4A43}"/>
    <cellStyle name="Normal 4 2 2 5 2 3 4" xfId="9781" xr:uid="{C012D8C2-09F7-4DBB-8909-56CCD29E5C8E}"/>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429E323D-FEE1-4414-85AF-73DE3A9C7FD3}"/>
    <cellStyle name="Normal 4 2 2 5 2 4 2 3" xfId="12339" xr:uid="{EB19750C-4C00-4BA5-8BD4-478A1C5CCCED}"/>
    <cellStyle name="Normal 4 2 2 5 2 4 3" xfId="5970" xr:uid="{00000000-0005-0000-0000-0000EF120000}"/>
    <cellStyle name="Normal 4 2 2 5 2 4 3 2" xfId="14412" xr:uid="{682CC0EC-EC60-4B0F-91D4-D6FF687C8312}"/>
    <cellStyle name="Normal 4 2 2 5 2 4 4" xfId="10194" xr:uid="{879AC917-1DF2-49CF-A9C6-8BF4FA939394}"/>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92B2C1C6-DDED-4E6D-A9D4-F51BA2F84DC9}"/>
    <cellStyle name="Normal 4 2 2 5 2 5 2 3" xfId="12752" xr:uid="{03EC8C32-9228-45F8-889E-2B920F1C8C8C}"/>
    <cellStyle name="Normal 4 2 2 5 2 5 3" xfId="6383" xr:uid="{00000000-0005-0000-0000-0000F3120000}"/>
    <cellStyle name="Normal 4 2 2 5 2 5 3 2" xfId="14825" xr:uid="{2F43ADB6-AF1B-4440-ADBE-E72839C8C63F}"/>
    <cellStyle name="Normal 4 2 2 5 2 5 4" xfId="10607" xr:uid="{BFB65C02-8051-4F8C-981E-6ED141C87B84}"/>
    <cellStyle name="Normal 4 2 2 5 2 6" xfId="2512" xr:uid="{00000000-0005-0000-0000-0000F4120000}"/>
    <cellStyle name="Normal 4 2 2 5 2 6 2" xfId="6796" xr:uid="{00000000-0005-0000-0000-0000F5120000}"/>
    <cellStyle name="Normal 4 2 2 5 2 6 2 2" xfId="15238" xr:uid="{835A5052-2761-4FCF-8507-0A22A6E55B21}"/>
    <cellStyle name="Normal 4 2 2 5 2 6 3" xfId="11020" xr:uid="{55661F96-C1A7-427C-B282-7FCB4BECF0C0}"/>
    <cellStyle name="Normal 4 2 2 5 2 7" xfId="4731" xr:uid="{00000000-0005-0000-0000-0000F6120000}"/>
    <cellStyle name="Normal 4 2 2 5 2 7 2" xfId="13173" xr:uid="{A999E942-BFE7-4167-8462-3D9B165B4A18}"/>
    <cellStyle name="Normal 4 2 2 5 2 8" xfId="8955" xr:uid="{882D5C94-CD9A-4F1B-8507-C7A9154FAE36}"/>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FBF7ED2B-F2BE-4AFC-899E-EE7601EE647F}"/>
    <cellStyle name="Normal 4 2 2 5 3 2 3" xfId="11512" xr:uid="{13C71000-E753-4799-8EF4-956BA35D2EA9}"/>
    <cellStyle name="Normal 4 2 2 5 3 3" xfId="5143" xr:uid="{00000000-0005-0000-0000-0000FA120000}"/>
    <cellStyle name="Normal 4 2 2 5 3 3 2" xfId="13585" xr:uid="{F4DFA64B-D6EF-4F6F-AB09-6FC3E4DA6DB7}"/>
    <cellStyle name="Normal 4 2 2 5 3 4" xfId="9367" xr:uid="{457AFE02-A9E9-40A1-A59A-4A8AE670179E}"/>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E747E3AC-289C-4A29-86CE-7F122A9B7807}"/>
    <cellStyle name="Normal 4 2 2 5 4 2 3" xfId="11925" xr:uid="{BB1EF692-8E00-48E0-923C-9EBDCE8AA80C}"/>
    <cellStyle name="Normal 4 2 2 5 4 3" xfId="5556" xr:uid="{00000000-0005-0000-0000-0000FE120000}"/>
    <cellStyle name="Normal 4 2 2 5 4 3 2" xfId="13998" xr:uid="{CC5B56FD-8A57-48EE-94A5-D1F80FAE3B53}"/>
    <cellStyle name="Normal 4 2 2 5 4 4" xfId="9780" xr:uid="{EC11787D-B602-4146-B1AF-79D99EA70458}"/>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E57E78B7-834D-4DCD-AF27-D20ABEAE0140}"/>
    <cellStyle name="Normal 4 2 2 5 5 2 3" xfId="12338" xr:uid="{C247E903-DE6F-4812-8663-E4187E40FC72}"/>
    <cellStyle name="Normal 4 2 2 5 5 3" xfId="5969" xr:uid="{00000000-0005-0000-0000-000002130000}"/>
    <cellStyle name="Normal 4 2 2 5 5 3 2" xfId="14411" xr:uid="{E7DFB6F4-D9A7-43E4-B0D7-CC5BE287570D}"/>
    <cellStyle name="Normal 4 2 2 5 5 4" xfId="10193" xr:uid="{0F16E83E-122A-4476-BC0D-5F3921FC8E5F}"/>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3C6553D9-E0CC-4724-AD88-56EB4FE53876}"/>
    <cellStyle name="Normal 4 2 2 5 6 2 3" xfId="12751" xr:uid="{CDC3F3B0-7941-4872-9398-E81DBD8FCADA}"/>
    <cellStyle name="Normal 4 2 2 5 6 3" xfId="6382" xr:uid="{00000000-0005-0000-0000-000006130000}"/>
    <cellStyle name="Normal 4 2 2 5 6 3 2" xfId="14824" xr:uid="{87E0D2DB-72D2-4397-B19E-5FD7F017AE11}"/>
    <cellStyle name="Normal 4 2 2 5 6 4" xfId="10606" xr:uid="{9C2DB0A4-7F0F-4602-BA7B-85EF4BAF5509}"/>
    <cellStyle name="Normal 4 2 2 5 7" xfId="2511" xr:uid="{00000000-0005-0000-0000-000007130000}"/>
    <cellStyle name="Normal 4 2 2 5 7 2" xfId="6795" xr:uid="{00000000-0005-0000-0000-000008130000}"/>
    <cellStyle name="Normal 4 2 2 5 7 2 2" xfId="15237" xr:uid="{59A046F2-C772-499B-80DE-ECB1FFBE30A2}"/>
    <cellStyle name="Normal 4 2 2 5 7 3" xfId="11019" xr:uid="{4DCF82BB-8E10-416C-8502-0B50A7594A4B}"/>
    <cellStyle name="Normal 4 2 2 5 8" xfId="4730" xr:uid="{00000000-0005-0000-0000-000009130000}"/>
    <cellStyle name="Normal 4 2 2 5 8 2" xfId="13172" xr:uid="{86CF2A61-FA6F-47CA-9E1D-F6574039228C}"/>
    <cellStyle name="Normal 4 2 2 5 9" xfId="8954" xr:uid="{3CC0D9BB-B144-4229-96A2-F8C2AC53DAED}"/>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3104713D-86A6-4303-BCD4-ED08ECF1A071}"/>
    <cellStyle name="Normal 4 2 2 6 2 2 3" xfId="11514" xr:uid="{F3262D97-3E3C-4C7D-8B58-D68977AA8959}"/>
    <cellStyle name="Normal 4 2 2 6 2 3" xfId="5145" xr:uid="{00000000-0005-0000-0000-00000E130000}"/>
    <cellStyle name="Normal 4 2 2 6 2 3 2" xfId="13587" xr:uid="{3695CA76-D04F-4FAD-9C73-557B253994E5}"/>
    <cellStyle name="Normal 4 2 2 6 2 4" xfId="9369" xr:uid="{CE256F69-1507-4E7E-835A-F5557B5FC33A}"/>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A23A3AEC-242D-40A5-8C42-399456F11780}"/>
    <cellStyle name="Normal 4 2 2 6 3 2 3" xfId="11927" xr:uid="{72BB33A5-8A6A-427B-BE46-FA25AC80E8D4}"/>
    <cellStyle name="Normal 4 2 2 6 3 3" xfId="5558" xr:uid="{00000000-0005-0000-0000-000012130000}"/>
    <cellStyle name="Normal 4 2 2 6 3 3 2" xfId="14000" xr:uid="{B908A40E-68A3-469F-94A7-56D4475B9C1A}"/>
    <cellStyle name="Normal 4 2 2 6 3 4" xfId="9782" xr:uid="{56E799EE-2366-4115-8596-B94F6EFCBBC6}"/>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FD409DB9-C815-48E1-905F-393EF73AC5B8}"/>
    <cellStyle name="Normal 4 2 2 6 4 2 3" xfId="12340" xr:uid="{C67FC41D-6271-4400-A43F-8DAB9FD53305}"/>
    <cellStyle name="Normal 4 2 2 6 4 3" xfId="5971" xr:uid="{00000000-0005-0000-0000-000016130000}"/>
    <cellStyle name="Normal 4 2 2 6 4 3 2" xfId="14413" xr:uid="{C5D349A6-92CF-4DA6-8F84-CD86D822A0B0}"/>
    <cellStyle name="Normal 4 2 2 6 4 4" xfId="10195" xr:uid="{5D53F740-E068-413A-91D5-76648B80E1DB}"/>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71B0234A-306C-4233-B714-EC29CF81F166}"/>
    <cellStyle name="Normal 4 2 2 6 5 2 3" xfId="12753" xr:uid="{75178C2D-3A10-4114-8486-E5C0857492FD}"/>
    <cellStyle name="Normal 4 2 2 6 5 3" xfId="6384" xr:uid="{00000000-0005-0000-0000-00001A130000}"/>
    <cellStyle name="Normal 4 2 2 6 5 3 2" xfId="14826" xr:uid="{086CCC11-CC57-4E0D-A418-2B5C0DF87594}"/>
    <cellStyle name="Normal 4 2 2 6 5 4" xfId="10608" xr:uid="{AA57F852-E5A0-4C4B-A519-38D05FEDE31D}"/>
    <cellStyle name="Normal 4 2 2 6 6" xfId="2513" xr:uid="{00000000-0005-0000-0000-00001B130000}"/>
    <cellStyle name="Normal 4 2 2 6 6 2" xfId="6797" xr:uid="{00000000-0005-0000-0000-00001C130000}"/>
    <cellStyle name="Normal 4 2 2 6 6 2 2" xfId="15239" xr:uid="{676A28B0-AD9E-4AB9-A11F-73A4B91397B7}"/>
    <cellStyle name="Normal 4 2 2 6 6 3" xfId="11021" xr:uid="{DDAA4C5A-061A-49D9-88D6-5ED8D3702940}"/>
    <cellStyle name="Normal 4 2 2 6 7" xfId="4732" xr:uid="{00000000-0005-0000-0000-00001D130000}"/>
    <cellStyle name="Normal 4 2 2 6 7 2" xfId="13174" xr:uid="{055F2144-1DA4-423E-AED5-48D00F6B6439}"/>
    <cellStyle name="Normal 4 2 2 6 8" xfId="8956" xr:uid="{64581F7E-18A1-40B9-A945-E86A972870DF}"/>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6B0DD5BB-855E-443C-9222-E3DB7BFB59A1}"/>
    <cellStyle name="Normal 4 2 2 7 2 3" xfId="11499" xr:uid="{71E9FEDF-048E-443E-8843-F59E94FCA794}"/>
    <cellStyle name="Normal 4 2 2 7 3" xfId="5130" xr:uid="{00000000-0005-0000-0000-000021130000}"/>
    <cellStyle name="Normal 4 2 2 7 3 2" xfId="13572" xr:uid="{BAE39540-E580-4810-8A89-7DB68C209031}"/>
    <cellStyle name="Normal 4 2 2 7 4" xfId="9354" xr:uid="{8AD8C649-834F-4C64-B54A-48B7EA9F8C8C}"/>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3D8E9D44-9C9E-4976-BDF4-7E783F649E69}"/>
    <cellStyle name="Normal 4 2 2 8 2 3" xfId="11912" xr:uid="{AAF99F4F-1D24-46B9-98B3-AC462351155D}"/>
    <cellStyle name="Normal 4 2 2 8 3" xfId="5543" xr:uid="{00000000-0005-0000-0000-000025130000}"/>
    <cellStyle name="Normal 4 2 2 8 3 2" xfId="13985" xr:uid="{D1085B74-1651-4769-9980-DE61125E477B}"/>
    <cellStyle name="Normal 4 2 2 8 4" xfId="9767" xr:uid="{E1B61529-80F7-480F-98DA-4BD8E368D96A}"/>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8063C2C2-427C-4FC8-B8D8-27EC597A8A21}"/>
    <cellStyle name="Normal 4 2 2 9 2 3" xfId="12325" xr:uid="{9C947C72-D324-4789-B92D-650E45BEF3C4}"/>
    <cellStyle name="Normal 4 2 2 9 3" xfId="5956" xr:uid="{00000000-0005-0000-0000-000029130000}"/>
    <cellStyle name="Normal 4 2 2 9 3 2" xfId="14398" xr:uid="{203852E5-8BAA-41D0-A619-DA28E8AE75A9}"/>
    <cellStyle name="Normal 4 2 2 9 4" xfId="10180" xr:uid="{71332BA8-EEFC-4E0A-A3D8-5258D50C4E00}"/>
    <cellStyle name="Normal 4 2 3" xfId="354" xr:uid="{00000000-0005-0000-0000-00002A130000}"/>
    <cellStyle name="Normal 4 2 4" xfId="355" xr:uid="{00000000-0005-0000-0000-00002B130000}"/>
    <cellStyle name="Normal 4 2 4 10" xfId="4733" xr:uid="{00000000-0005-0000-0000-00002C130000}"/>
    <cellStyle name="Normal 4 2 4 10 2" xfId="13175" xr:uid="{B85C8794-5450-4B53-9691-1632783DA8C7}"/>
    <cellStyle name="Normal 4 2 4 11" xfId="8957" xr:uid="{31ECFB16-253C-45E8-8B60-6EF326440418}"/>
    <cellStyle name="Normal 4 2 4 2" xfId="356" xr:uid="{00000000-0005-0000-0000-00002D130000}"/>
    <cellStyle name="Normal 4 2 4 2 10" xfId="8958" xr:uid="{92CC8CAC-977A-4F26-A4BD-CA074EEB2AEE}"/>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8C758488-7896-4912-A1C8-E5730D2932F3}"/>
    <cellStyle name="Normal 4 2 4 2 2 2 2 2 3" xfId="11518" xr:uid="{3F73886D-33B4-4719-B8C9-B23DCB366289}"/>
    <cellStyle name="Normal 4 2 4 2 2 2 2 3" xfId="5149" xr:uid="{00000000-0005-0000-0000-000033130000}"/>
    <cellStyle name="Normal 4 2 4 2 2 2 2 3 2" xfId="13591" xr:uid="{AE95D767-72DF-4BF4-889F-ECD5676F1AB2}"/>
    <cellStyle name="Normal 4 2 4 2 2 2 2 4" xfId="9373" xr:uid="{73512557-9FF1-462C-A6DC-4C9974A9114E}"/>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C0034BC0-C5FB-4703-BB12-88DC5351FF51}"/>
    <cellStyle name="Normal 4 2 4 2 2 2 3 2 3" xfId="11931" xr:uid="{B73F18A3-9611-453E-86E3-F9E82D439D6C}"/>
    <cellStyle name="Normal 4 2 4 2 2 2 3 3" xfId="5562" xr:uid="{00000000-0005-0000-0000-000037130000}"/>
    <cellStyle name="Normal 4 2 4 2 2 2 3 3 2" xfId="14004" xr:uid="{06EC630C-16D8-4F84-85FA-5AED9F1E7AEF}"/>
    <cellStyle name="Normal 4 2 4 2 2 2 3 4" xfId="9786" xr:uid="{0D0821DA-4409-489A-9781-5A74549E249C}"/>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023AA826-28EA-4CE7-9E1C-1B3974137235}"/>
    <cellStyle name="Normal 4 2 4 2 2 2 4 2 3" xfId="12344" xr:uid="{EA4796A5-B15C-403F-8589-B623E7C0CF15}"/>
    <cellStyle name="Normal 4 2 4 2 2 2 4 3" xfId="5975" xr:uid="{00000000-0005-0000-0000-00003B130000}"/>
    <cellStyle name="Normal 4 2 4 2 2 2 4 3 2" xfId="14417" xr:uid="{192D7B95-3690-4073-8428-640A9E2CBB70}"/>
    <cellStyle name="Normal 4 2 4 2 2 2 4 4" xfId="10199" xr:uid="{C3358179-DFFD-4483-BE28-D9F1615A3B68}"/>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14B1EC30-07DB-4381-8222-6790F0B31D5E}"/>
    <cellStyle name="Normal 4 2 4 2 2 2 5 2 3" xfId="12757" xr:uid="{53F7C5B8-14BF-427F-8A0D-C853ABB6BB97}"/>
    <cellStyle name="Normal 4 2 4 2 2 2 5 3" xfId="6388" xr:uid="{00000000-0005-0000-0000-00003F130000}"/>
    <cellStyle name="Normal 4 2 4 2 2 2 5 3 2" xfId="14830" xr:uid="{86B4A7BB-D55E-4D74-8A38-582CECB88B69}"/>
    <cellStyle name="Normal 4 2 4 2 2 2 5 4" xfId="10612" xr:uid="{EC5FC5B1-B875-488E-B6EC-9A63DC8558B8}"/>
    <cellStyle name="Normal 4 2 4 2 2 2 6" xfId="2517" xr:uid="{00000000-0005-0000-0000-000040130000}"/>
    <cellStyle name="Normal 4 2 4 2 2 2 6 2" xfId="6801" xr:uid="{00000000-0005-0000-0000-000041130000}"/>
    <cellStyle name="Normal 4 2 4 2 2 2 6 2 2" xfId="15243" xr:uid="{74117526-B87B-423A-B2BA-69E4DDCD13FF}"/>
    <cellStyle name="Normal 4 2 4 2 2 2 6 3" xfId="11025" xr:uid="{75FE8E61-F82A-42D1-A977-E1D12036C102}"/>
    <cellStyle name="Normal 4 2 4 2 2 2 7" xfId="4736" xr:uid="{00000000-0005-0000-0000-000042130000}"/>
    <cellStyle name="Normal 4 2 4 2 2 2 7 2" xfId="13178" xr:uid="{0F29D63E-99D5-41E0-8FAF-47F630276F01}"/>
    <cellStyle name="Normal 4 2 4 2 2 2 8" xfId="8960" xr:uid="{D6242932-4324-4BB6-AF17-A3335B6F30DC}"/>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96DBB8E5-3FC7-48A7-B2AB-7DA1E8DC7793}"/>
    <cellStyle name="Normal 4 2 4 2 2 3 2 3" xfId="11517" xr:uid="{A841A1C9-701A-44EC-9083-D8B79C9E86A9}"/>
    <cellStyle name="Normal 4 2 4 2 2 3 3" xfId="5148" xr:uid="{00000000-0005-0000-0000-000046130000}"/>
    <cellStyle name="Normal 4 2 4 2 2 3 3 2" xfId="13590" xr:uid="{104ED4C1-6037-48D4-A924-669366C34129}"/>
    <cellStyle name="Normal 4 2 4 2 2 3 4" xfId="9372" xr:uid="{53F7677C-D762-42D8-9031-5225F1C7BEFF}"/>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E1F7231D-062F-4985-9D8C-166AAA20506C}"/>
    <cellStyle name="Normal 4 2 4 2 2 4 2 3" xfId="11930" xr:uid="{C87F8D4F-AFC8-4E9A-B6ED-8BDFBAE60537}"/>
    <cellStyle name="Normal 4 2 4 2 2 4 3" xfId="5561" xr:uid="{00000000-0005-0000-0000-00004A130000}"/>
    <cellStyle name="Normal 4 2 4 2 2 4 3 2" xfId="14003" xr:uid="{EB43284D-24D3-4C63-B8B7-D7EDC2EFF5B5}"/>
    <cellStyle name="Normal 4 2 4 2 2 4 4" xfId="9785" xr:uid="{7894E7DA-1CD4-4730-A64E-CD02B531295D}"/>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CA03037C-DB97-4A98-A69C-3A3531D22D9C}"/>
    <cellStyle name="Normal 4 2 4 2 2 5 2 3" xfId="12343" xr:uid="{ABBC1901-A3E9-47F9-B5A7-0EF3A346F25E}"/>
    <cellStyle name="Normal 4 2 4 2 2 5 3" xfId="5974" xr:uid="{00000000-0005-0000-0000-00004E130000}"/>
    <cellStyle name="Normal 4 2 4 2 2 5 3 2" xfId="14416" xr:uid="{97830BEF-5BB6-4399-978B-D39D0D479240}"/>
    <cellStyle name="Normal 4 2 4 2 2 5 4" xfId="10198" xr:uid="{A93397F3-2E48-4069-95B6-377F1267F959}"/>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51011D8E-DB4C-4B24-9B31-6A2DAEFCE2A2}"/>
    <cellStyle name="Normal 4 2 4 2 2 6 2 3" xfId="12756" xr:uid="{A63153EB-4646-43BF-97BD-A50F999B2148}"/>
    <cellStyle name="Normal 4 2 4 2 2 6 3" xfId="6387" xr:uid="{00000000-0005-0000-0000-000052130000}"/>
    <cellStyle name="Normal 4 2 4 2 2 6 3 2" xfId="14829" xr:uid="{01E42930-0E68-4B49-90BE-8BE9D68939EB}"/>
    <cellStyle name="Normal 4 2 4 2 2 6 4" xfId="10611" xr:uid="{600AEE5B-6ED4-4B10-A59B-7FA73EE00A4C}"/>
    <cellStyle name="Normal 4 2 4 2 2 7" xfId="2516" xr:uid="{00000000-0005-0000-0000-000053130000}"/>
    <cellStyle name="Normal 4 2 4 2 2 7 2" xfId="6800" xr:uid="{00000000-0005-0000-0000-000054130000}"/>
    <cellStyle name="Normal 4 2 4 2 2 7 2 2" xfId="15242" xr:uid="{B23F72C9-9727-4FD0-8585-9A09620B2CDC}"/>
    <cellStyle name="Normal 4 2 4 2 2 7 3" xfId="11024" xr:uid="{8F4F9B75-7467-418A-A56E-E32E3B1D152C}"/>
    <cellStyle name="Normal 4 2 4 2 2 8" xfId="4735" xr:uid="{00000000-0005-0000-0000-000055130000}"/>
    <cellStyle name="Normal 4 2 4 2 2 8 2" xfId="13177" xr:uid="{FBE1627E-DF49-4893-BD11-E981868D6186}"/>
    <cellStyle name="Normal 4 2 4 2 2 9" xfId="8959" xr:uid="{926B27C2-0B4D-46B6-A5FE-E7805B99FD78}"/>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B3578F9D-2E45-444C-B332-8588F2BC59F0}"/>
    <cellStyle name="Normal 4 2 4 2 3 2 2 3" xfId="11519" xr:uid="{5609F621-CDB9-4C04-B9DA-ADA47349FDDA}"/>
    <cellStyle name="Normal 4 2 4 2 3 2 3" xfId="5150" xr:uid="{00000000-0005-0000-0000-00005A130000}"/>
    <cellStyle name="Normal 4 2 4 2 3 2 3 2" xfId="13592" xr:uid="{713434FB-DAF1-4DAF-BE5C-2FD0B4C29159}"/>
    <cellStyle name="Normal 4 2 4 2 3 2 4" xfId="9374" xr:uid="{2A25663D-7780-4EE6-95CE-C3E96001AB25}"/>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39A8BA6-53F3-4020-B4E0-318B542C12BF}"/>
    <cellStyle name="Normal 4 2 4 2 3 3 2 3" xfId="11932" xr:uid="{8CE9FDB2-BED8-4D13-9FC6-558913F88F40}"/>
    <cellStyle name="Normal 4 2 4 2 3 3 3" xfId="5563" xr:uid="{00000000-0005-0000-0000-00005E130000}"/>
    <cellStyle name="Normal 4 2 4 2 3 3 3 2" xfId="14005" xr:uid="{8C892C86-45A8-486D-AE16-1E1688E26674}"/>
    <cellStyle name="Normal 4 2 4 2 3 3 4" xfId="9787" xr:uid="{0FBFF498-63A7-4DFE-AA36-E57D6885D3DB}"/>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FB9F61A2-49A9-4B06-A481-12E1BC075433}"/>
    <cellStyle name="Normal 4 2 4 2 3 4 2 3" xfId="12345" xr:uid="{6CBADE7C-BE96-4ADF-9A27-196D18863704}"/>
    <cellStyle name="Normal 4 2 4 2 3 4 3" xfId="5976" xr:uid="{00000000-0005-0000-0000-000062130000}"/>
    <cellStyle name="Normal 4 2 4 2 3 4 3 2" xfId="14418" xr:uid="{994C0472-1B07-49C1-91C0-58BC742ABC87}"/>
    <cellStyle name="Normal 4 2 4 2 3 4 4" xfId="10200" xr:uid="{5EDC2ACB-82C4-4CA7-B8EC-4ED9A0624E8F}"/>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4C6712C4-BC84-4F6F-BF6C-BF0C905D2DC2}"/>
    <cellStyle name="Normal 4 2 4 2 3 5 2 3" xfId="12758" xr:uid="{2D9F9803-B0D3-49BD-8037-0BA3E6ACEFFE}"/>
    <cellStyle name="Normal 4 2 4 2 3 5 3" xfId="6389" xr:uid="{00000000-0005-0000-0000-000066130000}"/>
    <cellStyle name="Normal 4 2 4 2 3 5 3 2" xfId="14831" xr:uid="{92932B81-8B34-46CB-89A4-AC2BA0E1D34B}"/>
    <cellStyle name="Normal 4 2 4 2 3 5 4" xfId="10613" xr:uid="{52B78133-DB85-4C73-BDCF-F3160B570E8B}"/>
    <cellStyle name="Normal 4 2 4 2 3 6" xfId="2518" xr:uid="{00000000-0005-0000-0000-000067130000}"/>
    <cellStyle name="Normal 4 2 4 2 3 6 2" xfId="6802" xr:uid="{00000000-0005-0000-0000-000068130000}"/>
    <cellStyle name="Normal 4 2 4 2 3 6 2 2" xfId="15244" xr:uid="{E95FC7E9-5E26-4409-9F7C-C99CF2A5C508}"/>
    <cellStyle name="Normal 4 2 4 2 3 6 3" xfId="11026" xr:uid="{3AD771FF-3744-47DD-B53D-B6818F9F8FC8}"/>
    <cellStyle name="Normal 4 2 4 2 3 7" xfId="4737" xr:uid="{00000000-0005-0000-0000-000069130000}"/>
    <cellStyle name="Normal 4 2 4 2 3 7 2" xfId="13179" xr:uid="{CC25D6A4-779E-4B05-96EF-9DB8C154F731}"/>
    <cellStyle name="Normal 4 2 4 2 3 8" xfId="8961" xr:uid="{ECE57668-8DF2-482A-A716-2F4BFF05FC26}"/>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0F0EA6B1-2507-4237-BCD1-ACC15A597C00}"/>
    <cellStyle name="Normal 4 2 4 2 4 2 3" xfId="11516" xr:uid="{377CDDB4-DB07-4A5E-947D-BB3F15A2FC05}"/>
    <cellStyle name="Normal 4 2 4 2 4 3" xfId="5147" xr:uid="{00000000-0005-0000-0000-00006D130000}"/>
    <cellStyle name="Normal 4 2 4 2 4 3 2" xfId="13589" xr:uid="{59487D9E-3DDD-4CB9-8B18-BD5301B35A1C}"/>
    <cellStyle name="Normal 4 2 4 2 4 4" xfId="9371" xr:uid="{2350759B-7D40-497A-AE41-5E3AF4947287}"/>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FE39E7A4-B814-47DA-B5D6-E3B8677EC99A}"/>
    <cellStyle name="Normal 4 2 4 2 5 2 3" xfId="11929" xr:uid="{A62CD980-3BF1-4FE3-BCFC-40419EF1E0E0}"/>
    <cellStyle name="Normal 4 2 4 2 5 3" xfId="5560" xr:uid="{00000000-0005-0000-0000-000071130000}"/>
    <cellStyle name="Normal 4 2 4 2 5 3 2" xfId="14002" xr:uid="{A1B5D8EC-E9D8-45BD-A94D-34152B2DA191}"/>
    <cellStyle name="Normal 4 2 4 2 5 4" xfId="9784" xr:uid="{27C5149D-CE42-4576-9A13-8C63F4670C54}"/>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C9356CC4-AD86-4CB6-A56D-31D5D0A2A724}"/>
    <cellStyle name="Normal 4 2 4 2 6 2 3" xfId="12342" xr:uid="{EBBEFB44-F319-4CD4-8AF4-0FA8531D2F4E}"/>
    <cellStyle name="Normal 4 2 4 2 6 3" xfId="5973" xr:uid="{00000000-0005-0000-0000-000075130000}"/>
    <cellStyle name="Normal 4 2 4 2 6 3 2" xfId="14415" xr:uid="{13C5BA5A-95ED-4735-98FA-3877AD4383F6}"/>
    <cellStyle name="Normal 4 2 4 2 6 4" xfId="10197" xr:uid="{72891754-E8E6-47E8-9297-8B93F78D2864}"/>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B71BA509-E641-49FE-AC4D-298E5A87499B}"/>
    <cellStyle name="Normal 4 2 4 2 7 2 3" xfId="12755" xr:uid="{7E875B16-3331-4434-BC61-3D2CE738B67E}"/>
    <cellStyle name="Normal 4 2 4 2 7 3" xfId="6386" xr:uid="{00000000-0005-0000-0000-000079130000}"/>
    <cellStyle name="Normal 4 2 4 2 7 3 2" xfId="14828" xr:uid="{367E9360-EEDA-4EFD-8484-417ED5371D55}"/>
    <cellStyle name="Normal 4 2 4 2 7 4" xfId="10610" xr:uid="{2185473E-6775-49C4-80DC-0D5743FBCDA9}"/>
    <cellStyle name="Normal 4 2 4 2 8" xfId="2515" xr:uid="{00000000-0005-0000-0000-00007A130000}"/>
    <cellStyle name="Normal 4 2 4 2 8 2" xfId="6799" xr:uid="{00000000-0005-0000-0000-00007B130000}"/>
    <cellStyle name="Normal 4 2 4 2 8 2 2" xfId="15241" xr:uid="{27FB966D-B24D-4501-B50E-A6E9216CCED6}"/>
    <cellStyle name="Normal 4 2 4 2 8 3" xfId="11023" xr:uid="{DE588269-03DE-4C71-AB47-34867BA02367}"/>
    <cellStyle name="Normal 4 2 4 2 9" xfId="4734" xr:uid="{00000000-0005-0000-0000-00007C130000}"/>
    <cellStyle name="Normal 4 2 4 2 9 2" xfId="13176" xr:uid="{BB6D0508-6694-4022-A8D4-FBB84E24F3FB}"/>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AADB7B11-87D7-49FE-9D6C-0DB7A8987082}"/>
    <cellStyle name="Normal 4 2 4 3 2 2 2 3" xfId="11521" xr:uid="{BF36AFD0-7DFC-474F-A355-1C736C2E147F}"/>
    <cellStyle name="Normal 4 2 4 3 2 2 3" xfId="5152" xr:uid="{00000000-0005-0000-0000-000082130000}"/>
    <cellStyle name="Normal 4 2 4 3 2 2 3 2" xfId="13594" xr:uid="{26C2E394-9D17-4005-98ED-DA6B8B8FE063}"/>
    <cellStyle name="Normal 4 2 4 3 2 2 4" xfId="9376" xr:uid="{2DF35373-39AA-4F5B-BC44-0D78AE593C69}"/>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93405E14-2CC8-44AC-8656-F4F29529CCE0}"/>
    <cellStyle name="Normal 4 2 4 3 2 3 2 3" xfId="11934" xr:uid="{827D4CD1-3147-4E6C-8882-70717F33C09D}"/>
    <cellStyle name="Normal 4 2 4 3 2 3 3" xfId="5565" xr:uid="{00000000-0005-0000-0000-000086130000}"/>
    <cellStyle name="Normal 4 2 4 3 2 3 3 2" xfId="14007" xr:uid="{99636287-6902-4949-9950-9D89CF326872}"/>
    <cellStyle name="Normal 4 2 4 3 2 3 4" xfId="9789" xr:uid="{1A40226C-67F4-44A9-8041-41B2FE9550C1}"/>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E3E60CC7-C024-4838-9679-56B5BF9EB903}"/>
    <cellStyle name="Normal 4 2 4 3 2 4 2 3" xfId="12347" xr:uid="{9D6C302E-079B-4E44-881B-CD828CCC95DF}"/>
    <cellStyle name="Normal 4 2 4 3 2 4 3" xfId="5978" xr:uid="{00000000-0005-0000-0000-00008A130000}"/>
    <cellStyle name="Normal 4 2 4 3 2 4 3 2" xfId="14420" xr:uid="{0CC1799E-BE45-4787-8FAA-E8329D6C99BF}"/>
    <cellStyle name="Normal 4 2 4 3 2 4 4" xfId="10202" xr:uid="{EDFD6805-7CF6-41EC-99D2-38CBDE1CB8C4}"/>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0BAE3A5E-8E5A-49D2-8297-ABECAF7C3741}"/>
    <cellStyle name="Normal 4 2 4 3 2 5 2 3" xfId="12760" xr:uid="{000633AF-1E7C-459B-8361-D0B0BC560A6C}"/>
    <cellStyle name="Normal 4 2 4 3 2 5 3" xfId="6391" xr:uid="{00000000-0005-0000-0000-00008E130000}"/>
    <cellStyle name="Normal 4 2 4 3 2 5 3 2" xfId="14833" xr:uid="{0EEBC2CC-14C6-4BD9-834A-9964BB639FB6}"/>
    <cellStyle name="Normal 4 2 4 3 2 5 4" xfId="10615" xr:uid="{E7AC1BE5-3AEC-4608-832D-7EAC42038EAB}"/>
    <cellStyle name="Normal 4 2 4 3 2 6" xfId="2520" xr:uid="{00000000-0005-0000-0000-00008F130000}"/>
    <cellStyle name="Normal 4 2 4 3 2 6 2" xfId="6804" xr:uid="{00000000-0005-0000-0000-000090130000}"/>
    <cellStyle name="Normal 4 2 4 3 2 6 2 2" xfId="15246" xr:uid="{4D6EDC43-49A9-4BEB-B7DA-FD563F20AC88}"/>
    <cellStyle name="Normal 4 2 4 3 2 6 3" xfId="11028" xr:uid="{EB013A44-DE56-469B-B8A8-A8A80E00CF8A}"/>
    <cellStyle name="Normal 4 2 4 3 2 7" xfId="4739" xr:uid="{00000000-0005-0000-0000-000091130000}"/>
    <cellStyle name="Normal 4 2 4 3 2 7 2" xfId="13181" xr:uid="{B67D1772-2891-4258-A6AF-54F6B6EE83C6}"/>
    <cellStyle name="Normal 4 2 4 3 2 8" xfId="8963" xr:uid="{1CA92964-52C4-43AC-98D7-EE939EB4EC9B}"/>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BF5CA6FC-C218-49D0-97F4-826C5EA89986}"/>
    <cellStyle name="Normal 4 2 4 3 3 2 3" xfId="11520" xr:uid="{F9C50C8E-8BAF-40F2-8554-D97496A7192E}"/>
    <cellStyle name="Normal 4 2 4 3 3 3" xfId="5151" xr:uid="{00000000-0005-0000-0000-000095130000}"/>
    <cellStyle name="Normal 4 2 4 3 3 3 2" xfId="13593" xr:uid="{E6F2CAC3-E347-4FD6-944F-E0229A5FBEA7}"/>
    <cellStyle name="Normal 4 2 4 3 3 4" xfId="9375" xr:uid="{FE599628-A1C0-4D4E-8834-6D64F1261CAA}"/>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9862CBE9-6C80-453D-88D7-16F53C311068}"/>
    <cellStyle name="Normal 4 2 4 3 4 2 3" xfId="11933" xr:uid="{718E5E0A-A075-4C17-B73D-B7DC933523B2}"/>
    <cellStyle name="Normal 4 2 4 3 4 3" xfId="5564" xr:uid="{00000000-0005-0000-0000-000099130000}"/>
    <cellStyle name="Normal 4 2 4 3 4 3 2" xfId="14006" xr:uid="{7622F906-64E8-4B06-A227-C042A7F11F93}"/>
    <cellStyle name="Normal 4 2 4 3 4 4" xfId="9788" xr:uid="{020224CA-97DA-4930-83BF-1DC967CD94AF}"/>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F1C528A8-9276-4077-95F5-F01397693731}"/>
    <cellStyle name="Normal 4 2 4 3 5 2 3" xfId="12346" xr:uid="{FD0D2616-A2F6-4A1A-9669-9A771B25A15F}"/>
    <cellStyle name="Normal 4 2 4 3 5 3" xfId="5977" xr:uid="{00000000-0005-0000-0000-00009D130000}"/>
    <cellStyle name="Normal 4 2 4 3 5 3 2" xfId="14419" xr:uid="{805F0C00-D812-4709-A0EB-030A53DC5274}"/>
    <cellStyle name="Normal 4 2 4 3 5 4" xfId="10201" xr:uid="{D9696EFE-557E-4446-BA29-987F0AD0C342}"/>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D6EB2610-7660-49A1-998B-FD49887247DF}"/>
    <cellStyle name="Normal 4 2 4 3 6 2 3" xfId="12759" xr:uid="{C0818AF2-CF37-4D1C-B3A7-A1FCA2B6ADF4}"/>
    <cellStyle name="Normal 4 2 4 3 6 3" xfId="6390" xr:uid="{00000000-0005-0000-0000-0000A1130000}"/>
    <cellStyle name="Normal 4 2 4 3 6 3 2" xfId="14832" xr:uid="{976204D0-B5EB-478E-91B3-EB8107913E76}"/>
    <cellStyle name="Normal 4 2 4 3 6 4" xfId="10614" xr:uid="{0442D876-228C-4998-9098-9F91F87E60CA}"/>
    <cellStyle name="Normal 4 2 4 3 7" xfId="2519" xr:uid="{00000000-0005-0000-0000-0000A2130000}"/>
    <cellStyle name="Normal 4 2 4 3 7 2" xfId="6803" xr:uid="{00000000-0005-0000-0000-0000A3130000}"/>
    <cellStyle name="Normal 4 2 4 3 7 2 2" xfId="15245" xr:uid="{DB772C1A-4BCD-4791-B1C7-70F365E3FB98}"/>
    <cellStyle name="Normal 4 2 4 3 7 3" xfId="11027" xr:uid="{059C10C9-501E-4929-B316-E1CDBA37600F}"/>
    <cellStyle name="Normal 4 2 4 3 8" xfId="4738" xr:uid="{00000000-0005-0000-0000-0000A4130000}"/>
    <cellStyle name="Normal 4 2 4 3 8 2" xfId="13180" xr:uid="{8E0D6DE9-8B3B-414A-89C9-D4FABEAA0387}"/>
    <cellStyle name="Normal 4 2 4 3 9" xfId="8962" xr:uid="{FA8989A8-70D4-42B9-9A74-D56B5D66C2A7}"/>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5F9B3646-B12E-4115-A1E8-8278063D9745}"/>
    <cellStyle name="Normal 4 2 4 4 2 2 3" xfId="11522" xr:uid="{4E4D8AB1-5F4A-4169-AF7F-8160D53CF2DC}"/>
    <cellStyle name="Normal 4 2 4 4 2 3" xfId="5153" xr:uid="{00000000-0005-0000-0000-0000A9130000}"/>
    <cellStyle name="Normal 4 2 4 4 2 3 2" xfId="13595" xr:uid="{E04C21D8-18F7-434C-9F94-270F9F78C981}"/>
    <cellStyle name="Normal 4 2 4 4 2 4" xfId="9377" xr:uid="{F40552C9-D14D-4F3A-A779-E777DDC24D24}"/>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59AA8789-1A32-41E9-9C4C-0F417590D784}"/>
    <cellStyle name="Normal 4 2 4 4 3 2 3" xfId="11935" xr:uid="{4369A6FB-B554-4367-9B23-9E81E26A7210}"/>
    <cellStyle name="Normal 4 2 4 4 3 3" xfId="5566" xr:uid="{00000000-0005-0000-0000-0000AD130000}"/>
    <cellStyle name="Normal 4 2 4 4 3 3 2" xfId="14008" xr:uid="{8958D22A-AAB3-4E39-98FA-433003AB5E81}"/>
    <cellStyle name="Normal 4 2 4 4 3 4" xfId="9790" xr:uid="{33287E9D-EB66-496B-8920-E79C9D44CFE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0CB0E370-B55D-41C0-A898-F47233DDB289}"/>
    <cellStyle name="Normal 4 2 4 4 4 2 3" xfId="12348" xr:uid="{6CBF1694-6A18-4A68-9999-2DAD6C4C5CF0}"/>
    <cellStyle name="Normal 4 2 4 4 4 3" xfId="5979" xr:uid="{00000000-0005-0000-0000-0000B1130000}"/>
    <cellStyle name="Normal 4 2 4 4 4 3 2" xfId="14421" xr:uid="{57163285-AC32-4152-A671-5D110E96D014}"/>
    <cellStyle name="Normal 4 2 4 4 4 4" xfId="10203" xr:uid="{3E9874A1-3F01-410F-B424-C07DDD258256}"/>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2580F017-0488-4549-A5FC-A42C640E81B2}"/>
    <cellStyle name="Normal 4 2 4 4 5 2 3" xfId="12761" xr:uid="{2280F1A9-1A10-4708-A7C1-5B76D690ED13}"/>
    <cellStyle name="Normal 4 2 4 4 5 3" xfId="6392" xr:uid="{00000000-0005-0000-0000-0000B5130000}"/>
    <cellStyle name="Normal 4 2 4 4 5 3 2" xfId="14834" xr:uid="{0FB5C639-B9E2-4B5F-A4BF-FDDB342BAD95}"/>
    <cellStyle name="Normal 4 2 4 4 5 4" xfId="10616" xr:uid="{A249683F-975A-4671-B348-47265E3257AE}"/>
    <cellStyle name="Normal 4 2 4 4 6" xfId="2521" xr:uid="{00000000-0005-0000-0000-0000B6130000}"/>
    <cellStyle name="Normal 4 2 4 4 6 2" xfId="6805" xr:uid="{00000000-0005-0000-0000-0000B7130000}"/>
    <cellStyle name="Normal 4 2 4 4 6 2 2" xfId="15247" xr:uid="{76E83BE3-BF36-427E-B1BA-6AA1A608BA40}"/>
    <cellStyle name="Normal 4 2 4 4 6 3" xfId="11029" xr:uid="{EEEDE080-39C7-4837-AA09-EF04DF860163}"/>
    <cellStyle name="Normal 4 2 4 4 7" xfId="4740" xr:uid="{00000000-0005-0000-0000-0000B8130000}"/>
    <cellStyle name="Normal 4 2 4 4 7 2" xfId="13182" xr:uid="{81546B24-1D70-4CD3-B0A0-BB3EF56B247C}"/>
    <cellStyle name="Normal 4 2 4 4 8" xfId="8964" xr:uid="{A8DDD117-F9E0-4D4C-8D21-5DCC29E9CB50}"/>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5A172ADF-09D6-4B7C-88F2-08A437D0F656}"/>
    <cellStyle name="Normal 4 2 4 5 2 3" xfId="11515" xr:uid="{624E6BD1-A837-4561-9F8E-5EC3E90346C8}"/>
    <cellStyle name="Normal 4 2 4 5 3" xfId="5146" xr:uid="{00000000-0005-0000-0000-0000BC130000}"/>
    <cellStyle name="Normal 4 2 4 5 3 2" xfId="13588" xr:uid="{5DBEC400-0D3A-47F4-B2FE-F37CA1D82FEB}"/>
    <cellStyle name="Normal 4 2 4 5 4" xfId="9370" xr:uid="{37677192-3D49-42B2-AFF2-7915B39177C2}"/>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84007037-5C17-4584-BBEE-D35C60A90874}"/>
    <cellStyle name="Normal 4 2 4 6 2 3" xfId="11928" xr:uid="{60133EAF-3250-4B81-BDD7-13B8AF813178}"/>
    <cellStyle name="Normal 4 2 4 6 3" xfId="5559" xr:uid="{00000000-0005-0000-0000-0000C0130000}"/>
    <cellStyle name="Normal 4 2 4 6 3 2" xfId="14001" xr:uid="{DE1C7EA2-45CA-4443-A02B-4E1D59A21F71}"/>
    <cellStyle name="Normal 4 2 4 6 4" xfId="9783" xr:uid="{7AE21255-C428-4E8B-AF5D-AEAECE8A685C}"/>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B420D706-A789-4B1E-AF57-BFE5AD8BD2C7}"/>
    <cellStyle name="Normal 4 2 4 7 2 3" xfId="12341" xr:uid="{D661E7EB-EA91-409D-9013-9F423DE48089}"/>
    <cellStyle name="Normal 4 2 4 7 3" xfId="5972" xr:uid="{00000000-0005-0000-0000-0000C4130000}"/>
    <cellStyle name="Normal 4 2 4 7 3 2" xfId="14414" xr:uid="{59767D6A-2405-4B1F-8E05-3FD6D7D29CE2}"/>
    <cellStyle name="Normal 4 2 4 7 4" xfId="10196" xr:uid="{5EFE0C1C-7BFF-482A-AC94-B62331F25548}"/>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559BB8C2-0800-45ED-A1E9-18DC7DC0D589}"/>
    <cellStyle name="Normal 4 2 4 8 2 3" xfId="12754" xr:uid="{EA37C957-D7D1-4821-8D5D-A201B7658265}"/>
    <cellStyle name="Normal 4 2 4 8 3" xfId="6385" xr:uid="{00000000-0005-0000-0000-0000C8130000}"/>
    <cellStyle name="Normal 4 2 4 8 3 2" xfId="14827" xr:uid="{17487F83-D408-4C39-AE05-3D3CBEA85372}"/>
    <cellStyle name="Normal 4 2 4 8 4" xfId="10609" xr:uid="{D472AE42-B05F-46E3-A564-51CFF08E33D6}"/>
    <cellStyle name="Normal 4 2 4 9" xfId="2514" xr:uid="{00000000-0005-0000-0000-0000C9130000}"/>
    <cellStyle name="Normal 4 2 4 9 2" xfId="6798" xr:uid="{00000000-0005-0000-0000-0000CA130000}"/>
    <cellStyle name="Normal 4 2 4 9 2 2" xfId="15240" xr:uid="{75DAC0AA-505D-4DD6-BCF4-92472B42DAB7}"/>
    <cellStyle name="Normal 4 2 4 9 3" xfId="11022" xr:uid="{A278F179-AC5B-4485-B8A4-73444412C694}"/>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79140C12-2E1B-41E0-835B-FA5E6A4BAF23}"/>
    <cellStyle name="Normal 4 2 5 2 2 2 3" xfId="11524" xr:uid="{745A8603-8BC3-4680-96A2-7D5A1B20027A}"/>
    <cellStyle name="Normal 4 2 5 2 2 3" xfId="5155" xr:uid="{00000000-0005-0000-0000-0000D0130000}"/>
    <cellStyle name="Normal 4 2 5 2 2 3 2" xfId="13597" xr:uid="{53634015-223E-4245-BD91-6C343CE401F5}"/>
    <cellStyle name="Normal 4 2 5 2 2 4" xfId="9379" xr:uid="{1B21D968-446C-45F8-83F5-E7FA85488AD7}"/>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EBBBCD33-6F98-4D8F-97D2-BCC77E42E390}"/>
    <cellStyle name="Normal 4 2 5 2 3 2 3" xfId="11937" xr:uid="{68145EDE-F781-4A91-858F-F189E9C38102}"/>
    <cellStyle name="Normal 4 2 5 2 3 3" xfId="5568" xr:uid="{00000000-0005-0000-0000-0000D4130000}"/>
    <cellStyle name="Normal 4 2 5 2 3 3 2" xfId="14010" xr:uid="{B4E0D50D-848E-4468-94D6-6E66AAAA3FBC}"/>
    <cellStyle name="Normal 4 2 5 2 3 4" xfId="9792" xr:uid="{E659DF55-B3D4-46A7-B226-32A51C81C203}"/>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FE3CA5AE-DEED-480E-BC4D-D01E2634B69F}"/>
    <cellStyle name="Normal 4 2 5 2 4 2 3" xfId="12350" xr:uid="{926A4CC2-1AA4-4E52-82E1-497C9C4469C3}"/>
    <cellStyle name="Normal 4 2 5 2 4 3" xfId="5981" xr:uid="{00000000-0005-0000-0000-0000D8130000}"/>
    <cellStyle name="Normal 4 2 5 2 4 3 2" xfId="14423" xr:uid="{3D07F4DF-A59A-4479-A0FB-9A74DAEDB454}"/>
    <cellStyle name="Normal 4 2 5 2 4 4" xfId="10205" xr:uid="{B11A3937-D400-4D24-A17C-83E74CE4A336}"/>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C52FDE9A-471A-4326-B8AC-250C259C0A52}"/>
    <cellStyle name="Normal 4 2 5 2 5 2 3" xfId="12763" xr:uid="{DF04BF87-224E-471C-9C8F-C7B863B157D4}"/>
    <cellStyle name="Normal 4 2 5 2 5 3" xfId="6394" xr:uid="{00000000-0005-0000-0000-0000DC130000}"/>
    <cellStyle name="Normal 4 2 5 2 5 3 2" xfId="14836" xr:uid="{030A563D-EF8E-4F99-ADC7-CC6CBC1F35FF}"/>
    <cellStyle name="Normal 4 2 5 2 5 4" xfId="10618" xr:uid="{90F1E8E5-8A88-4B78-919B-42685171E267}"/>
    <cellStyle name="Normal 4 2 5 2 6" xfId="2523" xr:uid="{00000000-0005-0000-0000-0000DD130000}"/>
    <cellStyle name="Normal 4 2 5 2 6 2" xfId="6807" xr:uid="{00000000-0005-0000-0000-0000DE130000}"/>
    <cellStyle name="Normal 4 2 5 2 6 2 2" xfId="15249" xr:uid="{F2E24A10-AE3B-4F83-A012-F9205FFE78E2}"/>
    <cellStyle name="Normal 4 2 5 2 6 3" xfId="11031" xr:uid="{3EB204B6-86B6-4591-84A4-1D7F5BF4F94D}"/>
    <cellStyle name="Normal 4 2 5 2 7" xfId="4742" xr:uid="{00000000-0005-0000-0000-0000DF130000}"/>
    <cellStyle name="Normal 4 2 5 2 7 2" xfId="13184" xr:uid="{C27E0AE5-9576-4A64-BC75-B437DFDFC7E5}"/>
    <cellStyle name="Normal 4 2 5 2 8" xfId="8966" xr:uid="{D60EFB1B-249C-41FF-927F-EE0A20A3FBD2}"/>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25FE9EE5-909B-4E73-95BB-D4F86D6E605B}"/>
    <cellStyle name="Normal 4 2 5 3 2 3" xfId="11523" xr:uid="{F8230E4C-13F8-4998-9F1A-A1E09BF8E12B}"/>
    <cellStyle name="Normal 4 2 5 3 3" xfId="5154" xr:uid="{00000000-0005-0000-0000-0000E3130000}"/>
    <cellStyle name="Normal 4 2 5 3 3 2" xfId="13596" xr:uid="{5FA7883F-0317-4C2D-99D8-30056557810C}"/>
    <cellStyle name="Normal 4 2 5 3 4" xfId="9378" xr:uid="{C6807973-AC27-4F08-940D-F42621283385}"/>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997968EC-F7FF-4113-AE87-04C78BF594E1}"/>
    <cellStyle name="Normal 4 2 5 4 2 3" xfId="11936" xr:uid="{A4578F81-ECA0-47DB-BB80-350BB40AF4DD}"/>
    <cellStyle name="Normal 4 2 5 4 3" xfId="5567" xr:uid="{00000000-0005-0000-0000-0000E7130000}"/>
    <cellStyle name="Normal 4 2 5 4 3 2" xfId="14009" xr:uid="{B91F5A58-3F1D-4311-9178-9219ACCAE629}"/>
    <cellStyle name="Normal 4 2 5 4 4" xfId="9791" xr:uid="{07888D60-7AE0-4F88-AD9C-1D63E2458D92}"/>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18E80686-CE5F-4092-A2D0-8C9C1CC5B625}"/>
    <cellStyle name="Normal 4 2 5 5 2 3" xfId="12349" xr:uid="{6AA04FD0-B9D7-4587-8FCB-1DEFFFD7671C}"/>
    <cellStyle name="Normal 4 2 5 5 3" xfId="5980" xr:uid="{00000000-0005-0000-0000-0000EB130000}"/>
    <cellStyle name="Normal 4 2 5 5 3 2" xfId="14422" xr:uid="{1E28F902-3359-4CB3-A9F7-3350722C74E2}"/>
    <cellStyle name="Normal 4 2 5 5 4" xfId="10204" xr:uid="{32706530-AA2B-477A-9C1A-3B3A2978C513}"/>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135178B3-7905-4F2D-B802-F8CEE32DB9D8}"/>
    <cellStyle name="Normal 4 2 5 6 2 3" xfId="12762" xr:uid="{2ED0D9B5-BE39-429A-A2A2-2535172B798B}"/>
    <cellStyle name="Normal 4 2 5 6 3" xfId="6393" xr:uid="{00000000-0005-0000-0000-0000EF130000}"/>
    <cellStyle name="Normal 4 2 5 6 3 2" xfId="14835" xr:uid="{714F64E5-C8CD-4556-B1A7-A7CF07801CFB}"/>
    <cellStyle name="Normal 4 2 5 6 4" xfId="10617" xr:uid="{99D62E7D-DD33-433C-951B-D2AAF3764963}"/>
    <cellStyle name="Normal 4 2 5 7" xfId="2522" xr:uid="{00000000-0005-0000-0000-0000F0130000}"/>
    <cellStyle name="Normal 4 2 5 7 2" xfId="6806" xr:uid="{00000000-0005-0000-0000-0000F1130000}"/>
    <cellStyle name="Normal 4 2 5 7 2 2" xfId="15248" xr:uid="{041E14D7-F8B4-4BD0-8D70-8B473407FEE2}"/>
    <cellStyle name="Normal 4 2 5 7 3" xfId="11030" xr:uid="{F66F249A-25DE-48DB-90C6-914A0A063C5D}"/>
    <cellStyle name="Normal 4 2 5 8" xfId="4741" xr:uid="{00000000-0005-0000-0000-0000F2130000}"/>
    <cellStyle name="Normal 4 2 5 8 2" xfId="13183" xr:uid="{7AD353BB-224D-4016-9482-43E819A6D8DE}"/>
    <cellStyle name="Normal 4 2 5 9" xfId="8965" xr:uid="{4EEF0F08-D67A-4607-8ACA-A6CCE524CE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64F7042D-F764-44F1-8E3C-E90B9CB4441D}"/>
    <cellStyle name="Normal 4 2 6 2 2 3" xfId="11525" xr:uid="{91F9F438-A00E-44C5-BDCF-5229F1D34BDF}"/>
    <cellStyle name="Normal 4 2 6 2 3" xfId="5156" xr:uid="{00000000-0005-0000-0000-0000F7130000}"/>
    <cellStyle name="Normal 4 2 6 2 3 2" xfId="13598" xr:uid="{24547E07-5111-4962-B555-3339BC423D28}"/>
    <cellStyle name="Normal 4 2 6 2 4" xfId="9380" xr:uid="{04938629-6C40-4162-8838-F0A5BA4788B4}"/>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A8B8A0D3-A8D0-40C0-9F65-F1AF7EB70AAE}"/>
    <cellStyle name="Normal 4 2 6 3 2 3" xfId="11938" xr:uid="{3D77153B-CECC-4986-B9AA-AF44872E055B}"/>
    <cellStyle name="Normal 4 2 6 3 3" xfId="5569" xr:uid="{00000000-0005-0000-0000-0000FB130000}"/>
    <cellStyle name="Normal 4 2 6 3 3 2" xfId="14011" xr:uid="{4187BBC6-B9CB-48E4-A146-3E2D16AC92B0}"/>
    <cellStyle name="Normal 4 2 6 3 4" xfId="9793" xr:uid="{4239675D-142E-4158-AFC9-5C527CE684DB}"/>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F272947C-01D4-4DA7-B62A-D2AA56F75822}"/>
    <cellStyle name="Normal 4 2 6 4 2 3" xfId="12351" xr:uid="{73AA2EE8-87CA-406E-A56C-777094386387}"/>
    <cellStyle name="Normal 4 2 6 4 3" xfId="5982" xr:uid="{00000000-0005-0000-0000-0000FF130000}"/>
    <cellStyle name="Normal 4 2 6 4 3 2" xfId="14424" xr:uid="{690A9230-0A39-4F79-B3ED-08A791E9AF12}"/>
    <cellStyle name="Normal 4 2 6 4 4" xfId="10206" xr:uid="{9D3ADF01-8EDE-45AC-9BBD-F6648B55C734}"/>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793ECE7C-F808-4A12-85D7-29C36885580C}"/>
    <cellStyle name="Normal 4 2 6 5 2 3" xfId="12764" xr:uid="{758430BF-2903-4A0A-BCA8-D2E7FD73BB96}"/>
    <cellStyle name="Normal 4 2 6 5 3" xfId="6395" xr:uid="{00000000-0005-0000-0000-000003140000}"/>
    <cellStyle name="Normal 4 2 6 5 3 2" xfId="14837" xr:uid="{4193AB6D-1CE3-4570-971D-B7AF6FE2B654}"/>
    <cellStyle name="Normal 4 2 6 5 4" xfId="10619" xr:uid="{021162D3-44A7-4D83-8837-5B3719405F97}"/>
    <cellStyle name="Normal 4 2 6 6" xfId="2524" xr:uid="{00000000-0005-0000-0000-000004140000}"/>
    <cellStyle name="Normal 4 2 6 6 2" xfId="6808" xr:uid="{00000000-0005-0000-0000-000005140000}"/>
    <cellStyle name="Normal 4 2 6 6 2 2" xfId="15250" xr:uid="{B964EF2D-6366-412F-ABDB-D65AF9049C6E}"/>
    <cellStyle name="Normal 4 2 6 6 3" xfId="11032" xr:uid="{52D2F12A-FF35-49E6-8C25-6E9ACD776080}"/>
    <cellStyle name="Normal 4 2 6 7" xfId="4743" xr:uid="{00000000-0005-0000-0000-000006140000}"/>
    <cellStyle name="Normal 4 2 6 7 2" xfId="13185" xr:uid="{DC501482-F997-44D2-8B36-CFE237C7846E}"/>
    <cellStyle name="Normal 4 2 6 8" xfId="8967" xr:uid="{AA55EC68-6CA4-4A6B-8F76-CE75ADC803A7}"/>
    <cellStyle name="Normal 4 3" xfId="366" xr:uid="{00000000-0005-0000-0000-000007140000}"/>
    <cellStyle name="Normal 4 3 10" xfId="8968" xr:uid="{6B12EB36-512B-4412-B065-D90567F608BD}"/>
    <cellStyle name="Normal 4 3 2" xfId="367" xr:uid="{00000000-0005-0000-0000-000008140000}"/>
    <cellStyle name="Normal 4 3 2 2" xfId="368" xr:uid="{00000000-0005-0000-0000-000009140000}"/>
    <cellStyle name="Normal 4 3 2 2 2" xfId="369" xr:uid="{00000000-0005-0000-0000-00000A140000}"/>
    <cellStyle name="Normal 4 3 2 2 2 10" xfId="8969" xr:uid="{18A01626-2763-4BEA-BA25-3D1A7E36F2FB}"/>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5AEC075C-1050-4CAC-BF66-AF3FF553B993}"/>
    <cellStyle name="Normal 4 3 2 2 2 2 2 2 2 3" xfId="11529" xr:uid="{A7776ECE-EB36-4468-9F69-37C22705347B}"/>
    <cellStyle name="Normal 4 3 2 2 2 2 2 2 3" xfId="5160" xr:uid="{00000000-0005-0000-0000-000010140000}"/>
    <cellStyle name="Normal 4 3 2 2 2 2 2 2 3 2" xfId="13602" xr:uid="{E09BFCBE-1728-40F8-86D4-1E910E41E133}"/>
    <cellStyle name="Normal 4 3 2 2 2 2 2 2 4" xfId="9384" xr:uid="{0BFA2846-999E-4B70-BCC1-95F297B6BD98}"/>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7A660366-D1C2-40EC-8357-0AAC384CF552}"/>
    <cellStyle name="Normal 4 3 2 2 2 2 2 3 2 3" xfId="11942" xr:uid="{C1B8980E-DEF8-4C2F-981D-FE2B21DCDA7A}"/>
    <cellStyle name="Normal 4 3 2 2 2 2 2 3 3" xfId="5573" xr:uid="{00000000-0005-0000-0000-000014140000}"/>
    <cellStyle name="Normal 4 3 2 2 2 2 2 3 3 2" xfId="14015" xr:uid="{4EEFDB48-F515-4FBF-A9F6-C5DA8D2CBA1B}"/>
    <cellStyle name="Normal 4 3 2 2 2 2 2 3 4" xfId="9797" xr:uid="{0AF8C79A-BC11-4650-B2D4-618605062423}"/>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7C07C76C-B5C5-408C-9847-600E15520DF0}"/>
    <cellStyle name="Normal 4 3 2 2 2 2 2 4 2 3" xfId="12355" xr:uid="{09BCB051-DE35-4CE8-A061-C0F3273CEBC4}"/>
    <cellStyle name="Normal 4 3 2 2 2 2 2 4 3" xfId="5986" xr:uid="{00000000-0005-0000-0000-000018140000}"/>
    <cellStyle name="Normal 4 3 2 2 2 2 2 4 3 2" xfId="14428" xr:uid="{D90E2D00-C94D-4F00-8CBA-97CBC7AFCD16}"/>
    <cellStyle name="Normal 4 3 2 2 2 2 2 4 4" xfId="10210" xr:uid="{C431B2B3-6751-465A-BBD2-73A4C988727D}"/>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475BDF0D-5CE3-4E87-ABE3-F31EADC5D954}"/>
    <cellStyle name="Normal 4 3 2 2 2 2 2 5 2 3" xfId="12768" xr:uid="{C049E9F1-4BFE-45A7-8E9E-2403CE0E844A}"/>
    <cellStyle name="Normal 4 3 2 2 2 2 2 5 3" xfId="6399" xr:uid="{00000000-0005-0000-0000-00001C140000}"/>
    <cellStyle name="Normal 4 3 2 2 2 2 2 5 3 2" xfId="14841" xr:uid="{A2C8D9A3-DD51-4B62-96DF-C9B4DBD53670}"/>
    <cellStyle name="Normal 4 3 2 2 2 2 2 5 4" xfId="10623" xr:uid="{093A08C8-18D7-4EA1-846B-CAA13C314A3D}"/>
    <cellStyle name="Normal 4 3 2 2 2 2 2 6" xfId="2528" xr:uid="{00000000-0005-0000-0000-00001D140000}"/>
    <cellStyle name="Normal 4 3 2 2 2 2 2 6 2" xfId="6812" xr:uid="{00000000-0005-0000-0000-00001E140000}"/>
    <cellStyle name="Normal 4 3 2 2 2 2 2 6 2 2" xfId="15254" xr:uid="{C67001D9-57EB-40DE-8BFE-97CAD9595C57}"/>
    <cellStyle name="Normal 4 3 2 2 2 2 2 6 3" xfId="11036" xr:uid="{364E6F3A-C894-490F-A7D5-9FD35DAB50C4}"/>
    <cellStyle name="Normal 4 3 2 2 2 2 2 7" xfId="4747" xr:uid="{00000000-0005-0000-0000-00001F140000}"/>
    <cellStyle name="Normal 4 3 2 2 2 2 2 7 2" xfId="13189" xr:uid="{FADFC971-042A-4B30-8C41-9CB6D53364DD}"/>
    <cellStyle name="Normal 4 3 2 2 2 2 2 8" xfId="8971" xr:uid="{E61BA4F2-91DA-4C6B-A939-9DF338C96AED}"/>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93AF4B22-4301-4CFB-B3E1-D3520B8D68FD}"/>
    <cellStyle name="Normal 4 3 2 2 2 2 3 2 3" xfId="11528" xr:uid="{1C4E11B0-E790-4AC7-8552-6BE3130CDF2E}"/>
    <cellStyle name="Normal 4 3 2 2 2 2 3 3" xfId="5159" xr:uid="{00000000-0005-0000-0000-000023140000}"/>
    <cellStyle name="Normal 4 3 2 2 2 2 3 3 2" xfId="13601" xr:uid="{3EE79214-9B23-47CB-AA48-08CD98813349}"/>
    <cellStyle name="Normal 4 3 2 2 2 2 3 4" xfId="9383" xr:uid="{EE17CA83-F0B5-454A-B084-23DF9472F197}"/>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2E0C30A7-EF4A-485E-8F41-0BA4B1506A85}"/>
    <cellStyle name="Normal 4 3 2 2 2 2 4 2 3" xfId="11941" xr:uid="{C292F2D4-9931-4AE8-AC2F-61D92FB5F5B8}"/>
    <cellStyle name="Normal 4 3 2 2 2 2 4 3" xfId="5572" xr:uid="{00000000-0005-0000-0000-000027140000}"/>
    <cellStyle name="Normal 4 3 2 2 2 2 4 3 2" xfId="14014" xr:uid="{FE49696F-F551-4B9C-8F9B-672116181002}"/>
    <cellStyle name="Normal 4 3 2 2 2 2 4 4" xfId="9796" xr:uid="{4E83F977-2DDF-4301-A6B7-49FDE1CC8A15}"/>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2CC6B52D-ABE2-4426-A882-E98421839438}"/>
    <cellStyle name="Normal 4 3 2 2 2 2 5 2 3" xfId="12354" xr:uid="{7AB05250-D015-460D-B79C-A9112713E3C6}"/>
    <cellStyle name="Normal 4 3 2 2 2 2 5 3" xfId="5985" xr:uid="{00000000-0005-0000-0000-00002B140000}"/>
    <cellStyle name="Normal 4 3 2 2 2 2 5 3 2" xfId="14427" xr:uid="{546B8E7F-DA1F-403D-8F7B-B6EBF5B2D273}"/>
    <cellStyle name="Normal 4 3 2 2 2 2 5 4" xfId="10209" xr:uid="{DE303BBA-9026-424B-B878-1D539BE73F15}"/>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C8597F7C-381F-4D23-9D66-1CF78F3F01FD}"/>
    <cellStyle name="Normal 4 3 2 2 2 2 6 2 3" xfId="12767" xr:uid="{367A5DCB-09D3-417C-A443-2C25E055305B}"/>
    <cellStyle name="Normal 4 3 2 2 2 2 6 3" xfId="6398" xr:uid="{00000000-0005-0000-0000-00002F140000}"/>
    <cellStyle name="Normal 4 3 2 2 2 2 6 3 2" xfId="14840" xr:uid="{83C1F097-1B16-487E-B89C-307392FA75A3}"/>
    <cellStyle name="Normal 4 3 2 2 2 2 6 4" xfId="10622" xr:uid="{BBF41F7B-077D-41A5-94F2-A7623CAB0372}"/>
    <cellStyle name="Normal 4 3 2 2 2 2 7" xfId="2527" xr:uid="{00000000-0005-0000-0000-000030140000}"/>
    <cellStyle name="Normal 4 3 2 2 2 2 7 2" xfId="6811" xr:uid="{00000000-0005-0000-0000-000031140000}"/>
    <cellStyle name="Normal 4 3 2 2 2 2 7 2 2" xfId="15253" xr:uid="{49DD9632-BDB6-40F1-B07E-85ED72A861FE}"/>
    <cellStyle name="Normal 4 3 2 2 2 2 7 3" xfId="11035" xr:uid="{E3C5F423-61B8-4DE1-A02B-DA5B84541F55}"/>
    <cellStyle name="Normal 4 3 2 2 2 2 8" xfId="4746" xr:uid="{00000000-0005-0000-0000-000032140000}"/>
    <cellStyle name="Normal 4 3 2 2 2 2 8 2" xfId="13188" xr:uid="{355A72E9-06F9-4E6F-9F8D-B679EB29F8DC}"/>
    <cellStyle name="Normal 4 3 2 2 2 2 9" xfId="8970" xr:uid="{183BE8EF-8C9F-469E-BFF9-8CF3F311D73B}"/>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C5DD6011-EA21-4EBF-A2DC-21D98DEB3D71}"/>
    <cellStyle name="Normal 4 3 2 2 2 3 2 2 3" xfId="11530" xr:uid="{CA26E63F-6D91-48EC-8E52-4939AE255E83}"/>
    <cellStyle name="Normal 4 3 2 2 2 3 2 3" xfId="5161" xr:uid="{00000000-0005-0000-0000-000037140000}"/>
    <cellStyle name="Normal 4 3 2 2 2 3 2 3 2" xfId="13603" xr:uid="{5FFF8F3D-7194-47EF-962C-311B97AAC7EE}"/>
    <cellStyle name="Normal 4 3 2 2 2 3 2 4" xfId="9385" xr:uid="{486DEBBA-1A0F-4E30-A1D4-57450F9126A8}"/>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FBCB0E72-C453-4592-930A-6D1CC1E3F3BF}"/>
    <cellStyle name="Normal 4 3 2 2 2 3 3 2 3" xfId="11943" xr:uid="{00E5A298-FD5D-4D0E-8BA9-92CA01BAD97C}"/>
    <cellStyle name="Normal 4 3 2 2 2 3 3 3" xfId="5574" xr:uid="{00000000-0005-0000-0000-00003B140000}"/>
    <cellStyle name="Normal 4 3 2 2 2 3 3 3 2" xfId="14016" xr:uid="{F3D0E8BC-62E5-4FEA-86D5-336289C8C436}"/>
    <cellStyle name="Normal 4 3 2 2 2 3 3 4" xfId="9798" xr:uid="{BB26C7C9-03DE-41EF-9C63-538246AC19A8}"/>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81A33244-1EEE-4C0B-A55F-5DEF951F1039}"/>
    <cellStyle name="Normal 4 3 2 2 2 3 4 2 3" xfId="12356" xr:uid="{0D2BE963-E4A0-44C2-9C5A-74A547B2DBA4}"/>
    <cellStyle name="Normal 4 3 2 2 2 3 4 3" xfId="5987" xr:uid="{00000000-0005-0000-0000-00003F140000}"/>
    <cellStyle name="Normal 4 3 2 2 2 3 4 3 2" xfId="14429" xr:uid="{3688FF61-7A47-4196-B558-226F2C884D8E}"/>
    <cellStyle name="Normal 4 3 2 2 2 3 4 4" xfId="10211" xr:uid="{8C756594-5B78-4005-8316-2BF17AA0D7DE}"/>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E8DCE2AB-B3F5-41E1-8E6E-00DE432C60E8}"/>
    <cellStyle name="Normal 4 3 2 2 2 3 5 2 3" xfId="12769" xr:uid="{E95DC7D4-688C-4ACB-88E8-1A62C4489099}"/>
    <cellStyle name="Normal 4 3 2 2 2 3 5 3" xfId="6400" xr:uid="{00000000-0005-0000-0000-000043140000}"/>
    <cellStyle name="Normal 4 3 2 2 2 3 5 3 2" xfId="14842" xr:uid="{82CEF2C4-97E0-4ECD-BF37-62EA5289D85F}"/>
    <cellStyle name="Normal 4 3 2 2 2 3 5 4" xfId="10624" xr:uid="{41FAB8C7-2B45-4AE0-AE47-84825FD234CF}"/>
    <cellStyle name="Normal 4 3 2 2 2 3 6" xfId="2529" xr:uid="{00000000-0005-0000-0000-000044140000}"/>
    <cellStyle name="Normal 4 3 2 2 2 3 6 2" xfId="6813" xr:uid="{00000000-0005-0000-0000-000045140000}"/>
    <cellStyle name="Normal 4 3 2 2 2 3 6 2 2" xfId="15255" xr:uid="{E71781ED-DDB6-4798-90B5-A9EED3D15837}"/>
    <cellStyle name="Normal 4 3 2 2 2 3 6 3" xfId="11037" xr:uid="{CAFA2981-56E7-49A7-9E64-93FFF9F8B9BF}"/>
    <cellStyle name="Normal 4 3 2 2 2 3 7" xfId="4748" xr:uid="{00000000-0005-0000-0000-000046140000}"/>
    <cellStyle name="Normal 4 3 2 2 2 3 7 2" xfId="13190" xr:uid="{AE5BF64A-5508-4CE7-ABA3-73927313D456}"/>
    <cellStyle name="Normal 4 3 2 2 2 3 8" xfId="8972" xr:uid="{053A21AB-A3C7-4E4D-AD9E-C15B408FB1E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4B8AA214-5ECE-46D3-A651-18602AA254E8}"/>
    <cellStyle name="Normal 4 3 2 2 2 4 2 3" xfId="11527" xr:uid="{E582D49E-1F90-43F7-8698-A6E9C442E6B4}"/>
    <cellStyle name="Normal 4 3 2 2 2 4 3" xfId="5158" xr:uid="{00000000-0005-0000-0000-00004A140000}"/>
    <cellStyle name="Normal 4 3 2 2 2 4 3 2" xfId="13600" xr:uid="{46674814-3D12-4F00-BCF1-60D7107812E9}"/>
    <cellStyle name="Normal 4 3 2 2 2 4 4" xfId="9382" xr:uid="{00487BF0-9C6D-4C7E-8F88-0B3311D0456F}"/>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5B277C3F-D50B-46C7-A756-05D0A46F40BE}"/>
    <cellStyle name="Normal 4 3 2 2 2 5 2 3" xfId="11940" xr:uid="{783AFFC3-133E-4FD1-AFFD-9C08B50A4DB3}"/>
    <cellStyle name="Normal 4 3 2 2 2 5 3" xfId="5571" xr:uid="{00000000-0005-0000-0000-00004E140000}"/>
    <cellStyle name="Normal 4 3 2 2 2 5 3 2" xfId="14013" xr:uid="{82E35770-BD8C-43CF-BC96-A1C1F3B7F44B}"/>
    <cellStyle name="Normal 4 3 2 2 2 5 4" xfId="9795" xr:uid="{83472017-39C5-4D1A-90DC-B65641206A3E}"/>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6EA2C758-670C-4D60-97C6-EAC93C8CEA7A}"/>
    <cellStyle name="Normal 4 3 2 2 2 6 2 3" xfId="12353" xr:uid="{FC5FA84D-B6B6-4C86-A5AC-A52BC7588806}"/>
    <cellStyle name="Normal 4 3 2 2 2 6 3" xfId="5984" xr:uid="{00000000-0005-0000-0000-000052140000}"/>
    <cellStyle name="Normal 4 3 2 2 2 6 3 2" xfId="14426" xr:uid="{7F09C562-F453-44A6-AB3D-8A18ADD3817D}"/>
    <cellStyle name="Normal 4 3 2 2 2 6 4" xfId="10208" xr:uid="{26F0EC7D-0871-4D41-84C2-7C9C74FAE1DE}"/>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75DC5794-53A8-46C2-997F-34B95C5AB2E9}"/>
    <cellStyle name="Normal 4 3 2 2 2 7 2 3" xfId="12766" xr:uid="{2B708F09-9814-4A36-92DF-1C11248E74CD}"/>
    <cellStyle name="Normal 4 3 2 2 2 7 3" xfId="6397" xr:uid="{00000000-0005-0000-0000-000056140000}"/>
    <cellStyle name="Normal 4 3 2 2 2 7 3 2" xfId="14839" xr:uid="{C4D15AE1-DE76-4B52-8F6B-759BABDA938D}"/>
    <cellStyle name="Normal 4 3 2 2 2 7 4" xfId="10621" xr:uid="{68CDDF5D-CE1E-4501-85B4-63F2736BDC50}"/>
    <cellStyle name="Normal 4 3 2 2 2 8" xfId="2526" xr:uid="{00000000-0005-0000-0000-000057140000}"/>
    <cellStyle name="Normal 4 3 2 2 2 8 2" xfId="6810" xr:uid="{00000000-0005-0000-0000-000058140000}"/>
    <cellStyle name="Normal 4 3 2 2 2 8 2 2" xfId="15252" xr:uid="{33BC39C0-DDBF-4833-9A13-03307FBEBDEE}"/>
    <cellStyle name="Normal 4 3 2 2 2 8 3" xfId="11034" xr:uid="{4C59A8B4-3098-47A7-9029-281AF995136E}"/>
    <cellStyle name="Normal 4 3 2 2 2 9" xfId="4745" xr:uid="{00000000-0005-0000-0000-000059140000}"/>
    <cellStyle name="Normal 4 3 2 2 2 9 2" xfId="13187" xr:uid="{F769EF5A-F052-4221-B90A-595776B7FA5A}"/>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32B449FA-9AB2-4E12-A3E0-5B9BCF631D96}"/>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396506A2-8FEF-43DB-AC48-FBD5E90787E4}"/>
    <cellStyle name="Normal 4 3 3 2 2 2 2 3" xfId="11533" xr:uid="{67FF9F06-7F89-481E-AC9F-5AA428838AEC}"/>
    <cellStyle name="Normal 4 3 3 2 2 2 3" xfId="5164" xr:uid="{00000000-0005-0000-0000-000063140000}"/>
    <cellStyle name="Normal 4 3 3 2 2 2 3 2" xfId="13606" xr:uid="{7E22A3ED-30F6-4C92-BD27-81FCD16C055F}"/>
    <cellStyle name="Normal 4 3 3 2 2 2 4" xfId="9388" xr:uid="{EF384D0F-5D83-48F4-AB58-72621868BA61}"/>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4D7908E3-1E72-4BED-953C-BEE26EDC4F14}"/>
    <cellStyle name="Normal 4 3 3 2 2 3 2 3" xfId="11946" xr:uid="{D2681759-DD6C-46A1-B905-7214AC44DDD4}"/>
    <cellStyle name="Normal 4 3 3 2 2 3 3" xfId="5577" xr:uid="{00000000-0005-0000-0000-000067140000}"/>
    <cellStyle name="Normal 4 3 3 2 2 3 3 2" xfId="14019" xr:uid="{FB7B96DA-FA84-48FC-BE87-32371FF0895A}"/>
    <cellStyle name="Normal 4 3 3 2 2 3 4" xfId="9801" xr:uid="{44C9C392-C224-459A-9770-CA04A844BBED}"/>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CEE06BDD-4341-41ED-83AC-731648E2EE37}"/>
    <cellStyle name="Normal 4 3 3 2 2 4 2 3" xfId="12359" xr:uid="{2142F823-CA4C-4507-8FE8-9E987A60EA02}"/>
    <cellStyle name="Normal 4 3 3 2 2 4 3" xfId="5990" xr:uid="{00000000-0005-0000-0000-00006B140000}"/>
    <cellStyle name="Normal 4 3 3 2 2 4 3 2" xfId="14432" xr:uid="{19DE2C44-7A20-4CF2-BDEE-37BFF70717A9}"/>
    <cellStyle name="Normal 4 3 3 2 2 4 4" xfId="10214" xr:uid="{DAA52D2D-5A4A-4177-A785-48625076F118}"/>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E2AEF0D7-6D9D-480C-9BE0-AA4101D84824}"/>
    <cellStyle name="Normal 4 3 3 2 2 5 2 3" xfId="12772" xr:uid="{0C8BCEB2-84C2-48B4-BA53-1F74DCC3430C}"/>
    <cellStyle name="Normal 4 3 3 2 2 5 3" xfId="6403" xr:uid="{00000000-0005-0000-0000-00006F140000}"/>
    <cellStyle name="Normal 4 3 3 2 2 5 3 2" xfId="14845" xr:uid="{923750B2-049C-49EA-AE03-B0592E28554D}"/>
    <cellStyle name="Normal 4 3 3 2 2 5 4" xfId="10627" xr:uid="{EACAA1EF-0D40-475C-8590-F5790C7E4698}"/>
    <cellStyle name="Normal 4 3 3 2 2 6" xfId="2532" xr:uid="{00000000-0005-0000-0000-000070140000}"/>
    <cellStyle name="Normal 4 3 3 2 2 6 2" xfId="6816" xr:uid="{00000000-0005-0000-0000-000071140000}"/>
    <cellStyle name="Normal 4 3 3 2 2 6 2 2" xfId="15258" xr:uid="{70FF10AA-7EE3-49C5-8A9C-967756A2180B}"/>
    <cellStyle name="Normal 4 3 3 2 2 6 3" xfId="11040" xr:uid="{D22B1E8A-3534-4954-8599-6026925FA2BE}"/>
    <cellStyle name="Normal 4 3 3 2 2 7" xfId="4751" xr:uid="{00000000-0005-0000-0000-000072140000}"/>
    <cellStyle name="Normal 4 3 3 2 2 7 2" xfId="13193" xr:uid="{065FDF7E-39BB-4F4D-A2A5-CF184E2BCA0F}"/>
    <cellStyle name="Normal 4 3 3 2 2 8" xfId="8975" xr:uid="{6228C319-5E32-4CC3-8580-81A80E5D8FCF}"/>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64E0B79E-A59A-4AE3-B711-329AAEEED4C2}"/>
    <cellStyle name="Normal 4 3 3 2 3 2 3" xfId="11532" xr:uid="{3D5C7040-7DE6-49B5-95A3-FA3863851797}"/>
    <cellStyle name="Normal 4 3 3 2 3 3" xfId="5163" xr:uid="{00000000-0005-0000-0000-000076140000}"/>
    <cellStyle name="Normal 4 3 3 2 3 3 2" xfId="13605" xr:uid="{63044156-0328-45EF-8E2A-3BD238B3F37D}"/>
    <cellStyle name="Normal 4 3 3 2 3 4" xfId="9387" xr:uid="{63F957A7-F526-4AC2-9322-DBCAFDA451A2}"/>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1942EA0C-270D-492D-9619-507996F9AC80}"/>
    <cellStyle name="Normal 4 3 3 2 4 2 3" xfId="11945" xr:uid="{A9933BBC-61FB-44C7-BC73-73F178B06590}"/>
    <cellStyle name="Normal 4 3 3 2 4 3" xfId="5576" xr:uid="{00000000-0005-0000-0000-00007A140000}"/>
    <cellStyle name="Normal 4 3 3 2 4 3 2" xfId="14018" xr:uid="{03B1CC48-B4BB-4225-8BAB-D3FA25520AA5}"/>
    <cellStyle name="Normal 4 3 3 2 4 4" xfId="9800" xr:uid="{726AD148-219C-42A2-9723-004ECB6B0E7E}"/>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F76E19E3-5CE4-4732-98EE-37DC0960CCBA}"/>
    <cellStyle name="Normal 4 3 3 2 5 2 3" xfId="12358" xr:uid="{1E46C0AF-68DC-4D1D-865C-AA95F3EA0383}"/>
    <cellStyle name="Normal 4 3 3 2 5 3" xfId="5989" xr:uid="{00000000-0005-0000-0000-00007E140000}"/>
    <cellStyle name="Normal 4 3 3 2 5 3 2" xfId="14431" xr:uid="{7F20BACF-172E-49A4-86F1-78E11786DA17}"/>
    <cellStyle name="Normal 4 3 3 2 5 4" xfId="10213" xr:uid="{9DE56A55-7711-4DAA-839C-BE73553EDD22}"/>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A79B1C8E-8A3C-4BA2-B75C-551C97FDD63D}"/>
    <cellStyle name="Normal 4 3 3 2 6 2 3" xfId="12771" xr:uid="{8F9128A0-97A9-4F4F-9D83-54EF07B0F353}"/>
    <cellStyle name="Normal 4 3 3 2 6 3" xfId="6402" xr:uid="{00000000-0005-0000-0000-000082140000}"/>
    <cellStyle name="Normal 4 3 3 2 6 3 2" xfId="14844" xr:uid="{A323EB15-4D62-4773-9A25-CC54B149904C}"/>
    <cellStyle name="Normal 4 3 3 2 6 4" xfId="10626" xr:uid="{54832F2F-8AFB-45B4-84F9-56A90FE137BF}"/>
    <cellStyle name="Normal 4 3 3 2 7" xfId="2531" xr:uid="{00000000-0005-0000-0000-000083140000}"/>
    <cellStyle name="Normal 4 3 3 2 7 2" xfId="6815" xr:uid="{00000000-0005-0000-0000-000084140000}"/>
    <cellStyle name="Normal 4 3 3 2 7 2 2" xfId="15257" xr:uid="{FB27B241-A944-4DA3-8F99-C5A4B63B99A2}"/>
    <cellStyle name="Normal 4 3 3 2 7 3" xfId="11039" xr:uid="{0CC0819D-0CD1-4917-8EDF-A024AED83C46}"/>
    <cellStyle name="Normal 4 3 3 2 8" xfId="4750" xr:uid="{00000000-0005-0000-0000-000085140000}"/>
    <cellStyle name="Normal 4 3 3 2 8 2" xfId="13192" xr:uid="{25B36CCB-2963-440E-9DEC-31B2C46C6687}"/>
    <cellStyle name="Normal 4 3 3 2 9" xfId="8974" xr:uid="{EBE543C8-4F77-4458-AF71-82E6CE1D5A05}"/>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4EB7F957-3D79-467F-96A0-64E73935D896}"/>
    <cellStyle name="Normal 4 3 3 3 2 2 3" xfId="11534" xr:uid="{22851F50-A187-4BF6-B50E-420BEEC87275}"/>
    <cellStyle name="Normal 4 3 3 3 2 3" xfId="5165" xr:uid="{00000000-0005-0000-0000-00008A140000}"/>
    <cellStyle name="Normal 4 3 3 3 2 3 2" xfId="13607" xr:uid="{1566571D-D5BF-4E4F-BD85-6E099C5AFD61}"/>
    <cellStyle name="Normal 4 3 3 3 2 4" xfId="9389" xr:uid="{FE816EDB-C577-4069-A0B0-8498FBA0A5BB}"/>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129BE681-FCE5-4D11-95B7-DA8779607294}"/>
    <cellStyle name="Normal 4 3 3 3 3 2 3" xfId="11947" xr:uid="{F39C1B33-3988-42A3-8ECE-88E9605B2199}"/>
    <cellStyle name="Normal 4 3 3 3 3 3" xfId="5578" xr:uid="{00000000-0005-0000-0000-00008E140000}"/>
    <cellStyle name="Normal 4 3 3 3 3 3 2" xfId="14020" xr:uid="{C0CAAE4C-9AEE-466B-AD4E-E9A186F1A45C}"/>
    <cellStyle name="Normal 4 3 3 3 3 4" xfId="9802" xr:uid="{31C04323-9F3D-4DCB-99C0-567DBA474646}"/>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69FAEE6C-E131-4007-98D9-077229A0DC18}"/>
    <cellStyle name="Normal 4 3 3 3 4 2 3" xfId="12360" xr:uid="{DDFDABED-28B8-4E10-9171-856CC723958B}"/>
    <cellStyle name="Normal 4 3 3 3 4 3" xfId="5991" xr:uid="{00000000-0005-0000-0000-000092140000}"/>
    <cellStyle name="Normal 4 3 3 3 4 3 2" xfId="14433" xr:uid="{C75824B4-7445-4F0E-AE78-AFD48D89B5DB}"/>
    <cellStyle name="Normal 4 3 3 3 4 4" xfId="10215" xr:uid="{3EDADEEB-00AE-4257-9FA5-CBDEA322F63A}"/>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2AAFDC9A-F024-4990-BB3F-7060ABFC637B}"/>
    <cellStyle name="Normal 4 3 3 3 5 2 3" xfId="12773" xr:uid="{76FFEE1E-7F61-4604-810E-8D26EA3CEC4C}"/>
    <cellStyle name="Normal 4 3 3 3 5 3" xfId="6404" xr:uid="{00000000-0005-0000-0000-000096140000}"/>
    <cellStyle name="Normal 4 3 3 3 5 3 2" xfId="14846" xr:uid="{8E3CF2BB-9BF5-4FD7-988B-21D532AC4941}"/>
    <cellStyle name="Normal 4 3 3 3 5 4" xfId="10628" xr:uid="{DDF4066B-C74F-4936-96F0-3F87A9B7042F}"/>
    <cellStyle name="Normal 4 3 3 3 6" xfId="2533" xr:uid="{00000000-0005-0000-0000-000097140000}"/>
    <cellStyle name="Normal 4 3 3 3 6 2" xfId="6817" xr:uid="{00000000-0005-0000-0000-000098140000}"/>
    <cellStyle name="Normal 4 3 3 3 6 2 2" xfId="15259" xr:uid="{684D3AD5-5BE0-4D9B-ACA2-F58E5EEB5166}"/>
    <cellStyle name="Normal 4 3 3 3 6 3" xfId="11041" xr:uid="{16357603-4F98-4086-9A02-921764ED5634}"/>
    <cellStyle name="Normal 4 3 3 3 7" xfId="4752" xr:uid="{00000000-0005-0000-0000-000099140000}"/>
    <cellStyle name="Normal 4 3 3 3 7 2" xfId="13194" xr:uid="{50C62CD0-E63E-488D-9CE9-BA8AEFE71017}"/>
    <cellStyle name="Normal 4 3 3 3 8" xfId="8976" xr:uid="{A428D3D9-0D50-428C-A771-3C1CE7789BE5}"/>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D8F45FFE-38B9-48B2-91D1-FD9980CD153F}"/>
    <cellStyle name="Normal 4 3 3 4 2 3" xfId="11531" xr:uid="{2782B6E0-4AC1-4F79-BB4E-8A46C8ECDEEE}"/>
    <cellStyle name="Normal 4 3 3 4 3" xfId="5162" xr:uid="{00000000-0005-0000-0000-00009D140000}"/>
    <cellStyle name="Normal 4 3 3 4 3 2" xfId="13604" xr:uid="{44AAD8EC-AA68-4FEE-A071-B0F379412844}"/>
    <cellStyle name="Normal 4 3 3 4 4" xfId="9386" xr:uid="{51CA5077-339A-4164-9595-F8E3BFD611D7}"/>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0E72216A-14AA-45B9-9627-755D973DD3B6}"/>
    <cellStyle name="Normal 4 3 3 5 2 3" xfId="11944" xr:uid="{68B5B310-C3D7-458B-B1B8-560C8E3359D4}"/>
    <cellStyle name="Normal 4 3 3 5 3" xfId="5575" xr:uid="{00000000-0005-0000-0000-0000A1140000}"/>
    <cellStyle name="Normal 4 3 3 5 3 2" xfId="14017" xr:uid="{2053B1B1-46A8-481C-AE1C-6E0CFA72C372}"/>
    <cellStyle name="Normal 4 3 3 5 4" xfId="9799" xr:uid="{B6D0A1A0-F15D-4989-AB93-A82C2B5B60C5}"/>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602018A9-D421-483E-BF5E-4AE23BFAAE78}"/>
    <cellStyle name="Normal 4 3 3 6 2 3" xfId="12357" xr:uid="{6C192BF5-3586-43EA-8A31-0F7331500BBC}"/>
    <cellStyle name="Normal 4 3 3 6 3" xfId="5988" xr:uid="{00000000-0005-0000-0000-0000A5140000}"/>
    <cellStyle name="Normal 4 3 3 6 3 2" xfId="14430" xr:uid="{E1C91AE9-A77E-4C84-A8EC-78974119E01D}"/>
    <cellStyle name="Normal 4 3 3 6 4" xfId="10212" xr:uid="{AD9F6C12-6FC6-4CFC-8619-13106D4D8F67}"/>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60D1C5CD-3304-49B8-8A29-D25ABA1C3EF1}"/>
    <cellStyle name="Normal 4 3 3 7 2 3" xfId="12770" xr:uid="{72862465-8F7B-4435-A2FB-F5DE61C956D1}"/>
    <cellStyle name="Normal 4 3 3 7 3" xfId="6401" xr:uid="{00000000-0005-0000-0000-0000A9140000}"/>
    <cellStyle name="Normal 4 3 3 7 3 2" xfId="14843" xr:uid="{B930F4FE-7A11-4C07-9C34-F365D6705190}"/>
    <cellStyle name="Normal 4 3 3 7 4" xfId="10625" xr:uid="{4F6EDB85-90D8-4518-8E27-F4047B688053}"/>
    <cellStyle name="Normal 4 3 3 8" xfId="2530" xr:uid="{00000000-0005-0000-0000-0000AA140000}"/>
    <cellStyle name="Normal 4 3 3 8 2" xfId="6814" xr:uid="{00000000-0005-0000-0000-0000AB140000}"/>
    <cellStyle name="Normal 4 3 3 8 2 2" xfId="15256" xr:uid="{111572F5-337A-4AAE-8A7A-9B8B3FF99037}"/>
    <cellStyle name="Normal 4 3 3 8 3" xfId="11038" xr:uid="{AAB75323-E1DF-4CAF-A5F1-6DC128F525E9}"/>
    <cellStyle name="Normal 4 3 3 9" xfId="4749" xr:uid="{00000000-0005-0000-0000-0000AC140000}"/>
    <cellStyle name="Normal 4 3 3 9 2" xfId="13191" xr:uid="{A90A3558-B377-4675-8292-97637225455D}"/>
    <cellStyle name="Normal 4 3 4" xfId="842" xr:uid="{00000000-0005-0000-0000-0000AD140000}"/>
    <cellStyle name="Normal 4 3 4 2" xfId="3079" xr:uid="{00000000-0005-0000-0000-0000AE140000}"/>
    <cellStyle name="Normal 4 3 4 2 2" xfId="7302" xr:uid="{00000000-0005-0000-0000-0000AF140000}"/>
    <cellStyle name="Normal 4 3 4 2 2 2" xfId="15744" xr:uid="{B22692AC-D27D-4AC0-A291-A42B4AA8F77E}"/>
    <cellStyle name="Normal 4 3 4 2 3" xfId="11526" xr:uid="{5F47D022-EB48-4135-BFE9-89EEC6B2479F}"/>
    <cellStyle name="Normal 4 3 4 3" xfId="5157" xr:uid="{00000000-0005-0000-0000-0000B0140000}"/>
    <cellStyle name="Normal 4 3 4 3 2" xfId="13599" xr:uid="{E84D0E2B-4AB3-4DE7-AE23-B6021843EACF}"/>
    <cellStyle name="Normal 4 3 4 4" xfId="9381" xr:uid="{DDEE2FE5-9702-4413-B119-08AAA0270E59}"/>
    <cellStyle name="Normal 4 3 5" xfId="1262" xr:uid="{00000000-0005-0000-0000-0000B1140000}"/>
    <cellStyle name="Normal 4 3 5 2" xfId="3492" xr:uid="{00000000-0005-0000-0000-0000B2140000}"/>
    <cellStyle name="Normal 4 3 5 2 2" xfId="7715" xr:uid="{00000000-0005-0000-0000-0000B3140000}"/>
    <cellStyle name="Normal 4 3 5 2 2 2" xfId="16157" xr:uid="{AC3B8F2F-0ABA-4B7C-B134-BF1F29956AB6}"/>
    <cellStyle name="Normal 4 3 5 2 3" xfId="11939" xr:uid="{F4F7F53B-550C-4034-AA25-79F58630F0C5}"/>
    <cellStyle name="Normal 4 3 5 3" xfId="5570" xr:uid="{00000000-0005-0000-0000-0000B4140000}"/>
    <cellStyle name="Normal 4 3 5 3 2" xfId="14012" xr:uid="{013D5014-384E-40C5-BE1C-2614F81DC9A8}"/>
    <cellStyle name="Normal 4 3 5 4" xfId="9794" xr:uid="{87D73ECA-CB84-4818-AB55-9F5984E97ADF}"/>
    <cellStyle name="Normal 4 3 6" xfId="1675" xr:uid="{00000000-0005-0000-0000-0000B5140000}"/>
    <cellStyle name="Normal 4 3 6 2" xfId="3905" xr:uid="{00000000-0005-0000-0000-0000B6140000}"/>
    <cellStyle name="Normal 4 3 6 2 2" xfId="8128" xr:uid="{00000000-0005-0000-0000-0000B7140000}"/>
    <cellStyle name="Normal 4 3 6 2 2 2" xfId="16570" xr:uid="{09A47847-1712-484C-95D9-C121F2870583}"/>
    <cellStyle name="Normal 4 3 6 2 3" xfId="12352" xr:uid="{39752257-0F75-4B55-91C0-34D5329B8ACE}"/>
    <cellStyle name="Normal 4 3 6 3" xfId="5983" xr:uid="{00000000-0005-0000-0000-0000B8140000}"/>
    <cellStyle name="Normal 4 3 6 3 2" xfId="14425" xr:uid="{BBD9698F-BDF0-4875-A170-E0458A413D7A}"/>
    <cellStyle name="Normal 4 3 6 4" xfId="10207" xr:uid="{F0A3033D-6897-4E23-A2A0-FA498D15FB6D}"/>
    <cellStyle name="Normal 4 3 7" xfId="2089" xr:uid="{00000000-0005-0000-0000-0000B9140000}"/>
    <cellStyle name="Normal 4 3 7 2" xfId="4318" xr:uid="{00000000-0005-0000-0000-0000BA140000}"/>
    <cellStyle name="Normal 4 3 7 2 2" xfId="8541" xr:uid="{00000000-0005-0000-0000-0000BB140000}"/>
    <cellStyle name="Normal 4 3 7 2 2 2" xfId="16983" xr:uid="{45943523-DF9D-4317-B21B-B06D2FB02468}"/>
    <cellStyle name="Normal 4 3 7 2 3" xfId="12765" xr:uid="{34C42C8A-9D2B-4FEA-970A-FF5C54CA06F9}"/>
    <cellStyle name="Normal 4 3 7 3" xfId="6396" xr:uid="{00000000-0005-0000-0000-0000BC140000}"/>
    <cellStyle name="Normal 4 3 7 3 2" xfId="14838" xr:uid="{47B2E7CE-69F0-4236-9390-B88E0B04D631}"/>
    <cellStyle name="Normal 4 3 7 4" xfId="10620" xr:uid="{BA46179A-7619-47CC-BADA-9057D925C1F3}"/>
    <cellStyle name="Normal 4 3 8" xfId="2525" xr:uid="{00000000-0005-0000-0000-0000BD140000}"/>
    <cellStyle name="Normal 4 3 8 2" xfId="6809" xr:uid="{00000000-0005-0000-0000-0000BE140000}"/>
    <cellStyle name="Normal 4 3 8 2 2" xfId="15251" xr:uid="{035B8D9B-D232-4BAD-BFB8-F33F0262EE49}"/>
    <cellStyle name="Normal 4 3 8 3" xfId="11033" xr:uid="{052DBDA8-8E69-41E6-9565-DB3FA309BFA7}"/>
    <cellStyle name="Normal 4 3 9" xfId="4744" xr:uid="{00000000-0005-0000-0000-0000BF140000}"/>
    <cellStyle name="Normal 4 3 9 2" xfId="13186" xr:uid="{F555EBA9-F0BC-4A04-A999-4A73D2B00908}"/>
    <cellStyle name="Normal 4 4" xfId="378" xr:uid="{00000000-0005-0000-0000-0000C0140000}"/>
    <cellStyle name="Normal 4 4 10" xfId="2534" xr:uid="{00000000-0005-0000-0000-0000C1140000}"/>
    <cellStyle name="Normal 4 4 10 2" xfId="6818" xr:uid="{00000000-0005-0000-0000-0000C2140000}"/>
    <cellStyle name="Normal 4 4 10 2 2" xfId="15260" xr:uid="{65E10818-74BA-4D91-BB53-A564C5E085C6}"/>
    <cellStyle name="Normal 4 4 10 3" xfId="11042" xr:uid="{8077E020-4021-41F8-8754-F697EA3A5755}"/>
    <cellStyle name="Normal 4 4 11" xfId="4753" xr:uid="{00000000-0005-0000-0000-0000C3140000}"/>
    <cellStyle name="Normal 4 4 11 2" xfId="13195" xr:uid="{4AB9DF4B-2D35-4977-A228-28574E0855B8}"/>
    <cellStyle name="Normal 4 4 12" xfId="8977" xr:uid="{24BA2B48-0B17-414C-BBBD-87D5C8F3CFBD}"/>
    <cellStyle name="Normal 4 4 2" xfId="379" xr:uid="{00000000-0005-0000-0000-0000C4140000}"/>
    <cellStyle name="Normal 4 4 2 10" xfId="4754" xr:uid="{00000000-0005-0000-0000-0000C5140000}"/>
    <cellStyle name="Normal 4 4 2 10 2" xfId="13196" xr:uid="{C314C8EC-1F5F-4AD3-92F8-7862BEC70E66}"/>
    <cellStyle name="Normal 4 4 2 11" xfId="8978" xr:uid="{900C47DE-8CAE-4F76-98B0-03C72D1EE4BB}"/>
    <cellStyle name="Normal 4 4 2 2" xfId="380" xr:uid="{00000000-0005-0000-0000-0000C6140000}"/>
    <cellStyle name="Normal 4 4 2 2 10" xfId="8979" xr:uid="{69122E2F-A3F3-48BC-BDB3-25EE2336C24F}"/>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051B4E64-95A0-4DD4-BC25-EA8DF27C3A46}"/>
    <cellStyle name="Normal 4 4 2 2 2 2 2 2 3" xfId="11539" xr:uid="{F1781951-1858-4C1F-A478-07635DC6F73E}"/>
    <cellStyle name="Normal 4 4 2 2 2 2 2 3" xfId="5170" xr:uid="{00000000-0005-0000-0000-0000CC140000}"/>
    <cellStyle name="Normal 4 4 2 2 2 2 2 3 2" xfId="13612" xr:uid="{2284A9CE-1A04-4083-A9E5-788A7FB1B14C}"/>
    <cellStyle name="Normal 4 4 2 2 2 2 2 4" xfId="9394" xr:uid="{227845BF-1AD7-4E36-8762-3E771FC099F8}"/>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2F56A0CA-47AF-40E5-9DE2-F274B8127052}"/>
    <cellStyle name="Normal 4 4 2 2 2 2 3 2 3" xfId="11952" xr:uid="{012757DA-6560-40B9-BA89-4E3DF06EE721}"/>
    <cellStyle name="Normal 4 4 2 2 2 2 3 3" xfId="5583" xr:uid="{00000000-0005-0000-0000-0000D0140000}"/>
    <cellStyle name="Normal 4 4 2 2 2 2 3 3 2" xfId="14025" xr:uid="{27A2A48B-2B20-407D-949A-D05CB8AAD9C8}"/>
    <cellStyle name="Normal 4 4 2 2 2 2 3 4" xfId="9807" xr:uid="{99A0B94F-BC22-492C-817F-44A2A02A7654}"/>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08BA2F77-E683-4373-AA7B-8FECBD500766}"/>
    <cellStyle name="Normal 4 4 2 2 2 2 4 2 3" xfId="12365" xr:uid="{534AC05C-4CA6-4D7B-B3E4-6CE5E2FC015E}"/>
    <cellStyle name="Normal 4 4 2 2 2 2 4 3" xfId="5996" xr:uid="{00000000-0005-0000-0000-0000D4140000}"/>
    <cellStyle name="Normal 4 4 2 2 2 2 4 3 2" xfId="14438" xr:uid="{C3551BC9-930D-4A98-B75A-D27B842D5C44}"/>
    <cellStyle name="Normal 4 4 2 2 2 2 4 4" xfId="10220" xr:uid="{83B3B142-82BC-4398-9764-38ADF0A3689F}"/>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8272DC6B-C71A-4143-8993-BAFE7490111F}"/>
    <cellStyle name="Normal 4 4 2 2 2 2 5 2 3" xfId="12778" xr:uid="{140A73D9-CCF8-49EF-989A-334D624C7D9F}"/>
    <cellStyle name="Normal 4 4 2 2 2 2 5 3" xfId="6409" xr:uid="{00000000-0005-0000-0000-0000D8140000}"/>
    <cellStyle name="Normal 4 4 2 2 2 2 5 3 2" xfId="14851" xr:uid="{D9E28CAE-6642-4ACA-99BD-8432D86ADA3B}"/>
    <cellStyle name="Normal 4 4 2 2 2 2 5 4" xfId="10633" xr:uid="{CCFE5971-070C-4F72-95AE-1C4201E43742}"/>
    <cellStyle name="Normal 4 4 2 2 2 2 6" xfId="2538" xr:uid="{00000000-0005-0000-0000-0000D9140000}"/>
    <cellStyle name="Normal 4 4 2 2 2 2 6 2" xfId="6822" xr:uid="{00000000-0005-0000-0000-0000DA140000}"/>
    <cellStyle name="Normal 4 4 2 2 2 2 6 2 2" xfId="15264" xr:uid="{64BA2F57-C3A8-48BE-BB8D-4F8E61DE3E85}"/>
    <cellStyle name="Normal 4 4 2 2 2 2 6 3" xfId="11046" xr:uid="{6FAC118B-10BE-49D6-B917-B90839025D44}"/>
    <cellStyle name="Normal 4 4 2 2 2 2 7" xfId="4757" xr:uid="{00000000-0005-0000-0000-0000DB140000}"/>
    <cellStyle name="Normal 4 4 2 2 2 2 7 2" xfId="13199" xr:uid="{5044FFCD-9B5A-4B6E-BD9C-F1A7DD3D6041}"/>
    <cellStyle name="Normal 4 4 2 2 2 2 8" xfId="8981" xr:uid="{F19DD351-02E0-4182-A694-849A24DAABA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3E4B114F-FD62-48F8-8681-ABCDF05D0743}"/>
    <cellStyle name="Normal 4 4 2 2 2 3 2 3" xfId="11538" xr:uid="{804CA52F-881D-4E65-8C0C-B8BC61687F1E}"/>
    <cellStyle name="Normal 4 4 2 2 2 3 3" xfId="5169" xr:uid="{00000000-0005-0000-0000-0000DF140000}"/>
    <cellStyle name="Normal 4 4 2 2 2 3 3 2" xfId="13611" xr:uid="{3A1C6723-1DA4-4933-9684-33927BB94858}"/>
    <cellStyle name="Normal 4 4 2 2 2 3 4" xfId="9393" xr:uid="{92CBB336-8B43-42D8-8897-E6D59AE082A9}"/>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80038F8A-0731-4AFE-8B63-427299E404E4}"/>
    <cellStyle name="Normal 4 4 2 2 2 4 2 3" xfId="11951" xr:uid="{B6A58749-CF44-49F9-B9EF-44A2CCC5671A}"/>
    <cellStyle name="Normal 4 4 2 2 2 4 3" xfId="5582" xr:uid="{00000000-0005-0000-0000-0000E3140000}"/>
    <cellStyle name="Normal 4 4 2 2 2 4 3 2" xfId="14024" xr:uid="{96A80993-DF5B-49DC-8254-5583F3230598}"/>
    <cellStyle name="Normal 4 4 2 2 2 4 4" xfId="9806" xr:uid="{562D45EB-21C3-4896-A2DF-D231C6FF79F4}"/>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85178E7C-E924-47C3-878F-F4EEC735601D}"/>
    <cellStyle name="Normal 4 4 2 2 2 5 2 3" xfId="12364" xr:uid="{1C5E8D82-A1A0-4203-AD76-35B352AC2305}"/>
    <cellStyle name="Normal 4 4 2 2 2 5 3" xfId="5995" xr:uid="{00000000-0005-0000-0000-0000E7140000}"/>
    <cellStyle name="Normal 4 4 2 2 2 5 3 2" xfId="14437" xr:uid="{24B92905-F84F-4CBF-B47D-38E6312F44CD}"/>
    <cellStyle name="Normal 4 4 2 2 2 5 4" xfId="10219" xr:uid="{FD00AD52-11A7-4916-9D11-82ECF75C6026}"/>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643F7A6E-C8E7-4019-99E3-A97C9A71B5D6}"/>
    <cellStyle name="Normal 4 4 2 2 2 6 2 3" xfId="12777" xr:uid="{6D4C9DC7-C26B-41AF-A00F-6FF27E72C146}"/>
    <cellStyle name="Normal 4 4 2 2 2 6 3" xfId="6408" xr:uid="{00000000-0005-0000-0000-0000EB140000}"/>
    <cellStyle name="Normal 4 4 2 2 2 6 3 2" xfId="14850" xr:uid="{A1B30B35-67AE-483C-8298-F630193FB264}"/>
    <cellStyle name="Normal 4 4 2 2 2 6 4" xfId="10632" xr:uid="{5BEF10BC-1038-4528-9295-97AB919A034A}"/>
    <cellStyle name="Normal 4 4 2 2 2 7" xfId="2537" xr:uid="{00000000-0005-0000-0000-0000EC140000}"/>
    <cellStyle name="Normal 4 4 2 2 2 7 2" xfId="6821" xr:uid="{00000000-0005-0000-0000-0000ED140000}"/>
    <cellStyle name="Normal 4 4 2 2 2 7 2 2" xfId="15263" xr:uid="{C2743D8D-86FB-42D5-A4C5-15738D801F00}"/>
    <cellStyle name="Normal 4 4 2 2 2 7 3" xfId="11045" xr:uid="{94F8824F-83F8-477C-82C8-766626E1462D}"/>
    <cellStyle name="Normal 4 4 2 2 2 8" xfId="4756" xr:uid="{00000000-0005-0000-0000-0000EE140000}"/>
    <cellStyle name="Normal 4 4 2 2 2 8 2" xfId="13198" xr:uid="{9FDA47B2-179F-4D2B-94C4-A4467925C634}"/>
    <cellStyle name="Normal 4 4 2 2 2 9" xfId="8980" xr:uid="{8974BEAC-DC17-472F-BC8F-D64741D18D3A}"/>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C8545811-7264-470B-8801-DAE27CDEFE33}"/>
    <cellStyle name="Normal 4 4 2 2 3 2 2 3" xfId="11540" xr:uid="{81352D50-678F-424D-A34F-3B59C11BF2F4}"/>
    <cellStyle name="Normal 4 4 2 2 3 2 3" xfId="5171" xr:uid="{00000000-0005-0000-0000-0000F3140000}"/>
    <cellStyle name="Normal 4 4 2 2 3 2 3 2" xfId="13613" xr:uid="{27A4F66E-EE6C-4990-AD1A-B35A37BA2AD5}"/>
    <cellStyle name="Normal 4 4 2 2 3 2 4" xfId="9395" xr:uid="{C6D71359-3192-4903-AFD9-AD1AF662AD99}"/>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AC65A7D1-CDE1-4B68-B80C-C6371237211F}"/>
    <cellStyle name="Normal 4 4 2 2 3 3 2 3" xfId="11953" xr:uid="{F6A71F67-AD31-4E74-BD98-BC1363EEAC15}"/>
    <cellStyle name="Normal 4 4 2 2 3 3 3" xfId="5584" xr:uid="{00000000-0005-0000-0000-0000F7140000}"/>
    <cellStyle name="Normal 4 4 2 2 3 3 3 2" xfId="14026" xr:uid="{8F44C3C6-8C58-485C-A688-51F6801E05DF}"/>
    <cellStyle name="Normal 4 4 2 2 3 3 4" xfId="9808" xr:uid="{50D0FDCB-E42C-4945-A0F2-DA1AB9501EC5}"/>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C0C9D960-48A7-40FA-894D-D6372B518B01}"/>
    <cellStyle name="Normal 4 4 2 2 3 4 2 3" xfId="12366" xr:uid="{44F2FF49-529B-48EA-845E-24B9C33EB6F6}"/>
    <cellStyle name="Normal 4 4 2 2 3 4 3" xfId="5997" xr:uid="{00000000-0005-0000-0000-0000FB140000}"/>
    <cellStyle name="Normal 4 4 2 2 3 4 3 2" xfId="14439" xr:uid="{4DEA1473-154D-44E9-B62F-4F615406F670}"/>
    <cellStyle name="Normal 4 4 2 2 3 4 4" xfId="10221" xr:uid="{735967F1-8CF5-4F87-A63E-EEC5FF5B4164}"/>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6D40A298-5BB5-44C5-AC1C-503C597AC505}"/>
    <cellStyle name="Normal 4 4 2 2 3 5 2 3" xfId="12779" xr:uid="{CAD066EA-1028-4B60-AF03-65CED6218F25}"/>
    <cellStyle name="Normal 4 4 2 2 3 5 3" xfId="6410" xr:uid="{00000000-0005-0000-0000-0000FF140000}"/>
    <cellStyle name="Normal 4 4 2 2 3 5 3 2" xfId="14852" xr:uid="{811F12C4-BE43-481F-A813-DC8B537B627F}"/>
    <cellStyle name="Normal 4 4 2 2 3 5 4" xfId="10634" xr:uid="{3A0D49DA-E832-487E-B1B9-1AFE60BB60A0}"/>
    <cellStyle name="Normal 4 4 2 2 3 6" xfId="2539" xr:uid="{00000000-0005-0000-0000-000000150000}"/>
    <cellStyle name="Normal 4 4 2 2 3 6 2" xfId="6823" xr:uid="{00000000-0005-0000-0000-000001150000}"/>
    <cellStyle name="Normal 4 4 2 2 3 6 2 2" xfId="15265" xr:uid="{0E233E79-4F9E-47BF-AC5A-17A16C38B1B8}"/>
    <cellStyle name="Normal 4 4 2 2 3 6 3" xfId="11047" xr:uid="{9CB9F6B1-E1D4-4E0D-B964-DD003C438678}"/>
    <cellStyle name="Normal 4 4 2 2 3 7" xfId="4758" xr:uid="{00000000-0005-0000-0000-000002150000}"/>
    <cellStyle name="Normal 4 4 2 2 3 7 2" xfId="13200" xr:uid="{82B02E8D-CC31-44B1-8F17-E6FEA09C6D28}"/>
    <cellStyle name="Normal 4 4 2 2 3 8" xfId="8982" xr:uid="{0A59BBB3-520B-40C9-A71A-89D75FF96F3D}"/>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64C39BEA-E475-4348-AE9E-89F5EBECF07F}"/>
    <cellStyle name="Normal 4 4 2 2 4 2 3" xfId="11537" xr:uid="{50C10C56-43EC-4C3C-A378-09498AE3D094}"/>
    <cellStyle name="Normal 4 4 2 2 4 3" xfId="5168" xr:uid="{00000000-0005-0000-0000-000006150000}"/>
    <cellStyle name="Normal 4 4 2 2 4 3 2" xfId="13610" xr:uid="{1734A16C-1918-40F9-A71F-F5A58F0F1033}"/>
    <cellStyle name="Normal 4 4 2 2 4 4" xfId="9392" xr:uid="{D3803D3F-89B6-426D-BD1F-E25121610D98}"/>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03094A34-8FA2-4469-ACDE-5BDE615A5245}"/>
    <cellStyle name="Normal 4 4 2 2 5 2 3" xfId="11950" xr:uid="{90676383-E463-48CB-8F3F-CAB78EFF6B8B}"/>
    <cellStyle name="Normal 4 4 2 2 5 3" xfId="5581" xr:uid="{00000000-0005-0000-0000-00000A150000}"/>
    <cellStyle name="Normal 4 4 2 2 5 3 2" xfId="14023" xr:uid="{323C8BF0-F166-4E2D-972B-E69AEB080591}"/>
    <cellStyle name="Normal 4 4 2 2 5 4" xfId="9805" xr:uid="{DC18B125-8A75-4CFC-9223-E128460032A2}"/>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8CAAB624-88A8-4ED9-BED8-F1495597F18A}"/>
    <cellStyle name="Normal 4 4 2 2 6 2 3" xfId="12363" xr:uid="{EE55DD11-D1BB-4FB5-97A2-16167741F3D1}"/>
    <cellStyle name="Normal 4 4 2 2 6 3" xfId="5994" xr:uid="{00000000-0005-0000-0000-00000E150000}"/>
    <cellStyle name="Normal 4 4 2 2 6 3 2" xfId="14436" xr:uid="{8E600BE2-CA25-40CB-A0EA-5104483A664D}"/>
    <cellStyle name="Normal 4 4 2 2 6 4" xfId="10218" xr:uid="{5BC6621B-30F9-4B7E-89F9-F8FFE8130D4D}"/>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18B2D8E8-2CD7-44B6-8E73-355136489DBF}"/>
    <cellStyle name="Normal 4 4 2 2 7 2 3" xfId="12776" xr:uid="{DDDDBC6C-AEE7-40A7-B2B6-97B8CED47F09}"/>
    <cellStyle name="Normal 4 4 2 2 7 3" xfId="6407" xr:uid="{00000000-0005-0000-0000-000012150000}"/>
    <cellStyle name="Normal 4 4 2 2 7 3 2" xfId="14849" xr:uid="{119FCB9A-DE22-45BB-91D5-3544756009B8}"/>
    <cellStyle name="Normal 4 4 2 2 7 4" xfId="10631" xr:uid="{2EBD030F-D087-4535-92E6-0EFFF9EE6D62}"/>
    <cellStyle name="Normal 4 4 2 2 8" xfId="2536" xr:uid="{00000000-0005-0000-0000-000013150000}"/>
    <cellStyle name="Normal 4 4 2 2 8 2" xfId="6820" xr:uid="{00000000-0005-0000-0000-000014150000}"/>
    <cellStyle name="Normal 4 4 2 2 8 2 2" xfId="15262" xr:uid="{6C4FBBB3-F48B-4C9A-AAB4-AAB62E1C9B11}"/>
    <cellStyle name="Normal 4 4 2 2 8 3" xfId="11044" xr:uid="{F65DCF6C-31F1-4C7B-9588-F4ECA4997615}"/>
    <cellStyle name="Normal 4 4 2 2 9" xfId="4755" xr:uid="{00000000-0005-0000-0000-000015150000}"/>
    <cellStyle name="Normal 4 4 2 2 9 2" xfId="13197" xr:uid="{E7C94F14-19CA-49C9-A372-B88429C852E1}"/>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4CD3F0CA-67AD-4556-8F69-420280A07771}"/>
    <cellStyle name="Normal 4 4 2 3 2 2 2 3" xfId="11542" xr:uid="{B69FB083-13FA-443F-A366-B3A09150D7EC}"/>
    <cellStyle name="Normal 4 4 2 3 2 2 3" xfId="5173" xr:uid="{00000000-0005-0000-0000-00001B150000}"/>
    <cellStyle name="Normal 4 4 2 3 2 2 3 2" xfId="13615" xr:uid="{6E30BD43-B700-46C7-A7DD-186518A363C1}"/>
    <cellStyle name="Normal 4 4 2 3 2 2 4" xfId="9397" xr:uid="{B16AD1C6-7F22-44E2-8113-89341ACC5E6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9F2AFBFA-FD99-409C-BB19-A0741077F79F}"/>
    <cellStyle name="Normal 4 4 2 3 2 3 2 3" xfId="11955" xr:uid="{C54EC701-F8A7-4859-8EB6-94D5123366B7}"/>
    <cellStyle name="Normal 4 4 2 3 2 3 3" xfId="5586" xr:uid="{00000000-0005-0000-0000-00001F150000}"/>
    <cellStyle name="Normal 4 4 2 3 2 3 3 2" xfId="14028" xr:uid="{D849E8F4-18D8-4E9A-9C7D-15188689D4B0}"/>
    <cellStyle name="Normal 4 4 2 3 2 3 4" xfId="9810" xr:uid="{643309CF-8E9C-4689-BB6A-C06D1AC65263}"/>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9F30719C-AD32-4E3C-A647-93690B934FCC}"/>
    <cellStyle name="Normal 4 4 2 3 2 4 2 3" xfId="12368" xr:uid="{70978EA7-DB4A-4925-AF91-E9D65F1C6ECB}"/>
    <cellStyle name="Normal 4 4 2 3 2 4 3" xfId="5999" xr:uid="{00000000-0005-0000-0000-000023150000}"/>
    <cellStyle name="Normal 4 4 2 3 2 4 3 2" xfId="14441" xr:uid="{175789CD-2E71-4629-A9D3-BD5799A31BDE}"/>
    <cellStyle name="Normal 4 4 2 3 2 4 4" xfId="10223" xr:uid="{90CBE34E-3762-4F04-A5B4-29BD641ECD9B}"/>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F361AD8F-E712-4941-8137-DD2F52114CCC}"/>
    <cellStyle name="Normal 4 4 2 3 2 5 2 3" xfId="12781" xr:uid="{EE0D4490-EC04-4D00-A185-8DAB77CCAA55}"/>
    <cellStyle name="Normal 4 4 2 3 2 5 3" xfId="6412" xr:uid="{00000000-0005-0000-0000-000027150000}"/>
    <cellStyle name="Normal 4 4 2 3 2 5 3 2" xfId="14854" xr:uid="{C85773A9-1985-478E-AB57-B7CB270227F5}"/>
    <cellStyle name="Normal 4 4 2 3 2 5 4" xfId="10636" xr:uid="{94870D50-0F37-4CCF-A391-64DD01F0551C}"/>
    <cellStyle name="Normal 4 4 2 3 2 6" xfId="2541" xr:uid="{00000000-0005-0000-0000-000028150000}"/>
    <cellStyle name="Normal 4 4 2 3 2 6 2" xfId="6825" xr:uid="{00000000-0005-0000-0000-000029150000}"/>
    <cellStyle name="Normal 4 4 2 3 2 6 2 2" xfId="15267" xr:uid="{308ECC3D-45BE-4F48-B5D6-99D15A5176DF}"/>
    <cellStyle name="Normal 4 4 2 3 2 6 3" xfId="11049" xr:uid="{2039DE7F-4874-4350-B1C5-094FD2E72886}"/>
    <cellStyle name="Normal 4 4 2 3 2 7" xfId="4760" xr:uid="{00000000-0005-0000-0000-00002A150000}"/>
    <cellStyle name="Normal 4 4 2 3 2 7 2" xfId="13202" xr:uid="{A173ECC9-1719-44FC-8449-A122369913E3}"/>
    <cellStyle name="Normal 4 4 2 3 2 8" xfId="8984" xr:uid="{AF347EE2-B542-4B48-AA39-97F2EB5D628F}"/>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24051D37-D52E-42CF-AADF-BF23C8B237A5}"/>
    <cellStyle name="Normal 4 4 2 3 3 2 3" xfId="11541" xr:uid="{E9816A26-4158-415F-93C5-E5BF8665017C}"/>
    <cellStyle name="Normal 4 4 2 3 3 3" xfId="5172" xr:uid="{00000000-0005-0000-0000-00002E150000}"/>
    <cellStyle name="Normal 4 4 2 3 3 3 2" xfId="13614" xr:uid="{21DAA311-EC69-4004-805A-D0E103385A6C}"/>
    <cellStyle name="Normal 4 4 2 3 3 4" xfId="9396" xr:uid="{D695931A-4F50-424A-A6CD-3BF7DAB2697E}"/>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B0A7A297-53FB-4ADA-A39E-1D9CF005DA4E}"/>
    <cellStyle name="Normal 4 4 2 3 4 2 3" xfId="11954" xr:uid="{CA68C815-6FA8-4E11-BEFD-A8B6E5E6A6A2}"/>
    <cellStyle name="Normal 4 4 2 3 4 3" xfId="5585" xr:uid="{00000000-0005-0000-0000-000032150000}"/>
    <cellStyle name="Normal 4 4 2 3 4 3 2" xfId="14027" xr:uid="{E148356E-1230-4917-9AB4-7E2536A5C633}"/>
    <cellStyle name="Normal 4 4 2 3 4 4" xfId="9809" xr:uid="{07DB686B-1CDC-461B-A3AE-DE18B43D8449}"/>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7F03B259-8FE2-493B-9D51-1E506827CA64}"/>
    <cellStyle name="Normal 4 4 2 3 5 2 3" xfId="12367" xr:uid="{2F3B19C6-B1CE-49E5-A975-1261839E2A0B}"/>
    <cellStyle name="Normal 4 4 2 3 5 3" xfId="5998" xr:uid="{00000000-0005-0000-0000-000036150000}"/>
    <cellStyle name="Normal 4 4 2 3 5 3 2" xfId="14440" xr:uid="{79D4244E-B1CC-4187-BEF1-61DBDEC5DB8E}"/>
    <cellStyle name="Normal 4 4 2 3 5 4" xfId="10222" xr:uid="{95A2EE50-ADE0-459A-8203-361F960CEE53}"/>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561D3273-D6A6-42B9-B0B0-066670C6EA14}"/>
    <cellStyle name="Normal 4 4 2 3 6 2 3" xfId="12780" xr:uid="{E2C7A544-B8F8-445D-B1EB-800A21924E63}"/>
    <cellStyle name="Normal 4 4 2 3 6 3" xfId="6411" xr:uid="{00000000-0005-0000-0000-00003A150000}"/>
    <cellStyle name="Normal 4 4 2 3 6 3 2" xfId="14853" xr:uid="{368812C5-738B-45F3-A874-110E2E7FB2D0}"/>
    <cellStyle name="Normal 4 4 2 3 6 4" xfId="10635" xr:uid="{47C84A40-5B33-41EE-B555-97AB170F040D}"/>
    <cellStyle name="Normal 4 4 2 3 7" xfId="2540" xr:uid="{00000000-0005-0000-0000-00003B150000}"/>
    <cellStyle name="Normal 4 4 2 3 7 2" xfId="6824" xr:uid="{00000000-0005-0000-0000-00003C150000}"/>
    <cellStyle name="Normal 4 4 2 3 7 2 2" xfId="15266" xr:uid="{EC5790D3-7FC1-4C1B-8674-50214F050A33}"/>
    <cellStyle name="Normal 4 4 2 3 7 3" xfId="11048" xr:uid="{3633EEB6-EF0F-4FA9-A731-14F386AA52E7}"/>
    <cellStyle name="Normal 4 4 2 3 8" xfId="4759" xr:uid="{00000000-0005-0000-0000-00003D150000}"/>
    <cellStyle name="Normal 4 4 2 3 8 2" xfId="13201" xr:uid="{A061752E-F1F7-44E3-AAB3-FF96D358D9A2}"/>
    <cellStyle name="Normal 4 4 2 3 9" xfId="8983" xr:uid="{B5740653-31CF-46C1-ACA0-95CB00DA05D5}"/>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1C61920D-BE4A-47C6-B8B7-C7A617A6DB42}"/>
    <cellStyle name="Normal 4 4 2 4 2 2 3" xfId="11543" xr:uid="{134A3516-A945-40EF-8E2A-A785C46D9739}"/>
    <cellStyle name="Normal 4 4 2 4 2 3" xfId="5174" xr:uid="{00000000-0005-0000-0000-000042150000}"/>
    <cellStyle name="Normal 4 4 2 4 2 3 2" xfId="13616" xr:uid="{E88C0087-B562-41D3-8DB3-30FBF0A6DDD9}"/>
    <cellStyle name="Normal 4 4 2 4 2 4" xfId="9398" xr:uid="{447EE58D-45B0-48CA-A3F7-05E8DCC661C4}"/>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0E1E974B-0984-4211-8A5E-27FC43AB7024}"/>
    <cellStyle name="Normal 4 4 2 4 3 2 3" xfId="11956" xr:uid="{7966DB92-936E-445D-A786-062381ABDB2E}"/>
    <cellStyle name="Normal 4 4 2 4 3 3" xfId="5587" xr:uid="{00000000-0005-0000-0000-000046150000}"/>
    <cellStyle name="Normal 4 4 2 4 3 3 2" xfId="14029" xr:uid="{8A20FFE9-A68C-45B3-94BC-30B1A5830AB8}"/>
    <cellStyle name="Normal 4 4 2 4 3 4" xfId="9811" xr:uid="{A7E4DBAE-FB8E-4980-BC79-1A62578AB6AB}"/>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AF3EEFF7-9FFB-47C8-87F0-C6D7E9B92BA1}"/>
    <cellStyle name="Normal 4 4 2 4 4 2 3" xfId="12369" xr:uid="{9E090495-4779-41F5-B73B-7BE16BE48124}"/>
    <cellStyle name="Normal 4 4 2 4 4 3" xfId="6000" xr:uid="{00000000-0005-0000-0000-00004A150000}"/>
    <cellStyle name="Normal 4 4 2 4 4 3 2" xfId="14442" xr:uid="{BD9B5740-57A6-4237-BD00-45A040F76AB1}"/>
    <cellStyle name="Normal 4 4 2 4 4 4" xfId="10224" xr:uid="{957878AA-688A-4BC2-AB16-84946F2D1235}"/>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C2F3523E-31E8-4646-A258-8B06B43F137F}"/>
    <cellStyle name="Normal 4 4 2 4 5 2 3" xfId="12782" xr:uid="{C38940C3-DE6F-44A8-B383-8378449E9E2A}"/>
    <cellStyle name="Normal 4 4 2 4 5 3" xfId="6413" xr:uid="{00000000-0005-0000-0000-00004E150000}"/>
    <cellStyle name="Normal 4 4 2 4 5 3 2" xfId="14855" xr:uid="{CFD55998-9D78-4219-8F41-084ACB56B92D}"/>
    <cellStyle name="Normal 4 4 2 4 5 4" xfId="10637" xr:uid="{EDE3CB34-2216-4C17-9CB2-15803130126B}"/>
    <cellStyle name="Normal 4 4 2 4 6" xfId="2542" xr:uid="{00000000-0005-0000-0000-00004F150000}"/>
    <cellStyle name="Normal 4 4 2 4 6 2" xfId="6826" xr:uid="{00000000-0005-0000-0000-000050150000}"/>
    <cellStyle name="Normal 4 4 2 4 6 2 2" xfId="15268" xr:uid="{BEF8FCFD-DB1A-41D9-A0D9-180C4028ADEB}"/>
    <cellStyle name="Normal 4 4 2 4 6 3" xfId="11050" xr:uid="{A1641E65-277A-4A58-839E-78F79AB0886C}"/>
    <cellStyle name="Normal 4 4 2 4 7" xfId="4761" xr:uid="{00000000-0005-0000-0000-000051150000}"/>
    <cellStyle name="Normal 4 4 2 4 7 2" xfId="13203" xr:uid="{08C04A22-3445-44B1-B226-48A18053391E}"/>
    <cellStyle name="Normal 4 4 2 4 8" xfId="8985" xr:uid="{5FF34D14-E281-4ABC-9F62-F700496B0173}"/>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CC365DA0-7886-4543-B654-92A9E784988F}"/>
    <cellStyle name="Normal 4 4 2 5 2 3" xfId="11536" xr:uid="{3E032BDF-2895-4F05-B371-DD94514131FB}"/>
    <cellStyle name="Normal 4 4 2 5 3" xfId="5167" xr:uid="{00000000-0005-0000-0000-000055150000}"/>
    <cellStyle name="Normal 4 4 2 5 3 2" xfId="13609" xr:uid="{9CF0F71F-36EA-400C-A4E6-551A1F93DBAE}"/>
    <cellStyle name="Normal 4 4 2 5 4" xfId="9391" xr:uid="{68608963-DCD6-4542-BCB0-BF7F64E62816}"/>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1860BA26-AED0-42FF-B7A9-66646E4C39FD}"/>
    <cellStyle name="Normal 4 4 2 6 2 3" xfId="11949" xr:uid="{3EF61805-5DF4-496F-9062-4F205CEC3780}"/>
    <cellStyle name="Normal 4 4 2 6 3" xfId="5580" xr:uid="{00000000-0005-0000-0000-000059150000}"/>
    <cellStyle name="Normal 4 4 2 6 3 2" xfId="14022" xr:uid="{1425B2F4-E2D8-464A-84EB-7D36064354C8}"/>
    <cellStyle name="Normal 4 4 2 6 4" xfId="9804" xr:uid="{A80C2719-6852-43AE-A7B2-5F029307BA99}"/>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A57457AD-9C74-4210-BC5D-1C26CC8B4740}"/>
    <cellStyle name="Normal 4 4 2 7 2 3" xfId="12362" xr:uid="{C61FB2F9-9CF9-4216-A0D2-DB79E0BACA50}"/>
    <cellStyle name="Normal 4 4 2 7 3" xfId="5993" xr:uid="{00000000-0005-0000-0000-00005D150000}"/>
    <cellStyle name="Normal 4 4 2 7 3 2" xfId="14435" xr:uid="{B4FF8728-D51E-4FFD-90E4-C093A6C2ECF5}"/>
    <cellStyle name="Normal 4 4 2 7 4" xfId="10217" xr:uid="{FE12A3FD-BCA2-4C7C-8164-28C6B3A4FBCA}"/>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061DBCA5-CED3-456F-BB80-C6D64956A55A}"/>
    <cellStyle name="Normal 4 4 2 8 2 3" xfId="12775" xr:uid="{519ABFFA-D49C-4095-B5F8-20808F84E6AB}"/>
    <cellStyle name="Normal 4 4 2 8 3" xfId="6406" xr:uid="{00000000-0005-0000-0000-000061150000}"/>
    <cellStyle name="Normal 4 4 2 8 3 2" xfId="14848" xr:uid="{ECE5B726-458A-4549-A59E-17862E250F5C}"/>
    <cellStyle name="Normal 4 4 2 8 4" xfId="10630" xr:uid="{4C67C768-094E-4C64-AA4E-72A71F710E2A}"/>
    <cellStyle name="Normal 4 4 2 9" xfId="2535" xr:uid="{00000000-0005-0000-0000-000062150000}"/>
    <cellStyle name="Normal 4 4 2 9 2" xfId="6819" xr:uid="{00000000-0005-0000-0000-000063150000}"/>
    <cellStyle name="Normal 4 4 2 9 2 2" xfId="15261" xr:uid="{3ECF3B60-35EF-43DB-8D7E-1F9611FCBC78}"/>
    <cellStyle name="Normal 4 4 2 9 3" xfId="11043" xr:uid="{5F409253-2DCD-451A-8DEB-0E3EABA47207}"/>
    <cellStyle name="Normal 4 4 3" xfId="387" xr:uid="{00000000-0005-0000-0000-000064150000}"/>
    <cellStyle name="Normal 4 4 3 10" xfId="8986" xr:uid="{B615F1AA-70F1-44F2-B4F1-A68623DF3A19}"/>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28FB10DD-4CFD-4498-891F-0700298C5A32}"/>
    <cellStyle name="Normal 4 4 3 2 2 2 2 3" xfId="11546" xr:uid="{87D34082-B01C-4F1C-AB11-C1D1EE374DA2}"/>
    <cellStyle name="Normal 4 4 3 2 2 2 3" xfId="5177" xr:uid="{00000000-0005-0000-0000-00006A150000}"/>
    <cellStyle name="Normal 4 4 3 2 2 2 3 2" xfId="13619" xr:uid="{EF72BD94-C979-4620-9CD8-CCBDB863673E}"/>
    <cellStyle name="Normal 4 4 3 2 2 2 4" xfId="9401" xr:uid="{C4249407-8085-46C6-8A2B-F49E81FA4E8E}"/>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7AE7A4D4-8490-415C-B5D7-1849CBC06F29}"/>
    <cellStyle name="Normal 4 4 3 2 2 3 2 3" xfId="11959" xr:uid="{D0E19783-328F-4FD9-A97D-A02003D040A5}"/>
    <cellStyle name="Normal 4 4 3 2 2 3 3" xfId="5590" xr:uid="{00000000-0005-0000-0000-00006E150000}"/>
    <cellStyle name="Normal 4 4 3 2 2 3 3 2" xfId="14032" xr:uid="{CCA97C73-88CA-47C6-968D-EDFCB0EE07BC}"/>
    <cellStyle name="Normal 4 4 3 2 2 3 4" xfId="9814" xr:uid="{1E9F68B0-54AE-4FD0-A271-1E709116B988}"/>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A5634FC0-4A46-4A64-88E3-BBD390B11FFA}"/>
    <cellStyle name="Normal 4 4 3 2 2 4 2 3" xfId="12372" xr:uid="{A11CFEA3-9A28-4416-8A99-5378A11D4A2A}"/>
    <cellStyle name="Normal 4 4 3 2 2 4 3" xfId="6003" xr:uid="{00000000-0005-0000-0000-000072150000}"/>
    <cellStyle name="Normal 4 4 3 2 2 4 3 2" xfId="14445" xr:uid="{F7C94E3E-5A23-415F-B445-66ED6899912E}"/>
    <cellStyle name="Normal 4 4 3 2 2 4 4" xfId="10227" xr:uid="{E818EBD8-C373-4069-8647-A2E1E7AE8FA8}"/>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CF6860C9-7F55-40DE-BE5B-91071CE2CDD5}"/>
    <cellStyle name="Normal 4 4 3 2 2 5 2 3" xfId="12785" xr:uid="{34263224-FF65-4D8B-9EE1-8EF61AD1CB57}"/>
    <cellStyle name="Normal 4 4 3 2 2 5 3" xfId="6416" xr:uid="{00000000-0005-0000-0000-000076150000}"/>
    <cellStyle name="Normal 4 4 3 2 2 5 3 2" xfId="14858" xr:uid="{EC7E1A4A-2AFD-4D2C-A18E-28D4A49B085C}"/>
    <cellStyle name="Normal 4 4 3 2 2 5 4" xfId="10640" xr:uid="{8F989EE9-B2E7-44DF-8220-F1C1B349F7DE}"/>
    <cellStyle name="Normal 4 4 3 2 2 6" xfId="2545" xr:uid="{00000000-0005-0000-0000-000077150000}"/>
    <cellStyle name="Normal 4 4 3 2 2 6 2" xfId="6829" xr:uid="{00000000-0005-0000-0000-000078150000}"/>
    <cellStyle name="Normal 4 4 3 2 2 6 2 2" xfId="15271" xr:uid="{04F7CDBA-A1D0-4821-98AA-DCE8AE95F8FC}"/>
    <cellStyle name="Normal 4 4 3 2 2 6 3" xfId="11053" xr:uid="{5F194EA7-52FE-4D9E-80A1-A86A12B3FD10}"/>
    <cellStyle name="Normal 4 4 3 2 2 7" xfId="4764" xr:uid="{00000000-0005-0000-0000-000079150000}"/>
    <cellStyle name="Normal 4 4 3 2 2 7 2" xfId="13206" xr:uid="{A51E7E45-3DA7-41E6-983E-A2005CD79CF4}"/>
    <cellStyle name="Normal 4 4 3 2 2 8" xfId="8988" xr:uid="{00CD55EA-DA2A-460A-9B1E-1223889F997F}"/>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495FDBD1-FD0D-4DF6-9BC6-E1F617AD2440}"/>
    <cellStyle name="Normal 4 4 3 2 3 2 3" xfId="11545" xr:uid="{A971F7EC-F930-4B7C-9E4F-3AE86A778CBA}"/>
    <cellStyle name="Normal 4 4 3 2 3 3" xfId="5176" xr:uid="{00000000-0005-0000-0000-00007D150000}"/>
    <cellStyle name="Normal 4 4 3 2 3 3 2" xfId="13618" xr:uid="{3331A7FF-0094-45FF-98C1-F651E618A074}"/>
    <cellStyle name="Normal 4 4 3 2 3 4" xfId="9400" xr:uid="{4B82B8F7-46BC-4550-A5B1-717B1E9B89AF}"/>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547548FA-7EE4-49EF-9C2D-21A74D7930D1}"/>
    <cellStyle name="Normal 4 4 3 2 4 2 3" xfId="11958" xr:uid="{B5F601C2-FE55-45C1-9149-F4E751367B49}"/>
    <cellStyle name="Normal 4 4 3 2 4 3" xfId="5589" xr:uid="{00000000-0005-0000-0000-000081150000}"/>
    <cellStyle name="Normal 4 4 3 2 4 3 2" xfId="14031" xr:uid="{2D66C178-1FD8-4DA8-987C-2400F8A0C5FC}"/>
    <cellStyle name="Normal 4 4 3 2 4 4" xfId="9813" xr:uid="{838FFA61-35F7-4B3E-A084-EB4D9AA0AF6A}"/>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7363256C-ECF9-46DB-81DA-29CEE4899ECD}"/>
    <cellStyle name="Normal 4 4 3 2 5 2 3" xfId="12371" xr:uid="{BD3A3967-7E8B-4B4E-8AD7-6E7C56EDA411}"/>
    <cellStyle name="Normal 4 4 3 2 5 3" xfId="6002" xr:uid="{00000000-0005-0000-0000-000085150000}"/>
    <cellStyle name="Normal 4 4 3 2 5 3 2" xfId="14444" xr:uid="{6902BC8F-223E-4A7D-996A-B002E5EE5487}"/>
    <cellStyle name="Normal 4 4 3 2 5 4" xfId="10226" xr:uid="{BB6C8468-A7EC-4B5C-BFA7-0C2D717FBEAA}"/>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E41EA154-3C80-424B-88D6-F37CCE45751E}"/>
    <cellStyle name="Normal 4 4 3 2 6 2 3" xfId="12784" xr:uid="{D43F6E32-CF61-4033-ACC9-DCF4885B408A}"/>
    <cellStyle name="Normal 4 4 3 2 6 3" xfId="6415" xr:uid="{00000000-0005-0000-0000-000089150000}"/>
    <cellStyle name="Normal 4 4 3 2 6 3 2" xfId="14857" xr:uid="{551C8A4D-DD56-4C4C-90BF-6E79EFCA281B}"/>
    <cellStyle name="Normal 4 4 3 2 6 4" xfId="10639" xr:uid="{77BA5B5C-261E-4239-903C-14F351D60D91}"/>
    <cellStyle name="Normal 4 4 3 2 7" xfId="2544" xr:uid="{00000000-0005-0000-0000-00008A150000}"/>
    <cellStyle name="Normal 4 4 3 2 7 2" xfId="6828" xr:uid="{00000000-0005-0000-0000-00008B150000}"/>
    <cellStyle name="Normal 4 4 3 2 7 2 2" xfId="15270" xr:uid="{E67D8246-7078-4A40-ACBD-D8CB56FF2ADB}"/>
    <cellStyle name="Normal 4 4 3 2 7 3" xfId="11052" xr:uid="{FBB749A3-3333-4E26-9DBE-D3910EB29ED9}"/>
    <cellStyle name="Normal 4 4 3 2 8" xfId="4763" xr:uid="{00000000-0005-0000-0000-00008C150000}"/>
    <cellStyle name="Normal 4 4 3 2 8 2" xfId="13205" xr:uid="{E275EEE8-6684-4564-B9F3-D26FF817CD78}"/>
    <cellStyle name="Normal 4 4 3 2 9" xfId="8987" xr:uid="{E60A7848-063D-4135-952C-8249A1BF666F}"/>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8337AC3A-5886-4AE7-A360-B6FA3A0648AB}"/>
    <cellStyle name="Normal 4 4 3 3 2 2 3" xfId="11547" xr:uid="{A39498C2-89AB-4546-8A27-FACD4567B02A}"/>
    <cellStyle name="Normal 4 4 3 3 2 3" xfId="5178" xr:uid="{00000000-0005-0000-0000-000091150000}"/>
    <cellStyle name="Normal 4 4 3 3 2 3 2" xfId="13620" xr:uid="{88E3951E-E3F0-4D15-B0AF-B24CB3C97078}"/>
    <cellStyle name="Normal 4 4 3 3 2 4" xfId="9402" xr:uid="{30BACAF3-6577-4710-805A-C82AAB12D0F2}"/>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712FAFDA-FE85-4121-B8F8-98D7245FB3CA}"/>
    <cellStyle name="Normal 4 4 3 3 3 2 3" xfId="11960" xr:uid="{C176587C-14BA-4CD7-8D92-716EB2DD5A15}"/>
    <cellStyle name="Normal 4 4 3 3 3 3" xfId="5591" xr:uid="{00000000-0005-0000-0000-000095150000}"/>
    <cellStyle name="Normal 4 4 3 3 3 3 2" xfId="14033" xr:uid="{D84700BE-EB40-4959-A046-E351B6F8C0AB}"/>
    <cellStyle name="Normal 4 4 3 3 3 4" xfId="9815" xr:uid="{D3EC59BC-9882-4238-9D40-D61751552754}"/>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3D0EE59F-DA86-4972-8C27-04EA6931AAEE}"/>
    <cellStyle name="Normal 4 4 3 3 4 2 3" xfId="12373" xr:uid="{9C03CC01-890E-4235-B369-28C744B1B69E}"/>
    <cellStyle name="Normal 4 4 3 3 4 3" xfId="6004" xr:uid="{00000000-0005-0000-0000-000099150000}"/>
    <cellStyle name="Normal 4 4 3 3 4 3 2" xfId="14446" xr:uid="{6B1640E3-756B-47A8-8901-B1ED920D8D16}"/>
    <cellStyle name="Normal 4 4 3 3 4 4" xfId="10228" xr:uid="{23640EDE-B9A7-4D36-8631-19A8DBEDF28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B5632242-1326-44FC-95E7-37229956E32F}"/>
    <cellStyle name="Normal 4 4 3 3 5 2 3" xfId="12786" xr:uid="{9F461283-584E-4605-9382-3670964C348F}"/>
    <cellStyle name="Normal 4 4 3 3 5 3" xfId="6417" xr:uid="{00000000-0005-0000-0000-00009D150000}"/>
    <cellStyle name="Normal 4 4 3 3 5 3 2" xfId="14859" xr:uid="{D4A39117-A5C4-47DC-ADB0-D063BFAB2605}"/>
    <cellStyle name="Normal 4 4 3 3 5 4" xfId="10641" xr:uid="{5FB1BCA7-0A6C-405F-B0C5-AC8652F2CEAF}"/>
    <cellStyle name="Normal 4 4 3 3 6" xfId="2546" xr:uid="{00000000-0005-0000-0000-00009E150000}"/>
    <cellStyle name="Normal 4 4 3 3 6 2" xfId="6830" xr:uid="{00000000-0005-0000-0000-00009F150000}"/>
    <cellStyle name="Normal 4 4 3 3 6 2 2" xfId="15272" xr:uid="{0F0D3170-2465-44B0-9F0D-FA9E4ADB5E9F}"/>
    <cellStyle name="Normal 4 4 3 3 6 3" xfId="11054" xr:uid="{74F8E84E-3443-4271-A853-0DE3FB7F25BF}"/>
    <cellStyle name="Normal 4 4 3 3 7" xfId="4765" xr:uid="{00000000-0005-0000-0000-0000A0150000}"/>
    <cellStyle name="Normal 4 4 3 3 7 2" xfId="13207" xr:uid="{88227A1F-86BA-4D55-A1B2-011A710AECD8}"/>
    <cellStyle name="Normal 4 4 3 3 8" xfId="8989" xr:uid="{983DCA84-A7F7-49D2-9D26-04DC080798AF}"/>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05F03C70-2B88-4773-9BD7-A44B12103FBD}"/>
    <cellStyle name="Normal 4 4 3 4 2 3" xfId="11544" xr:uid="{BA352ED2-116D-4D6A-A488-955206734846}"/>
    <cellStyle name="Normal 4 4 3 4 3" xfId="5175" xr:uid="{00000000-0005-0000-0000-0000A4150000}"/>
    <cellStyle name="Normal 4 4 3 4 3 2" xfId="13617" xr:uid="{73B2451F-AFBC-47FD-A6CC-ECFCC85FC2FE}"/>
    <cellStyle name="Normal 4 4 3 4 4" xfId="9399" xr:uid="{ED25EEEB-3B8E-4BA7-BCBB-BC4D93015361}"/>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A08185D0-8FD5-4307-AE36-4C02A93DC8C5}"/>
    <cellStyle name="Normal 4 4 3 5 2 3" xfId="11957" xr:uid="{4D20A547-7F7B-4E7E-AECC-9152176B7CA7}"/>
    <cellStyle name="Normal 4 4 3 5 3" xfId="5588" xr:uid="{00000000-0005-0000-0000-0000A8150000}"/>
    <cellStyle name="Normal 4 4 3 5 3 2" xfId="14030" xr:uid="{0450763A-1515-4E73-96C6-BDFFCBA7979E}"/>
    <cellStyle name="Normal 4 4 3 5 4" xfId="9812" xr:uid="{E0D17711-4CF2-4555-8197-74402182953A}"/>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77D2E828-250E-49F8-B385-CBE17B96FB28}"/>
    <cellStyle name="Normal 4 4 3 6 2 3" xfId="12370" xr:uid="{D1CC8099-F046-47F1-8194-D4E0CEAADA23}"/>
    <cellStyle name="Normal 4 4 3 6 3" xfId="6001" xr:uid="{00000000-0005-0000-0000-0000AC150000}"/>
    <cellStyle name="Normal 4 4 3 6 3 2" xfId="14443" xr:uid="{23636B51-DCBB-4D16-AF11-DA9D4E4ACC0B}"/>
    <cellStyle name="Normal 4 4 3 6 4" xfId="10225" xr:uid="{A780EBC5-3E3B-4A0B-B98F-255779F695FA}"/>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09432486-B885-43DB-8D9F-4FCBA1A8D771}"/>
    <cellStyle name="Normal 4 4 3 7 2 3" xfId="12783" xr:uid="{BB1C02F1-C9CD-4A3E-9091-0D3AFC8437C5}"/>
    <cellStyle name="Normal 4 4 3 7 3" xfId="6414" xr:uid="{00000000-0005-0000-0000-0000B0150000}"/>
    <cellStyle name="Normal 4 4 3 7 3 2" xfId="14856" xr:uid="{58AFB824-DC75-4D5F-ACD0-8B5AFD79C0D3}"/>
    <cellStyle name="Normal 4 4 3 7 4" xfId="10638" xr:uid="{759ABAFD-A429-4249-8669-8759672C41A1}"/>
    <cellStyle name="Normal 4 4 3 8" xfId="2543" xr:uid="{00000000-0005-0000-0000-0000B1150000}"/>
    <cellStyle name="Normal 4 4 3 8 2" xfId="6827" xr:uid="{00000000-0005-0000-0000-0000B2150000}"/>
    <cellStyle name="Normal 4 4 3 8 2 2" xfId="15269" xr:uid="{C2CFD11E-3FE8-4D1C-8F82-6934758B51B6}"/>
    <cellStyle name="Normal 4 4 3 8 3" xfId="11051" xr:uid="{1D4A16F2-59FB-4301-AEC0-D89B36E59C7B}"/>
    <cellStyle name="Normal 4 4 3 9" xfId="4762" xr:uid="{00000000-0005-0000-0000-0000B3150000}"/>
    <cellStyle name="Normal 4 4 3 9 2" xfId="13204" xr:uid="{9D4B1342-2FF6-427D-97E0-7C1CAFF755F6}"/>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C66BF9F3-B39E-4CD6-B70D-7818071AA191}"/>
    <cellStyle name="Normal 4 4 4 2 2 2 3" xfId="11549" xr:uid="{3F1F8C6E-FA42-436C-9D58-EB5083BEA525}"/>
    <cellStyle name="Normal 4 4 4 2 2 3" xfId="5180" xr:uid="{00000000-0005-0000-0000-0000B9150000}"/>
    <cellStyle name="Normal 4 4 4 2 2 3 2" xfId="13622" xr:uid="{02FE8A20-3D26-4961-826D-C34ABB7FABEC}"/>
    <cellStyle name="Normal 4 4 4 2 2 4" xfId="9404" xr:uid="{908307E7-091B-426D-A610-0E578335139C}"/>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E022227C-C49C-4FE2-8003-03C77E2396CF}"/>
    <cellStyle name="Normal 4 4 4 2 3 2 3" xfId="11962" xr:uid="{595A83F6-A28E-4C86-B907-701AF4209B68}"/>
    <cellStyle name="Normal 4 4 4 2 3 3" xfId="5593" xr:uid="{00000000-0005-0000-0000-0000BD150000}"/>
    <cellStyle name="Normal 4 4 4 2 3 3 2" xfId="14035" xr:uid="{641F617C-638C-4F99-B1EC-EFFCA6729F81}"/>
    <cellStyle name="Normal 4 4 4 2 3 4" xfId="9817" xr:uid="{BACF6258-8049-41BC-A8F6-1293FAF43ACC}"/>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6EAB3208-A771-4484-8860-AB28AD41F5A1}"/>
    <cellStyle name="Normal 4 4 4 2 4 2 3" xfId="12375" xr:uid="{9CDF92AA-DEB4-4B61-B4D5-2523D0ACA06D}"/>
    <cellStyle name="Normal 4 4 4 2 4 3" xfId="6006" xr:uid="{00000000-0005-0000-0000-0000C1150000}"/>
    <cellStyle name="Normal 4 4 4 2 4 3 2" xfId="14448" xr:uid="{3376E3B8-B5E2-4EF7-8ED6-42DA4008B881}"/>
    <cellStyle name="Normal 4 4 4 2 4 4" xfId="10230" xr:uid="{FAEE3CAB-F892-4643-A674-375E84D9BF97}"/>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A56CFD41-5121-4B6D-8F85-E7A2625F730D}"/>
    <cellStyle name="Normal 4 4 4 2 5 2 3" xfId="12788" xr:uid="{4AC94FB6-37A9-4CE0-86CB-1EAF80D8D831}"/>
    <cellStyle name="Normal 4 4 4 2 5 3" xfId="6419" xr:uid="{00000000-0005-0000-0000-0000C5150000}"/>
    <cellStyle name="Normal 4 4 4 2 5 3 2" xfId="14861" xr:uid="{014CF974-9EA4-4D85-99BB-B22DB2C20AFD}"/>
    <cellStyle name="Normal 4 4 4 2 5 4" xfId="10643" xr:uid="{20FB9199-468E-4AB2-9F93-8010D4112D9C}"/>
    <cellStyle name="Normal 4 4 4 2 6" xfId="2548" xr:uid="{00000000-0005-0000-0000-0000C6150000}"/>
    <cellStyle name="Normal 4 4 4 2 6 2" xfId="6832" xr:uid="{00000000-0005-0000-0000-0000C7150000}"/>
    <cellStyle name="Normal 4 4 4 2 6 2 2" xfId="15274" xr:uid="{E222C45C-ABE3-40A7-90D6-CCA2D3BCE485}"/>
    <cellStyle name="Normal 4 4 4 2 6 3" xfId="11056" xr:uid="{F8214377-F078-4946-9A0E-C3A91136047A}"/>
    <cellStyle name="Normal 4 4 4 2 7" xfId="4767" xr:uid="{00000000-0005-0000-0000-0000C8150000}"/>
    <cellStyle name="Normal 4 4 4 2 7 2" xfId="13209" xr:uid="{34A6E6F4-93DC-41EE-B4C3-2C4EFE365267}"/>
    <cellStyle name="Normal 4 4 4 2 8" xfId="8991" xr:uid="{3CA4E578-1425-438D-906B-1D83A79CFF4A}"/>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B7BE21EC-AD77-428B-A7F7-115EEFD8BE3B}"/>
    <cellStyle name="Normal 4 4 4 3 2 3" xfId="11548" xr:uid="{1F619904-3FE9-48B4-828D-D0AF479D1CF7}"/>
    <cellStyle name="Normal 4 4 4 3 3" xfId="5179" xr:uid="{00000000-0005-0000-0000-0000CC150000}"/>
    <cellStyle name="Normal 4 4 4 3 3 2" xfId="13621" xr:uid="{D883A8A0-519D-43C6-A15C-5F5E0881992A}"/>
    <cellStyle name="Normal 4 4 4 3 4" xfId="9403" xr:uid="{2E3255F7-92BF-4C99-91EB-4249B2134610}"/>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8D32ED5F-6854-4471-968C-9AA61B8E0264}"/>
    <cellStyle name="Normal 4 4 4 4 2 3" xfId="11961" xr:uid="{62E578E8-0F04-4785-B7C8-5E98495D3383}"/>
    <cellStyle name="Normal 4 4 4 4 3" xfId="5592" xr:uid="{00000000-0005-0000-0000-0000D0150000}"/>
    <cellStyle name="Normal 4 4 4 4 3 2" xfId="14034" xr:uid="{E8F49BA0-F7F1-4A54-92E4-A8D91FBEF858}"/>
    <cellStyle name="Normal 4 4 4 4 4" xfId="9816" xr:uid="{6CBD25B4-52CD-4867-8D32-C0863AC603F2}"/>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0B0CF846-D6DD-41CD-AF11-7E97F9EF47B9}"/>
    <cellStyle name="Normal 4 4 4 5 2 3" xfId="12374" xr:uid="{36B38CFC-5D9E-4D5D-8BA6-CF40D7F4E20A}"/>
    <cellStyle name="Normal 4 4 4 5 3" xfId="6005" xr:uid="{00000000-0005-0000-0000-0000D4150000}"/>
    <cellStyle name="Normal 4 4 4 5 3 2" xfId="14447" xr:uid="{CBDEF520-99A1-4BAD-B0A4-E0939F7B350D}"/>
    <cellStyle name="Normal 4 4 4 5 4" xfId="10229" xr:uid="{3BC63CBC-B754-40F3-84BC-407685740848}"/>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C72A8B4B-BE99-49A6-A742-E5EABF43BFA7}"/>
    <cellStyle name="Normal 4 4 4 6 2 3" xfId="12787" xr:uid="{FCC5A6BC-7711-4EB2-AA0B-CB3A8AD1A0C8}"/>
    <cellStyle name="Normal 4 4 4 6 3" xfId="6418" xr:uid="{00000000-0005-0000-0000-0000D8150000}"/>
    <cellStyle name="Normal 4 4 4 6 3 2" xfId="14860" xr:uid="{74160470-9819-4B69-8BA6-A5A8D3D63C0D}"/>
    <cellStyle name="Normal 4 4 4 6 4" xfId="10642" xr:uid="{4D4F3C76-D3FC-441E-8D2B-518ACF6DE341}"/>
    <cellStyle name="Normal 4 4 4 7" xfId="2547" xr:uid="{00000000-0005-0000-0000-0000D9150000}"/>
    <cellStyle name="Normal 4 4 4 7 2" xfId="6831" xr:uid="{00000000-0005-0000-0000-0000DA150000}"/>
    <cellStyle name="Normal 4 4 4 7 2 2" xfId="15273" xr:uid="{5D55D2F5-23A7-43EF-8475-B305DF613B5B}"/>
    <cellStyle name="Normal 4 4 4 7 3" xfId="11055" xr:uid="{231BF85D-CA61-4727-880C-FE13C2159BA4}"/>
    <cellStyle name="Normal 4 4 4 8" xfId="4766" xr:uid="{00000000-0005-0000-0000-0000DB150000}"/>
    <cellStyle name="Normal 4 4 4 8 2" xfId="13208" xr:uid="{98693180-94B2-4070-8D47-DA6CF0DA33FC}"/>
    <cellStyle name="Normal 4 4 4 9" xfId="8990" xr:uid="{5DC5BDB7-8B38-48D9-B2BB-B28453D09DE1}"/>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ACC958CD-CD9B-4162-AF90-6B010CF83205}"/>
    <cellStyle name="Normal 4 4 5 2 2 3" xfId="11550" xr:uid="{A58F4B02-2968-4993-8DAB-E5321AA40BA6}"/>
    <cellStyle name="Normal 4 4 5 2 3" xfId="5181" xr:uid="{00000000-0005-0000-0000-0000E0150000}"/>
    <cellStyle name="Normal 4 4 5 2 3 2" xfId="13623" xr:uid="{FD1CD037-55C0-405D-98F6-951A8A40DEF1}"/>
    <cellStyle name="Normal 4 4 5 2 4" xfId="9405" xr:uid="{CE904F59-6442-44B7-80F0-5381D21E8466}"/>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7D45CA2-9955-43EB-9BF4-974F1B65A0D4}"/>
    <cellStyle name="Normal 4 4 5 3 2 3" xfId="11963" xr:uid="{7F0380AA-5224-4288-A38F-4A46ABF02D4D}"/>
    <cellStyle name="Normal 4 4 5 3 3" xfId="5594" xr:uid="{00000000-0005-0000-0000-0000E4150000}"/>
    <cellStyle name="Normal 4 4 5 3 3 2" xfId="14036" xr:uid="{443F61F9-6267-471E-B103-852A3D510FC1}"/>
    <cellStyle name="Normal 4 4 5 3 4" xfId="9818" xr:uid="{92FED2D9-48A7-4373-A3FE-A98B8E525645}"/>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8A8D3B38-36CF-4583-8F18-867F71A85056}"/>
    <cellStyle name="Normal 4 4 5 4 2 3" xfId="12376" xr:uid="{CC3E2A55-E791-4759-A423-C38059DDCE0A}"/>
    <cellStyle name="Normal 4 4 5 4 3" xfId="6007" xr:uid="{00000000-0005-0000-0000-0000E8150000}"/>
    <cellStyle name="Normal 4 4 5 4 3 2" xfId="14449" xr:uid="{A140A3DC-4EA0-42F3-8BBE-69BE3E4CC380}"/>
    <cellStyle name="Normal 4 4 5 4 4" xfId="10231" xr:uid="{594D3BE0-6C34-46A2-8884-23E3D7550B90}"/>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7D0DF9FC-C3CC-45C0-89D0-6D67B6B57E32}"/>
    <cellStyle name="Normal 4 4 5 5 2 3" xfId="12789" xr:uid="{C779EB29-870F-40ED-9425-D1DE97889D8A}"/>
    <cellStyle name="Normal 4 4 5 5 3" xfId="6420" xr:uid="{00000000-0005-0000-0000-0000EC150000}"/>
    <cellStyle name="Normal 4 4 5 5 3 2" xfId="14862" xr:uid="{670CDF53-08B4-45EB-BDDA-9220C64ABF7F}"/>
    <cellStyle name="Normal 4 4 5 5 4" xfId="10644" xr:uid="{095186F4-B436-411D-816B-EA0F01369DE2}"/>
    <cellStyle name="Normal 4 4 5 6" xfId="2549" xr:uid="{00000000-0005-0000-0000-0000ED150000}"/>
    <cellStyle name="Normal 4 4 5 6 2" xfId="6833" xr:uid="{00000000-0005-0000-0000-0000EE150000}"/>
    <cellStyle name="Normal 4 4 5 6 2 2" xfId="15275" xr:uid="{886C0E1B-53E0-442C-AA4D-63ECF9D54BC3}"/>
    <cellStyle name="Normal 4 4 5 6 3" xfId="11057" xr:uid="{269EFF1E-D90A-495A-B12D-3961720AD87A}"/>
    <cellStyle name="Normal 4 4 5 7" xfId="4768" xr:uid="{00000000-0005-0000-0000-0000EF150000}"/>
    <cellStyle name="Normal 4 4 5 7 2" xfId="13210" xr:uid="{23861BE2-18C9-452F-92F8-2CAC1FA3377E}"/>
    <cellStyle name="Normal 4 4 5 8" xfId="8992" xr:uid="{FCB6DDF8-E48F-44AD-9566-20197A93F077}"/>
    <cellStyle name="Normal 4 4 6" xfId="853" xr:uid="{00000000-0005-0000-0000-0000F0150000}"/>
    <cellStyle name="Normal 4 4 6 2" xfId="3088" xr:uid="{00000000-0005-0000-0000-0000F1150000}"/>
    <cellStyle name="Normal 4 4 6 2 2" xfId="7311" xr:uid="{00000000-0005-0000-0000-0000F2150000}"/>
    <cellStyle name="Normal 4 4 6 2 2 2" xfId="15753" xr:uid="{2ADBCA54-1D6E-4E2B-9599-FCD01CB19270}"/>
    <cellStyle name="Normal 4 4 6 2 3" xfId="11535" xr:uid="{AC1A2B0F-8BA1-4C8E-A138-EA0CF37C2FDA}"/>
    <cellStyle name="Normal 4 4 6 3" xfId="5166" xr:uid="{00000000-0005-0000-0000-0000F3150000}"/>
    <cellStyle name="Normal 4 4 6 3 2" xfId="13608" xr:uid="{17EE5E15-FAAA-4922-90F5-A7897C565DAC}"/>
    <cellStyle name="Normal 4 4 6 4" xfId="9390" xr:uid="{D1EF9F17-D296-40AA-AC08-0E039F3156B2}"/>
    <cellStyle name="Normal 4 4 7" xfId="1271" xr:uid="{00000000-0005-0000-0000-0000F4150000}"/>
    <cellStyle name="Normal 4 4 7 2" xfId="3501" xr:uid="{00000000-0005-0000-0000-0000F5150000}"/>
    <cellStyle name="Normal 4 4 7 2 2" xfId="7724" xr:uid="{00000000-0005-0000-0000-0000F6150000}"/>
    <cellStyle name="Normal 4 4 7 2 2 2" xfId="16166" xr:uid="{AABE74CA-54C1-4A67-B380-2273DEB89889}"/>
    <cellStyle name="Normal 4 4 7 2 3" xfId="11948" xr:uid="{B60FAB2F-A7EC-4D9B-8D7E-7328531F9783}"/>
    <cellStyle name="Normal 4 4 7 3" xfId="5579" xr:uid="{00000000-0005-0000-0000-0000F7150000}"/>
    <cellStyle name="Normal 4 4 7 3 2" xfId="14021" xr:uid="{30568F80-3A61-46E8-9426-BAF135B2B426}"/>
    <cellStyle name="Normal 4 4 7 4" xfId="9803" xr:uid="{CC405A76-ABE2-41B2-94DA-95A923A411F1}"/>
    <cellStyle name="Normal 4 4 8" xfId="1684" xr:uid="{00000000-0005-0000-0000-0000F8150000}"/>
    <cellStyle name="Normal 4 4 8 2" xfId="3914" xr:uid="{00000000-0005-0000-0000-0000F9150000}"/>
    <cellStyle name="Normal 4 4 8 2 2" xfId="8137" xr:uid="{00000000-0005-0000-0000-0000FA150000}"/>
    <cellStyle name="Normal 4 4 8 2 2 2" xfId="16579" xr:uid="{A9C7B334-BBE4-4ED1-8355-3CD5ECA08FBE}"/>
    <cellStyle name="Normal 4 4 8 2 3" xfId="12361" xr:uid="{35977D40-C667-4A54-855B-2B84F8A04C83}"/>
    <cellStyle name="Normal 4 4 8 3" xfId="5992" xr:uid="{00000000-0005-0000-0000-0000FB150000}"/>
    <cellStyle name="Normal 4 4 8 3 2" xfId="14434" xr:uid="{9728D467-7849-4F73-931C-B922D93A845F}"/>
    <cellStyle name="Normal 4 4 8 4" xfId="10216" xr:uid="{1DE51975-2550-4BE4-9AD5-2D4D21FF8AFE}"/>
    <cellStyle name="Normal 4 4 9" xfId="2098" xr:uid="{00000000-0005-0000-0000-0000FC150000}"/>
    <cellStyle name="Normal 4 4 9 2" xfId="4327" xr:uid="{00000000-0005-0000-0000-0000FD150000}"/>
    <cellStyle name="Normal 4 4 9 2 2" xfId="8550" xr:uid="{00000000-0005-0000-0000-0000FE150000}"/>
    <cellStyle name="Normal 4 4 9 2 2 2" xfId="16992" xr:uid="{FA47293E-05F0-4B86-B7D5-B20F1F1A0E63}"/>
    <cellStyle name="Normal 4 4 9 2 3" xfId="12774" xr:uid="{1B20006D-9F7F-4C93-BC14-ED193CEE28FC}"/>
    <cellStyle name="Normal 4 4 9 3" xfId="6405" xr:uid="{00000000-0005-0000-0000-0000FF150000}"/>
    <cellStyle name="Normal 4 4 9 3 2" xfId="14847" xr:uid="{60D421F1-AC37-4BEA-8DB4-FF8A3759A634}"/>
    <cellStyle name="Normal 4 4 9 4" xfId="10629" xr:uid="{8F580F83-34F5-4D7F-AA0D-E88FD7D0B277}"/>
    <cellStyle name="Normal 4 5" xfId="394" xr:uid="{00000000-0005-0000-0000-000000160000}"/>
    <cellStyle name="Normal 4 6" xfId="395" xr:uid="{00000000-0005-0000-0000-000001160000}"/>
    <cellStyle name="Normal 4 6 10" xfId="4769" xr:uid="{00000000-0005-0000-0000-000002160000}"/>
    <cellStyle name="Normal 4 6 10 2" xfId="13211" xr:uid="{FED1555B-55E4-44E2-BC18-6B378C2A6291}"/>
    <cellStyle name="Normal 4 6 11" xfId="8993" xr:uid="{B5E4AF67-CFD7-4733-A109-396609602BC3}"/>
    <cellStyle name="Normal 4 6 2" xfId="396" xr:uid="{00000000-0005-0000-0000-000003160000}"/>
    <cellStyle name="Normal 4 6 2 10" xfId="8994" xr:uid="{ECBCF29B-680B-42B3-BCF6-FE3F23770E67}"/>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CEE4692B-B471-4E8C-B7EF-3D22E47144D3}"/>
    <cellStyle name="Normal 4 6 2 2 2 2 2 3" xfId="11554" xr:uid="{6B756E93-192B-4373-A72A-654CCE8F1493}"/>
    <cellStyle name="Normal 4 6 2 2 2 2 3" xfId="5185" xr:uid="{00000000-0005-0000-0000-000009160000}"/>
    <cellStyle name="Normal 4 6 2 2 2 2 3 2" xfId="13627" xr:uid="{9948ABB3-B7DD-42C0-AA63-77ACCB2EAE2E}"/>
    <cellStyle name="Normal 4 6 2 2 2 2 4" xfId="9409" xr:uid="{4C477953-4170-44D7-85D1-8316B0CC1036}"/>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1F0D7B1A-F4F5-423F-8BEE-DB9D2E23B4B1}"/>
    <cellStyle name="Normal 4 6 2 2 2 3 2 3" xfId="11967" xr:uid="{FC65FCCE-0997-42FA-9030-2C2D746B901F}"/>
    <cellStyle name="Normal 4 6 2 2 2 3 3" xfId="5598" xr:uid="{00000000-0005-0000-0000-00000D160000}"/>
    <cellStyle name="Normal 4 6 2 2 2 3 3 2" xfId="14040" xr:uid="{F5F1B3EE-C41E-45E6-8F43-DFED4ABA43D0}"/>
    <cellStyle name="Normal 4 6 2 2 2 3 4" xfId="9822" xr:uid="{6CD8F452-A058-4B7F-8AF4-D92C8DED5089}"/>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FFF87335-17BE-44C1-86B0-06E8D588870D}"/>
    <cellStyle name="Normal 4 6 2 2 2 4 2 3" xfId="12380" xr:uid="{BB7A1C9C-2DB8-4163-90E7-6A49B120AEA6}"/>
    <cellStyle name="Normal 4 6 2 2 2 4 3" xfId="6011" xr:uid="{00000000-0005-0000-0000-000011160000}"/>
    <cellStyle name="Normal 4 6 2 2 2 4 3 2" xfId="14453" xr:uid="{7685FD26-3EA0-469F-AAB6-A92C126E963E}"/>
    <cellStyle name="Normal 4 6 2 2 2 4 4" xfId="10235" xr:uid="{118AC906-2871-4C28-B141-11849A33ECD4}"/>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639B44BA-EEEB-452F-AF3B-C85DFEC7F5E5}"/>
    <cellStyle name="Normal 4 6 2 2 2 5 2 3" xfId="12793" xr:uid="{185E0DA0-C201-42EE-9B75-0093CDCCC3A4}"/>
    <cellStyle name="Normal 4 6 2 2 2 5 3" xfId="6424" xr:uid="{00000000-0005-0000-0000-000015160000}"/>
    <cellStyle name="Normal 4 6 2 2 2 5 3 2" xfId="14866" xr:uid="{B822CC7D-0651-49D1-8E84-53A52203098C}"/>
    <cellStyle name="Normal 4 6 2 2 2 5 4" xfId="10648" xr:uid="{3AD8D72B-B464-4B30-83A9-E6E93907A7E7}"/>
    <cellStyle name="Normal 4 6 2 2 2 6" xfId="2553" xr:uid="{00000000-0005-0000-0000-000016160000}"/>
    <cellStyle name="Normal 4 6 2 2 2 6 2" xfId="6837" xr:uid="{00000000-0005-0000-0000-000017160000}"/>
    <cellStyle name="Normal 4 6 2 2 2 6 2 2" xfId="15279" xr:uid="{1B937313-2878-4D36-BF52-2C383DCD1181}"/>
    <cellStyle name="Normal 4 6 2 2 2 6 3" xfId="11061" xr:uid="{3B03D8DB-1D22-4B08-B498-86C0603EDA48}"/>
    <cellStyle name="Normal 4 6 2 2 2 7" xfId="4772" xr:uid="{00000000-0005-0000-0000-000018160000}"/>
    <cellStyle name="Normal 4 6 2 2 2 7 2" xfId="13214" xr:uid="{E2DD9E97-758C-40DB-A6BF-5FC12E5134BE}"/>
    <cellStyle name="Normal 4 6 2 2 2 8" xfId="8996" xr:uid="{EE86F4E9-A8DA-4837-8751-42ECA3C90B47}"/>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BE2BF852-EA8A-43EB-A911-9A0FD3312851}"/>
    <cellStyle name="Normal 4 6 2 2 3 2 3" xfId="11553" xr:uid="{50288FD2-3CEF-454A-80F1-3B66BF841234}"/>
    <cellStyle name="Normal 4 6 2 2 3 3" xfId="5184" xr:uid="{00000000-0005-0000-0000-00001C160000}"/>
    <cellStyle name="Normal 4 6 2 2 3 3 2" xfId="13626" xr:uid="{D4C75691-2802-4BA5-AD93-6DFEEA8BD820}"/>
    <cellStyle name="Normal 4 6 2 2 3 4" xfId="9408" xr:uid="{422FF546-DDC8-4F83-874F-F7AF24AF759A}"/>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790C1427-6782-4B7F-A551-E0536EBEA342}"/>
    <cellStyle name="Normal 4 6 2 2 4 2 3" xfId="11966" xr:uid="{88F7EAED-A42F-4596-BD33-24390E3CDE35}"/>
    <cellStyle name="Normal 4 6 2 2 4 3" xfId="5597" xr:uid="{00000000-0005-0000-0000-000020160000}"/>
    <cellStyle name="Normal 4 6 2 2 4 3 2" xfId="14039" xr:uid="{5A642B29-3187-4A43-BD64-F5A245C1D9BC}"/>
    <cellStyle name="Normal 4 6 2 2 4 4" xfId="9821" xr:uid="{3910E1D9-140D-4507-9B1A-72B651EAE9BC}"/>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6F66756E-39F2-4682-AB45-670AF930A5ED}"/>
    <cellStyle name="Normal 4 6 2 2 5 2 3" xfId="12379" xr:uid="{C775C673-5E49-4781-AB8C-619119056E4E}"/>
    <cellStyle name="Normal 4 6 2 2 5 3" xfId="6010" xr:uid="{00000000-0005-0000-0000-000024160000}"/>
    <cellStyle name="Normal 4 6 2 2 5 3 2" xfId="14452" xr:uid="{E4F666EA-181A-4316-BA68-5A2668C2078E}"/>
    <cellStyle name="Normal 4 6 2 2 5 4" xfId="10234" xr:uid="{686611C2-DC56-4671-A7CA-0D4879F8799A}"/>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95615B38-686D-47D4-9404-06215A1EA314}"/>
    <cellStyle name="Normal 4 6 2 2 6 2 3" xfId="12792" xr:uid="{479D3C69-8E49-4132-87CE-3508F492D7E0}"/>
    <cellStyle name="Normal 4 6 2 2 6 3" xfId="6423" xr:uid="{00000000-0005-0000-0000-000028160000}"/>
    <cellStyle name="Normal 4 6 2 2 6 3 2" xfId="14865" xr:uid="{083B160C-6A0B-42A2-88B7-8CDCF143594D}"/>
    <cellStyle name="Normal 4 6 2 2 6 4" xfId="10647" xr:uid="{AFA83B3F-0D5B-4DC0-880E-088A6EDCDA97}"/>
    <cellStyle name="Normal 4 6 2 2 7" xfId="2552" xr:uid="{00000000-0005-0000-0000-000029160000}"/>
    <cellStyle name="Normal 4 6 2 2 7 2" xfId="6836" xr:uid="{00000000-0005-0000-0000-00002A160000}"/>
    <cellStyle name="Normal 4 6 2 2 7 2 2" xfId="15278" xr:uid="{7A788194-6A0E-4BEE-A8BF-79AA7A55AB17}"/>
    <cellStyle name="Normal 4 6 2 2 7 3" xfId="11060" xr:uid="{D1AA1D86-D266-4F6D-87E0-AC08C97A44F0}"/>
    <cellStyle name="Normal 4 6 2 2 8" xfId="4771" xr:uid="{00000000-0005-0000-0000-00002B160000}"/>
    <cellStyle name="Normal 4 6 2 2 8 2" xfId="13213" xr:uid="{D5A88644-F683-4D84-A4B3-42A46BF77C25}"/>
    <cellStyle name="Normal 4 6 2 2 9" xfId="8995" xr:uid="{5FA11E4F-5915-4206-AB20-C77250858962}"/>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EF38FDBC-5AB6-4653-93D5-10E30ECFD0DD}"/>
    <cellStyle name="Normal 4 6 2 3 2 2 3" xfId="11555" xr:uid="{E78C2306-09DA-4364-954D-35CCEAAD3E8B}"/>
    <cellStyle name="Normal 4 6 2 3 2 3" xfId="5186" xr:uid="{00000000-0005-0000-0000-000030160000}"/>
    <cellStyle name="Normal 4 6 2 3 2 3 2" xfId="13628" xr:uid="{11E63A1E-0A52-4E0F-A41A-5DB151EF525B}"/>
    <cellStyle name="Normal 4 6 2 3 2 4" xfId="9410" xr:uid="{3CAC0C9B-318C-48D3-82E1-4A17F5A15DEA}"/>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2DE2F942-E5F8-4DE1-AA13-782D1090271C}"/>
    <cellStyle name="Normal 4 6 2 3 3 2 3" xfId="11968" xr:uid="{99E49E5D-2865-487C-8C2B-F1F1AEA08423}"/>
    <cellStyle name="Normal 4 6 2 3 3 3" xfId="5599" xr:uid="{00000000-0005-0000-0000-000034160000}"/>
    <cellStyle name="Normal 4 6 2 3 3 3 2" xfId="14041" xr:uid="{092C9642-7C07-495B-BE5B-1AF723FC2129}"/>
    <cellStyle name="Normal 4 6 2 3 3 4" xfId="9823" xr:uid="{336E49BE-DAC0-4F6B-9B94-4D11E9A5411A}"/>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234C220C-2664-433C-9F54-59340DAE2912}"/>
    <cellStyle name="Normal 4 6 2 3 4 2 3" xfId="12381" xr:uid="{E7469146-71BE-45B1-BAB6-0E8BCBF19335}"/>
    <cellStyle name="Normal 4 6 2 3 4 3" xfId="6012" xr:uid="{00000000-0005-0000-0000-000038160000}"/>
    <cellStyle name="Normal 4 6 2 3 4 3 2" xfId="14454" xr:uid="{394B1022-0558-4CA3-BEAA-2B01EF62428F}"/>
    <cellStyle name="Normal 4 6 2 3 4 4" xfId="10236" xr:uid="{44822AD4-EE21-41B3-8178-EBA7B7EF8A39}"/>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A31F0892-B08A-40BC-B5E2-D64ABB443DB4}"/>
    <cellStyle name="Normal 4 6 2 3 5 2 3" xfId="12794" xr:uid="{D9B7834B-1B89-4DA8-BAAB-CAE14378312A}"/>
    <cellStyle name="Normal 4 6 2 3 5 3" xfId="6425" xr:uid="{00000000-0005-0000-0000-00003C160000}"/>
    <cellStyle name="Normal 4 6 2 3 5 3 2" xfId="14867" xr:uid="{58921585-34E1-4A84-B31F-86655349245F}"/>
    <cellStyle name="Normal 4 6 2 3 5 4" xfId="10649" xr:uid="{516ACF89-4980-48E7-8981-66CC7C0C41CD}"/>
    <cellStyle name="Normal 4 6 2 3 6" xfId="2554" xr:uid="{00000000-0005-0000-0000-00003D160000}"/>
    <cellStyle name="Normal 4 6 2 3 6 2" xfId="6838" xr:uid="{00000000-0005-0000-0000-00003E160000}"/>
    <cellStyle name="Normal 4 6 2 3 6 2 2" xfId="15280" xr:uid="{D064D46D-D20B-4D72-924F-DFB24518580F}"/>
    <cellStyle name="Normal 4 6 2 3 6 3" xfId="11062" xr:uid="{4D8D353C-3DD3-4780-8CED-663C0DC66CAE}"/>
    <cellStyle name="Normal 4 6 2 3 7" xfId="4773" xr:uid="{00000000-0005-0000-0000-00003F160000}"/>
    <cellStyle name="Normal 4 6 2 3 7 2" xfId="13215" xr:uid="{AC76974D-0319-4046-9FEF-7F8B97CE3FE6}"/>
    <cellStyle name="Normal 4 6 2 3 8" xfId="8997" xr:uid="{38B3A703-8164-4A3F-AD2A-945B9877FF6F}"/>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96A4F510-D80C-4CB9-B3AA-5DE65F1846E2}"/>
    <cellStyle name="Normal 4 6 2 4 2 3" xfId="11552" xr:uid="{7C88CF42-E082-4894-9B79-DF62995B9EA1}"/>
    <cellStyle name="Normal 4 6 2 4 3" xfId="5183" xr:uid="{00000000-0005-0000-0000-000043160000}"/>
    <cellStyle name="Normal 4 6 2 4 3 2" xfId="13625" xr:uid="{584D13EE-5703-43A0-9F26-B598C22D38DC}"/>
    <cellStyle name="Normal 4 6 2 4 4" xfId="9407" xr:uid="{3FA73767-B719-49B5-A82E-5739089365C8}"/>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580A091B-73C4-4697-8B64-AE1997A83313}"/>
    <cellStyle name="Normal 4 6 2 5 2 3" xfId="11965" xr:uid="{78C2379A-99FB-499A-9192-6E3E3A73B5CC}"/>
    <cellStyle name="Normal 4 6 2 5 3" xfId="5596" xr:uid="{00000000-0005-0000-0000-000047160000}"/>
    <cellStyle name="Normal 4 6 2 5 3 2" xfId="14038" xr:uid="{6DF232DB-DD8B-437C-8082-92ECED64FC30}"/>
    <cellStyle name="Normal 4 6 2 5 4" xfId="9820" xr:uid="{090CCE96-475B-494B-8C36-7C2042B632B4}"/>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716F5975-A75E-487A-9975-4C45F23D9F16}"/>
    <cellStyle name="Normal 4 6 2 6 2 3" xfId="12378" xr:uid="{0A077763-C630-4C28-ACA5-1E82D7581DFF}"/>
    <cellStyle name="Normal 4 6 2 6 3" xfId="6009" xr:uid="{00000000-0005-0000-0000-00004B160000}"/>
    <cellStyle name="Normal 4 6 2 6 3 2" xfId="14451" xr:uid="{0AFB5739-738D-4764-9E55-31B9E55D71CB}"/>
    <cellStyle name="Normal 4 6 2 6 4" xfId="10233" xr:uid="{DF9973B2-F367-4A48-B406-2D7DC650B115}"/>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1181CAE9-EF04-4961-9040-E1D66905F6BA}"/>
    <cellStyle name="Normal 4 6 2 7 2 3" xfId="12791" xr:uid="{2F9FF3FE-3DC3-489D-ABD4-4F5BBA132298}"/>
    <cellStyle name="Normal 4 6 2 7 3" xfId="6422" xr:uid="{00000000-0005-0000-0000-00004F160000}"/>
    <cellStyle name="Normal 4 6 2 7 3 2" xfId="14864" xr:uid="{3999C639-94AF-40A9-B949-B4A86FD46228}"/>
    <cellStyle name="Normal 4 6 2 7 4" xfId="10646" xr:uid="{A9FB6A34-86CB-49F1-9FCD-AA14231B3F01}"/>
    <cellStyle name="Normal 4 6 2 8" xfId="2551" xr:uid="{00000000-0005-0000-0000-000050160000}"/>
    <cellStyle name="Normal 4 6 2 8 2" xfId="6835" xr:uid="{00000000-0005-0000-0000-000051160000}"/>
    <cellStyle name="Normal 4 6 2 8 2 2" xfId="15277" xr:uid="{ECAC19F9-8B6C-436A-A713-01287DA8E965}"/>
    <cellStyle name="Normal 4 6 2 8 3" xfId="11059" xr:uid="{2868C7DC-CD9B-468F-80A6-F118EB4AADFA}"/>
    <cellStyle name="Normal 4 6 2 9" xfId="4770" xr:uid="{00000000-0005-0000-0000-000052160000}"/>
    <cellStyle name="Normal 4 6 2 9 2" xfId="13212" xr:uid="{9EF275A8-EE2C-4C41-8EE4-514A4122EBC2}"/>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E8E69C8A-1540-4F90-9804-B2A55EF78A24}"/>
    <cellStyle name="Normal 4 6 3 2 2 2 3" xfId="11557" xr:uid="{ED34E70F-CE9F-487C-AF66-9C037F6822C1}"/>
    <cellStyle name="Normal 4 6 3 2 2 3" xfId="5188" xr:uid="{00000000-0005-0000-0000-000058160000}"/>
    <cellStyle name="Normal 4 6 3 2 2 3 2" xfId="13630" xr:uid="{95077AE3-5698-40F2-8AB3-E52B57C85633}"/>
    <cellStyle name="Normal 4 6 3 2 2 4" xfId="9412" xr:uid="{9E861560-BA9E-4C15-A6D1-F19092ABE5F3}"/>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A2E2FD1F-D55B-421C-A934-192B7983CA8B}"/>
    <cellStyle name="Normal 4 6 3 2 3 2 3" xfId="11970" xr:uid="{6392DCDB-883C-4C89-82B8-6BC169010A95}"/>
    <cellStyle name="Normal 4 6 3 2 3 3" xfId="5601" xr:uid="{00000000-0005-0000-0000-00005C160000}"/>
    <cellStyle name="Normal 4 6 3 2 3 3 2" xfId="14043" xr:uid="{5E440D28-3C7C-4760-8DD2-84354969AD78}"/>
    <cellStyle name="Normal 4 6 3 2 3 4" xfId="9825" xr:uid="{86FD588D-BB9C-4A81-9633-E27CA17E14A1}"/>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87361EDB-16D8-47F9-8508-1AEDDA47C8F3}"/>
    <cellStyle name="Normal 4 6 3 2 4 2 3" xfId="12383" xr:uid="{C4C9AE31-7EA4-4312-A759-4D41E60FE740}"/>
    <cellStyle name="Normal 4 6 3 2 4 3" xfId="6014" xr:uid="{00000000-0005-0000-0000-000060160000}"/>
    <cellStyle name="Normal 4 6 3 2 4 3 2" xfId="14456" xr:uid="{50242FE5-902F-4565-B051-31E14F66026E}"/>
    <cellStyle name="Normal 4 6 3 2 4 4" xfId="10238" xr:uid="{78C7A26E-32E2-4BFD-9D9F-4B6FE5BAD085}"/>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1E2E94EC-1100-44C2-A53A-68093A22453A}"/>
    <cellStyle name="Normal 4 6 3 2 5 2 3" xfId="12796" xr:uid="{FE7D3253-E27B-496B-A944-37E21BE6F6C5}"/>
    <cellStyle name="Normal 4 6 3 2 5 3" xfId="6427" xr:uid="{00000000-0005-0000-0000-000064160000}"/>
    <cellStyle name="Normal 4 6 3 2 5 3 2" xfId="14869" xr:uid="{B58EB9A4-D936-47FD-A83D-90D4F7EEF058}"/>
    <cellStyle name="Normal 4 6 3 2 5 4" xfId="10651" xr:uid="{1D79BB36-BDE9-4A1E-9E6E-102BB8ED8986}"/>
    <cellStyle name="Normal 4 6 3 2 6" xfId="2556" xr:uid="{00000000-0005-0000-0000-000065160000}"/>
    <cellStyle name="Normal 4 6 3 2 6 2" xfId="6840" xr:uid="{00000000-0005-0000-0000-000066160000}"/>
    <cellStyle name="Normal 4 6 3 2 6 2 2" xfId="15282" xr:uid="{83FC7ED2-660D-4A13-97DC-D0450766C235}"/>
    <cellStyle name="Normal 4 6 3 2 6 3" xfId="11064" xr:uid="{9788EA27-CE05-439C-A148-FE60D949DDAE}"/>
    <cellStyle name="Normal 4 6 3 2 7" xfId="4775" xr:uid="{00000000-0005-0000-0000-000067160000}"/>
    <cellStyle name="Normal 4 6 3 2 7 2" xfId="13217" xr:uid="{EAE14515-A28F-428F-9D79-2979E1004465}"/>
    <cellStyle name="Normal 4 6 3 2 8" xfId="8999" xr:uid="{099C0200-0EE9-483D-AB87-C3DD04607E53}"/>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7704BB7D-165B-439E-A06D-C5EDE538D176}"/>
    <cellStyle name="Normal 4 6 3 3 2 3" xfId="11556" xr:uid="{D9634FDF-4248-43DD-9DF3-BD162D52A76B}"/>
    <cellStyle name="Normal 4 6 3 3 3" xfId="5187" xr:uid="{00000000-0005-0000-0000-00006B160000}"/>
    <cellStyle name="Normal 4 6 3 3 3 2" xfId="13629" xr:uid="{BA8D1B20-79C3-4A03-A211-35AF2FD6F271}"/>
    <cellStyle name="Normal 4 6 3 3 4" xfId="9411" xr:uid="{F7C7C072-FC3E-4BC2-82DC-DE4CE09B861D}"/>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9EBECED6-74DA-46DD-AC79-CB6BF96C8ECF}"/>
    <cellStyle name="Normal 4 6 3 4 2 3" xfId="11969" xr:uid="{DCD88D1F-E7AF-480B-AE1B-9F1185376311}"/>
    <cellStyle name="Normal 4 6 3 4 3" xfId="5600" xr:uid="{00000000-0005-0000-0000-00006F160000}"/>
    <cellStyle name="Normal 4 6 3 4 3 2" xfId="14042" xr:uid="{68FD82BC-5615-4017-98E2-5E14FC69553E}"/>
    <cellStyle name="Normal 4 6 3 4 4" xfId="9824" xr:uid="{C3E3CD6F-1B95-4153-9E47-5CC18BA5DEEC}"/>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53D006D3-A24B-4CA2-A66B-419E9B133C11}"/>
    <cellStyle name="Normal 4 6 3 5 2 3" xfId="12382" xr:uid="{5FD2CEF0-5654-4DA1-A8EE-BDD170D5A107}"/>
    <cellStyle name="Normal 4 6 3 5 3" xfId="6013" xr:uid="{00000000-0005-0000-0000-000073160000}"/>
    <cellStyle name="Normal 4 6 3 5 3 2" xfId="14455" xr:uid="{2B35ABC5-F289-4BC7-B3F3-CF2024C6C8C5}"/>
    <cellStyle name="Normal 4 6 3 5 4" xfId="10237" xr:uid="{CBF1747C-394E-45D9-B8A3-065894E23E53}"/>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DB7ADDC1-93A1-4ACF-B795-3A8C4959282B}"/>
    <cellStyle name="Normal 4 6 3 6 2 3" xfId="12795" xr:uid="{C81C9F9B-8D87-4AAE-9705-9D804250E96C}"/>
    <cellStyle name="Normal 4 6 3 6 3" xfId="6426" xr:uid="{00000000-0005-0000-0000-000077160000}"/>
    <cellStyle name="Normal 4 6 3 6 3 2" xfId="14868" xr:uid="{1EB4AD79-4899-45D8-8839-EC816F7AED26}"/>
    <cellStyle name="Normal 4 6 3 6 4" xfId="10650" xr:uid="{2DB65C88-3572-4DEF-8C15-2136F7C95E95}"/>
    <cellStyle name="Normal 4 6 3 7" xfId="2555" xr:uid="{00000000-0005-0000-0000-000078160000}"/>
    <cellStyle name="Normal 4 6 3 7 2" xfId="6839" xr:uid="{00000000-0005-0000-0000-000079160000}"/>
    <cellStyle name="Normal 4 6 3 7 2 2" xfId="15281" xr:uid="{255F2A3E-4FEF-4227-8581-A59BD08D8F2B}"/>
    <cellStyle name="Normal 4 6 3 7 3" xfId="11063" xr:uid="{1F04CE66-5D12-4ED5-B52D-195B03BEC7C4}"/>
    <cellStyle name="Normal 4 6 3 8" xfId="4774" xr:uid="{00000000-0005-0000-0000-00007A160000}"/>
    <cellStyle name="Normal 4 6 3 8 2" xfId="13216" xr:uid="{01E3751C-F55A-4AED-839D-5F71F754EF71}"/>
    <cellStyle name="Normal 4 6 3 9" xfId="8998" xr:uid="{96817D71-BA3B-4F1D-A817-5BA67DCE475C}"/>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82978F91-0829-4F53-AC09-B12DADBB7DCB}"/>
    <cellStyle name="Normal 4 6 4 2 2 3" xfId="11558" xr:uid="{D014652D-6D6D-4C03-91F8-1137584F2518}"/>
    <cellStyle name="Normal 4 6 4 2 3" xfId="5189" xr:uid="{00000000-0005-0000-0000-00007F160000}"/>
    <cellStyle name="Normal 4 6 4 2 3 2" xfId="13631" xr:uid="{D1AA1B95-244D-45E1-AFDC-DF0647ED6D2B}"/>
    <cellStyle name="Normal 4 6 4 2 4" xfId="9413" xr:uid="{57816C61-1EB4-4B9C-99D1-4C0B4186F4FF}"/>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160AEF6F-70C3-41F2-A182-BFC220EF936A}"/>
    <cellStyle name="Normal 4 6 4 3 2 3" xfId="11971" xr:uid="{848AB078-4CCA-4C3D-8FA1-389D37D18B32}"/>
    <cellStyle name="Normal 4 6 4 3 3" xfId="5602" xr:uid="{00000000-0005-0000-0000-000083160000}"/>
    <cellStyle name="Normal 4 6 4 3 3 2" xfId="14044" xr:uid="{42738CDF-9A41-498F-BA09-8940AE212665}"/>
    <cellStyle name="Normal 4 6 4 3 4" xfId="9826" xr:uid="{5877CD88-B897-42D4-8F5E-52A8CD70EA7C}"/>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67A035E8-949F-4774-A895-A955F9FFCEB3}"/>
    <cellStyle name="Normal 4 6 4 4 2 3" xfId="12384" xr:uid="{AE979A0F-22CC-4368-9A25-AE909F6C30D5}"/>
    <cellStyle name="Normal 4 6 4 4 3" xfId="6015" xr:uid="{00000000-0005-0000-0000-000087160000}"/>
    <cellStyle name="Normal 4 6 4 4 3 2" xfId="14457" xr:uid="{6040017F-7AFE-4783-9ECF-B336C8C0A4D4}"/>
    <cellStyle name="Normal 4 6 4 4 4" xfId="10239" xr:uid="{0B76DE38-855C-4770-A3DA-98B508B20BAB}"/>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E1693558-8B45-4F69-A5C8-11BAA79B5938}"/>
    <cellStyle name="Normal 4 6 4 5 2 3" xfId="12797" xr:uid="{4D21ACCF-24B4-41C6-85A7-7AFB4FB7F6DC}"/>
    <cellStyle name="Normal 4 6 4 5 3" xfId="6428" xr:uid="{00000000-0005-0000-0000-00008B160000}"/>
    <cellStyle name="Normal 4 6 4 5 3 2" xfId="14870" xr:uid="{8C441B74-BB62-45EC-8E4A-B4D5A14F8CF2}"/>
    <cellStyle name="Normal 4 6 4 5 4" xfId="10652" xr:uid="{35A3995B-8E28-48C2-BFA5-64A5BD2016B1}"/>
    <cellStyle name="Normal 4 6 4 6" xfId="2557" xr:uid="{00000000-0005-0000-0000-00008C160000}"/>
    <cellStyle name="Normal 4 6 4 6 2" xfId="6841" xr:uid="{00000000-0005-0000-0000-00008D160000}"/>
    <cellStyle name="Normal 4 6 4 6 2 2" xfId="15283" xr:uid="{962A0C13-13F2-4B27-86AC-2C155369F150}"/>
    <cellStyle name="Normal 4 6 4 6 3" xfId="11065" xr:uid="{B5797A52-9514-45D5-AE60-DFEC0CCBA52C}"/>
    <cellStyle name="Normal 4 6 4 7" xfId="4776" xr:uid="{00000000-0005-0000-0000-00008E160000}"/>
    <cellStyle name="Normal 4 6 4 7 2" xfId="13218" xr:uid="{4A5D30EA-574A-4246-9476-E1D7D5AC94D7}"/>
    <cellStyle name="Normal 4 6 4 8" xfId="9000" xr:uid="{3E5DF3AB-F32E-483D-808E-108227A94595}"/>
    <cellStyle name="Normal 4 6 5" xfId="869" xr:uid="{00000000-0005-0000-0000-00008F160000}"/>
    <cellStyle name="Normal 4 6 5 2" xfId="3104" xr:uid="{00000000-0005-0000-0000-000090160000}"/>
    <cellStyle name="Normal 4 6 5 2 2" xfId="7327" xr:uid="{00000000-0005-0000-0000-000091160000}"/>
    <cellStyle name="Normal 4 6 5 2 2 2" xfId="15769" xr:uid="{5E24C141-6403-4F84-8578-169D6CF7CD76}"/>
    <cellStyle name="Normal 4 6 5 2 3" xfId="11551" xr:uid="{B6BFFF92-E047-4B01-A619-5534D0437FE7}"/>
    <cellStyle name="Normal 4 6 5 3" xfId="5182" xr:uid="{00000000-0005-0000-0000-000092160000}"/>
    <cellStyle name="Normal 4 6 5 3 2" xfId="13624" xr:uid="{C83FADA4-F3FF-40A0-853F-CE0C97C81A2C}"/>
    <cellStyle name="Normal 4 6 5 4" xfId="9406" xr:uid="{4A4149F6-0651-4095-86F6-11D0EA1A88B6}"/>
    <cellStyle name="Normal 4 6 6" xfId="1287" xr:uid="{00000000-0005-0000-0000-000093160000}"/>
    <cellStyle name="Normal 4 6 6 2" xfId="3517" xr:uid="{00000000-0005-0000-0000-000094160000}"/>
    <cellStyle name="Normal 4 6 6 2 2" xfId="7740" xr:uid="{00000000-0005-0000-0000-000095160000}"/>
    <cellStyle name="Normal 4 6 6 2 2 2" xfId="16182" xr:uid="{693643AE-647A-4BC5-9BB9-137FE2177DC8}"/>
    <cellStyle name="Normal 4 6 6 2 3" xfId="11964" xr:uid="{2F0C6CA1-EE40-4D6A-B467-9B587D1C7887}"/>
    <cellStyle name="Normal 4 6 6 3" xfId="5595" xr:uid="{00000000-0005-0000-0000-000096160000}"/>
    <cellStyle name="Normal 4 6 6 3 2" xfId="14037" xr:uid="{D1FB1CCA-1621-499E-87B8-DC1121620CDF}"/>
    <cellStyle name="Normal 4 6 6 4" xfId="9819" xr:uid="{A470CB96-58C7-40CC-95D3-E8A3ED9FCC9A}"/>
    <cellStyle name="Normal 4 6 7" xfId="1700" xr:uid="{00000000-0005-0000-0000-000097160000}"/>
    <cellStyle name="Normal 4 6 7 2" xfId="3930" xr:uid="{00000000-0005-0000-0000-000098160000}"/>
    <cellStyle name="Normal 4 6 7 2 2" xfId="8153" xr:uid="{00000000-0005-0000-0000-000099160000}"/>
    <cellStyle name="Normal 4 6 7 2 2 2" xfId="16595" xr:uid="{7AA1CB08-ACE0-473C-B023-1555A67C2FED}"/>
    <cellStyle name="Normal 4 6 7 2 3" xfId="12377" xr:uid="{3CAD1766-60E4-47AE-AACA-ACE5DC349B37}"/>
    <cellStyle name="Normal 4 6 7 3" xfId="6008" xr:uid="{00000000-0005-0000-0000-00009A160000}"/>
    <cellStyle name="Normal 4 6 7 3 2" xfId="14450" xr:uid="{DEA15700-425C-42AB-A88D-5416F74C5764}"/>
    <cellStyle name="Normal 4 6 7 4" xfId="10232" xr:uid="{2339C3D7-71D7-4102-BC58-BF6B0801C8D8}"/>
    <cellStyle name="Normal 4 6 8" xfId="2114" xr:uid="{00000000-0005-0000-0000-00009B160000}"/>
    <cellStyle name="Normal 4 6 8 2" xfId="4343" xr:uid="{00000000-0005-0000-0000-00009C160000}"/>
    <cellStyle name="Normal 4 6 8 2 2" xfId="8566" xr:uid="{00000000-0005-0000-0000-00009D160000}"/>
    <cellStyle name="Normal 4 6 8 2 2 2" xfId="17008" xr:uid="{450E7156-C834-411F-A574-2F4BB5D09715}"/>
    <cellStyle name="Normal 4 6 8 2 3" xfId="12790" xr:uid="{ECC15FF5-6ADE-4F16-AB3C-E6E8F7041A38}"/>
    <cellStyle name="Normal 4 6 8 3" xfId="6421" xr:uid="{00000000-0005-0000-0000-00009E160000}"/>
    <cellStyle name="Normal 4 6 8 3 2" xfId="14863" xr:uid="{C49AB408-901A-4675-AABE-75D089260E71}"/>
    <cellStyle name="Normal 4 6 8 4" xfId="10645" xr:uid="{8088F9AA-2C8E-43C1-A21C-9D7898B7B3A0}"/>
    <cellStyle name="Normal 4 6 9" xfId="2550" xr:uid="{00000000-0005-0000-0000-00009F160000}"/>
    <cellStyle name="Normal 4 6 9 2" xfId="6834" xr:uid="{00000000-0005-0000-0000-0000A0160000}"/>
    <cellStyle name="Normal 4 6 9 2 2" xfId="15276" xr:uid="{712FA7FB-6CBB-460A-9214-2F93BCC7AC3D}"/>
    <cellStyle name="Normal 4 6 9 3" xfId="11058" xr:uid="{ED81EAF6-C2E0-4705-AB4E-2C30C9B1DA3E}"/>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6C711FD5-A333-49AD-A827-A43E2B5E8AA8}"/>
    <cellStyle name="Normal 4 7 2 2 2 3" xfId="11560" xr:uid="{E20AF083-2EBF-4EB7-AC00-05BC3950CA0A}"/>
    <cellStyle name="Normal 4 7 2 2 3" xfId="5191" xr:uid="{00000000-0005-0000-0000-0000A6160000}"/>
    <cellStyle name="Normal 4 7 2 2 3 2" xfId="13633" xr:uid="{5D040D33-2175-4113-898F-A5D0ABA07C08}"/>
    <cellStyle name="Normal 4 7 2 2 4" xfId="9415" xr:uid="{24CFC971-2616-4E95-A3C8-AB8F925E79C3}"/>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69EFC302-84A0-4D32-BA45-21FB89E4A433}"/>
    <cellStyle name="Normal 4 7 2 3 2 3" xfId="11973" xr:uid="{9837623F-AF2D-4D5D-8867-868E0C414BC0}"/>
    <cellStyle name="Normal 4 7 2 3 3" xfId="5604" xr:uid="{00000000-0005-0000-0000-0000AA160000}"/>
    <cellStyle name="Normal 4 7 2 3 3 2" xfId="14046" xr:uid="{87D2CD1D-AC8A-4EDB-A40B-41A308AFDB02}"/>
    <cellStyle name="Normal 4 7 2 3 4" xfId="9828" xr:uid="{B08A5D9B-72F3-4E7B-AD02-CB91ED94E6F5}"/>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5BC726AA-4C6B-4679-A1F9-293E21A3A26C}"/>
    <cellStyle name="Normal 4 7 2 4 2 3" xfId="12386" xr:uid="{7DABAD91-CFDB-4F90-AD1E-F72BADC77DD4}"/>
    <cellStyle name="Normal 4 7 2 4 3" xfId="6017" xr:uid="{00000000-0005-0000-0000-0000AE160000}"/>
    <cellStyle name="Normal 4 7 2 4 3 2" xfId="14459" xr:uid="{2068ECD0-9381-4893-9AB5-4604DEEA10AC}"/>
    <cellStyle name="Normal 4 7 2 4 4" xfId="10241" xr:uid="{107DA5F3-8B9E-4761-AF92-0DA5A983C03A}"/>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0496F399-EFFB-47DD-A158-8203C0699340}"/>
    <cellStyle name="Normal 4 7 2 5 2 3" xfId="12799" xr:uid="{2CD2023F-0095-450A-99D3-27849D839EAE}"/>
    <cellStyle name="Normal 4 7 2 5 3" xfId="6430" xr:uid="{00000000-0005-0000-0000-0000B2160000}"/>
    <cellStyle name="Normal 4 7 2 5 3 2" xfId="14872" xr:uid="{A8869F6B-8BB7-4BCA-9D0F-6F521C80E019}"/>
    <cellStyle name="Normal 4 7 2 5 4" xfId="10654" xr:uid="{17033B0F-522C-40BE-99A7-7A70A72DACEB}"/>
    <cellStyle name="Normal 4 7 2 6" xfId="2559" xr:uid="{00000000-0005-0000-0000-0000B3160000}"/>
    <cellStyle name="Normal 4 7 2 6 2" xfId="6843" xr:uid="{00000000-0005-0000-0000-0000B4160000}"/>
    <cellStyle name="Normal 4 7 2 6 2 2" xfId="15285" xr:uid="{24446AC6-7CEC-4B6C-9F7F-273EF415C5F0}"/>
    <cellStyle name="Normal 4 7 2 6 3" xfId="11067" xr:uid="{0E317961-3E5C-44D2-9D8E-09BB17B352F5}"/>
    <cellStyle name="Normal 4 7 2 7" xfId="4778" xr:uid="{00000000-0005-0000-0000-0000B5160000}"/>
    <cellStyle name="Normal 4 7 2 7 2" xfId="13220" xr:uid="{4EB680EA-9E18-46CF-BD1D-70338D717339}"/>
    <cellStyle name="Normal 4 7 2 8" xfId="9002" xr:uid="{75A4E6D5-E270-475C-827F-CD960FF82A6E}"/>
    <cellStyle name="Normal 4 7 3" xfId="877" xr:uid="{00000000-0005-0000-0000-0000B6160000}"/>
    <cellStyle name="Normal 4 7 3 2" xfId="3112" xr:uid="{00000000-0005-0000-0000-0000B7160000}"/>
    <cellStyle name="Normal 4 7 3 2 2" xfId="7335" xr:uid="{00000000-0005-0000-0000-0000B8160000}"/>
    <cellStyle name="Normal 4 7 3 2 2 2" xfId="15777" xr:uid="{A55E01ED-4194-4E08-954F-F374366B49D9}"/>
    <cellStyle name="Normal 4 7 3 2 3" xfId="11559" xr:uid="{02F81D6C-8DE4-4CB2-A93A-B59ABFA40FD7}"/>
    <cellStyle name="Normal 4 7 3 3" xfId="5190" xr:uid="{00000000-0005-0000-0000-0000B9160000}"/>
    <cellStyle name="Normal 4 7 3 3 2" xfId="13632" xr:uid="{ADC8C87C-27C6-4887-9819-A56FEB7BA120}"/>
    <cellStyle name="Normal 4 7 3 4" xfId="9414" xr:uid="{E194BF85-C05E-4537-BE34-7E5A93C3D8B5}"/>
    <cellStyle name="Normal 4 7 4" xfId="1295" xr:uid="{00000000-0005-0000-0000-0000BA160000}"/>
    <cellStyle name="Normal 4 7 4 2" xfId="3525" xr:uid="{00000000-0005-0000-0000-0000BB160000}"/>
    <cellStyle name="Normal 4 7 4 2 2" xfId="7748" xr:uid="{00000000-0005-0000-0000-0000BC160000}"/>
    <cellStyle name="Normal 4 7 4 2 2 2" xfId="16190" xr:uid="{0581E2DC-898C-4EE1-92AC-ACA06F9A0B49}"/>
    <cellStyle name="Normal 4 7 4 2 3" xfId="11972" xr:uid="{E6E9E021-6362-46F6-A652-DF9C6EB8F2A1}"/>
    <cellStyle name="Normal 4 7 4 3" xfId="5603" xr:uid="{00000000-0005-0000-0000-0000BD160000}"/>
    <cellStyle name="Normal 4 7 4 3 2" xfId="14045" xr:uid="{B49F1952-8915-413E-B07B-0D135D3A6D56}"/>
    <cellStyle name="Normal 4 7 4 4" xfId="9827" xr:uid="{3658621E-9EE1-4CF8-96BC-118D7BE68CB4}"/>
    <cellStyle name="Normal 4 7 5" xfId="1708" xr:uid="{00000000-0005-0000-0000-0000BE160000}"/>
    <cellStyle name="Normal 4 7 5 2" xfId="3938" xr:uid="{00000000-0005-0000-0000-0000BF160000}"/>
    <cellStyle name="Normal 4 7 5 2 2" xfId="8161" xr:uid="{00000000-0005-0000-0000-0000C0160000}"/>
    <cellStyle name="Normal 4 7 5 2 2 2" xfId="16603" xr:uid="{14283734-BEA0-4F87-BD00-6C40C5215176}"/>
    <cellStyle name="Normal 4 7 5 2 3" xfId="12385" xr:uid="{E1825D95-33AD-463A-BB4F-B1CF941D21BC}"/>
    <cellStyle name="Normal 4 7 5 3" xfId="6016" xr:uid="{00000000-0005-0000-0000-0000C1160000}"/>
    <cellStyle name="Normal 4 7 5 3 2" xfId="14458" xr:uid="{FD4ABA3E-54D0-4F96-BA8A-748FB3D30B90}"/>
    <cellStyle name="Normal 4 7 5 4" xfId="10240" xr:uid="{2D163C4F-43C1-48E2-B6AA-7C404A9040E5}"/>
    <cellStyle name="Normal 4 7 6" xfId="2122" xr:uid="{00000000-0005-0000-0000-0000C2160000}"/>
    <cellStyle name="Normal 4 7 6 2" xfId="4351" xr:uid="{00000000-0005-0000-0000-0000C3160000}"/>
    <cellStyle name="Normal 4 7 6 2 2" xfId="8574" xr:uid="{00000000-0005-0000-0000-0000C4160000}"/>
    <cellStyle name="Normal 4 7 6 2 2 2" xfId="17016" xr:uid="{BE172C5A-69C9-4B6A-9356-CA0B09324B48}"/>
    <cellStyle name="Normal 4 7 6 2 3" xfId="12798" xr:uid="{3960C565-AE89-4FCA-9A20-4EA96EF912E1}"/>
    <cellStyle name="Normal 4 7 6 3" xfId="6429" xr:uid="{00000000-0005-0000-0000-0000C5160000}"/>
    <cellStyle name="Normal 4 7 6 3 2" xfId="14871" xr:uid="{2A6AC1E3-6EA9-42B6-9C5D-F3AD90509FA6}"/>
    <cellStyle name="Normal 4 7 6 4" xfId="10653" xr:uid="{45D8DEE5-0C18-4E16-95A9-CC4A722BF26E}"/>
    <cellStyle name="Normal 4 7 7" xfId="2558" xr:uid="{00000000-0005-0000-0000-0000C6160000}"/>
    <cellStyle name="Normal 4 7 7 2" xfId="6842" xr:uid="{00000000-0005-0000-0000-0000C7160000}"/>
    <cellStyle name="Normal 4 7 7 2 2" xfId="15284" xr:uid="{177A4AD8-80C8-4ACB-8693-8538849E434D}"/>
    <cellStyle name="Normal 4 7 7 3" xfId="11066" xr:uid="{FB602463-9213-46F5-858F-9461B5AEDCAB}"/>
    <cellStyle name="Normal 4 7 8" xfId="4777" xr:uid="{00000000-0005-0000-0000-0000C8160000}"/>
    <cellStyle name="Normal 4 7 8 2" xfId="13219" xr:uid="{3657240F-DFCB-46A7-BDCC-18EA1E91FF4F}"/>
    <cellStyle name="Normal 4 7 9" xfId="9001" xr:uid="{13025026-01A3-4353-A7D4-6D4C01093A51}"/>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5F2E6004-8419-407C-8992-9BD22793071C}"/>
    <cellStyle name="Normal 4 8 2 2 3" xfId="11561" xr:uid="{3228A886-6C76-452A-A6A5-02DCCC75D96C}"/>
    <cellStyle name="Normal 4 8 2 3" xfId="5192" xr:uid="{00000000-0005-0000-0000-0000CD160000}"/>
    <cellStyle name="Normal 4 8 2 3 2" xfId="13634" xr:uid="{1C6333F2-2E77-4BDF-90B2-C6F6D550B3FC}"/>
    <cellStyle name="Normal 4 8 2 4" xfId="9416" xr:uid="{0AF8FC21-A0B1-4023-B52E-6ED80F87ED68}"/>
    <cellStyle name="Normal 4 8 3" xfId="1297" xr:uid="{00000000-0005-0000-0000-0000CE160000}"/>
    <cellStyle name="Normal 4 8 3 2" xfId="3527" xr:uid="{00000000-0005-0000-0000-0000CF160000}"/>
    <cellStyle name="Normal 4 8 3 2 2" xfId="7750" xr:uid="{00000000-0005-0000-0000-0000D0160000}"/>
    <cellStyle name="Normal 4 8 3 2 2 2" xfId="16192" xr:uid="{6F65D778-CF01-4B66-81D6-7BA444BC157C}"/>
    <cellStyle name="Normal 4 8 3 2 3" xfId="11974" xr:uid="{86261571-A815-4702-BD79-0CAE75575DE5}"/>
    <cellStyle name="Normal 4 8 3 3" xfId="5605" xr:uid="{00000000-0005-0000-0000-0000D1160000}"/>
    <cellStyle name="Normal 4 8 3 3 2" xfId="14047" xr:uid="{F073267F-603B-4511-822F-E2A28F13DBB9}"/>
    <cellStyle name="Normal 4 8 3 4" xfId="9829" xr:uid="{1B0F440F-0838-4B4A-B7A2-80ECCE17E4C6}"/>
    <cellStyle name="Normal 4 8 4" xfId="1710" xr:uid="{00000000-0005-0000-0000-0000D2160000}"/>
    <cellStyle name="Normal 4 8 4 2" xfId="3940" xr:uid="{00000000-0005-0000-0000-0000D3160000}"/>
    <cellStyle name="Normal 4 8 4 2 2" xfId="8163" xr:uid="{00000000-0005-0000-0000-0000D4160000}"/>
    <cellStyle name="Normal 4 8 4 2 2 2" xfId="16605" xr:uid="{7BF3A094-CC26-4BE1-A760-9FFF58A62DEB}"/>
    <cellStyle name="Normal 4 8 4 2 3" xfId="12387" xr:uid="{2ED10273-B2B7-465A-893F-64536089C874}"/>
    <cellStyle name="Normal 4 8 4 3" xfId="6018" xr:uid="{00000000-0005-0000-0000-0000D5160000}"/>
    <cellStyle name="Normal 4 8 4 3 2" xfId="14460" xr:uid="{96D9FB0F-BFC2-44D7-86DE-39F01AE23B26}"/>
    <cellStyle name="Normal 4 8 4 4" xfId="10242" xr:uid="{28019871-4AC8-43C0-BE9B-E85191DB7927}"/>
    <cellStyle name="Normal 4 8 5" xfId="2124" xr:uid="{00000000-0005-0000-0000-0000D6160000}"/>
    <cellStyle name="Normal 4 8 5 2" xfId="4353" xr:uid="{00000000-0005-0000-0000-0000D7160000}"/>
    <cellStyle name="Normal 4 8 5 2 2" xfId="8576" xr:uid="{00000000-0005-0000-0000-0000D8160000}"/>
    <cellStyle name="Normal 4 8 5 2 2 2" xfId="17018" xr:uid="{68D7937D-6040-427A-B2A2-9B1F764E1705}"/>
    <cellStyle name="Normal 4 8 5 2 3" xfId="12800" xr:uid="{098E7A4E-4E3B-4323-A913-E0DC18116CA7}"/>
    <cellStyle name="Normal 4 8 5 3" xfId="6431" xr:uid="{00000000-0005-0000-0000-0000D9160000}"/>
    <cellStyle name="Normal 4 8 5 3 2" xfId="14873" xr:uid="{3A0D3706-3551-43F7-B7A3-A8A2CAD50952}"/>
    <cellStyle name="Normal 4 8 5 4" xfId="10655" xr:uid="{6CCED980-5EB8-44F0-94AC-41ACE198B970}"/>
    <cellStyle name="Normal 4 8 6" xfId="2560" xr:uid="{00000000-0005-0000-0000-0000DA160000}"/>
    <cellStyle name="Normal 4 8 6 2" xfId="6844" xr:uid="{00000000-0005-0000-0000-0000DB160000}"/>
    <cellStyle name="Normal 4 8 6 2 2" xfId="15286" xr:uid="{47C359E1-E71B-421F-B23D-75A0A33CDE00}"/>
    <cellStyle name="Normal 4 8 6 3" xfId="11068" xr:uid="{F0D13217-67C2-4676-B079-DD355C37A0CE}"/>
    <cellStyle name="Normal 4 8 7" xfId="4779" xr:uid="{00000000-0005-0000-0000-0000DC160000}"/>
    <cellStyle name="Normal 4 8 7 2" xfId="13221" xr:uid="{7F49219C-3C53-4C66-81F4-10CF2B52B851}"/>
    <cellStyle name="Normal 4 8 8" xfId="9003" xr:uid="{9AE59E7B-5F9B-4031-82F8-33CBEA795159}"/>
    <cellStyle name="Normal 4 9" xfId="4716" xr:uid="{00000000-0005-0000-0000-0000DD160000}"/>
    <cellStyle name="Normal 4 9 2" xfId="13158" xr:uid="{0B1F4714-15AF-4C71-91F2-C2C446CB731F}"/>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722B87B4-3B4A-461E-9CE4-8D94C79EA006}"/>
    <cellStyle name="Normal 5 10 2 3" xfId="12388" xr:uid="{2D73761E-828C-491C-83A0-671EC70E3239}"/>
    <cellStyle name="Normal 5 10 3" xfId="6019" xr:uid="{00000000-0005-0000-0000-0000E2160000}"/>
    <cellStyle name="Normal 5 10 3 2" xfId="14461" xr:uid="{66549EAB-5769-4D67-A994-3F1E21D7E599}"/>
    <cellStyle name="Normal 5 10 4" xfId="10243" xr:uid="{43685A78-07A5-423D-A4AE-22AA2C7772A7}"/>
    <cellStyle name="Normal 5 11" xfId="2125" xr:uid="{00000000-0005-0000-0000-0000E3160000}"/>
    <cellStyle name="Normal 5 11 2" xfId="4354" xr:uid="{00000000-0005-0000-0000-0000E4160000}"/>
    <cellStyle name="Normal 5 11 2 2" xfId="8577" xr:uid="{00000000-0005-0000-0000-0000E5160000}"/>
    <cellStyle name="Normal 5 11 2 2 2" xfId="17019" xr:uid="{C593169B-5514-4136-A3DF-EABCCA7F54D6}"/>
    <cellStyle name="Normal 5 11 2 3" xfId="12801" xr:uid="{5B26EDCB-07EF-4EC4-8CC6-99B74DE5464A}"/>
    <cellStyle name="Normal 5 11 3" xfId="6432" xr:uid="{00000000-0005-0000-0000-0000E6160000}"/>
    <cellStyle name="Normal 5 11 3 2" xfId="14874" xr:uid="{BBF7AB11-5557-4B0F-B88C-A7744503039A}"/>
    <cellStyle name="Normal 5 11 4" xfId="10656" xr:uid="{CA0CB10C-277C-4358-9023-EC3465C27380}"/>
    <cellStyle name="Normal 5 12" xfId="2561" xr:uid="{00000000-0005-0000-0000-0000E7160000}"/>
    <cellStyle name="Normal 5 12 2" xfId="6845" xr:uid="{00000000-0005-0000-0000-0000E8160000}"/>
    <cellStyle name="Normal 5 12 2 2" xfId="15287" xr:uid="{58AFDDEC-0CEA-4A93-A88C-B35EEA9D797C}"/>
    <cellStyle name="Normal 5 12 3" xfId="11069" xr:uid="{21559E0B-54EC-401A-A40C-FB523C7D1436}"/>
    <cellStyle name="Normal 5 13" xfId="4780" xr:uid="{00000000-0005-0000-0000-0000E9160000}"/>
    <cellStyle name="Normal 5 13 2" xfId="13222" xr:uid="{6AFC35C9-D113-47F5-A21C-F2C5AD43FC62}"/>
    <cellStyle name="Normal 5 14" xfId="9004" xr:uid="{C802C9CC-2672-4C03-8B16-D7E38EF17AA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E6558C77-1AAA-4AF3-B5E7-2950018784B8}"/>
    <cellStyle name="Normal 5 2 10 2 3" xfId="12802" xr:uid="{326B26D9-4597-41CA-A3F7-19379F916D42}"/>
    <cellStyle name="Normal 5 2 10 3" xfId="6433" xr:uid="{00000000-0005-0000-0000-0000EE160000}"/>
    <cellStyle name="Normal 5 2 10 3 2" xfId="14875" xr:uid="{A6D909B7-DD36-4689-BB78-BBC1BDDCC407}"/>
    <cellStyle name="Normal 5 2 10 4" xfId="10657" xr:uid="{F50B2C37-6ABF-482E-9301-5BEA7B59A254}"/>
    <cellStyle name="Normal 5 2 11" xfId="2562" xr:uid="{00000000-0005-0000-0000-0000EF160000}"/>
    <cellStyle name="Normal 5 2 11 2" xfId="6846" xr:uid="{00000000-0005-0000-0000-0000F0160000}"/>
    <cellStyle name="Normal 5 2 11 2 2" xfId="15288" xr:uid="{54E171D4-148D-4307-A6D2-03D8F0AE6171}"/>
    <cellStyle name="Normal 5 2 11 3" xfId="11070" xr:uid="{300D9C8C-1B7A-44B0-9272-8B1F5EED12A2}"/>
    <cellStyle name="Normal 5 2 12" xfId="4781" xr:uid="{00000000-0005-0000-0000-0000F1160000}"/>
    <cellStyle name="Normal 5 2 12 2" xfId="13223" xr:uid="{A38E3453-9F57-4536-A5F9-AF67F0BDC72C}"/>
    <cellStyle name="Normal 5 2 13" xfId="9005" xr:uid="{8A285227-613D-4421-A1BC-BD9A5F86AF00}"/>
    <cellStyle name="Normal 5 2 2" xfId="408" xr:uid="{00000000-0005-0000-0000-0000F2160000}"/>
    <cellStyle name="Normal 5 2 2 10" xfId="2563" xr:uid="{00000000-0005-0000-0000-0000F3160000}"/>
    <cellStyle name="Normal 5 2 2 10 2" xfId="6847" xr:uid="{00000000-0005-0000-0000-0000F4160000}"/>
    <cellStyle name="Normal 5 2 2 10 2 2" xfId="15289" xr:uid="{9DBBA401-DEA1-4327-BB10-26DFB469D7BE}"/>
    <cellStyle name="Normal 5 2 2 10 3" xfId="11071" xr:uid="{DAD71C99-10E1-44CA-BDA3-C867E1001074}"/>
    <cellStyle name="Normal 5 2 2 11" xfId="4782" xr:uid="{00000000-0005-0000-0000-0000F5160000}"/>
    <cellStyle name="Normal 5 2 2 11 2" xfId="13224" xr:uid="{7E8E5316-0BCD-44F2-A494-C5F74A26C508}"/>
    <cellStyle name="Normal 5 2 2 12" xfId="9006" xr:uid="{D0EB4E38-BC59-460E-A8EA-9DC3E02E5686}"/>
    <cellStyle name="Normal 5 2 2 2" xfId="409" xr:uid="{00000000-0005-0000-0000-0000F6160000}"/>
    <cellStyle name="Normal 5 2 2 2 10" xfId="4783" xr:uid="{00000000-0005-0000-0000-0000F7160000}"/>
    <cellStyle name="Normal 5 2 2 2 10 2" xfId="13225" xr:uid="{C3AE14EC-68CE-46CD-B0E7-D3FD3B71175C}"/>
    <cellStyle name="Normal 5 2 2 2 11" xfId="9007" xr:uid="{5155F377-923F-4175-A50A-C422C3A89049}"/>
    <cellStyle name="Normal 5 2 2 2 2" xfId="410" xr:uid="{00000000-0005-0000-0000-0000F8160000}"/>
    <cellStyle name="Normal 5 2 2 2 2 10" xfId="9008" xr:uid="{18021E7F-4C12-444B-ABC3-9889D984A631}"/>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3873BA31-246C-4DD9-AA8C-A000312A2BD4}"/>
    <cellStyle name="Normal 5 2 2 2 2 2 2 2 2 3" xfId="11568" xr:uid="{9583168F-1D7A-415B-A0EB-E5F9D52A4679}"/>
    <cellStyle name="Normal 5 2 2 2 2 2 2 2 3" xfId="5199" xr:uid="{00000000-0005-0000-0000-0000FE160000}"/>
    <cellStyle name="Normal 5 2 2 2 2 2 2 2 3 2" xfId="13641" xr:uid="{0510D445-5A9B-461A-9B52-6BF72EC92D6F}"/>
    <cellStyle name="Normal 5 2 2 2 2 2 2 2 4" xfId="9423" xr:uid="{45700F35-A267-4DC0-ADA2-2D2778F03212}"/>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7971A667-2F60-4190-B9B1-29513E8E3E9A}"/>
    <cellStyle name="Normal 5 2 2 2 2 2 2 3 2 3" xfId="11981" xr:uid="{87E13A45-31FF-4E38-A369-913AF1DFDE8F}"/>
    <cellStyle name="Normal 5 2 2 2 2 2 2 3 3" xfId="5612" xr:uid="{00000000-0005-0000-0000-000002170000}"/>
    <cellStyle name="Normal 5 2 2 2 2 2 2 3 3 2" xfId="14054" xr:uid="{C8921901-8791-48F8-A57B-54EC378ED300}"/>
    <cellStyle name="Normal 5 2 2 2 2 2 2 3 4" xfId="9836" xr:uid="{CCDFD33B-DDD5-40C0-9747-53E04BA15C9B}"/>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8BEB6B0D-135F-4E66-901F-35305625B0E6}"/>
    <cellStyle name="Normal 5 2 2 2 2 2 2 4 2 3" xfId="12394" xr:uid="{C30AA775-C2D0-4FA6-9112-6214764D8822}"/>
    <cellStyle name="Normal 5 2 2 2 2 2 2 4 3" xfId="6025" xr:uid="{00000000-0005-0000-0000-000006170000}"/>
    <cellStyle name="Normal 5 2 2 2 2 2 2 4 3 2" xfId="14467" xr:uid="{1997C558-80AB-4B3B-BBC8-9EAB3A306653}"/>
    <cellStyle name="Normal 5 2 2 2 2 2 2 4 4" xfId="10249" xr:uid="{BB103834-ED57-4FB1-AE4D-3DD469BB436B}"/>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A6782CC3-F2D3-4BD1-86A0-C47BBD6D6F1E}"/>
    <cellStyle name="Normal 5 2 2 2 2 2 2 5 2 3" xfId="12807" xr:uid="{5DA6270F-C2C7-41F1-B6FD-5CF238F92A6B}"/>
    <cellStyle name="Normal 5 2 2 2 2 2 2 5 3" xfId="6438" xr:uid="{00000000-0005-0000-0000-00000A170000}"/>
    <cellStyle name="Normal 5 2 2 2 2 2 2 5 3 2" xfId="14880" xr:uid="{292B0BAA-8438-45BE-BD28-519B544833A1}"/>
    <cellStyle name="Normal 5 2 2 2 2 2 2 5 4" xfId="10662" xr:uid="{E4EBA5D1-925D-445E-B642-FD45832D1B16}"/>
    <cellStyle name="Normal 5 2 2 2 2 2 2 6" xfId="2567" xr:uid="{00000000-0005-0000-0000-00000B170000}"/>
    <cellStyle name="Normal 5 2 2 2 2 2 2 6 2" xfId="6851" xr:uid="{00000000-0005-0000-0000-00000C170000}"/>
    <cellStyle name="Normal 5 2 2 2 2 2 2 6 2 2" xfId="15293" xr:uid="{B72331F6-B220-488B-B63E-FEF6E5724795}"/>
    <cellStyle name="Normal 5 2 2 2 2 2 2 6 3" xfId="11075" xr:uid="{DC0B5E4D-33B5-4992-8943-BD95DA4E5374}"/>
    <cellStyle name="Normal 5 2 2 2 2 2 2 7" xfId="4786" xr:uid="{00000000-0005-0000-0000-00000D170000}"/>
    <cellStyle name="Normal 5 2 2 2 2 2 2 7 2" xfId="13228" xr:uid="{037874F0-C347-4C98-92F5-EB0135AE39A2}"/>
    <cellStyle name="Normal 5 2 2 2 2 2 2 8" xfId="9010" xr:uid="{E6996EEB-90E8-4FEC-8901-57A57965415C}"/>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BE81F2B6-9D99-4872-8396-761A21C1B27C}"/>
    <cellStyle name="Normal 5 2 2 2 2 2 3 2 3" xfId="11567" xr:uid="{BFD5BD3E-3746-4203-BB4F-805EC3E9F518}"/>
    <cellStyle name="Normal 5 2 2 2 2 2 3 3" xfId="5198" xr:uid="{00000000-0005-0000-0000-000011170000}"/>
    <cellStyle name="Normal 5 2 2 2 2 2 3 3 2" xfId="13640" xr:uid="{6BE1810E-D78F-4D05-AF87-17A5EEF8F6D8}"/>
    <cellStyle name="Normal 5 2 2 2 2 2 3 4" xfId="9422" xr:uid="{3AC00EF4-1207-4802-A547-8B66136083EB}"/>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4C00BC0B-7215-4722-B792-875F8023B924}"/>
    <cellStyle name="Normal 5 2 2 2 2 2 4 2 3" xfId="11980" xr:uid="{301E280C-16D9-40CB-854F-7921397C028D}"/>
    <cellStyle name="Normal 5 2 2 2 2 2 4 3" xfId="5611" xr:uid="{00000000-0005-0000-0000-000015170000}"/>
    <cellStyle name="Normal 5 2 2 2 2 2 4 3 2" xfId="14053" xr:uid="{90876BEB-31C7-4E5E-9FA3-277C8F80DD92}"/>
    <cellStyle name="Normal 5 2 2 2 2 2 4 4" xfId="9835" xr:uid="{B4E862FE-6889-4792-809B-25A369837CF9}"/>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EB7038B8-5ED8-4DC8-BBD7-7AE905282E57}"/>
    <cellStyle name="Normal 5 2 2 2 2 2 5 2 3" xfId="12393" xr:uid="{BB3DC684-D8C9-483F-8DE3-2A8EBFF45313}"/>
    <cellStyle name="Normal 5 2 2 2 2 2 5 3" xfId="6024" xr:uid="{00000000-0005-0000-0000-000019170000}"/>
    <cellStyle name="Normal 5 2 2 2 2 2 5 3 2" xfId="14466" xr:uid="{D2BA35E7-12EF-4304-985C-9A160CFD0904}"/>
    <cellStyle name="Normal 5 2 2 2 2 2 5 4" xfId="10248" xr:uid="{4A9B7C53-AF53-49A2-9722-17B321C94F84}"/>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EE765A73-0338-4871-BDA1-FEDA11355939}"/>
    <cellStyle name="Normal 5 2 2 2 2 2 6 2 3" xfId="12806" xr:uid="{35F40078-5F35-4FB9-9F82-D5194C649872}"/>
    <cellStyle name="Normal 5 2 2 2 2 2 6 3" xfId="6437" xr:uid="{00000000-0005-0000-0000-00001D170000}"/>
    <cellStyle name="Normal 5 2 2 2 2 2 6 3 2" xfId="14879" xr:uid="{B5FDE69B-CA01-4707-A765-94AC54A5C9B9}"/>
    <cellStyle name="Normal 5 2 2 2 2 2 6 4" xfId="10661" xr:uid="{E7F89379-24EE-413E-A798-508F379B3DFA}"/>
    <cellStyle name="Normal 5 2 2 2 2 2 7" xfId="2566" xr:uid="{00000000-0005-0000-0000-00001E170000}"/>
    <cellStyle name="Normal 5 2 2 2 2 2 7 2" xfId="6850" xr:uid="{00000000-0005-0000-0000-00001F170000}"/>
    <cellStyle name="Normal 5 2 2 2 2 2 7 2 2" xfId="15292" xr:uid="{51D7C723-37AA-423D-9810-0F66DF60F285}"/>
    <cellStyle name="Normal 5 2 2 2 2 2 7 3" xfId="11074" xr:uid="{0F6530B9-802A-4D12-A9A4-F7BFE5BF0C65}"/>
    <cellStyle name="Normal 5 2 2 2 2 2 8" xfId="4785" xr:uid="{00000000-0005-0000-0000-000020170000}"/>
    <cellStyle name="Normal 5 2 2 2 2 2 8 2" xfId="13227" xr:uid="{43EF52B1-B90B-495D-8585-B69A649343E9}"/>
    <cellStyle name="Normal 5 2 2 2 2 2 9" xfId="9009" xr:uid="{2EB940A5-3392-4279-B7BF-A36BF664F45B}"/>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8214B02B-4FC0-4E63-8FCB-806F63E45961}"/>
    <cellStyle name="Normal 5 2 2 2 2 3 2 2 3" xfId="11569" xr:uid="{A8E52550-9B87-4038-8DDB-4ED940C666B9}"/>
    <cellStyle name="Normal 5 2 2 2 2 3 2 3" xfId="5200" xr:uid="{00000000-0005-0000-0000-000025170000}"/>
    <cellStyle name="Normal 5 2 2 2 2 3 2 3 2" xfId="13642" xr:uid="{85016446-4C27-4804-87B9-0D9694F32B9E}"/>
    <cellStyle name="Normal 5 2 2 2 2 3 2 4" xfId="9424" xr:uid="{07531557-A71C-4E23-9427-B4670ADB83DA}"/>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9D2047F8-4476-4B53-A07F-44382A4D080D}"/>
    <cellStyle name="Normal 5 2 2 2 2 3 3 2 3" xfId="11982" xr:uid="{0D86985C-F798-42FC-BB77-A32035BB2B33}"/>
    <cellStyle name="Normal 5 2 2 2 2 3 3 3" xfId="5613" xr:uid="{00000000-0005-0000-0000-000029170000}"/>
    <cellStyle name="Normal 5 2 2 2 2 3 3 3 2" xfId="14055" xr:uid="{F11932DA-A1E7-478B-9805-1A699370686C}"/>
    <cellStyle name="Normal 5 2 2 2 2 3 3 4" xfId="9837" xr:uid="{D804B288-3479-41D7-ACDD-0F74306FBD98}"/>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D1E4FE6B-1B3C-4B9E-85E7-1CDF72610A0E}"/>
    <cellStyle name="Normal 5 2 2 2 2 3 4 2 3" xfId="12395" xr:uid="{6495B62C-CFD1-46BF-94DE-7B8E1C35B59F}"/>
    <cellStyle name="Normal 5 2 2 2 2 3 4 3" xfId="6026" xr:uid="{00000000-0005-0000-0000-00002D170000}"/>
    <cellStyle name="Normal 5 2 2 2 2 3 4 3 2" xfId="14468" xr:uid="{CF70518F-8C54-4209-9B9B-C0485E93FA32}"/>
    <cellStyle name="Normal 5 2 2 2 2 3 4 4" xfId="10250" xr:uid="{AF924B29-FA3A-4EC8-B09A-CEAFCB5CF989}"/>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6D339493-6062-4F3D-95FF-78E6C34EBA1D}"/>
    <cellStyle name="Normal 5 2 2 2 2 3 5 2 3" xfId="12808" xr:uid="{7802E98A-0A60-415D-9053-D699B663FD5D}"/>
    <cellStyle name="Normal 5 2 2 2 2 3 5 3" xfId="6439" xr:uid="{00000000-0005-0000-0000-000031170000}"/>
    <cellStyle name="Normal 5 2 2 2 2 3 5 3 2" xfId="14881" xr:uid="{C729B2E0-B7CC-4796-A9ED-B82F64EBE06D}"/>
    <cellStyle name="Normal 5 2 2 2 2 3 5 4" xfId="10663" xr:uid="{E454CB35-4FC9-4C96-9553-78BBC2ED7568}"/>
    <cellStyle name="Normal 5 2 2 2 2 3 6" xfId="2568" xr:uid="{00000000-0005-0000-0000-000032170000}"/>
    <cellStyle name="Normal 5 2 2 2 2 3 6 2" xfId="6852" xr:uid="{00000000-0005-0000-0000-000033170000}"/>
    <cellStyle name="Normal 5 2 2 2 2 3 6 2 2" xfId="15294" xr:uid="{D5F9B098-11A1-4D04-B948-90998037A283}"/>
    <cellStyle name="Normal 5 2 2 2 2 3 6 3" xfId="11076" xr:uid="{9151DEEE-5BE8-4C40-A970-FD8DAF2E532C}"/>
    <cellStyle name="Normal 5 2 2 2 2 3 7" xfId="4787" xr:uid="{00000000-0005-0000-0000-000034170000}"/>
    <cellStyle name="Normal 5 2 2 2 2 3 7 2" xfId="13229" xr:uid="{584791E9-455B-4D2E-A6FD-F6C8E61F11C7}"/>
    <cellStyle name="Normal 5 2 2 2 2 3 8" xfId="9011" xr:uid="{FD4BDC8B-14E6-4D35-8C7E-23BC816260C2}"/>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491516CC-7F4D-49DB-9C44-4C6BD30D8C4F}"/>
    <cellStyle name="Normal 5 2 2 2 2 4 2 3" xfId="11566" xr:uid="{6520181B-3B52-4A21-A1A9-42798445E2C3}"/>
    <cellStyle name="Normal 5 2 2 2 2 4 3" xfId="5197" xr:uid="{00000000-0005-0000-0000-000038170000}"/>
    <cellStyle name="Normal 5 2 2 2 2 4 3 2" xfId="13639" xr:uid="{E693F638-E22B-45F8-8151-925BB202EDEF}"/>
    <cellStyle name="Normal 5 2 2 2 2 4 4" xfId="9421" xr:uid="{E565CC2C-6A6F-4CC0-BB34-DFB1762702F6}"/>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71A87C36-BA97-49AE-9244-DE2B32CA3619}"/>
    <cellStyle name="Normal 5 2 2 2 2 5 2 3" xfId="11979" xr:uid="{900F56FA-64DD-4084-84A0-5E75BBF7ABBA}"/>
    <cellStyle name="Normal 5 2 2 2 2 5 3" xfId="5610" xr:uid="{00000000-0005-0000-0000-00003C170000}"/>
    <cellStyle name="Normal 5 2 2 2 2 5 3 2" xfId="14052" xr:uid="{1F58B72C-1E04-4A1A-8F24-61AA3924C71B}"/>
    <cellStyle name="Normal 5 2 2 2 2 5 4" xfId="9834" xr:uid="{B7EBF7C3-D3C0-4458-8549-0410E20EAB64}"/>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2B099A52-D878-492D-865B-F570893F22CC}"/>
    <cellStyle name="Normal 5 2 2 2 2 6 2 3" xfId="12392" xr:uid="{21C42409-BED7-45BC-AA6E-F0F80176EB6F}"/>
    <cellStyle name="Normal 5 2 2 2 2 6 3" xfId="6023" xr:uid="{00000000-0005-0000-0000-000040170000}"/>
    <cellStyle name="Normal 5 2 2 2 2 6 3 2" xfId="14465" xr:uid="{87140C9A-0FE8-4DF3-8F52-D41B801200E2}"/>
    <cellStyle name="Normal 5 2 2 2 2 6 4" xfId="10247" xr:uid="{CA0EA4AF-8583-4E5B-B8B4-99AE021BCC1C}"/>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8D3A07BC-5D16-475B-AB61-05DE019DA686}"/>
    <cellStyle name="Normal 5 2 2 2 2 7 2 3" xfId="12805" xr:uid="{A0FDAB10-5638-4E94-8229-44D8A582068B}"/>
    <cellStyle name="Normal 5 2 2 2 2 7 3" xfId="6436" xr:uid="{00000000-0005-0000-0000-000044170000}"/>
    <cellStyle name="Normal 5 2 2 2 2 7 3 2" xfId="14878" xr:uid="{B7A973BF-40E6-459B-B0C3-7DF89AD64B2F}"/>
    <cellStyle name="Normal 5 2 2 2 2 7 4" xfId="10660" xr:uid="{8168F340-52C1-43EB-BD6B-09A36401AAFD}"/>
    <cellStyle name="Normal 5 2 2 2 2 8" xfId="2565" xr:uid="{00000000-0005-0000-0000-000045170000}"/>
    <cellStyle name="Normal 5 2 2 2 2 8 2" xfId="6849" xr:uid="{00000000-0005-0000-0000-000046170000}"/>
    <cellStyle name="Normal 5 2 2 2 2 8 2 2" xfId="15291" xr:uid="{9989DD52-4B11-48E3-8BA1-C981AA2A0D8E}"/>
    <cellStyle name="Normal 5 2 2 2 2 8 3" xfId="11073" xr:uid="{6282476C-E9EB-4C34-B4C0-DAFFA7E5785D}"/>
    <cellStyle name="Normal 5 2 2 2 2 9" xfId="4784" xr:uid="{00000000-0005-0000-0000-000047170000}"/>
    <cellStyle name="Normal 5 2 2 2 2 9 2" xfId="13226" xr:uid="{4E8DD4FE-52B0-448E-BB6D-1D53784BB59C}"/>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FD596B04-DC5E-4841-8FE5-4C8BD2CC29A3}"/>
    <cellStyle name="Normal 5 2 2 2 3 2 2 2 3" xfId="11571" xr:uid="{58EB0EDD-1C90-4F5E-A545-068EE22D575D}"/>
    <cellStyle name="Normal 5 2 2 2 3 2 2 3" xfId="5202" xr:uid="{00000000-0005-0000-0000-00004D170000}"/>
    <cellStyle name="Normal 5 2 2 2 3 2 2 3 2" xfId="13644" xr:uid="{5BC1C46E-FE30-4AB5-901D-7523E61D96AE}"/>
    <cellStyle name="Normal 5 2 2 2 3 2 2 4" xfId="9426" xr:uid="{2E44191F-6ACD-4EC7-9981-0A439D56DCB8}"/>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5706B7D5-9C90-4D43-9219-4C12C7053E59}"/>
    <cellStyle name="Normal 5 2 2 2 3 2 3 2 3" xfId="11984" xr:uid="{E3C61A62-93B9-44E3-B43C-F04859A7F7DC}"/>
    <cellStyle name="Normal 5 2 2 2 3 2 3 3" xfId="5615" xr:uid="{00000000-0005-0000-0000-000051170000}"/>
    <cellStyle name="Normal 5 2 2 2 3 2 3 3 2" xfId="14057" xr:uid="{C5B09ED9-E62A-4100-9B8A-D813D3871AC5}"/>
    <cellStyle name="Normal 5 2 2 2 3 2 3 4" xfId="9839" xr:uid="{139E076A-246D-4E35-9DE0-D095F5D4FDC5}"/>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33926F48-6CE5-4D49-A118-F55A596B545D}"/>
    <cellStyle name="Normal 5 2 2 2 3 2 4 2 3" xfId="12397" xr:uid="{9A02AF58-04F9-4035-861A-17BEAE1B2F01}"/>
    <cellStyle name="Normal 5 2 2 2 3 2 4 3" xfId="6028" xr:uid="{00000000-0005-0000-0000-000055170000}"/>
    <cellStyle name="Normal 5 2 2 2 3 2 4 3 2" xfId="14470" xr:uid="{49C9A8FD-C036-4E00-A046-228233D80826}"/>
    <cellStyle name="Normal 5 2 2 2 3 2 4 4" xfId="10252" xr:uid="{2370BCD5-7330-4849-B209-EC5719972DF9}"/>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851530C4-D1EC-46CF-A8E9-E9AF454D0271}"/>
    <cellStyle name="Normal 5 2 2 2 3 2 5 2 3" xfId="12810" xr:uid="{6330F167-34ED-4AD0-87FF-F1799FE55586}"/>
    <cellStyle name="Normal 5 2 2 2 3 2 5 3" xfId="6441" xr:uid="{00000000-0005-0000-0000-000059170000}"/>
    <cellStyle name="Normal 5 2 2 2 3 2 5 3 2" xfId="14883" xr:uid="{9BE6ED8C-8447-4187-85DE-76474471A141}"/>
    <cellStyle name="Normal 5 2 2 2 3 2 5 4" xfId="10665" xr:uid="{B743B098-6366-441F-ADCB-CE550A357B7D}"/>
    <cellStyle name="Normal 5 2 2 2 3 2 6" xfId="2570" xr:uid="{00000000-0005-0000-0000-00005A170000}"/>
    <cellStyle name="Normal 5 2 2 2 3 2 6 2" xfId="6854" xr:uid="{00000000-0005-0000-0000-00005B170000}"/>
    <cellStyle name="Normal 5 2 2 2 3 2 6 2 2" xfId="15296" xr:uid="{12DD2363-A4D2-4255-AD76-401BE4B5F5E2}"/>
    <cellStyle name="Normal 5 2 2 2 3 2 6 3" xfId="11078" xr:uid="{32D2A015-C081-4DE0-915C-1A8679DF5BCC}"/>
    <cellStyle name="Normal 5 2 2 2 3 2 7" xfId="4789" xr:uid="{00000000-0005-0000-0000-00005C170000}"/>
    <cellStyle name="Normal 5 2 2 2 3 2 7 2" xfId="13231" xr:uid="{038E654E-F0CE-49D7-87F8-09A30A110D83}"/>
    <cellStyle name="Normal 5 2 2 2 3 2 8" xfId="9013" xr:uid="{824A44A0-FB6D-4B7C-BE97-57AAAF973C81}"/>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9D488093-4D80-4E29-8577-90D7EBB1360A}"/>
    <cellStyle name="Normal 5 2 2 2 3 3 2 3" xfId="11570" xr:uid="{44C1E41F-5747-4171-A177-8260909B8693}"/>
    <cellStyle name="Normal 5 2 2 2 3 3 3" xfId="5201" xr:uid="{00000000-0005-0000-0000-000060170000}"/>
    <cellStyle name="Normal 5 2 2 2 3 3 3 2" xfId="13643" xr:uid="{FD2663CF-32ED-4552-A761-BD869B073A32}"/>
    <cellStyle name="Normal 5 2 2 2 3 3 4" xfId="9425" xr:uid="{0EC378DA-334E-42A6-9843-1E8CBA10A87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BDFF6D0B-31D6-44AC-A043-711084877B62}"/>
    <cellStyle name="Normal 5 2 2 2 3 4 2 3" xfId="11983" xr:uid="{312CFDFC-46C5-4D53-876B-1FA539EF5C7A}"/>
    <cellStyle name="Normal 5 2 2 2 3 4 3" xfId="5614" xr:uid="{00000000-0005-0000-0000-000064170000}"/>
    <cellStyle name="Normal 5 2 2 2 3 4 3 2" xfId="14056" xr:uid="{5EDD2E83-F049-43D2-A24D-E9496984FAAE}"/>
    <cellStyle name="Normal 5 2 2 2 3 4 4" xfId="9838" xr:uid="{67C7ADB1-9576-4888-8647-91948A27A632}"/>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482F6873-9463-4A26-A2DC-3914067DE491}"/>
    <cellStyle name="Normal 5 2 2 2 3 5 2 3" xfId="12396" xr:uid="{BC10471C-8FDD-489D-B42D-4C15E09F30ED}"/>
    <cellStyle name="Normal 5 2 2 2 3 5 3" xfId="6027" xr:uid="{00000000-0005-0000-0000-000068170000}"/>
    <cellStyle name="Normal 5 2 2 2 3 5 3 2" xfId="14469" xr:uid="{7963A560-56ED-486E-8CAF-77745383E846}"/>
    <cellStyle name="Normal 5 2 2 2 3 5 4" xfId="10251" xr:uid="{83E7C266-82F7-4B92-AFE2-B28716F03B3E}"/>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60C88FC4-4004-43AE-B6B5-A4FD067AD967}"/>
    <cellStyle name="Normal 5 2 2 2 3 6 2 3" xfId="12809" xr:uid="{3091A52E-0B26-42D0-A603-370E25C5C112}"/>
    <cellStyle name="Normal 5 2 2 2 3 6 3" xfId="6440" xr:uid="{00000000-0005-0000-0000-00006C170000}"/>
    <cellStyle name="Normal 5 2 2 2 3 6 3 2" xfId="14882" xr:uid="{AFBE16C9-0D03-4DBD-A396-5C48496EE740}"/>
    <cellStyle name="Normal 5 2 2 2 3 6 4" xfId="10664" xr:uid="{10FC53F2-75A3-4DAE-8250-A45EC9328C79}"/>
    <cellStyle name="Normal 5 2 2 2 3 7" xfId="2569" xr:uid="{00000000-0005-0000-0000-00006D170000}"/>
    <cellStyle name="Normal 5 2 2 2 3 7 2" xfId="6853" xr:uid="{00000000-0005-0000-0000-00006E170000}"/>
    <cellStyle name="Normal 5 2 2 2 3 7 2 2" xfId="15295" xr:uid="{26ECDAA3-373A-49B5-8595-ACC48CA5BFE9}"/>
    <cellStyle name="Normal 5 2 2 2 3 7 3" xfId="11077" xr:uid="{25B1C858-980F-4BE9-BCCC-BE420030EEB6}"/>
    <cellStyle name="Normal 5 2 2 2 3 8" xfId="4788" xr:uid="{00000000-0005-0000-0000-00006F170000}"/>
    <cellStyle name="Normal 5 2 2 2 3 8 2" xfId="13230" xr:uid="{41119643-981E-458B-812F-09840B5399E2}"/>
    <cellStyle name="Normal 5 2 2 2 3 9" xfId="9012" xr:uid="{F5AC4A80-7073-43E2-A04B-21DC50AF09C6}"/>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7EB93444-B199-4657-80E1-E133A2156CA3}"/>
    <cellStyle name="Normal 5 2 2 2 4 2 2 3" xfId="11572" xr:uid="{F2BED297-8A63-407E-A27B-A901C97F085D}"/>
    <cellStyle name="Normal 5 2 2 2 4 2 3" xfId="5203" xr:uid="{00000000-0005-0000-0000-000074170000}"/>
    <cellStyle name="Normal 5 2 2 2 4 2 3 2" xfId="13645" xr:uid="{DA7EAE39-A166-402B-9C08-BBDCEDEBEBC5}"/>
    <cellStyle name="Normal 5 2 2 2 4 2 4" xfId="9427" xr:uid="{06179464-23A1-4065-B3DA-C6BDA860D9DD}"/>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2AE03E52-12D8-4192-952C-E18D8B02721C}"/>
    <cellStyle name="Normal 5 2 2 2 4 3 2 3" xfId="11985" xr:uid="{95242495-8084-459C-B66F-D22D3BF1C567}"/>
    <cellStyle name="Normal 5 2 2 2 4 3 3" xfId="5616" xr:uid="{00000000-0005-0000-0000-000078170000}"/>
    <cellStyle name="Normal 5 2 2 2 4 3 3 2" xfId="14058" xr:uid="{2E66AAE1-457A-46ED-B276-C9C1FEFECA4A}"/>
    <cellStyle name="Normal 5 2 2 2 4 3 4" xfId="9840" xr:uid="{0442AE56-FA61-41BF-B901-50F07D761116}"/>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9F970CF9-188F-403C-B64F-F9421AAA446E}"/>
    <cellStyle name="Normal 5 2 2 2 4 4 2 3" xfId="12398" xr:uid="{DBC4FE11-7E0D-4059-889E-EE7E1D092C56}"/>
    <cellStyle name="Normal 5 2 2 2 4 4 3" xfId="6029" xr:uid="{00000000-0005-0000-0000-00007C170000}"/>
    <cellStyle name="Normal 5 2 2 2 4 4 3 2" xfId="14471" xr:uid="{B75637DD-696B-4BEE-8A40-E5A2562A6D97}"/>
    <cellStyle name="Normal 5 2 2 2 4 4 4" xfId="10253" xr:uid="{BADE4299-5D0B-47C1-935B-D4931E0EE68F}"/>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E91CD804-6E9C-4435-A48C-E06F2E9D510C}"/>
    <cellStyle name="Normal 5 2 2 2 4 5 2 3" xfId="12811" xr:uid="{4C1BF43F-DD5A-4F0B-B7CD-04ED600FE639}"/>
    <cellStyle name="Normal 5 2 2 2 4 5 3" xfId="6442" xr:uid="{00000000-0005-0000-0000-000080170000}"/>
    <cellStyle name="Normal 5 2 2 2 4 5 3 2" xfId="14884" xr:uid="{0E9DE763-8EB6-4D50-9579-6B1EEAA0871F}"/>
    <cellStyle name="Normal 5 2 2 2 4 5 4" xfId="10666" xr:uid="{26BCE837-6D00-44A5-86F9-E302B0F96F86}"/>
    <cellStyle name="Normal 5 2 2 2 4 6" xfId="2571" xr:uid="{00000000-0005-0000-0000-000081170000}"/>
    <cellStyle name="Normal 5 2 2 2 4 6 2" xfId="6855" xr:uid="{00000000-0005-0000-0000-000082170000}"/>
    <cellStyle name="Normal 5 2 2 2 4 6 2 2" xfId="15297" xr:uid="{EFDFF7E4-AA6E-473C-907B-E798E2C5B2F6}"/>
    <cellStyle name="Normal 5 2 2 2 4 6 3" xfId="11079" xr:uid="{F22AE2BB-37F9-42DD-92A5-926128F6263F}"/>
    <cellStyle name="Normal 5 2 2 2 4 7" xfId="4790" xr:uid="{00000000-0005-0000-0000-000083170000}"/>
    <cellStyle name="Normal 5 2 2 2 4 7 2" xfId="13232" xr:uid="{7A039248-47BC-45F3-9C36-56D9347B8BC2}"/>
    <cellStyle name="Normal 5 2 2 2 4 8" xfId="9014" xr:uid="{EF01C802-72AF-49FA-AD6C-CE5EDC6350F6}"/>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5222996C-61D2-476D-8EDC-2AD9AC092482}"/>
    <cellStyle name="Normal 5 2 2 2 5 2 3" xfId="11565" xr:uid="{22AD54D5-948E-461E-8F1F-D75067051AD7}"/>
    <cellStyle name="Normal 5 2 2 2 5 3" xfId="5196" xr:uid="{00000000-0005-0000-0000-000087170000}"/>
    <cellStyle name="Normal 5 2 2 2 5 3 2" xfId="13638" xr:uid="{1BE2E208-E12E-4961-A8E6-F2AEE6254F26}"/>
    <cellStyle name="Normal 5 2 2 2 5 4" xfId="9420" xr:uid="{28399DB0-9923-4291-B302-3BE29639C220}"/>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50568A3F-8ED2-428C-A5C9-BEB969F10CA6}"/>
    <cellStyle name="Normal 5 2 2 2 6 2 3" xfId="11978" xr:uid="{7CEF857A-6CB6-4BCE-8606-1CEC53EDE819}"/>
    <cellStyle name="Normal 5 2 2 2 6 3" xfId="5609" xr:uid="{00000000-0005-0000-0000-00008B170000}"/>
    <cellStyle name="Normal 5 2 2 2 6 3 2" xfId="14051" xr:uid="{963D4469-9580-4629-B1ED-726BFB3998BF}"/>
    <cellStyle name="Normal 5 2 2 2 6 4" xfId="9833" xr:uid="{02E6959D-4E82-4853-92B1-3774C79EF027}"/>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9BF4040B-EEB9-4585-BEFA-241DFA992219}"/>
    <cellStyle name="Normal 5 2 2 2 7 2 3" xfId="12391" xr:uid="{64222729-FDEF-4D4A-A485-2D612D6FEC22}"/>
    <cellStyle name="Normal 5 2 2 2 7 3" xfId="6022" xr:uid="{00000000-0005-0000-0000-00008F170000}"/>
    <cellStyle name="Normal 5 2 2 2 7 3 2" xfId="14464" xr:uid="{142BB32C-4CDC-4648-B296-393E16AF89A9}"/>
    <cellStyle name="Normal 5 2 2 2 7 4" xfId="10246" xr:uid="{AA1F7505-D28E-40A0-97CE-9FCCF64CEEAA}"/>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AC42D39B-B4AC-478A-AE8E-22241F79732A}"/>
    <cellStyle name="Normal 5 2 2 2 8 2 3" xfId="12804" xr:uid="{62805317-1354-490C-BCCB-B8F2CBE88BFF}"/>
    <cellStyle name="Normal 5 2 2 2 8 3" xfId="6435" xr:uid="{00000000-0005-0000-0000-000093170000}"/>
    <cellStyle name="Normal 5 2 2 2 8 3 2" xfId="14877" xr:uid="{8D9A9C32-AA9C-4D83-9906-650813D54B79}"/>
    <cellStyle name="Normal 5 2 2 2 8 4" xfId="10659" xr:uid="{81EC1EAB-2563-4E65-B09E-CF12587304C2}"/>
    <cellStyle name="Normal 5 2 2 2 9" xfId="2564" xr:uid="{00000000-0005-0000-0000-000094170000}"/>
    <cellStyle name="Normal 5 2 2 2 9 2" xfId="6848" xr:uid="{00000000-0005-0000-0000-000095170000}"/>
    <cellStyle name="Normal 5 2 2 2 9 2 2" xfId="15290" xr:uid="{A64EED76-5670-46D2-BA06-D4C27476CAAE}"/>
    <cellStyle name="Normal 5 2 2 2 9 3" xfId="11072" xr:uid="{56326A89-5B6F-4B82-809F-59B42B30B336}"/>
    <cellStyle name="Normal 5 2 2 3" xfId="417" xr:uid="{00000000-0005-0000-0000-000096170000}"/>
    <cellStyle name="Normal 5 2 2 3 10" xfId="9015" xr:uid="{4F99D44E-3838-4BD6-961F-6C826E2AD196}"/>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77912009-A905-4644-81D0-0CD2FAC9EE39}"/>
    <cellStyle name="Normal 5 2 2 3 2 2 2 2 3" xfId="11575" xr:uid="{E5027DF0-71A2-447A-8144-9443134EAD09}"/>
    <cellStyle name="Normal 5 2 2 3 2 2 2 3" xfId="5206" xr:uid="{00000000-0005-0000-0000-00009C170000}"/>
    <cellStyle name="Normal 5 2 2 3 2 2 2 3 2" xfId="13648" xr:uid="{B127A82E-0C0C-4BCC-939B-E5F4E45D5D30}"/>
    <cellStyle name="Normal 5 2 2 3 2 2 2 4" xfId="9430" xr:uid="{AF2447BA-E599-4587-A7B1-D6DB31970CFE}"/>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1E0FF9B7-D503-400E-8F73-8FEB65096C05}"/>
    <cellStyle name="Normal 5 2 2 3 2 2 3 2 3" xfId="11988" xr:uid="{C2AB6870-DBE6-49A7-8DED-FBB490E7B4F7}"/>
    <cellStyle name="Normal 5 2 2 3 2 2 3 3" xfId="5619" xr:uid="{00000000-0005-0000-0000-0000A0170000}"/>
    <cellStyle name="Normal 5 2 2 3 2 2 3 3 2" xfId="14061" xr:uid="{BC94453F-9BA2-494F-90C7-752320B94590}"/>
    <cellStyle name="Normal 5 2 2 3 2 2 3 4" xfId="9843" xr:uid="{D99870DD-8F04-4A70-8E72-E16EC2A5E38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81816D65-97CB-463B-BC94-DAA3F0B8DD94}"/>
    <cellStyle name="Normal 5 2 2 3 2 2 4 2 3" xfId="12401" xr:uid="{0B2296D5-BC15-4E29-96F2-6BAC252D4591}"/>
    <cellStyle name="Normal 5 2 2 3 2 2 4 3" xfId="6032" xr:uid="{00000000-0005-0000-0000-0000A4170000}"/>
    <cellStyle name="Normal 5 2 2 3 2 2 4 3 2" xfId="14474" xr:uid="{30560840-82D3-47BE-9F21-F80D0879004C}"/>
    <cellStyle name="Normal 5 2 2 3 2 2 4 4" xfId="10256" xr:uid="{B4108DFD-B5CF-46DB-95DB-2F2F88BD5799}"/>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313B1599-BC03-4AD0-ADBC-7065B32F7A5C}"/>
    <cellStyle name="Normal 5 2 2 3 2 2 5 2 3" xfId="12814" xr:uid="{10B5BDA7-A290-44A9-9578-47876F8EE378}"/>
    <cellStyle name="Normal 5 2 2 3 2 2 5 3" xfId="6445" xr:uid="{00000000-0005-0000-0000-0000A8170000}"/>
    <cellStyle name="Normal 5 2 2 3 2 2 5 3 2" xfId="14887" xr:uid="{D6659DDF-10D5-491E-988D-318FB5C379A2}"/>
    <cellStyle name="Normal 5 2 2 3 2 2 5 4" xfId="10669" xr:uid="{FACD8334-F152-4D25-B1AE-BAAC2CD8C1F1}"/>
    <cellStyle name="Normal 5 2 2 3 2 2 6" xfId="2574" xr:uid="{00000000-0005-0000-0000-0000A9170000}"/>
    <cellStyle name="Normal 5 2 2 3 2 2 6 2" xfId="6858" xr:uid="{00000000-0005-0000-0000-0000AA170000}"/>
    <cellStyle name="Normal 5 2 2 3 2 2 6 2 2" xfId="15300" xr:uid="{B388E7DB-1AC2-4C39-96A2-4610FC1B3BC2}"/>
    <cellStyle name="Normal 5 2 2 3 2 2 6 3" xfId="11082" xr:uid="{D3FCAE3A-137C-4B0D-B663-5279B65CED88}"/>
    <cellStyle name="Normal 5 2 2 3 2 2 7" xfId="4793" xr:uid="{00000000-0005-0000-0000-0000AB170000}"/>
    <cellStyle name="Normal 5 2 2 3 2 2 7 2" xfId="13235" xr:uid="{780A277D-62C4-4DAF-85B7-9525270FCCF4}"/>
    <cellStyle name="Normal 5 2 2 3 2 2 8" xfId="9017" xr:uid="{9B1B844D-0605-4919-B824-DC1E83D12A6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FFFD6FE5-0AC8-443C-B4F7-B01F515770A1}"/>
    <cellStyle name="Normal 5 2 2 3 2 3 2 3" xfId="11574" xr:uid="{5F81DF3B-E159-477C-A7B7-51F0F98AD8A2}"/>
    <cellStyle name="Normal 5 2 2 3 2 3 3" xfId="5205" xr:uid="{00000000-0005-0000-0000-0000AF170000}"/>
    <cellStyle name="Normal 5 2 2 3 2 3 3 2" xfId="13647" xr:uid="{B1AC9C48-9D5D-4E95-B183-A13BDDEED419}"/>
    <cellStyle name="Normal 5 2 2 3 2 3 4" xfId="9429" xr:uid="{34547E03-31D2-4F09-AE1B-B0F698368FF2}"/>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D4F5A17B-3FB0-42A6-8A57-0FA4EC066DAD}"/>
    <cellStyle name="Normal 5 2 2 3 2 4 2 3" xfId="11987" xr:uid="{FEB8A802-4468-41C1-B931-7C2BC57D1648}"/>
    <cellStyle name="Normal 5 2 2 3 2 4 3" xfId="5618" xr:uid="{00000000-0005-0000-0000-0000B3170000}"/>
    <cellStyle name="Normal 5 2 2 3 2 4 3 2" xfId="14060" xr:uid="{E6428160-B59D-4AA5-A5A0-F9CD7DD800FC}"/>
    <cellStyle name="Normal 5 2 2 3 2 4 4" xfId="9842" xr:uid="{2EA9AE9F-4C25-4064-9A61-02B5D223AD99}"/>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12DF3DDB-B75A-4137-B9C5-234A1AFBBD98}"/>
    <cellStyle name="Normal 5 2 2 3 2 5 2 3" xfId="12400" xr:uid="{C7B9E9EA-FA92-4CBD-92A0-FF4A546AF487}"/>
    <cellStyle name="Normal 5 2 2 3 2 5 3" xfId="6031" xr:uid="{00000000-0005-0000-0000-0000B7170000}"/>
    <cellStyle name="Normal 5 2 2 3 2 5 3 2" xfId="14473" xr:uid="{807BAF3D-8A5F-45A5-A689-5071A08DA2E0}"/>
    <cellStyle name="Normal 5 2 2 3 2 5 4" xfId="10255" xr:uid="{6349F318-3C3A-4C15-88F7-6D1F7F3F6959}"/>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958D0CD7-6F13-4AC1-900D-8BAF996BBAD4}"/>
    <cellStyle name="Normal 5 2 2 3 2 6 2 3" xfId="12813" xr:uid="{C980B043-561B-4FEA-A848-26DE0D9BB113}"/>
    <cellStyle name="Normal 5 2 2 3 2 6 3" xfId="6444" xr:uid="{00000000-0005-0000-0000-0000BB170000}"/>
    <cellStyle name="Normal 5 2 2 3 2 6 3 2" xfId="14886" xr:uid="{2770EE41-F784-49C1-BE7E-4C5A5F6A285A}"/>
    <cellStyle name="Normal 5 2 2 3 2 6 4" xfId="10668" xr:uid="{018B918C-E6BC-4207-ABDC-AA83F01320D1}"/>
    <cellStyle name="Normal 5 2 2 3 2 7" xfId="2573" xr:uid="{00000000-0005-0000-0000-0000BC170000}"/>
    <cellStyle name="Normal 5 2 2 3 2 7 2" xfId="6857" xr:uid="{00000000-0005-0000-0000-0000BD170000}"/>
    <cellStyle name="Normal 5 2 2 3 2 7 2 2" xfId="15299" xr:uid="{FCDFCD01-BD50-4598-9CB9-CF83A984DE16}"/>
    <cellStyle name="Normal 5 2 2 3 2 7 3" xfId="11081" xr:uid="{EC57257D-1FC0-4C79-BEAD-2F192691FF05}"/>
    <cellStyle name="Normal 5 2 2 3 2 8" xfId="4792" xr:uid="{00000000-0005-0000-0000-0000BE170000}"/>
    <cellStyle name="Normal 5 2 2 3 2 8 2" xfId="13234" xr:uid="{11ED5A44-E364-41F9-B7B6-D8A4E2097E98}"/>
    <cellStyle name="Normal 5 2 2 3 2 9" xfId="9016" xr:uid="{85FA6493-67FF-4C93-AC76-1726E1250FFA}"/>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CF618B1B-C82E-4030-BF82-371C344FFC3F}"/>
    <cellStyle name="Normal 5 2 2 3 3 2 2 3" xfId="11576" xr:uid="{152809B8-A275-4A21-AAD2-6F097629FB54}"/>
    <cellStyle name="Normal 5 2 2 3 3 2 3" xfId="5207" xr:uid="{00000000-0005-0000-0000-0000C3170000}"/>
    <cellStyle name="Normal 5 2 2 3 3 2 3 2" xfId="13649" xr:uid="{99107342-A0F2-44D8-A50A-7AED52FB9F0A}"/>
    <cellStyle name="Normal 5 2 2 3 3 2 4" xfId="9431" xr:uid="{AB64338D-44FE-4B41-8581-E52DFEBFAF5E}"/>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02DCB281-FCCC-44D6-A1F0-FE2C6997F65E}"/>
    <cellStyle name="Normal 5 2 2 3 3 3 2 3" xfId="11989" xr:uid="{EBEB4AD2-B8EB-416C-8486-C15AA9801BF7}"/>
    <cellStyle name="Normal 5 2 2 3 3 3 3" xfId="5620" xr:uid="{00000000-0005-0000-0000-0000C7170000}"/>
    <cellStyle name="Normal 5 2 2 3 3 3 3 2" xfId="14062" xr:uid="{B1A30E1E-3B00-4B83-AE3B-0B713AEA1287}"/>
    <cellStyle name="Normal 5 2 2 3 3 3 4" xfId="9844" xr:uid="{08A220A4-47AF-4260-B799-C25F2007B299}"/>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77552E6B-B10F-4DE5-BAA3-E442EE384861}"/>
    <cellStyle name="Normal 5 2 2 3 3 4 2 3" xfId="12402" xr:uid="{BA17404F-B0EE-4EC0-8759-247C525553C0}"/>
    <cellStyle name="Normal 5 2 2 3 3 4 3" xfId="6033" xr:uid="{00000000-0005-0000-0000-0000CB170000}"/>
    <cellStyle name="Normal 5 2 2 3 3 4 3 2" xfId="14475" xr:uid="{DAB63652-08D6-4C4C-9851-0D26DE830B6F}"/>
    <cellStyle name="Normal 5 2 2 3 3 4 4" xfId="10257" xr:uid="{2A781854-B64E-44A5-8FCA-D8E69C3626D9}"/>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4B0A9BB0-7F29-40B9-8ED6-4A6560305C86}"/>
    <cellStyle name="Normal 5 2 2 3 3 5 2 3" xfId="12815" xr:uid="{171587B7-0202-4E90-8063-7763DE996354}"/>
    <cellStyle name="Normal 5 2 2 3 3 5 3" xfId="6446" xr:uid="{00000000-0005-0000-0000-0000CF170000}"/>
    <cellStyle name="Normal 5 2 2 3 3 5 3 2" xfId="14888" xr:uid="{DCA6198B-DCA8-4D40-836D-AAD89F1DF733}"/>
    <cellStyle name="Normal 5 2 2 3 3 5 4" xfId="10670" xr:uid="{1B1764F5-E3A0-478F-A341-5B4CBE973B5D}"/>
    <cellStyle name="Normal 5 2 2 3 3 6" xfId="2575" xr:uid="{00000000-0005-0000-0000-0000D0170000}"/>
    <cellStyle name="Normal 5 2 2 3 3 6 2" xfId="6859" xr:uid="{00000000-0005-0000-0000-0000D1170000}"/>
    <cellStyle name="Normal 5 2 2 3 3 6 2 2" xfId="15301" xr:uid="{6B7DCE94-59C3-4D23-9BE1-D1B9E015F774}"/>
    <cellStyle name="Normal 5 2 2 3 3 6 3" xfId="11083" xr:uid="{22D1EC24-7648-4751-A68B-1FD8CEF07DB0}"/>
    <cellStyle name="Normal 5 2 2 3 3 7" xfId="4794" xr:uid="{00000000-0005-0000-0000-0000D2170000}"/>
    <cellStyle name="Normal 5 2 2 3 3 7 2" xfId="13236" xr:uid="{1BBF736E-DEA1-4D97-8A65-018CCE36D53F}"/>
    <cellStyle name="Normal 5 2 2 3 3 8" xfId="9018" xr:uid="{DF7F3F68-3A38-478B-A4F7-E59F4AC61EA0}"/>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7DA4BA65-3C6F-4EF6-9000-52DB1779C465}"/>
    <cellStyle name="Normal 5 2 2 3 4 2 3" xfId="11573" xr:uid="{D4D9BFA9-3EA7-4997-AF34-FDEF611C458E}"/>
    <cellStyle name="Normal 5 2 2 3 4 3" xfId="5204" xr:uid="{00000000-0005-0000-0000-0000D6170000}"/>
    <cellStyle name="Normal 5 2 2 3 4 3 2" xfId="13646" xr:uid="{3EDD4C6B-3813-462E-8969-7156D649AC77}"/>
    <cellStyle name="Normal 5 2 2 3 4 4" xfId="9428" xr:uid="{240AEB59-169C-434F-ABE9-3F999EE03CD4}"/>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F9040DF4-EBEE-473D-B314-054C99F33357}"/>
    <cellStyle name="Normal 5 2 2 3 5 2 3" xfId="11986" xr:uid="{AF2DF591-A25E-4B93-A721-F9088A97EEA1}"/>
    <cellStyle name="Normal 5 2 2 3 5 3" xfId="5617" xr:uid="{00000000-0005-0000-0000-0000DA170000}"/>
    <cellStyle name="Normal 5 2 2 3 5 3 2" xfId="14059" xr:uid="{679142C5-F107-4F9C-A9F0-6D1BEA53DE7B}"/>
    <cellStyle name="Normal 5 2 2 3 5 4" xfId="9841" xr:uid="{88FF75E5-3F8C-4535-BF50-64D9C935BFE8}"/>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C65D934B-5828-44AD-AB88-434A58756DE8}"/>
    <cellStyle name="Normal 5 2 2 3 6 2 3" xfId="12399" xr:uid="{68C848D8-D4EC-4767-9602-3E497F9999E2}"/>
    <cellStyle name="Normal 5 2 2 3 6 3" xfId="6030" xr:uid="{00000000-0005-0000-0000-0000DE170000}"/>
    <cellStyle name="Normal 5 2 2 3 6 3 2" xfId="14472" xr:uid="{A153995F-3B12-49DD-BB1B-292199EF59C7}"/>
    <cellStyle name="Normal 5 2 2 3 6 4" xfId="10254" xr:uid="{6B9BB990-7250-45CF-ADED-7F23AA995C0E}"/>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7F188B33-D3BF-4EB6-BDAB-8F30B072BB5C}"/>
    <cellStyle name="Normal 5 2 2 3 7 2 3" xfId="12812" xr:uid="{D92BF789-6CF2-4223-99BE-1061A943D14A}"/>
    <cellStyle name="Normal 5 2 2 3 7 3" xfId="6443" xr:uid="{00000000-0005-0000-0000-0000E2170000}"/>
    <cellStyle name="Normal 5 2 2 3 7 3 2" xfId="14885" xr:uid="{701BE48E-8AC4-43FE-80D1-296AC2080961}"/>
    <cellStyle name="Normal 5 2 2 3 7 4" xfId="10667" xr:uid="{807FCE54-4198-4343-9FF7-D90FB27DFC3F}"/>
    <cellStyle name="Normal 5 2 2 3 8" xfId="2572" xr:uid="{00000000-0005-0000-0000-0000E3170000}"/>
    <cellStyle name="Normal 5 2 2 3 8 2" xfId="6856" xr:uid="{00000000-0005-0000-0000-0000E4170000}"/>
    <cellStyle name="Normal 5 2 2 3 8 2 2" xfId="15298" xr:uid="{AF63B1E2-DF20-4BA1-B0E3-F9D6C25A1BA1}"/>
    <cellStyle name="Normal 5 2 2 3 8 3" xfId="11080" xr:uid="{3452F3FC-0129-4FFB-ACC8-ED672A1FA8F6}"/>
    <cellStyle name="Normal 5 2 2 3 9" xfId="4791" xr:uid="{00000000-0005-0000-0000-0000E5170000}"/>
    <cellStyle name="Normal 5 2 2 3 9 2" xfId="13233" xr:uid="{8094F5DD-0041-4041-84EC-E0F289D48ADA}"/>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895E8972-C882-47CC-A32F-6AAC7BC81617}"/>
    <cellStyle name="Normal 5 2 2 4 2 2 2 3" xfId="11578" xr:uid="{92B13CFD-294F-4EE6-B2ED-76C5DBD2A121}"/>
    <cellStyle name="Normal 5 2 2 4 2 2 3" xfId="5209" xr:uid="{00000000-0005-0000-0000-0000EB170000}"/>
    <cellStyle name="Normal 5 2 2 4 2 2 3 2" xfId="13651" xr:uid="{A309D273-7603-4C5B-8EFE-1A6B0F4F7FB8}"/>
    <cellStyle name="Normal 5 2 2 4 2 2 4" xfId="9433" xr:uid="{8C15FA5B-8C0B-40C4-AD98-8361755DBEA5}"/>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88FB4154-4AC5-49C9-88F1-22FC295E19E5}"/>
    <cellStyle name="Normal 5 2 2 4 2 3 2 3" xfId="11991" xr:uid="{90D1A3E8-9F7A-4590-BEFA-F60BA771F050}"/>
    <cellStyle name="Normal 5 2 2 4 2 3 3" xfId="5622" xr:uid="{00000000-0005-0000-0000-0000EF170000}"/>
    <cellStyle name="Normal 5 2 2 4 2 3 3 2" xfId="14064" xr:uid="{D6D64D75-DEA2-4F36-A4C9-83F58FC0A463}"/>
    <cellStyle name="Normal 5 2 2 4 2 3 4" xfId="9846" xr:uid="{6057CA65-D7F3-4CA5-9C0F-82AEFE990DC4}"/>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97F9B965-3AC9-4CAE-93B1-D83FB61F8C5C}"/>
    <cellStyle name="Normal 5 2 2 4 2 4 2 3" xfId="12404" xr:uid="{E6FBADAF-EBC8-45ED-9F44-CF0A1B1BBB87}"/>
    <cellStyle name="Normal 5 2 2 4 2 4 3" xfId="6035" xr:uid="{00000000-0005-0000-0000-0000F3170000}"/>
    <cellStyle name="Normal 5 2 2 4 2 4 3 2" xfId="14477" xr:uid="{B8371FEC-132C-4AEF-8B7B-FF808FFE0796}"/>
    <cellStyle name="Normal 5 2 2 4 2 4 4" xfId="10259" xr:uid="{5275EB51-5BEF-4977-988E-D04367521B9D}"/>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C2641142-E5F8-4D86-8128-B40BA18966E6}"/>
    <cellStyle name="Normal 5 2 2 4 2 5 2 3" xfId="12817" xr:uid="{2FAFC5EB-57EC-493A-B753-093CDF1A51E6}"/>
    <cellStyle name="Normal 5 2 2 4 2 5 3" xfId="6448" xr:uid="{00000000-0005-0000-0000-0000F7170000}"/>
    <cellStyle name="Normal 5 2 2 4 2 5 3 2" xfId="14890" xr:uid="{51FFED05-CA90-4E07-BFD5-B7A73082591C}"/>
    <cellStyle name="Normal 5 2 2 4 2 5 4" xfId="10672" xr:uid="{92243E23-E318-47F4-AFA5-60119178E6B2}"/>
    <cellStyle name="Normal 5 2 2 4 2 6" xfId="2577" xr:uid="{00000000-0005-0000-0000-0000F8170000}"/>
    <cellStyle name="Normal 5 2 2 4 2 6 2" xfId="6861" xr:uid="{00000000-0005-0000-0000-0000F9170000}"/>
    <cellStyle name="Normal 5 2 2 4 2 6 2 2" xfId="15303" xr:uid="{60816755-C828-4E85-8478-DC3909E0D0AB}"/>
    <cellStyle name="Normal 5 2 2 4 2 6 3" xfId="11085" xr:uid="{13E907E5-C710-4045-BF2F-97A7EAE63068}"/>
    <cellStyle name="Normal 5 2 2 4 2 7" xfId="4796" xr:uid="{00000000-0005-0000-0000-0000FA170000}"/>
    <cellStyle name="Normal 5 2 2 4 2 7 2" xfId="13238" xr:uid="{21B34231-AD75-4DBF-9D2D-970AE4599C3A}"/>
    <cellStyle name="Normal 5 2 2 4 2 8" xfId="9020" xr:uid="{A9EBEB2E-A372-4D24-B76A-839BE476D163}"/>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9FEEB48C-5E38-4082-B623-0B92CFAAB62C}"/>
    <cellStyle name="Normal 5 2 2 4 3 2 3" xfId="11577" xr:uid="{EF902D15-5571-4478-9F2A-02D0E99BD66A}"/>
    <cellStyle name="Normal 5 2 2 4 3 3" xfId="5208" xr:uid="{00000000-0005-0000-0000-0000FE170000}"/>
    <cellStyle name="Normal 5 2 2 4 3 3 2" xfId="13650" xr:uid="{D614495B-1E72-4A71-A6CF-AB70D9FEF6CF}"/>
    <cellStyle name="Normal 5 2 2 4 3 4" xfId="9432" xr:uid="{3384BF54-027C-4347-B64C-D18FB0E67B0D}"/>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5B70EBBD-9587-4644-ADB9-44F059F96A1B}"/>
    <cellStyle name="Normal 5 2 2 4 4 2 3" xfId="11990" xr:uid="{3EB766EB-D4E1-43FB-AF8B-C0C1C96BE100}"/>
    <cellStyle name="Normal 5 2 2 4 4 3" xfId="5621" xr:uid="{00000000-0005-0000-0000-000002180000}"/>
    <cellStyle name="Normal 5 2 2 4 4 3 2" xfId="14063" xr:uid="{73B0E91C-CF00-4D33-94EA-ADFFC368A190}"/>
    <cellStyle name="Normal 5 2 2 4 4 4" xfId="9845" xr:uid="{EAD94EC6-5EF2-47EF-86BC-F3536631F28F}"/>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1AF9A12F-FEF7-4EC2-843A-025D7C008216}"/>
    <cellStyle name="Normal 5 2 2 4 5 2 3" xfId="12403" xr:uid="{F3883619-43D9-41E9-A58C-BDFFBF8DFC0D}"/>
    <cellStyle name="Normal 5 2 2 4 5 3" xfId="6034" xr:uid="{00000000-0005-0000-0000-000006180000}"/>
    <cellStyle name="Normal 5 2 2 4 5 3 2" xfId="14476" xr:uid="{A1004147-1DAB-47DE-95BC-08C4057776AA}"/>
    <cellStyle name="Normal 5 2 2 4 5 4" xfId="10258" xr:uid="{134719AF-A0E2-4D74-9BB3-B7F115BABE6B}"/>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333E92A0-7945-4B9E-A586-AC25D97358D0}"/>
    <cellStyle name="Normal 5 2 2 4 6 2 3" xfId="12816" xr:uid="{17051F78-7346-405C-9262-40D84AB176F8}"/>
    <cellStyle name="Normal 5 2 2 4 6 3" xfId="6447" xr:uid="{00000000-0005-0000-0000-00000A180000}"/>
    <cellStyle name="Normal 5 2 2 4 6 3 2" xfId="14889" xr:uid="{FD0CA3B6-502C-42E4-9CED-65C6027A1A21}"/>
    <cellStyle name="Normal 5 2 2 4 6 4" xfId="10671" xr:uid="{C3203CBB-3E66-4B22-A253-60799D50447E}"/>
    <cellStyle name="Normal 5 2 2 4 7" xfId="2576" xr:uid="{00000000-0005-0000-0000-00000B180000}"/>
    <cellStyle name="Normal 5 2 2 4 7 2" xfId="6860" xr:uid="{00000000-0005-0000-0000-00000C180000}"/>
    <cellStyle name="Normal 5 2 2 4 7 2 2" xfId="15302" xr:uid="{8B88FC9A-534C-45DB-8F9F-97E36792F2AE}"/>
    <cellStyle name="Normal 5 2 2 4 7 3" xfId="11084" xr:uid="{DE5CD3E6-E70E-4486-AA22-B6D416C6A0E2}"/>
    <cellStyle name="Normal 5 2 2 4 8" xfId="4795" xr:uid="{00000000-0005-0000-0000-00000D180000}"/>
    <cellStyle name="Normal 5 2 2 4 8 2" xfId="13237" xr:uid="{5B543783-9E73-4C0C-90F0-1C55FA22046D}"/>
    <cellStyle name="Normal 5 2 2 4 9" xfId="9019" xr:uid="{8D9D6564-46A4-4CC8-A979-31744D0A4E55}"/>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46AE8477-7228-4660-9E3A-64A1817C8E53}"/>
    <cellStyle name="Normal 5 2 2 5 2 2 3" xfId="11579" xr:uid="{97E67868-21E6-4DF8-84BD-9C8F09376594}"/>
    <cellStyle name="Normal 5 2 2 5 2 3" xfId="5210" xr:uid="{00000000-0005-0000-0000-000012180000}"/>
    <cellStyle name="Normal 5 2 2 5 2 3 2" xfId="13652" xr:uid="{E0D73313-9791-40E7-BD2A-C9286AD08524}"/>
    <cellStyle name="Normal 5 2 2 5 2 4" xfId="9434" xr:uid="{B4781F03-1A6D-4CEC-A391-0B46286C4823}"/>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09972EB5-887F-4C43-8014-B7F63AA7EDB0}"/>
    <cellStyle name="Normal 5 2 2 5 3 2 3" xfId="11992" xr:uid="{7919F1EF-2437-4DCF-A968-49B896E46CDA}"/>
    <cellStyle name="Normal 5 2 2 5 3 3" xfId="5623" xr:uid="{00000000-0005-0000-0000-000016180000}"/>
    <cellStyle name="Normal 5 2 2 5 3 3 2" xfId="14065" xr:uid="{BEAFCC52-94E1-4603-8D90-5B0594DA4BED}"/>
    <cellStyle name="Normal 5 2 2 5 3 4" xfId="9847" xr:uid="{7AF079D3-1955-471D-9AF4-D542E372BB66}"/>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BD3D548B-7096-4605-99C7-1796E7029013}"/>
    <cellStyle name="Normal 5 2 2 5 4 2 3" xfId="12405" xr:uid="{1E6D48EA-3AC2-40BB-A09C-69DFC4886155}"/>
    <cellStyle name="Normal 5 2 2 5 4 3" xfId="6036" xr:uid="{00000000-0005-0000-0000-00001A180000}"/>
    <cellStyle name="Normal 5 2 2 5 4 3 2" xfId="14478" xr:uid="{77C8037B-4DD3-4334-BDD2-998841308B44}"/>
    <cellStyle name="Normal 5 2 2 5 4 4" xfId="10260" xr:uid="{2C6A967B-DCF0-4802-B0D0-D72447E1D18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D2471F1E-5B09-407C-9C64-5860BAECA2C3}"/>
    <cellStyle name="Normal 5 2 2 5 5 2 3" xfId="12818" xr:uid="{AAED002F-198E-421E-AEF4-DCDA91D07838}"/>
    <cellStyle name="Normal 5 2 2 5 5 3" xfId="6449" xr:uid="{00000000-0005-0000-0000-00001E180000}"/>
    <cellStyle name="Normal 5 2 2 5 5 3 2" xfId="14891" xr:uid="{2EBEFE55-6748-4741-BC78-AA97B65D3AD5}"/>
    <cellStyle name="Normal 5 2 2 5 5 4" xfId="10673" xr:uid="{AE270FD2-2F99-4730-B28B-BEC4D1AA1190}"/>
    <cellStyle name="Normal 5 2 2 5 6" xfId="2578" xr:uid="{00000000-0005-0000-0000-00001F180000}"/>
    <cellStyle name="Normal 5 2 2 5 6 2" xfId="6862" xr:uid="{00000000-0005-0000-0000-000020180000}"/>
    <cellStyle name="Normal 5 2 2 5 6 2 2" xfId="15304" xr:uid="{4451B7A6-191D-4CA6-99FF-1C320476C89C}"/>
    <cellStyle name="Normal 5 2 2 5 6 3" xfId="11086" xr:uid="{9F27CFDA-1CED-48A2-AB6B-F29DC8A51CEB}"/>
    <cellStyle name="Normal 5 2 2 5 7" xfId="4797" xr:uid="{00000000-0005-0000-0000-000021180000}"/>
    <cellStyle name="Normal 5 2 2 5 7 2" xfId="13239" xr:uid="{F2D6DEE2-C30F-4DD0-B81C-0C5D12E9D0AA}"/>
    <cellStyle name="Normal 5 2 2 5 8" xfId="9021" xr:uid="{4980A644-9351-4916-A1DA-CF65C4AE4111}"/>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00FE3A21-60FC-4459-8666-93369AEEFE0D}"/>
    <cellStyle name="Normal 5 2 2 6 2 3" xfId="11564" xr:uid="{B7F3A886-F3C8-4B10-BFA4-C85711980EED}"/>
    <cellStyle name="Normal 5 2 2 6 3" xfId="5195" xr:uid="{00000000-0005-0000-0000-000025180000}"/>
    <cellStyle name="Normal 5 2 2 6 3 2" xfId="13637" xr:uid="{5CB236A4-2068-4A99-9A0B-3B5D1EBBAF90}"/>
    <cellStyle name="Normal 5 2 2 6 4" xfId="9419" xr:uid="{9FCA552B-F9F8-4616-899A-D03EB04A6A20}"/>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DDFEA5F4-9DC0-44EB-9970-6DFEE0ABD22E}"/>
    <cellStyle name="Normal 5 2 2 7 2 3" xfId="11977" xr:uid="{374DB110-25B6-4424-B262-12C663A273E7}"/>
    <cellStyle name="Normal 5 2 2 7 3" xfId="5608" xr:uid="{00000000-0005-0000-0000-000029180000}"/>
    <cellStyle name="Normal 5 2 2 7 3 2" xfId="14050" xr:uid="{AF08A60D-38A2-46F4-9E5C-7D1D269187DC}"/>
    <cellStyle name="Normal 5 2 2 7 4" xfId="9832" xr:uid="{1CE08BE0-5328-49C2-AF16-AAE27DFD6899}"/>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EA8046AF-A44A-4E6F-934D-0D7117B8D3A3}"/>
    <cellStyle name="Normal 5 2 2 8 2 3" xfId="12390" xr:uid="{B50A788C-5534-414C-8019-7EBACC510F42}"/>
    <cellStyle name="Normal 5 2 2 8 3" xfId="6021" xr:uid="{00000000-0005-0000-0000-00002D180000}"/>
    <cellStyle name="Normal 5 2 2 8 3 2" xfId="14463" xr:uid="{012FBB32-222B-42BF-9FBB-E8C470EA7D01}"/>
    <cellStyle name="Normal 5 2 2 8 4" xfId="10245" xr:uid="{7FD1C18E-FE6A-4D88-88C5-26DF9CDC8965}"/>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DEE6D601-2DB1-43C2-8093-9285428DAA07}"/>
    <cellStyle name="Normal 5 2 2 9 2 3" xfId="12803" xr:uid="{5DA6220A-7526-4E83-BA2E-6EEE2930E20C}"/>
    <cellStyle name="Normal 5 2 2 9 3" xfId="6434" xr:uid="{00000000-0005-0000-0000-000031180000}"/>
    <cellStyle name="Normal 5 2 2 9 3 2" xfId="14876" xr:uid="{71BFAE0F-FE60-4710-81BE-5F8DB45FD6D4}"/>
    <cellStyle name="Normal 5 2 2 9 4" xfId="10658" xr:uid="{AFB27000-5258-4A72-908C-A00DAD3040F9}"/>
    <cellStyle name="Normal 5 2 3" xfId="424" xr:uid="{00000000-0005-0000-0000-000032180000}"/>
    <cellStyle name="Normal 5 2 3 10" xfId="4798" xr:uid="{00000000-0005-0000-0000-000033180000}"/>
    <cellStyle name="Normal 5 2 3 10 2" xfId="13240" xr:uid="{553FD776-0A82-4AD8-BE41-7C48D5940660}"/>
    <cellStyle name="Normal 5 2 3 11" xfId="9022" xr:uid="{B7505D5D-4DC2-4F0F-A0AA-3C1B2116C18F}"/>
    <cellStyle name="Normal 5 2 3 2" xfId="425" xr:uid="{00000000-0005-0000-0000-000034180000}"/>
    <cellStyle name="Normal 5 2 3 2 10" xfId="9023" xr:uid="{3CC12C93-B26F-4B3D-A97F-C2B04D05AB89}"/>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A508B358-6278-41E6-A2BF-CF6D4E9111CD}"/>
    <cellStyle name="Normal 5 2 3 2 2 2 2 2 3" xfId="11583" xr:uid="{15B4BDB2-C27E-4D07-BADD-6546C8747CBA}"/>
    <cellStyle name="Normal 5 2 3 2 2 2 2 3" xfId="5214" xr:uid="{00000000-0005-0000-0000-00003A180000}"/>
    <cellStyle name="Normal 5 2 3 2 2 2 2 3 2" xfId="13656" xr:uid="{C33583FC-5CED-4698-A1A3-1E02FEAE0615}"/>
    <cellStyle name="Normal 5 2 3 2 2 2 2 4" xfId="9438" xr:uid="{413CA4D0-4B91-4AF8-A1D6-6C22A2D17C14}"/>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77E7EF8E-4E49-4347-A48A-8CEC0246AAAD}"/>
    <cellStyle name="Normal 5 2 3 2 2 2 3 2 3" xfId="11996" xr:uid="{F7FAF192-7065-41D5-B2BB-19CB937C24B9}"/>
    <cellStyle name="Normal 5 2 3 2 2 2 3 3" xfId="5627" xr:uid="{00000000-0005-0000-0000-00003E180000}"/>
    <cellStyle name="Normal 5 2 3 2 2 2 3 3 2" xfId="14069" xr:uid="{59DB5FC5-3D8F-41E1-B8A9-C49B74DB3B55}"/>
    <cellStyle name="Normal 5 2 3 2 2 2 3 4" xfId="9851" xr:uid="{008D075A-06B4-408D-BCBD-07275440FABC}"/>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DAADA0BC-C826-41C7-ACD0-80915049E462}"/>
    <cellStyle name="Normal 5 2 3 2 2 2 4 2 3" xfId="12409" xr:uid="{EB7074FF-0834-4535-A14B-C25834B0D232}"/>
    <cellStyle name="Normal 5 2 3 2 2 2 4 3" xfId="6040" xr:uid="{00000000-0005-0000-0000-000042180000}"/>
    <cellStyle name="Normal 5 2 3 2 2 2 4 3 2" xfId="14482" xr:uid="{AFDF1F47-B36A-4188-A9CD-A262ECAEDA9B}"/>
    <cellStyle name="Normal 5 2 3 2 2 2 4 4" xfId="10264" xr:uid="{B994A17D-0ABA-483A-866F-43524BDD0461}"/>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D34F37F1-0C0A-4FB5-8C19-AB4BBB5906DF}"/>
    <cellStyle name="Normal 5 2 3 2 2 2 5 2 3" xfId="12822" xr:uid="{F7785B5B-5492-43E1-9FEB-168EA14D7010}"/>
    <cellStyle name="Normal 5 2 3 2 2 2 5 3" xfId="6453" xr:uid="{00000000-0005-0000-0000-000046180000}"/>
    <cellStyle name="Normal 5 2 3 2 2 2 5 3 2" xfId="14895" xr:uid="{30DCD337-1435-46CD-920A-11AD2FCED883}"/>
    <cellStyle name="Normal 5 2 3 2 2 2 5 4" xfId="10677" xr:uid="{462D7E42-8F4D-4C4C-888D-4E47C46DAE3C}"/>
    <cellStyle name="Normal 5 2 3 2 2 2 6" xfId="2582" xr:uid="{00000000-0005-0000-0000-000047180000}"/>
    <cellStyle name="Normal 5 2 3 2 2 2 6 2" xfId="6866" xr:uid="{00000000-0005-0000-0000-000048180000}"/>
    <cellStyle name="Normal 5 2 3 2 2 2 6 2 2" xfId="15308" xr:uid="{6CD3F93E-9670-4579-A0CC-71062C66AA02}"/>
    <cellStyle name="Normal 5 2 3 2 2 2 6 3" xfId="11090" xr:uid="{1F10204D-2291-4558-AED5-23F8F713B3A9}"/>
    <cellStyle name="Normal 5 2 3 2 2 2 7" xfId="4801" xr:uid="{00000000-0005-0000-0000-000049180000}"/>
    <cellStyle name="Normal 5 2 3 2 2 2 7 2" xfId="13243" xr:uid="{DBA78855-0B7F-4325-9111-756505D82937}"/>
    <cellStyle name="Normal 5 2 3 2 2 2 8" xfId="9025" xr:uid="{907868C8-672E-4CE8-B0E7-6913B7228E96}"/>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4E37EE0C-04C3-4600-943E-3779AEC43881}"/>
    <cellStyle name="Normal 5 2 3 2 2 3 2 3" xfId="11582" xr:uid="{18365B78-2BB0-4EE7-ADA2-CE505989CBB7}"/>
    <cellStyle name="Normal 5 2 3 2 2 3 3" xfId="5213" xr:uid="{00000000-0005-0000-0000-00004D180000}"/>
    <cellStyle name="Normal 5 2 3 2 2 3 3 2" xfId="13655" xr:uid="{728E7070-CCAE-46DB-A30F-8CDBF445A613}"/>
    <cellStyle name="Normal 5 2 3 2 2 3 4" xfId="9437" xr:uid="{23D9BB4F-A475-4219-A6AE-0DA350E390E1}"/>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33769C53-F465-47A6-A31D-63DDDAFB33B4}"/>
    <cellStyle name="Normal 5 2 3 2 2 4 2 3" xfId="11995" xr:uid="{87ED16EF-C529-4D44-A833-E49021CF76E8}"/>
    <cellStyle name="Normal 5 2 3 2 2 4 3" xfId="5626" xr:uid="{00000000-0005-0000-0000-000051180000}"/>
    <cellStyle name="Normal 5 2 3 2 2 4 3 2" xfId="14068" xr:uid="{3F22CBE2-FD9F-4799-8251-E299BAC6C985}"/>
    <cellStyle name="Normal 5 2 3 2 2 4 4" xfId="9850" xr:uid="{BADD9AC4-2A86-4F98-BFEB-E9E69561E3BC}"/>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4C6BD124-C77F-4479-91C0-E1308A08BA3C}"/>
    <cellStyle name="Normal 5 2 3 2 2 5 2 3" xfId="12408" xr:uid="{03C2B4C6-8B96-40C8-A244-68B4237E13FA}"/>
    <cellStyle name="Normal 5 2 3 2 2 5 3" xfId="6039" xr:uid="{00000000-0005-0000-0000-000055180000}"/>
    <cellStyle name="Normal 5 2 3 2 2 5 3 2" xfId="14481" xr:uid="{F09CA0B4-366D-4D8D-87BA-D340032B9DE7}"/>
    <cellStyle name="Normal 5 2 3 2 2 5 4" xfId="10263" xr:uid="{7751787D-264B-4BCB-8DF0-F061D9F699EF}"/>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FE2DA31E-6EE3-44CD-957C-EDCE1D9F09CA}"/>
    <cellStyle name="Normal 5 2 3 2 2 6 2 3" xfId="12821" xr:uid="{2EA563E3-0CA9-4640-A4C9-6178961CF046}"/>
    <cellStyle name="Normal 5 2 3 2 2 6 3" xfId="6452" xr:uid="{00000000-0005-0000-0000-000059180000}"/>
    <cellStyle name="Normal 5 2 3 2 2 6 3 2" xfId="14894" xr:uid="{3202DD16-4D6D-44D7-AADD-A52EFDBCF332}"/>
    <cellStyle name="Normal 5 2 3 2 2 6 4" xfId="10676" xr:uid="{FC530FF6-A6B7-4CEE-9586-59CC021C367F}"/>
    <cellStyle name="Normal 5 2 3 2 2 7" xfId="2581" xr:uid="{00000000-0005-0000-0000-00005A180000}"/>
    <cellStyle name="Normal 5 2 3 2 2 7 2" xfId="6865" xr:uid="{00000000-0005-0000-0000-00005B180000}"/>
    <cellStyle name="Normal 5 2 3 2 2 7 2 2" xfId="15307" xr:uid="{07711B18-71F1-4D8D-A41B-44ED7E91AD28}"/>
    <cellStyle name="Normal 5 2 3 2 2 7 3" xfId="11089" xr:uid="{2BEDE0B1-8CF9-418D-BBEB-14F55ACCA78F}"/>
    <cellStyle name="Normal 5 2 3 2 2 8" xfId="4800" xr:uid="{00000000-0005-0000-0000-00005C180000}"/>
    <cellStyle name="Normal 5 2 3 2 2 8 2" xfId="13242" xr:uid="{D42852DE-A5CB-42CA-B166-0B63B9CCF38C}"/>
    <cellStyle name="Normal 5 2 3 2 2 9" xfId="9024" xr:uid="{1E928634-879D-46C6-944A-8DEB981F6D8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B86A5F74-4937-45F9-9714-55FF5B596E98}"/>
    <cellStyle name="Normal 5 2 3 2 3 2 2 3" xfId="11584" xr:uid="{F5A0D7B2-C22D-45AB-B520-9DF94D706CAC}"/>
    <cellStyle name="Normal 5 2 3 2 3 2 3" xfId="5215" xr:uid="{00000000-0005-0000-0000-000061180000}"/>
    <cellStyle name="Normal 5 2 3 2 3 2 3 2" xfId="13657" xr:uid="{560AA7EE-7916-43C7-9005-643741E9C6D1}"/>
    <cellStyle name="Normal 5 2 3 2 3 2 4" xfId="9439" xr:uid="{442C7B24-358B-442C-92E0-13050DD112F8}"/>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68C8CCE5-2657-485F-A04F-3C8FF49B204A}"/>
    <cellStyle name="Normal 5 2 3 2 3 3 2 3" xfId="11997" xr:uid="{417536C6-4837-4476-AD6C-EB7CB2D20BBA}"/>
    <cellStyle name="Normal 5 2 3 2 3 3 3" xfId="5628" xr:uid="{00000000-0005-0000-0000-000065180000}"/>
    <cellStyle name="Normal 5 2 3 2 3 3 3 2" xfId="14070" xr:uid="{F9777192-1F39-47A8-B8BB-B9137C2A2CC8}"/>
    <cellStyle name="Normal 5 2 3 2 3 3 4" xfId="9852" xr:uid="{126A5DF0-B8AE-4EFB-B47C-B165DE98B92E}"/>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A189DB09-E92E-473F-B681-F9F0A883CD37}"/>
    <cellStyle name="Normal 5 2 3 2 3 4 2 3" xfId="12410" xr:uid="{01F14F9F-69AD-4214-8BB9-8A2B21CA3164}"/>
    <cellStyle name="Normal 5 2 3 2 3 4 3" xfId="6041" xr:uid="{00000000-0005-0000-0000-000069180000}"/>
    <cellStyle name="Normal 5 2 3 2 3 4 3 2" xfId="14483" xr:uid="{C7817659-ED60-4940-B0B9-885C47670F50}"/>
    <cellStyle name="Normal 5 2 3 2 3 4 4" xfId="10265" xr:uid="{85B07C5B-05FF-461A-8AF2-236A5A2A43F4}"/>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FF41D24D-0FF0-4150-A82C-DEB2471C3072}"/>
    <cellStyle name="Normal 5 2 3 2 3 5 2 3" xfId="12823" xr:uid="{1724C662-DC4E-43A1-9F6C-EF072A3211EF}"/>
    <cellStyle name="Normal 5 2 3 2 3 5 3" xfId="6454" xr:uid="{00000000-0005-0000-0000-00006D180000}"/>
    <cellStyle name="Normal 5 2 3 2 3 5 3 2" xfId="14896" xr:uid="{7B60005E-4D16-4380-B625-BA1A9A980897}"/>
    <cellStyle name="Normal 5 2 3 2 3 5 4" xfId="10678" xr:uid="{7861B1AC-A2E5-49B0-B1AE-77B2CC3B43A3}"/>
    <cellStyle name="Normal 5 2 3 2 3 6" xfId="2583" xr:uid="{00000000-0005-0000-0000-00006E180000}"/>
    <cellStyle name="Normal 5 2 3 2 3 6 2" xfId="6867" xr:uid="{00000000-0005-0000-0000-00006F180000}"/>
    <cellStyle name="Normal 5 2 3 2 3 6 2 2" xfId="15309" xr:uid="{F6047F66-C15F-4C25-9D22-6DAA691F7106}"/>
    <cellStyle name="Normal 5 2 3 2 3 6 3" xfId="11091" xr:uid="{6FC85F21-1E31-407B-ABE4-FAA0F4CC6896}"/>
    <cellStyle name="Normal 5 2 3 2 3 7" xfId="4802" xr:uid="{00000000-0005-0000-0000-000070180000}"/>
    <cellStyle name="Normal 5 2 3 2 3 7 2" xfId="13244" xr:uid="{FBA6CBAC-8BBA-4DB3-BA5D-0DD040C69001}"/>
    <cellStyle name="Normal 5 2 3 2 3 8" xfId="9026" xr:uid="{43A1FE8A-C495-44D2-8A42-FCD7CDBA82A3}"/>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C5649C23-E657-48C7-AA8D-68A80FC89D5F}"/>
    <cellStyle name="Normal 5 2 3 2 4 2 3" xfId="11581" xr:uid="{4DC4A140-AD92-4B2E-BB71-C14B32E9ED36}"/>
    <cellStyle name="Normal 5 2 3 2 4 3" xfId="5212" xr:uid="{00000000-0005-0000-0000-000074180000}"/>
    <cellStyle name="Normal 5 2 3 2 4 3 2" xfId="13654" xr:uid="{E65402D2-3514-4178-8E9D-BEA467AF041C}"/>
    <cellStyle name="Normal 5 2 3 2 4 4" xfId="9436" xr:uid="{1C11EB24-D6F0-4C25-9F2C-558705436968}"/>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B6364ACE-CF6A-4DAE-B9E2-AEA92458E256}"/>
    <cellStyle name="Normal 5 2 3 2 5 2 3" xfId="11994" xr:uid="{BD1CE6B4-4DC9-4293-BBB0-78160BEAA5C0}"/>
    <cellStyle name="Normal 5 2 3 2 5 3" xfId="5625" xr:uid="{00000000-0005-0000-0000-000078180000}"/>
    <cellStyle name="Normal 5 2 3 2 5 3 2" xfId="14067" xr:uid="{7A940EF7-D72D-47F2-80B8-B4EE0A96B7C0}"/>
    <cellStyle name="Normal 5 2 3 2 5 4" xfId="9849" xr:uid="{88B0EE1C-7C24-486F-ADC8-00350EE3FEB0}"/>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80D94014-4724-4605-9EEE-39DC16AD0F0D}"/>
    <cellStyle name="Normal 5 2 3 2 6 2 3" xfId="12407" xr:uid="{429F8986-37F6-4F93-B9E0-15B24B32D71D}"/>
    <cellStyle name="Normal 5 2 3 2 6 3" xfId="6038" xr:uid="{00000000-0005-0000-0000-00007C180000}"/>
    <cellStyle name="Normal 5 2 3 2 6 3 2" xfId="14480" xr:uid="{224DB1AC-1A21-4C8B-A9E1-2C6C244F680F}"/>
    <cellStyle name="Normal 5 2 3 2 6 4" xfId="10262" xr:uid="{D685C26F-800E-4CAE-B551-75A5EB4F48D9}"/>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B9928077-44E7-4489-9834-47F89905F389}"/>
    <cellStyle name="Normal 5 2 3 2 7 2 3" xfId="12820" xr:uid="{1711F9E2-A64F-433C-BD13-F2689F5B6657}"/>
    <cellStyle name="Normal 5 2 3 2 7 3" xfId="6451" xr:uid="{00000000-0005-0000-0000-000080180000}"/>
    <cellStyle name="Normal 5 2 3 2 7 3 2" xfId="14893" xr:uid="{6FCCF884-DE3B-4BA4-869D-B36D191F844E}"/>
    <cellStyle name="Normal 5 2 3 2 7 4" xfId="10675" xr:uid="{5876F22C-EE70-4C32-824A-B322D09F8577}"/>
    <cellStyle name="Normal 5 2 3 2 8" xfId="2580" xr:uid="{00000000-0005-0000-0000-000081180000}"/>
    <cellStyle name="Normal 5 2 3 2 8 2" xfId="6864" xr:uid="{00000000-0005-0000-0000-000082180000}"/>
    <cellStyle name="Normal 5 2 3 2 8 2 2" xfId="15306" xr:uid="{9D6B9B5E-56FD-4EB8-93FC-54CA1E50B9B2}"/>
    <cellStyle name="Normal 5 2 3 2 8 3" xfId="11088" xr:uid="{B4228CB6-D830-4CA3-9321-1859DEF80F56}"/>
    <cellStyle name="Normal 5 2 3 2 9" xfId="4799" xr:uid="{00000000-0005-0000-0000-000083180000}"/>
    <cellStyle name="Normal 5 2 3 2 9 2" xfId="13241" xr:uid="{EF53EA8F-23D5-4184-BCD1-2B3D1986E174}"/>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BF818ED3-E560-4CAA-87B0-00CCC64A7D6C}"/>
    <cellStyle name="Normal 5 2 3 3 2 2 2 3" xfId="11586" xr:uid="{D7243C56-D87A-472A-B347-16CDA459DB65}"/>
    <cellStyle name="Normal 5 2 3 3 2 2 3" xfId="5217" xr:uid="{00000000-0005-0000-0000-000089180000}"/>
    <cellStyle name="Normal 5 2 3 3 2 2 3 2" xfId="13659" xr:uid="{E8564349-1E1D-49E5-9955-7AFA9F3958BB}"/>
    <cellStyle name="Normal 5 2 3 3 2 2 4" xfId="9441" xr:uid="{9F66443E-3573-4CE9-A914-22B89C1C6D7F}"/>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8A084BC8-A1D5-4577-946C-F2452D81077D}"/>
    <cellStyle name="Normal 5 2 3 3 2 3 2 3" xfId="11999" xr:uid="{D8894978-6B11-411A-9645-6E6226361E12}"/>
    <cellStyle name="Normal 5 2 3 3 2 3 3" xfId="5630" xr:uid="{00000000-0005-0000-0000-00008D180000}"/>
    <cellStyle name="Normal 5 2 3 3 2 3 3 2" xfId="14072" xr:uid="{D1BE52D0-6983-4C0D-B008-EF6B9D7C8EE3}"/>
    <cellStyle name="Normal 5 2 3 3 2 3 4" xfId="9854" xr:uid="{4F57701D-BD87-4997-9235-EB3FCB3B5EE5}"/>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BC3B6BFD-F9EE-4730-A65C-02D170C64658}"/>
    <cellStyle name="Normal 5 2 3 3 2 4 2 3" xfId="12412" xr:uid="{2268A30C-28A7-41A1-9957-DAE3C145242C}"/>
    <cellStyle name="Normal 5 2 3 3 2 4 3" xfId="6043" xr:uid="{00000000-0005-0000-0000-000091180000}"/>
    <cellStyle name="Normal 5 2 3 3 2 4 3 2" xfId="14485" xr:uid="{F14F1726-B591-4B95-9C92-3DE5FD9EB5A7}"/>
    <cellStyle name="Normal 5 2 3 3 2 4 4" xfId="10267" xr:uid="{53554F61-0FC2-464C-A90D-645199405A48}"/>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8D4FD5A3-0AC3-4DFC-8399-452C36BB6E6E}"/>
    <cellStyle name="Normal 5 2 3 3 2 5 2 3" xfId="12825" xr:uid="{71A370E7-E3B1-40A8-9645-D5AEBC539EC4}"/>
    <cellStyle name="Normal 5 2 3 3 2 5 3" xfId="6456" xr:uid="{00000000-0005-0000-0000-000095180000}"/>
    <cellStyle name="Normal 5 2 3 3 2 5 3 2" xfId="14898" xr:uid="{59BCCCFC-8344-4F9B-B56D-02CE7EC3DC92}"/>
    <cellStyle name="Normal 5 2 3 3 2 5 4" xfId="10680" xr:uid="{134299CD-4A9D-4D55-95C1-2B181925A886}"/>
    <cellStyle name="Normal 5 2 3 3 2 6" xfId="2585" xr:uid="{00000000-0005-0000-0000-000096180000}"/>
    <cellStyle name="Normal 5 2 3 3 2 6 2" xfId="6869" xr:uid="{00000000-0005-0000-0000-000097180000}"/>
    <cellStyle name="Normal 5 2 3 3 2 6 2 2" xfId="15311" xr:uid="{A34B894C-9D25-43D3-B8D5-F9E27256B465}"/>
    <cellStyle name="Normal 5 2 3 3 2 6 3" xfId="11093" xr:uid="{F8E1C178-9D04-40F0-944A-784DEF475E52}"/>
    <cellStyle name="Normal 5 2 3 3 2 7" xfId="4804" xr:uid="{00000000-0005-0000-0000-000098180000}"/>
    <cellStyle name="Normal 5 2 3 3 2 7 2" xfId="13246" xr:uid="{26C5CE06-7378-4658-91C2-309B11BDF1C4}"/>
    <cellStyle name="Normal 5 2 3 3 2 8" xfId="9028" xr:uid="{100C1402-7EF7-4DFE-8E75-F81D82C75EF8}"/>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35927705-DF7B-42D5-A407-5075E191B053}"/>
    <cellStyle name="Normal 5 2 3 3 3 2 3" xfId="11585" xr:uid="{8E0B7A27-D3F5-4CB6-9E14-DCB18CEF685C}"/>
    <cellStyle name="Normal 5 2 3 3 3 3" xfId="5216" xr:uid="{00000000-0005-0000-0000-00009C180000}"/>
    <cellStyle name="Normal 5 2 3 3 3 3 2" xfId="13658" xr:uid="{90CF8545-25DB-4A59-BC5A-9A25A4F53148}"/>
    <cellStyle name="Normal 5 2 3 3 3 4" xfId="9440" xr:uid="{33F7AA48-10EC-4CAC-A111-309F76B15FA0}"/>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AA5FF176-CDB4-4481-B46E-1CCBC1065C17}"/>
    <cellStyle name="Normal 5 2 3 3 4 2 3" xfId="11998" xr:uid="{0C3D13EF-8F21-4D33-B3BC-8D79BF3D47B6}"/>
    <cellStyle name="Normal 5 2 3 3 4 3" xfId="5629" xr:uid="{00000000-0005-0000-0000-0000A0180000}"/>
    <cellStyle name="Normal 5 2 3 3 4 3 2" xfId="14071" xr:uid="{35190EB3-1971-41FC-9F0D-DAB56BFA2A93}"/>
    <cellStyle name="Normal 5 2 3 3 4 4" xfId="9853" xr:uid="{70B15553-D28F-4087-AFD7-1BF3285C5DF1}"/>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18408D61-6F34-4772-8514-B44F23930C1D}"/>
    <cellStyle name="Normal 5 2 3 3 5 2 3" xfId="12411" xr:uid="{1EB7D2F9-67A5-4E10-AF8A-87018E462C80}"/>
    <cellStyle name="Normal 5 2 3 3 5 3" xfId="6042" xr:uid="{00000000-0005-0000-0000-0000A4180000}"/>
    <cellStyle name="Normal 5 2 3 3 5 3 2" xfId="14484" xr:uid="{F1106E28-DDDA-41C3-8A98-847EF7860A58}"/>
    <cellStyle name="Normal 5 2 3 3 5 4" xfId="10266" xr:uid="{EE1E6311-D501-41BB-9F48-C0DECD95969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BFD0DF0F-FF1A-41FD-AD5F-C76C7B690DAB}"/>
    <cellStyle name="Normal 5 2 3 3 6 2 3" xfId="12824" xr:uid="{296A6176-F493-4947-9053-3AE2DAF9626D}"/>
    <cellStyle name="Normal 5 2 3 3 6 3" xfId="6455" xr:uid="{00000000-0005-0000-0000-0000A8180000}"/>
    <cellStyle name="Normal 5 2 3 3 6 3 2" xfId="14897" xr:uid="{4A8BAF5B-1C97-4B10-A1C3-BBD16FDCCE19}"/>
    <cellStyle name="Normal 5 2 3 3 6 4" xfId="10679" xr:uid="{6DA08A97-23B3-4F8B-AA9E-8A7FB7D79A7E}"/>
    <cellStyle name="Normal 5 2 3 3 7" xfId="2584" xr:uid="{00000000-0005-0000-0000-0000A9180000}"/>
    <cellStyle name="Normal 5 2 3 3 7 2" xfId="6868" xr:uid="{00000000-0005-0000-0000-0000AA180000}"/>
    <cellStyle name="Normal 5 2 3 3 7 2 2" xfId="15310" xr:uid="{74EC850B-B07E-4385-8E52-A8EB5C5FC379}"/>
    <cellStyle name="Normal 5 2 3 3 7 3" xfId="11092" xr:uid="{55EDC95C-AA5D-498B-9CCC-A89C6B162A82}"/>
    <cellStyle name="Normal 5 2 3 3 8" xfId="4803" xr:uid="{00000000-0005-0000-0000-0000AB180000}"/>
    <cellStyle name="Normal 5 2 3 3 8 2" xfId="13245" xr:uid="{01A466E8-041F-493D-8510-E33F7D6F2A05}"/>
    <cellStyle name="Normal 5 2 3 3 9" xfId="9027" xr:uid="{91322B71-4FF4-4F3B-AE9C-1FB3C982B88B}"/>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432A5F70-9574-4FB2-81BB-C0B926E8F343}"/>
    <cellStyle name="Normal 5 2 3 4 2 2 3" xfId="11587" xr:uid="{1339EEF8-CA96-4E05-A3B5-5062531052FE}"/>
    <cellStyle name="Normal 5 2 3 4 2 3" xfId="5218" xr:uid="{00000000-0005-0000-0000-0000B0180000}"/>
    <cellStyle name="Normal 5 2 3 4 2 3 2" xfId="13660" xr:uid="{12B83C4E-497A-40B8-BCD9-AA4EF06E332D}"/>
    <cellStyle name="Normal 5 2 3 4 2 4" xfId="9442" xr:uid="{3D742FA0-7188-46B2-8534-B714ACBFCBCA}"/>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A17AB2B6-B9A7-48A7-A114-72F987CEE397}"/>
    <cellStyle name="Normal 5 2 3 4 3 2 3" xfId="12000" xr:uid="{4020A906-BA4F-40A2-BF07-169F8208ECD4}"/>
    <cellStyle name="Normal 5 2 3 4 3 3" xfId="5631" xr:uid="{00000000-0005-0000-0000-0000B4180000}"/>
    <cellStyle name="Normal 5 2 3 4 3 3 2" xfId="14073" xr:uid="{E0A7FE67-40B7-4BF1-8DF5-8BEC7F2488E3}"/>
    <cellStyle name="Normal 5 2 3 4 3 4" xfId="9855" xr:uid="{B457C075-04E4-4498-AF32-D6D1F17C7394}"/>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F529F556-8F0A-4851-B214-45D8B5A8B85B}"/>
    <cellStyle name="Normal 5 2 3 4 4 2 3" xfId="12413" xr:uid="{38D4A86F-F14F-4FD0-B7BA-6021A9218F77}"/>
    <cellStyle name="Normal 5 2 3 4 4 3" xfId="6044" xr:uid="{00000000-0005-0000-0000-0000B8180000}"/>
    <cellStyle name="Normal 5 2 3 4 4 3 2" xfId="14486" xr:uid="{7FDCC679-C6BA-405E-810D-41293AFC308F}"/>
    <cellStyle name="Normal 5 2 3 4 4 4" xfId="10268" xr:uid="{E35EDF88-A778-4015-B993-CB63A786B6AD}"/>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F8D38CDC-E932-46E6-AECA-6E52C8294865}"/>
    <cellStyle name="Normal 5 2 3 4 5 2 3" xfId="12826" xr:uid="{AF8FFB69-C291-4BF1-A04D-C5A9DF591F23}"/>
    <cellStyle name="Normal 5 2 3 4 5 3" xfId="6457" xr:uid="{00000000-0005-0000-0000-0000BC180000}"/>
    <cellStyle name="Normal 5 2 3 4 5 3 2" xfId="14899" xr:uid="{C06752A9-F494-4ADA-A036-B4A1D7762AFD}"/>
    <cellStyle name="Normal 5 2 3 4 5 4" xfId="10681" xr:uid="{C9FFB9CF-D908-465F-B721-7C7D1C2FBDC2}"/>
    <cellStyle name="Normal 5 2 3 4 6" xfId="2586" xr:uid="{00000000-0005-0000-0000-0000BD180000}"/>
    <cellStyle name="Normal 5 2 3 4 6 2" xfId="6870" xr:uid="{00000000-0005-0000-0000-0000BE180000}"/>
    <cellStyle name="Normal 5 2 3 4 6 2 2" xfId="15312" xr:uid="{DA529D29-AACD-409D-B1D3-746A04236988}"/>
    <cellStyle name="Normal 5 2 3 4 6 3" xfId="11094" xr:uid="{1FAD58FD-B2CE-4B48-B9EF-ADD307E7785B}"/>
    <cellStyle name="Normal 5 2 3 4 7" xfId="4805" xr:uid="{00000000-0005-0000-0000-0000BF180000}"/>
    <cellStyle name="Normal 5 2 3 4 7 2" xfId="13247" xr:uid="{99940ED7-288B-44BD-AD96-ED0AD4B35149}"/>
    <cellStyle name="Normal 5 2 3 4 8" xfId="9029" xr:uid="{3D5E1CD7-16A6-4D67-8756-63B604C885A5}"/>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1D4C0983-A731-4752-974D-54AAB79C7FE2}"/>
    <cellStyle name="Normal 5 2 3 5 2 3" xfId="11580" xr:uid="{5F08A384-90FE-4746-A54F-EE1E74C4B8F7}"/>
    <cellStyle name="Normal 5 2 3 5 3" xfId="5211" xr:uid="{00000000-0005-0000-0000-0000C3180000}"/>
    <cellStyle name="Normal 5 2 3 5 3 2" xfId="13653" xr:uid="{2A4387FC-1A27-4CFF-8346-98640BB9DC3F}"/>
    <cellStyle name="Normal 5 2 3 5 4" xfId="9435" xr:uid="{7D457E8C-6BC7-4A49-B24E-E43F11B0F184}"/>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821D8948-502C-4EE5-AEC3-C532EDF39CD5}"/>
    <cellStyle name="Normal 5 2 3 6 2 3" xfId="11993" xr:uid="{FEE4C1DA-A66B-4D4A-A1BB-AF987E77A27A}"/>
    <cellStyle name="Normal 5 2 3 6 3" xfId="5624" xr:uid="{00000000-0005-0000-0000-0000C7180000}"/>
    <cellStyle name="Normal 5 2 3 6 3 2" xfId="14066" xr:uid="{264AD0B1-CF10-4C91-915F-1F7B43ACF0D2}"/>
    <cellStyle name="Normal 5 2 3 6 4" xfId="9848" xr:uid="{70F33BAD-F441-4879-ADF6-C3CFA4EA232A}"/>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A2A4251D-3590-4749-9886-331B58EB3611}"/>
    <cellStyle name="Normal 5 2 3 7 2 3" xfId="12406" xr:uid="{F164DB49-6055-4C24-A60B-7635C2851EDF}"/>
    <cellStyle name="Normal 5 2 3 7 3" xfId="6037" xr:uid="{00000000-0005-0000-0000-0000CB180000}"/>
    <cellStyle name="Normal 5 2 3 7 3 2" xfId="14479" xr:uid="{B52E2720-4BB1-4752-80D0-D69609F5C13C}"/>
    <cellStyle name="Normal 5 2 3 7 4" xfId="10261" xr:uid="{B945C97B-8BB9-47C5-87B9-95DF08D5FC38}"/>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B1004491-8C4D-4455-9DE3-9D8F39A473DD}"/>
    <cellStyle name="Normal 5 2 3 8 2 3" xfId="12819" xr:uid="{3947C15A-25E1-43C0-A929-2D59327E8534}"/>
    <cellStyle name="Normal 5 2 3 8 3" xfId="6450" xr:uid="{00000000-0005-0000-0000-0000CF180000}"/>
    <cellStyle name="Normal 5 2 3 8 3 2" xfId="14892" xr:uid="{3C084143-5A7D-4BAF-AB8C-BD5F0577BA0F}"/>
    <cellStyle name="Normal 5 2 3 8 4" xfId="10674" xr:uid="{3D2C70F1-30E3-46E0-934C-52F8CF33FC2D}"/>
    <cellStyle name="Normal 5 2 3 9" xfId="2579" xr:uid="{00000000-0005-0000-0000-0000D0180000}"/>
    <cellStyle name="Normal 5 2 3 9 2" xfId="6863" xr:uid="{00000000-0005-0000-0000-0000D1180000}"/>
    <cellStyle name="Normal 5 2 3 9 2 2" xfId="15305" xr:uid="{6994A76A-F2A6-46D2-8599-320AA989DA5E}"/>
    <cellStyle name="Normal 5 2 3 9 3" xfId="11087" xr:uid="{38829072-0C7F-44FB-8897-2E9AB1FEC600}"/>
    <cellStyle name="Normal 5 2 4" xfId="432" xr:uid="{00000000-0005-0000-0000-0000D2180000}"/>
    <cellStyle name="Normal 5 2 4 10" xfId="9030" xr:uid="{766312FE-5A47-422C-9433-811EBD88DCC1}"/>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F600FBBC-BA4A-4D42-A5F0-E4C9EBCD2E18}"/>
    <cellStyle name="Normal 5 2 4 2 2 2 2 3" xfId="11590" xr:uid="{50B3EFB2-DB81-4FC8-AA58-4F62194B5851}"/>
    <cellStyle name="Normal 5 2 4 2 2 2 3" xfId="5221" xr:uid="{00000000-0005-0000-0000-0000D8180000}"/>
    <cellStyle name="Normal 5 2 4 2 2 2 3 2" xfId="13663" xr:uid="{9C948587-0B5D-422B-8C0B-E68FCBE41DED}"/>
    <cellStyle name="Normal 5 2 4 2 2 2 4" xfId="9445" xr:uid="{39A895DA-073D-4083-8C96-99958D7F3366}"/>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5556D2D9-524D-4AB2-A3AE-6C678F5FE4D0}"/>
    <cellStyle name="Normal 5 2 4 2 2 3 2 3" xfId="12003" xr:uid="{84ABBB01-69B8-4DC1-90BE-B0D3FF9D8BE0}"/>
    <cellStyle name="Normal 5 2 4 2 2 3 3" xfId="5634" xr:uid="{00000000-0005-0000-0000-0000DC180000}"/>
    <cellStyle name="Normal 5 2 4 2 2 3 3 2" xfId="14076" xr:uid="{627DE683-2A99-40C8-8BDD-C363A1E6AD1C}"/>
    <cellStyle name="Normal 5 2 4 2 2 3 4" xfId="9858" xr:uid="{65692F0C-6E07-4802-A515-29907D6363DE}"/>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20388EDF-C749-4D2B-AF5A-B7C178F1C16B}"/>
    <cellStyle name="Normal 5 2 4 2 2 4 2 3" xfId="12416" xr:uid="{B27E036C-CB9C-48FA-8A9F-F158036F6091}"/>
    <cellStyle name="Normal 5 2 4 2 2 4 3" xfId="6047" xr:uid="{00000000-0005-0000-0000-0000E0180000}"/>
    <cellStyle name="Normal 5 2 4 2 2 4 3 2" xfId="14489" xr:uid="{DB408AD0-6C1B-4C62-8A4C-5A7B2E75BB32}"/>
    <cellStyle name="Normal 5 2 4 2 2 4 4" xfId="10271" xr:uid="{690F8515-E65C-4773-BDE0-A7F1E8C1046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E78B6274-3016-402E-9C70-4614A3630651}"/>
    <cellStyle name="Normal 5 2 4 2 2 5 2 3" xfId="12829" xr:uid="{2E1D92CD-EC80-42D9-BDE6-FE7BF7EECD03}"/>
    <cellStyle name="Normal 5 2 4 2 2 5 3" xfId="6460" xr:uid="{00000000-0005-0000-0000-0000E4180000}"/>
    <cellStyle name="Normal 5 2 4 2 2 5 3 2" xfId="14902" xr:uid="{84745AF2-07E8-4666-AE24-2F7A29C045F3}"/>
    <cellStyle name="Normal 5 2 4 2 2 5 4" xfId="10684" xr:uid="{5F9CED32-9CE4-44A2-99C6-A14BBD9D5EEB}"/>
    <cellStyle name="Normal 5 2 4 2 2 6" xfId="2589" xr:uid="{00000000-0005-0000-0000-0000E5180000}"/>
    <cellStyle name="Normal 5 2 4 2 2 6 2" xfId="6873" xr:uid="{00000000-0005-0000-0000-0000E6180000}"/>
    <cellStyle name="Normal 5 2 4 2 2 6 2 2" xfId="15315" xr:uid="{A23E2E2D-D34A-4BB9-89DE-C331337B92D0}"/>
    <cellStyle name="Normal 5 2 4 2 2 6 3" xfId="11097" xr:uid="{DD532FDA-8537-4044-9FD5-195CA344ED73}"/>
    <cellStyle name="Normal 5 2 4 2 2 7" xfId="4808" xr:uid="{00000000-0005-0000-0000-0000E7180000}"/>
    <cellStyle name="Normal 5 2 4 2 2 7 2" xfId="13250" xr:uid="{89705B3E-61A4-4E9C-AC5F-BE7EA44E6D9E}"/>
    <cellStyle name="Normal 5 2 4 2 2 8" xfId="9032" xr:uid="{5C94883C-113F-4C2B-AB8C-A6F73BFFEB6B}"/>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E7F3CAF1-BC11-44D5-932F-AAB6E3E7340F}"/>
    <cellStyle name="Normal 5 2 4 2 3 2 3" xfId="11589" xr:uid="{5F7F2B4D-BF06-45A1-ABD9-5F868A9891C6}"/>
    <cellStyle name="Normal 5 2 4 2 3 3" xfId="5220" xr:uid="{00000000-0005-0000-0000-0000EB180000}"/>
    <cellStyle name="Normal 5 2 4 2 3 3 2" xfId="13662" xr:uid="{9538A1F3-407B-4E7C-B38B-A9EA6E697650}"/>
    <cellStyle name="Normal 5 2 4 2 3 4" xfId="9444" xr:uid="{DE795395-C7FE-4131-86D4-157CF2C4DCB0}"/>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A4A108D4-E253-4F48-897A-B01C333BE796}"/>
    <cellStyle name="Normal 5 2 4 2 4 2 3" xfId="12002" xr:uid="{5216D9F1-492C-4538-9C38-4925AA35EABF}"/>
    <cellStyle name="Normal 5 2 4 2 4 3" xfId="5633" xr:uid="{00000000-0005-0000-0000-0000EF180000}"/>
    <cellStyle name="Normal 5 2 4 2 4 3 2" xfId="14075" xr:uid="{215B9F78-678B-4804-AD26-2147B4B7E00F}"/>
    <cellStyle name="Normal 5 2 4 2 4 4" xfId="9857" xr:uid="{6D89B9E7-FD78-4141-A92A-79AE9CB8FB32}"/>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2FD8275D-7346-46FE-B390-A493B8213E73}"/>
    <cellStyle name="Normal 5 2 4 2 5 2 3" xfId="12415" xr:uid="{DB8E939A-6DD3-487B-B5EE-9ABDCF6A3F20}"/>
    <cellStyle name="Normal 5 2 4 2 5 3" xfId="6046" xr:uid="{00000000-0005-0000-0000-0000F3180000}"/>
    <cellStyle name="Normal 5 2 4 2 5 3 2" xfId="14488" xr:uid="{529018AA-485C-4C94-9C76-7447007C4202}"/>
    <cellStyle name="Normal 5 2 4 2 5 4" xfId="10270" xr:uid="{65968303-10B7-4865-BC3E-8F5C5F012695}"/>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BFAB64A7-56C9-4DF1-A6FC-DA9BABAF31E6}"/>
    <cellStyle name="Normal 5 2 4 2 6 2 3" xfId="12828" xr:uid="{95F1C6A3-C4CB-4B58-9515-416B7435AD11}"/>
    <cellStyle name="Normal 5 2 4 2 6 3" xfId="6459" xr:uid="{00000000-0005-0000-0000-0000F7180000}"/>
    <cellStyle name="Normal 5 2 4 2 6 3 2" xfId="14901" xr:uid="{4F78D5A8-E0DC-4CE2-BA3B-C7F125DAE433}"/>
    <cellStyle name="Normal 5 2 4 2 6 4" xfId="10683" xr:uid="{5A71DD4D-A0C9-42B8-9259-A9F9526268C6}"/>
    <cellStyle name="Normal 5 2 4 2 7" xfId="2588" xr:uid="{00000000-0005-0000-0000-0000F8180000}"/>
    <cellStyle name="Normal 5 2 4 2 7 2" xfId="6872" xr:uid="{00000000-0005-0000-0000-0000F9180000}"/>
    <cellStyle name="Normal 5 2 4 2 7 2 2" xfId="15314" xr:uid="{795F3AC0-4C58-47BF-95AB-1A3F9D3A1DFF}"/>
    <cellStyle name="Normal 5 2 4 2 7 3" xfId="11096" xr:uid="{3D0CE81B-4944-4CF3-804E-AEF49A0E82E2}"/>
    <cellStyle name="Normal 5 2 4 2 8" xfId="4807" xr:uid="{00000000-0005-0000-0000-0000FA180000}"/>
    <cellStyle name="Normal 5 2 4 2 8 2" xfId="13249" xr:uid="{422456E5-C0F4-4720-A4D6-7583F1155409}"/>
    <cellStyle name="Normal 5 2 4 2 9" xfId="9031" xr:uid="{A65876D1-696B-41DB-BDF8-83C6B0A8257F}"/>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E6A0EC13-E73E-4758-86AC-D3A2D560FCFE}"/>
    <cellStyle name="Normal 5 2 4 3 2 2 3" xfId="11591" xr:uid="{A0B4B415-06B9-4CBF-BFEC-41D57532A7C8}"/>
    <cellStyle name="Normal 5 2 4 3 2 3" xfId="5222" xr:uid="{00000000-0005-0000-0000-0000FF180000}"/>
    <cellStyle name="Normal 5 2 4 3 2 3 2" xfId="13664" xr:uid="{CA8D6856-C855-4CC9-986D-7A8DAE02C0F3}"/>
    <cellStyle name="Normal 5 2 4 3 2 4" xfId="9446" xr:uid="{C91DB76E-8CD0-4CD0-B648-07AAB37BB4B7}"/>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7F7398CF-7FCE-4D1F-8225-D824A587F395}"/>
    <cellStyle name="Normal 5 2 4 3 3 2 3" xfId="12004" xr:uid="{9811EC67-1ACE-4D21-90BC-4A6804BD5284}"/>
    <cellStyle name="Normal 5 2 4 3 3 3" xfId="5635" xr:uid="{00000000-0005-0000-0000-000003190000}"/>
    <cellStyle name="Normal 5 2 4 3 3 3 2" xfId="14077" xr:uid="{77E1A0B7-F19E-40F3-9190-D995A27DC750}"/>
    <cellStyle name="Normal 5 2 4 3 3 4" xfId="9859" xr:uid="{14E57207-A9FF-427A-9869-751CDC973259}"/>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3C77AA94-0625-4380-BCFE-052EA5F34E3B}"/>
    <cellStyle name="Normal 5 2 4 3 4 2 3" xfId="12417" xr:uid="{9BCE498D-0863-4C27-A09D-2322837C703C}"/>
    <cellStyle name="Normal 5 2 4 3 4 3" xfId="6048" xr:uid="{00000000-0005-0000-0000-000007190000}"/>
    <cellStyle name="Normal 5 2 4 3 4 3 2" xfId="14490" xr:uid="{7C2A0927-16A1-4A6D-928F-261C5B2F1F10}"/>
    <cellStyle name="Normal 5 2 4 3 4 4" xfId="10272" xr:uid="{DCC85C03-36E3-4CCA-BE9C-3026ADDF0FA2}"/>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F1358BA6-72AB-47F5-B924-4354FB7AC090}"/>
    <cellStyle name="Normal 5 2 4 3 5 2 3" xfId="12830" xr:uid="{3E72CD20-67FC-4EE1-A532-616B5F3470ED}"/>
    <cellStyle name="Normal 5 2 4 3 5 3" xfId="6461" xr:uid="{00000000-0005-0000-0000-00000B190000}"/>
    <cellStyle name="Normal 5 2 4 3 5 3 2" xfId="14903" xr:uid="{DFBE0A12-13E1-4C98-B97D-55946F59F178}"/>
    <cellStyle name="Normal 5 2 4 3 5 4" xfId="10685" xr:uid="{2DEAD675-957B-4DBD-8982-3653E77F2D6A}"/>
    <cellStyle name="Normal 5 2 4 3 6" xfId="2590" xr:uid="{00000000-0005-0000-0000-00000C190000}"/>
    <cellStyle name="Normal 5 2 4 3 6 2" xfId="6874" xr:uid="{00000000-0005-0000-0000-00000D190000}"/>
    <cellStyle name="Normal 5 2 4 3 6 2 2" xfId="15316" xr:uid="{365AD7F8-1FF1-4CDE-AF22-BFC9CF400A4F}"/>
    <cellStyle name="Normal 5 2 4 3 6 3" xfId="11098" xr:uid="{37661AC3-C8BE-41E3-A22F-5849AC54B657}"/>
    <cellStyle name="Normal 5 2 4 3 7" xfId="4809" xr:uid="{00000000-0005-0000-0000-00000E190000}"/>
    <cellStyle name="Normal 5 2 4 3 7 2" xfId="13251" xr:uid="{9AADD91F-3071-42F9-8683-527285A74A05}"/>
    <cellStyle name="Normal 5 2 4 3 8" xfId="9033" xr:uid="{84A73A01-6A4C-4B82-91FE-8F376AF6AE19}"/>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A854FB2A-ABE2-484D-900E-8A8850DFD336}"/>
    <cellStyle name="Normal 5 2 4 4 2 3" xfId="11588" xr:uid="{DECC72E9-4C1B-462C-95D8-77971D58FC5F}"/>
    <cellStyle name="Normal 5 2 4 4 3" xfId="5219" xr:uid="{00000000-0005-0000-0000-000012190000}"/>
    <cellStyle name="Normal 5 2 4 4 3 2" xfId="13661" xr:uid="{A6EC2651-5FE6-437A-AC72-D79E5FEF3E60}"/>
    <cellStyle name="Normal 5 2 4 4 4" xfId="9443" xr:uid="{66F56CE5-C6F0-4335-866E-F09C9F2D82D5}"/>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82AC716F-5787-4A42-AE2C-1BB094B2C4CA}"/>
    <cellStyle name="Normal 5 2 4 5 2 3" xfId="12001" xr:uid="{192E229D-006C-486C-8CFB-BF5817B34136}"/>
    <cellStyle name="Normal 5 2 4 5 3" xfId="5632" xr:uid="{00000000-0005-0000-0000-000016190000}"/>
    <cellStyle name="Normal 5 2 4 5 3 2" xfId="14074" xr:uid="{A298161C-29D1-4CC0-8031-CF75EAC5C305}"/>
    <cellStyle name="Normal 5 2 4 5 4" xfId="9856" xr:uid="{ED49BAC1-2C58-47CE-AA7D-BA6E111854E8}"/>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EF8482E6-1E01-4E9C-A33E-AD6B5835C584}"/>
    <cellStyle name="Normal 5 2 4 6 2 3" xfId="12414" xr:uid="{C7843AF7-14AF-4663-9BBA-616F96D26E0D}"/>
    <cellStyle name="Normal 5 2 4 6 3" xfId="6045" xr:uid="{00000000-0005-0000-0000-00001A190000}"/>
    <cellStyle name="Normal 5 2 4 6 3 2" xfId="14487" xr:uid="{A6A1750B-B638-47FB-B6AB-9E71C9C4B5CB}"/>
    <cellStyle name="Normal 5 2 4 6 4" xfId="10269" xr:uid="{A7873030-F188-49F8-8DE5-709F0F3886A3}"/>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F01005EB-DF43-4D0A-8308-532AC5D324C3}"/>
    <cellStyle name="Normal 5 2 4 7 2 3" xfId="12827" xr:uid="{2EC3239C-2EB5-4DC2-B060-E0C09E85C538}"/>
    <cellStyle name="Normal 5 2 4 7 3" xfId="6458" xr:uid="{00000000-0005-0000-0000-00001E190000}"/>
    <cellStyle name="Normal 5 2 4 7 3 2" xfId="14900" xr:uid="{FD7279A6-B4DC-443B-BB7C-411AD0F3EB99}"/>
    <cellStyle name="Normal 5 2 4 7 4" xfId="10682" xr:uid="{D3729998-928D-4A4D-84CE-3C464FEB23D0}"/>
    <cellStyle name="Normal 5 2 4 8" xfId="2587" xr:uid="{00000000-0005-0000-0000-00001F190000}"/>
    <cellStyle name="Normal 5 2 4 8 2" xfId="6871" xr:uid="{00000000-0005-0000-0000-000020190000}"/>
    <cellStyle name="Normal 5 2 4 8 2 2" xfId="15313" xr:uid="{4DD93870-5CF7-439F-8463-984EB0593A2D}"/>
    <cellStyle name="Normal 5 2 4 8 3" xfId="11095" xr:uid="{10489722-AF73-4E88-848B-CE0F6A28B451}"/>
    <cellStyle name="Normal 5 2 4 9" xfId="4806" xr:uid="{00000000-0005-0000-0000-000021190000}"/>
    <cellStyle name="Normal 5 2 4 9 2" xfId="13248" xr:uid="{375B0B24-D967-4883-B6DC-95FEB60285AF}"/>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BDB6416E-24CF-4447-8410-5E47FF53DE5E}"/>
    <cellStyle name="Normal 5 2 5 2 2 2 3" xfId="11593" xr:uid="{4BD4A76D-58AD-41F7-B377-28059785586B}"/>
    <cellStyle name="Normal 5 2 5 2 2 3" xfId="5224" xr:uid="{00000000-0005-0000-0000-000027190000}"/>
    <cellStyle name="Normal 5 2 5 2 2 3 2" xfId="13666" xr:uid="{63C968D8-B964-4871-B0BB-A3BA19BBE186}"/>
    <cellStyle name="Normal 5 2 5 2 2 4" xfId="9448" xr:uid="{37490AC0-0621-4B54-BB5D-B845A9DE917F}"/>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E3467114-D471-49E7-9359-12AB72411C1F}"/>
    <cellStyle name="Normal 5 2 5 2 3 2 3" xfId="12006" xr:uid="{6431CB15-F058-42A2-BCDB-EBC1C0E65DEC}"/>
    <cellStyle name="Normal 5 2 5 2 3 3" xfId="5637" xr:uid="{00000000-0005-0000-0000-00002B190000}"/>
    <cellStyle name="Normal 5 2 5 2 3 3 2" xfId="14079" xr:uid="{099B19CE-F168-4E26-A28B-E0EF4A4A3A8D}"/>
    <cellStyle name="Normal 5 2 5 2 3 4" xfId="9861" xr:uid="{E00C8B23-F4D6-4E4A-964C-DCC1CCD69011}"/>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145E8D4F-35BA-4478-91C9-B2D146DE510C}"/>
    <cellStyle name="Normal 5 2 5 2 4 2 3" xfId="12419" xr:uid="{4810FC7B-8D35-41BE-A51C-57CCEF180262}"/>
    <cellStyle name="Normal 5 2 5 2 4 3" xfId="6050" xr:uid="{00000000-0005-0000-0000-00002F190000}"/>
    <cellStyle name="Normal 5 2 5 2 4 3 2" xfId="14492" xr:uid="{01EBED42-C4F1-4385-8E3C-3338A0CEEC43}"/>
    <cellStyle name="Normal 5 2 5 2 4 4" xfId="10274" xr:uid="{B3FFD864-69C7-4B20-9046-653643AAF0DF}"/>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2F661B5A-213C-4EDE-8C6D-162FB17E01DC}"/>
    <cellStyle name="Normal 5 2 5 2 5 2 3" xfId="12832" xr:uid="{CD37B66D-FB7F-4CDF-BEEA-A50A1A204B72}"/>
    <cellStyle name="Normal 5 2 5 2 5 3" xfId="6463" xr:uid="{00000000-0005-0000-0000-000033190000}"/>
    <cellStyle name="Normal 5 2 5 2 5 3 2" xfId="14905" xr:uid="{D84E8C0B-1136-4EAA-B47F-9D4F5421EDC4}"/>
    <cellStyle name="Normal 5 2 5 2 5 4" xfId="10687" xr:uid="{2EF7F39D-FED8-447C-AEF2-F01F4F61D867}"/>
    <cellStyle name="Normal 5 2 5 2 6" xfId="2592" xr:uid="{00000000-0005-0000-0000-000034190000}"/>
    <cellStyle name="Normal 5 2 5 2 6 2" xfId="6876" xr:uid="{00000000-0005-0000-0000-000035190000}"/>
    <cellStyle name="Normal 5 2 5 2 6 2 2" xfId="15318" xr:uid="{574BD564-2682-4056-8ACF-F25746097910}"/>
    <cellStyle name="Normal 5 2 5 2 6 3" xfId="11100" xr:uid="{7245B8EB-C5C6-48A7-A8D9-A9DC2421153C}"/>
    <cellStyle name="Normal 5 2 5 2 7" xfId="4811" xr:uid="{00000000-0005-0000-0000-000036190000}"/>
    <cellStyle name="Normal 5 2 5 2 7 2" xfId="13253" xr:uid="{CF413D5A-B8EA-4A82-9452-AD2BFF3BA798}"/>
    <cellStyle name="Normal 5 2 5 2 8" xfId="9035" xr:uid="{62613E2A-517D-4028-B74F-35269E890195}"/>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901BBF43-6BBC-467C-ACA0-8878CD6F10D9}"/>
    <cellStyle name="Normal 5 2 5 3 2 3" xfId="11592" xr:uid="{CE68FB9A-86E1-4DD3-96F6-91D6197D1A43}"/>
    <cellStyle name="Normal 5 2 5 3 3" xfId="5223" xr:uid="{00000000-0005-0000-0000-00003A190000}"/>
    <cellStyle name="Normal 5 2 5 3 3 2" xfId="13665" xr:uid="{4E49A278-0EDF-438E-9F53-4CF4AD32AC3B}"/>
    <cellStyle name="Normal 5 2 5 3 4" xfId="9447" xr:uid="{0C8D4261-DB06-408A-BB66-B4279BA51C4F}"/>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1DC9583A-BE33-45BA-B193-68AA1984A808}"/>
    <cellStyle name="Normal 5 2 5 4 2 3" xfId="12005" xr:uid="{125AFC80-6C41-4F0B-8B5E-36F0809269C5}"/>
    <cellStyle name="Normal 5 2 5 4 3" xfId="5636" xr:uid="{00000000-0005-0000-0000-00003E190000}"/>
    <cellStyle name="Normal 5 2 5 4 3 2" xfId="14078" xr:uid="{7852C14E-1E70-4EF7-B325-F47A92909734}"/>
    <cellStyle name="Normal 5 2 5 4 4" xfId="9860" xr:uid="{701072B4-FDF0-4ED3-A740-D4AA887D82C2}"/>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04698B45-A6A2-4CEE-BB95-99941B01260B}"/>
    <cellStyle name="Normal 5 2 5 5 2 3" xfId="12418" xr:uid="{A0003445-3031-4F65-98C6-9704D149327B}"/>
    <cellStyle name="Normal 5 2 5 5 3" xfId="6049" xr:uid="{00000000-0005-0000-0000-000042190000}"/>
    <cellStyle name="Normal 5 2 5 5 3 2" xfId="14491" xr:uid="{4D1C5D2F-574B-4282-A7AA-2650CC1D858B}"/>
    <cellStyle name="Normal 5 2 5 5 4" xfId="10273" xr:uid="{BFA869C2-8617-49DB-BDA9-6DF8C4024387}"/>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F0A71F3A-74DB-428B-9D48-E67DA7C0191D}"/>
    <cellStyle name="Normal 5 2 5 6 2 3" xfId="12831" xr:uid="{43868DB6-BB65-4EE5-B9A3-87558FE55334}"/>
    <cellStyle name="Normal 5 2 5 6 3" xfId="6462" xr:uid="{00000000-0005-0000-0000-000046190000}"/>
    <cellStyle name="Normal 5 2 5 6 3 2" xfId="14904" xr:uid="{9971DA58-1773-4992-8D83-4C27F3A9EA99}"/>
    <cellStyle name="Normal 5 2 5 6 4" xfId="10686" xr:uid="{FC0AF0FF-DE27-4E69-B4CA-B633C619BF3D}"/>
    <cellStyle name="Normal 5 2 5 7" xfId="2591" xr:uid="{00000000-0005-0000-0000-000047190000}"/>
    <cellStyle name="Normal 5 2 5 7 2" xfId="6875" xr:uid="{00000000-0005-0000-0000-000048190000}"/>
    <cellStyle name="Normal 5 2 5 7 2 2" xfId="15317" xr:uid="{A81A0C70-B30E-44C9-9648-5361FFD4549F}"/>
    <cellStyle name="Normal 5 2 5 7 3" xfId="11099" xr:uid="{9DD89570-5895-4E29-9BA8-FB029EB4846E}"/>
    <cellStyle name="Normal 5 2 5 8" xfId="4810" xr:uid="{00000000-0005-0000-0000-000049190000}"/>
    <cellStyle name="Normal 5 2 5 8 2" xfId="13252" xr:uid="{DAE2A2F3-4A9C-43D9-8325-41857C51D778}"/>
    <cellStyle name="Normal 5 2 5 9" xfId="9034" xr:uid="{D98A7AF8-1061-473C-88E6-3B2A6A87B6DD}"/>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0D9E5180-1ABB-4D1C-9B8F-B984F6D9299A}"/>
    <cellStyle name="Normal 5 2 6 2 2 3" xfId="11594" xr:uid="{B875C4AE-3725-4BDF-8C18-5D386CDDD88E}"/>
    <cellStyle name="Normal 5 2 6 2 3" xfId="5225" xr:uid="{00000000-0005-0000-0000-00004E190000}"/>
    <cellStyle name="Normal 5 2 6 2 3 2" xfId="13667" xr:uid="{C5889EDE-E8AD-4F30-B113-FF7769FDC053}"/>
    <cellStyle name="Normal 5 2 6 2 4" xfId="9449" xr:uid="{7FE46E62-E679-44F5-95C7-2AAB3DCA8B62}"/>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DA7F83BE-2196-480B-BF55-B7114BA1BE94}"/>
    <cellStyle name="Normal 5 2 6 3 2 3" xfId="12007" xr:uid="{9260E065-E630-4F1A-8076-C854A7CCE09D}"/>
    <cellStyle name="Normal 5 2 6 3 3" xfId="5638" xr:uid="{00000000-0005-0000-0000-000052190000}"/>
    <cellStyle name="Normal 5 2 6 3 3 2" xfId="14080" xr:uid="{E7AA2552-2951-4DE6-8907-8C38403B0D96}"/>
    <cellStyle name="Normal 5 2 6 3 4" xfId="9862" xr:uid="{2F1B3406-E661-42E1-ABDA-3D8AE63AFEFF}"/>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1A9CCFE7-25CE-474C-960F-33EEDE6C36CD}"/>
    <cellStyle name="Normal 5 2 6 4 2 3" xfId="12420" xr:uid="{A7671351-6B96-4B48-9EAC-F04EEF76D98F}"/>
    <cellStyle name="Normal 5 2 6 4 3" xfId="6051" xr:uid="{00000000-0005-0000-0000-000056190000}"/>
    <cellStyle name="Normal 5 2 6 4 3 2" xfId="14493" xr:uid="{B367708B-82E1-45C5-8978-C5A3F4BC4DD4}"/>
    <cellStyle name="Normal 5 2 6 4 4" xfId="10275" xr:uid="{77EB2CB6-5895-4884-8D2D-5D071BA29ED3}"/>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E35623C4-40E8-4315-B1A9-6E44BFBAD749}"/>
    <cellStyle name="Normal 5 2 6 5 2 3" xfId="12833" xr:uid="{5151B05C-D5C4-4897-A76C-91C8CB604A87}"/>
    <cellStyle name="Normal 5 2 6 5 3" xfId="6464" xr:uid="{00000000-0005-0000-0000-00005A190000}"/>
    <cellStyle name="Normal 5 2 6 5 3 2" xfId="14906" xr:uid="{A916CFF6-BA51-4A14-A745-A45C72578989}"/>
    <cellStyle name="Normal 5 2 6 5 4" xfId="10688" xr:uid="{A7730E5F-CBE0-4982-A976-E55119F1136B}"/>
    <cellStyle name="Normal 5 2 6 6" xfId="2593" xr:uid="{00000000-0005-0000-0000-00005B190000}"/>
    <cellStyle name="Normal 5 2 6 6 2" xfId="6877" xr:uid="{00000000-0005-0000-0000-00005C190000}"/>
    <cellStyle name="Normal 5 2 6 6 2 2" xfId="15319" xr:uid="{B537C3ED-43A9-4B6E-865B-37F9A6416084}"/>
    <cellStyle name="Normal 5 2 6 6 3" xfId="11101" xr:uid="{8011D3BD-520C-4417-B25B-08AAB7EB46CE}"/>
    <cellStyle name="Normal 5 2 6 7" xfId="4812" xr:uid="{00000000-0005-0000-0000-00005D190000}"/>
    <cellStyle name="Normal 5 2 6 7 2" xfId="13254" xr:uid="{F001B37B-E548-4540-BBCA-C4FEB4893CFA}"/>
    <cellStyle name="Normal 5 2 6 8" xfId="9036" xr:uid="{3731093A-3013-48F0-A20A-1582CA6A2F1D}"/>
    <cellStyle name="Normal 5 2 7" xfId="881" xr:uid="{00000000-0005-0000-0000-00005E190000}"/>
    <cellStyle name="Normal 5 2 7 2" xfId="3116" xr:uid="{00000000-0005-0000-0000-00005F190000}"/>
    <cellStyle name="Normal 5 2 7 2 2" xfId="7339" xr:uid="{00000000-0005-0000-0000-000060190000}"/>
    <cellStyle name="Normal 5 2 7 2 2 2" xfId="15781" xr:uid="{E140A73C-C903-4CE5-A6CD-EA2FDA33E819}"/>
    <cellStyle name="Normal 5 2 7 2 3" xfId="11563" xr:uid="{D7CCFDCE-D9AF-4101-A7BF-DB68E152571C}"/>
    <cellStyle name="Normal 5 2 7 3" xfId="5194" xr:uid="{00000000-0005-0000-0000-000061190000}"/>
    <cellStyle name="Normal 5 2 7 3 2" xfId="13636" xr:uid="{FB149B3D-CD99-4D51-8090-E11248558C13}"/>
    <cellStyle name="Normal 5 2 7 4" xfId="9418" xr:uid="{2ADE2669-EEC9-47DF-8939-5914C9FEE36A}"/>
    <cellStyle name="Normal 5 2 8" xfId="1299" xr:uid="{00000000-0005-0000-0000-000062190000}"/>
    <cellStyle name="Normal 5 2 8 2" xfId="3529" xr:uid="{00000000-0005-0000-0000-000063190000}"/>
    <cellStyle name="Normal 5 2 8 2 2" xfId="7752" xr:uid="{00000000-0005-0000-0000-000064190000}"/>
    <cellStyle name="Normal 5 2 8 2 2 2" xfId="16194" xr:uid="{C0EB9A8A-0A16-48B4-94C6-1EFBA4BA1CB1}"/>
    <cellStyle name="Normal 5 2 8 2 3" xfId="11976" xr:uid="{B2276C7C-99E8-40EA-9374-7BC29FA4197F}"/>
    <cellStyle name="Normal 5 2 8 3" xfId="5607" xr:uid="{00000000-0005-0000-0000-000065190000}"/>
    <cellStyle name="Normal 5 2 8 3 2" xfId="14049" xr:uid="{453F79AB-386E-4840-8437-23D92A1F4A35}"/>
    <cellStyle name="Normal 5 2 8 4" xfId="9831" xr:uid="{5699C413-A97B-48C7-B749-77680CEE9148}"/>
    <cellStyle name="Normal 5 2 9" xfId="1712" xr:uid="{00000000-0005-0000-0000-000066190000}"/>
    <cellStyle name="Normal 5 2 9 2" xfId="3942" xr:uid="{00000000-0005-0000-0000-000067190000}"/>
    <cellStyle name="Normal 5 2 9 2 2" xfId="8165" xr:uid="{00000000-0005-0000-0000-000068190000}"/>
    <cellStyle name="Normal 5 2 9 2 2 2" xfId="16607" xr:uid="{E3660198-AE00-46A2-A5F3-3CE8457A9C7B}"/>
    <cellStyle name="Normal 5 2 9 2 3" xfId="12389" xr:uid="{28783A89-01E8-4C9F-A6C7-893864A52E65}"/>
    <cellStyle name="Normal 5 2 9 3" xfId="6020" xr:uid="{00000000-0005-0000-0000-000069190000}"/>
    <cellStyle name="Normal 5 2 9 3 2" xfId="14462" xr:uid="{95C42E76-F3DA-431F-913F-C534E2AB3E28}"/>
    <cellStyle name="Normal 5 2 9 4" xfId="10244" xr:uid="{AB97511F-FFCB-46EA-9038-E93BA6DE73B8}"/>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06E092CE-7E69-4EE4-9F2B-588A6A1D9B40}"/>
    <cellStyle name="Normal 5 3 10 2 3" xfId="12834" xr:uid="{E5C32A23-38A2-418A-A9EB-9EC2C66A5B75}"/>
    <cellStyle name="Normal 5 3 10 3" xfId="6465" xr:uid="{00000000-0005-0000-0000-00006E190000}"/>
    <cellStyle name="Normal 5 3 10 3 2" xfId="14907" xr:uid="{0D30EA4E-7599-402F-99A0-7A92E0C697E8}"/>
    <cellStyle name="Normal 5 3 10 4" xfId="10689" xr:uid="{2A9659BD-94F2-4180-9D67-D8E7C196DCC7}"/>
    <cellStyle name="Normal 5 3 11" xfId="2594" xr:uid="{00000000-0005-0000-0000-00006F190000}"/>
    <cellStyle name="Normal 5 3 11 2" xfId="6878" xr:uid="{00000000-0005-0000-0000-000070190000}"/>
    <cellStyle name="Normal 5 3 11 2 2" xfId="15320" xr:uid="{0C726B0A-EF6E-4D9A-B7C1-8BDA603209A6}"/>
    <cellStyle name="Normal 5 3 11 3" xfId="11102" xr:uid="{D1B358FA-6079-49A9-82EE-2CA86A58E022}"/>
    <cellStyle name="Normal 5 3 12" xfId="4813" xr:uid="{00000000-0005-0000-0000-000071190000}"/>
    <cellStyle name="Normal 5 3 12 2" xfId="13255" xr:uid="{AAA36ED0-B255-41E0-9474-15ADEF45F545}"/>
    <cellStyle name="Normal 5 3 13" xfId="9037" xr:uid="{3C201662-7857-4496-BB26-58DBCE78A864}"/>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62145F01-9980-407E-BF8B-F1581A9BBF96}"/>
    <cellStyle name="Normal 5 3 3 11" xfId="9038" xr:uid="{9D82E35C-917E-4371-A04C-21305271EBF3}"/>
    <cellStyle name="Normal 5 3 3 2" xfId="442" xr:uid="{00000000-0005-0000-0000-000076190000}"/>
    <cellStyle name="Normal 5 3 3 2 10" xfId="9039" xr:uid="{F058D359-91C1-4CC6-94C9-CAA59BABAA18}"/>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87FA10BC-3D96-4A1F-ACA9-F8D75EB90B98}"/>
    <cellStyle name="Normal 5 3 3 2 2 2 2 2 3" xfId="11599" xr:uid="{C1B30839-CE7F-408E-A3EB-BE2D5F8671A9}"/>
    <cellStyle name="Normal 5 3 3 2 2 2 2 3" xfId="5230" xr:uid="{00000000-0005-0000-0000-00007C190000}"/>
    <cellStyle name="Normal 5 3 3 2 2 2 2 3 2" xfId="13672" xr:uid="{B142CC27-C1AC-46B1-A3F9-BF2A42D1354B}"/>
    <cellStyle name="Normal 5 3 3 2 2 2 2 4" xfId="9454" xr:uid="{6EDE761F-3A8D-4403-8078-BE1A59845C5A}"/>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2858D2BA-35AE-4342-81FD-FE99A7575500}"/>
    <cellStyle name="Normal 5 3 3 2 2 2 3 2 3" xfId="12012" xr:uid="{52F5D609-594E-4D81-B638-A86C7A1A68E6}"/>
    <cellStyle name="Normal 5 3 3 2 2 2 3 3" xfId="5643" xr:uid="{00000000-0005-0000-0000-000080190000}"/>
    <cellStyle name="Normal 5 3 3 2 2 2 3 3 2" xfId="14085" xr:uid="{AF5E0201-E527-473F-ABD0-068D6B535744}"/>
    <cellStyle name="Normal 5 3 3 2 2 2 3 4" xfId="9867" xr:uid="{F3FBCF80-8789-469F-8E46-DD383ACA5764}"/>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76430EF1-1E84-4656-A6DB-3B18FFDB34F5}"/>
    <cellStyle name="Normal 5 3 3 2 2 2 4 2 3" xfId="12425" xr:uid="{B111351E-42E1-4DCC-8DAE-D592B4CD28E3}"/>
    <cellStyle name="Normal 5 3 3 2 2 2 4 3" xfId="6056" xr:uid="{00000000-0005-0000-0000-000084190000}"/>
    <cellStyle name="Normal 5 3 3 2 2 2 4 3 2" xfId="14498" xr:uid="{77920B97-C03F-4E70-8C57-A206E9BF36EB}"/>
    <cellStyle name="Normal 5 3 3 2 2 2 4 4" xfId="10280" xr:uid="{40109E2C-5C83-4FFE-A9F2-41F7EF3CFE0C}"/>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B05136D6-893E-4DB1-9FFF-79F9A8FE99BC}"/>
    <cellStyle name="Normal 5 3 3 2 2 2 5 2 3" xfId="12838" xr:uid="{605749DB-2439-4ADE-801C-D2E22E5874B1}"/>
    <cellStyle name="Normal 5 3 3 2 2 2 5 3" xfId="6469" xr:uid="{00000000-0005-0000-0000-000088190000}"/>
    <cellStyle name="Normal 5 3 3 2 2 2 5 3 2" xfId="14911" xr:uid="{195DBFBB-785B-40D9-B93F-EC8BB64912F7}"/>
    <cellStyle name="Normal 5 3 3 2 2 2 5 4" xfId="10693" xr:uid="{EEC51C82-E8BB-4031-A95C-FF4BCEF639AE}"/>
    <cellStyle name="Normal 5 3 3 2 2 2 6" xfId="2598" xr:uid="{00000000-0005-0000-0000-000089190000}"/>
    <cellStyle name="Normal 5 3 3 2 2 2 6 2" xfId="6882" xr:uid="{00000000-0005-0000-0000-00008A190000}"/>
    <cellStyle name="Normal 5 3 3 2 2 2 6 2 2" xfId="15324" xr:uid="{FAFCBA5F-590C-4A56-A5A5-E81B78240AFC}"/>
    <cellStyle name="Normal 5 3 3 2 2 2 6 3" xfId="11106" xr:uid="{89E4F7EA-95CD-429A-ABBA-269EEB1F5D85}"/>
    <cellStyle name="Normal 5 3 3 2 2 2 7" xfId="4817" xr:uid="{00000000-0005-0000-0000-00008B190000}"/>
    <cellStyle name="Normal 5 3 3 2 2 2 7 2" xfId="13259" xr:uid="{871514BB-FE99-4D79-9D3E-6CF6E43E284B}"/>
    <cellStyle name="Normal 5 3 3 2 2 2 8" xfId="9041" xr:uid="{D0857373-DF59-4025-BBAE-0AE4C5F54DBB}"/>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390E51E1-EF54-4C99-9222-A83029FDB348}"/>
    <cellStyle name="Normal 5 3 3 2 2 3 2 3" xfId="11598" xr:uid="{AD2B4703-B569-481E-8844-833132C939F9}"/>
    <cellStyle name="Normal 5 3 3 2 2 3 3" xfId="5229" xr:uid="{00000000-0005-0000-0000-00008F190000}"/>
    <cellStyle name="Normal 5 3 3 2 2 3 3 2" xfId="13671" xr:uid="{9F4C6D61-BACD-427B-9866-A329E6CAB93B}"/>
    <cellStyle name="Normal 5 3 3 2 2 3 4" xfId="9453" xr:uid="{89AE8FE6-A652-4AE8-A304-C33EF38A13FE}"/>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DC0FE76C-598B-4759-AA72-F6FCC5C540D9}"/>
    <cellStyle name="Normal 5 3 3 2 2 4 2 3" xfId="12011" xr:uid="{726D2B44-1497-4A02-AC17-FAAF0C10FA69}"/>
    <cellStyle name="Normal 5 3 3 2 2 4 3" xfId="5642" xr:uid="{00000000-0005-0000-0000-000093190000}"/>
    <cellStyle name="Normal 5 3 3 2 2 4 3 2" xfId="14084" xr:uid="{63904E05-7ABC-428A-AA98-AC6EA78FC206}"/>
    <cellStyle name="Normal 5 3 3 2 2 4 4" xfId="9866" xr:uid="{45861431-F0B7-4109-A550-7F665F4B98F5}"/>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79E2F112-9A1A-45C1-89AF-1988F1807742}"/>
    <cellStyle name="Normal 5 3 3 2 2 5 2 3" xfId="12424" xr:uid="{8680E6FC-AA14-4FC2-8F8F-A63B669745A8}"/>
    <cellStyle name="Normal 5 3 3 2 2 5 3" xfId="6055" xr:uid="{00000000-0005-0000-0000-000097190000}"/>
    <cellStyle name="Normal 5 3 3 2 2 5 3 2" xfId="14497" xr:uid="{DE232D85-BDD4-4D9E-B5CF-4505AA0719A3}"/>
    <cellStyle name="Normal 5 3 3 2 2 5 4" xfId="10279" xr:uid="{20944B9E-6E12-4432-911D-98CB8A16FDFA}"/>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57190014-F28F-461B-B51D-37CEC4F2845C}"/>
    <cellStyle name="Normal 5 3 3 2 2 6 2 3" xfId="12837" xr:uid="{E5FF34F8-5DA7-43F0-AFFE-7C090668214D}"/>
    <cellStyle name="Normal 5 3 3 2 2 6 3" xfId="6468" xr:uid="{00000000-0005-0000-0000-00009B190000}"/>
    <cellStyle name="Normal 5 3 3 2 2 6 3 2" xfId="14910" xr:uid="{38FCB069-5DD1-4D06-B00A-13283CF563D9}"/>
    <cellStyle name="Normal 5 3 3 2 2 6 4" xfId="10692" xr:uid="{18DECA62-BCCA-43B2-BB23-72D2F5131764}"/>
    <cellStyle name="Normal 5 3 3 2 2 7" xfId="2597" xr:uid="{00000000-0005-0000-0000-00009C190000}"/>
    <cellStyle name="Normal 5 3 3 2 2 7 2" xfId="6881" xr:uid="{00000000-0005-0000-0000-00009D190000}"/>
    <cellStyle name="Normal 5 3 3 2 2 7 2 2" xfId="15323" xr:uid="{DEF86D60-E8EB-4D4F-9F2B-E55E50E46134}"/>
    <cellStyle name="Normal 5 3 3 2 2 7 3" xfId="11105" xr:uid="{46234C3C-4FA2-49BD-8043-E3BE03B9EE27}"/>
    <cellStyle name="Normal 5 3 3 2 2 8" xfId="4816" xr:uid="{00000000-0005-0000-0000-00009E190000}"/>
    <cellStyle name="Normal 5 3 3 2 2 8 2" xfId="13258" xr:uid="{A667CBF9-8495-4463-8CF0-9A36F9DE3118}"/>
    <cellStyle name="Normal 5 3 3 2 2 9" xfId="9040" xr:uid="{55CFFBD6-9A03-4A31-B672-5D15B21F5D89}"/>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0C9DE4CE-2686-4809-B3BC-DD993434A732}"/>
    <cellStyle name="Normal 5 3 3 2 3 2 2 3" xfId="11600" xr:uid="{4F8AD713-95E0-4FC1-8031-C5A12FDC9C46}"/>
    <cellStyle name="Normal 5 3 3 2 3 2 3" xfId="5231" xr:uid="{00000000-0005-0000-0000-0000A3190000}"/>
    <cellStyle name="Normal 5 3 3 2 3 2 3 2" xfId="13673" xr:uid="{87E0EB9A-B45F-4411-B7D4-EEB1898C5749}"/>
    <cellStyle name="Normal 5 3 3 2 3 2 4" xfId="9455" xr:uid="{A6161657-E482-4881-8F5F-32EDBDBE2EE7}"/>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E7B96773-D026-4536-92ED-B9BE87024D0E}"/>
    <cellStyle name="Normal 5 3 3 2 3 3 2 3" xfId="12013" xr:uid="{3A53BB66-246D-4F51-A86C-A55F843779A8}"/>
    <cellStyle name="Normal 5 3 3 2 3 3 3" xfId="5644" xr:uid="{00000000-0005-0000-0000-0000A7190000}"/>
    <cellStyle name="Normal 5 3 3 2 3 3 3 2" xfId="14086" xr:uid="{4EF467E3-30B9-46CA-9F15-84DA41751534}"/>
    <cellStyle name="Normal 5 3 3 2 3 3 4" xfId="9868" xr:uid="{95C6F1FA-E2E3-4672-9469-77C15E3612BD}"/>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D23F0576-A9AD-4625-9522-FB817DC3A992}"/>
    <cellStyle name="Normal 5 3 3 2 3 4 2 3" xfId="12426" xr:uid="{CB8F24D2-870E-4D6F-871E-C8E6062AFD96}"/>
    <cellStyle name="Normal 5 3 3 2 3 4 3" xfId="6057" xr:uid="{00000000-0005-0000-0000-0000AB190000}"/>
    <cellStyle name="Normal 5 3 3 2 3 4 3 2" xfId="14499" xr:uid="{DB3C4852-8FA7-417B-BABC-CE29866714C1}"/>
    <cellStyle name="Normal 5 3 3 2 3 4 4" xfId="10281" xr:uid="{06A52646-54CC-4CED-8142-2B56D817C391}"/>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635DD0B3-FB14-43EF-8F35-E4FBBF207D8E}"/>
    <cellStyle name="Normal 5 3 3 2 3 5 2 3" xfId="12839" xr:uid="{AA5AFA95-8568-4816-8283-7E849F8E5822}"/>
    <cellStyle name="Normal 5 3 3 2 3 5 3" xfId="6470" xr:uid="{00000000-0005-0000-0000-0000AF190000}"/>
    <cellStyle name="Normal 5 3 3 2 3 5 3 2" xfId="14912" xr:uid="{0A957CD6-9F8E-4A2E-BF9D-E65EA0DCFAB1}"/>
    <cellStyle name="Normal 5 3 3 2 3 5 4" xfId="10694" xr:uid="{53DD2812-768B-4B7F-BF83-C5999C17378D}"/>
    <cellStyle name="Normal 5 3 3 2 3 6" xfId="2599" xr:uid="{00000000-0005-0000-0000-0000B0190000}"/>
    <cellStyle name="Normal 5 3 3 2 3 6 2" xfId="6883" xr:uid="{00000000-0005-0000-0000-0000B1190000}"/>
    <cellStyle name="Normal 5 3 3 2 3 6 2 2" xfId="15325" xr:uid="{E798141C-AE24-42BB-A15D-3DB5F593D7E9}"/>
    <cellStyle name="Normal 5 3 3 2 3 6 3" xfId="11107" xr:uid="{0A870D91-F817-46EA-88DC-3BE2E19E6370}"/>
    <cellStyle name="Normal 5 3 3 2 3 7" xfId="4818" xr:uid="{00000000-0005-0000-0000-0000B2190000}"/>
    <cellStyle name="Normal 5 3 3 2 3 7 2" xfId="13260" xr:uid="{19F13CB9-2F8F-4B12-82E2-8B0B0855F270}"/>
    <cellStyle name="Normal 5 3 3 2 3 8" xfId="9042" xr:uid="{4038B892-BCB2-464B-A04B-8CF8DE109F1C}"/>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9BAF6B24-1BA1-419F-88AE-DCB2049746C5}"/>
    <cellStyle name="Normal 5 3 3 2 4 2 3" xfId="11597" xr:uid="{2E149BFC-8AF4-4790-8E15-7EE05199E576}"/>
    <cellStyle name="Normal 5 3 3 2 4 3" xfId="5228" xr:uid="{00000000-0005-0000-0000-0000B6190000}"/>
    <cellStyle name="Normal 5 3 3 2 4 3 2" xfId="13670" xr:uid="{48EC4249-1396-4677-9475-2AA14875FC50}"/>
    <cellStyle name="Normal 5 3 3 2 4 4" xfId="9452" xr:uid="{6FEB00CF-2A70-480F-BA85-BAD8B2504CE4}"/>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22534CF6-B3BB-4A32-A1F5-05DD58CDB7D5}"/>
    <cellStyle name="Normal 5 3 3 2 5 2 3" xfId="12010" xr:uid="{35E1E66A-9C50-4DDE-B789-F073FD5F055C}"/>
    <cellStyle name="Normal 5 3 3 2 5 3" xfId="5641" xr:uid="{00000000-0005-0000-0000-0000BA190000}"/>
    <cellStyle name="Normal 5 3 3 2 5 3 2" xfId="14083" xr:uid="{EE36F121-18BC-48FB-9C07-DFF7ABD46E07}"/>
    <cellStyle name="Normal 5 3 3 2 5 4" xfId="9865" xr:uid="{39D89D54-9DBE-43DE-82EA-D412878E3568}"/>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13AF0D2F-DC50-47F7-9564-BA56369C934E}"/>
    <cellStyle name="Normal 5 3 3 2 6 2 3" xfId="12423" xr:uid="{2372F190-B3C6-4CD5-A318-E66206A6E64F}"/>
    <cellStyle name="Normal 5 3 3 2 6 3" xfId="6054" xr:uid="{00000000-0005-0000-0000-0000BE190000}"/>
    <cellStyle name="Normal 5 3 3 2 6 3 2" xfId="14496" xr:uid="{380A27EE-5AB8-4243-8B80-155E1F520963}"/>
    <cellStyle name="Normal 5 3 3 2 6 4" xfId="10278" xr:uid="{5474DDF5-4A2D-4748-B1E5-B13C3E530E38}"/>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42B84A5F-0E0E-4BF2-85B1-41ADB72655A6}"/>
    <cellStyle name="Normal 5 3 3 2 7 2 3" xfId="12836" xr:uid="{C9FE4262-E4A6-4049-96DA-B1A2B7CA6D74}"/>
    <cellStyle name="Normal 5 3 3 2 7 3" xfId="6467" xr:uid="{00000000-0005-0000-0000-0000C2190000}"/>
    <cellStyle name="Normal 5 3 3 2 7 3 2" xfId="14909" xr:uid="{0A9B263F-89F8-491F-B2A2-62D9A3E6F573}"/>
    <cellStyle name="Normal 5 3 3 2 7 4" xfId="10691" xr:uid="{1CE60142-70B8-4049-ADF6-254FE38C3CB9}"/>
    <cellStyle name="Normal 5 3 3 2 8" xfId="2596" xr:uid="{00000000-0005-0000-0000-0000C3190000}"/>
    <cellStyle name="Normal 5 3 3 2 8 2" xfId="6880" xr:uid="{00000000-0005-0000-0000-0000C4190000}"/>
    <cellStyle name="Normal 5 3 3 2 8 2 2" xfId="15322" xr:uid="{C94F6D01-E888-4366-A284-CD3E3DEFB07F}"/>
    <cellStyle name="Normal 5 3 3 2 8 3" xfId="11104" xr:uid="{2B120456-F4FB-451C-83E6-D673578DF8B6}"/>
    <cellStyle name="Normal 5 3 3 2 9" xfId="4815" xr:uid="{00000000-0005-0000-0000-0000C5190000}"/>
    <cellStyle name="Normal 5 3 3 2 9 2" xfId="13257" xr:uid="{7446DB9E-76E7-44DB-BE10-38CDF0869285}"/>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CF2C1BB5-4B09-4604-903D-3979641950CD}"/>
    <cellStyle name="Normal 5 3 3 3 2 2 2 3" xfId="11602" xr:uid="{AD8283F0-2467-4662-88DB-EBD520C6F9C3}"/>
    <cellStyle name="Normal 5 3 3 3 2 2 3" xfId="5233" xr:uid="{00000000-0005-0000-0000-0000CB190000}"/>
    <cellStyle name="Normal 5 3 3 3 2 2 3 2" xfId="13675" xr:uid="{3CCAA95D-5D61-4124-A6AD-70BD65A23948}"/>
    <cellStyle name="Normal 5 3 3 3 2 2 4" xfId="9457" xr:uid="{BAD14A1A-162F-484C-829C-EBED6696C75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7FA16CC7-6214-4CAA-989A-D2F57F15640B}"/>
    <cellStyle name="Normal 5 3 3 3 2 3 2 3" xfId="12015" xr:uid="{DD8D3CB9-C493-44CE-9F2F-2FA4DBE6CB50}"/>
    <cellStyle name="Normal 5 3 3 3 2 3 3" xfId="5646" xr:uid="{00000000-0005-0000-0000-0000CF190000}"/>
    <cellStyle name="Normal 5 3 3 3 2 3 3 2" xfId="14088" xr:uid="{FBB4570F-4F5F-4726-8E87-9E2E618CD1D5}"/>
    <cellStyle name="Normal 5 3 3 3 2 3 4" xfId="9870" xr:uid="{9359DABD-BB92-4E0F-B785-E8801ABFEFFE}"/>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82B18324-D4CD-4BAA-9395-8D838D45B694}"/>
    <cellStyle name="Normal 5 3 3 3 2 4 2 3" xfId="12428" xr:uid="{AA7FCB64-876C-4F2F-B906-46D5DF622C69}"/>
    <cellStyle name="Normal 5 3 3 3 2 4 3" xfId="6059" xr:uid="{00000000-0005-0000-0000-0000D3190000}"/>
    <cellStyle name="Normal 5 3 3 3 2 4 3 2" xfId="14501" xr:uid="{C386B027-86F8-42D7-9EFC-17A96D1C77FE}"/>
    <cellStyle name="Normal 5 3 3 3 2 4 4" xfId="10283" xr:uid="{7BFBB02F-2338-4094-A11A-B18C1E9AF0D5}"/>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0B03DF77-16E6-4794-9D44-401EECD97426}"/>
    <cellStyle name="Normal 5 3 3 3 2 5 2 3" xfId="12841" xr:uid="{D80F76C0-1154-427F-841F-9D46056628E7}"/>
    <cellStyle name="Normal 5 3 3 3 2 5 3" xfId="6472" xr:uid="{00000000-0005-0000-0000-0000D7190000}"/>
    <cellStyle name="Normal 5 3 3 3 2 5 3 2" xfId="14914" xr:uid="{F96AE8FE-0E85-4790-B573-796786B8588D}"/>
    <cellStyle name="Normal 5 3 3 3 2 5 4" xfId="10696" xr:uid="{1BDA20DA-8E63-44D8-9008-3188B9B615A2}"/>
    <cellStyle name="Normal 5 3 3 3 2 6" xfId="2601" xr:uid="{00000000-0005-0000-0000-0000D8190000}"/>
    <cellStyle name="Normal 5 3 3 3 2 6 2" xfId="6885" xr:uid="{00000000-0005-0000-0000-0000D9190000}"/>
    <cellStyle name="Normal 5 3 3 3 2 6 2 2" xfId="15327" xr:uid="{5E6AC10A-46B0-4C39-99CB-B3BAE6C98900}"/>
    <cellStyle name="Normal 5 3 3 3 2 6 3" xfId="11109" xr:uid="{5E8F69F8-1C87-4EE5-A1ED-AAB9CE234FD9}"/>
    <cellStyle name="Normal 5 3 3 3 2 7" xfId="4820" xr:uid="{00000000-0005-0000-0000-0000DA190000}"/>
    <cellStyle name="Normal 5 3 3 3 2 7 2" xfId="13262" xr:uid="{3D1AED63-CDEF-454B-9852-9C5B84430AE5}"/>
    <cellStyle name="Normal 5 3 3 3 2 8" xfId="9044" xr:uid="{CB8CF24D-E3BC-47B4-A3F4-3696E892FED8}"/>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BB9763B7-36D9-4B2B-B168-1EE55B4D5A89}"/>
    <cellStyle name="Normal 5 3 3 3 3 2 3" xfId="11601" xr:uid="{D84087F5-228F-4F57-A40A-EC3CE3E2DFC6}"/>
    <cellStyle name="Normal 5 3 3 3 3 3" xfId="5232" xr:uid="{00000000-0005-0000-0000-0000DE190000}"/>
    <cellStyle name="Normal 5 3 3 3 3 3 2" xfId="13674" xr:uid="{B0471CCE-604A-430D-BDC1-5E08ECC0FFE7}"/>
    <cellStyle name="Normal 5 3 3 3 3 4" xfId="9456" xr:uid="{E95AE0E4-DC94-4F09-A88D-6328D5BE7E6C}"/>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99DE3B7D-3B67-42A7-A67F-153DCC7A8C0A}"/>
    <cellStyle name="Normal 5 3 3 3 4 2 3" xfId="12014" xr:uid="{F55CB012-9002-4B4F-A20F-9D9CF2BB3AB6}"/>
    <cellStyle name="Normal 5 3 3 3 4 3" xfId="5645" xr:uid="{00000000-0005-0000-0000-0000E2190000}"/>
    <cellStyle name="Normal 5 3 3 3 4 3 2" xfId="14087" xr:uid="{554E9F2E-8CFA-4D03-9C91-FE77937A0FA5}"/>
    <cellStyle name="Normal 5 3 3 3 4 4" xfId="9869" xr:uid="{0410F322-3368-45F6-9AD8-9D1197A9981E}"/>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DCF5B3CC-3927-4325-BE0F-E012832F9664}"/>
    <cellStyle name="Normal 5 3 3 3 5 2 3" xfId="12427" xr:uid="{E60BB81C-CA2F-44B2-9DC4-6BBC75F39033}"/>
    <cellStyle name="Normal 5 3 3 3 5 3" xfId="6058" xr:uid="{00000000-0005-0000-0000-0000E6190000}"/>
    <cellStyle name="Normal 5 3 3 3 5 3 2" xfId="14500" xr:uid="{41108B6D-63DE-4E20-90C2-882DF9ED34C0}"/>
    <cellStyle name="Normal 5 3 3 3 5 4" xfId="10282" xr:uid="{0FE6F0CB-DE83-42C6-B6BF-34F75A79DEE5}"/>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E66E90FC-8799-4E7C-933E-3346FEECA8F5}"/>
    <cellStyle name="Normal 5 3 3 3 6 2 3" xfId="12840" xr:uid="{E4A7F017-B49F-40B1-91ED-1839A67D9F9E}"/>
    <cellStyle name="Normal 5 3 3 3 6 3" xfId="6471" xr:uid="{00000000-0005-0000-0000-0000EA190000}"/>
    <cellStyle name="Normal 5 3 3 3 6 3 2" xfId="14913" xr:uid="{0BEE245B-B5F5-4227-A3A4-D14889C90B1C}"/>
    <cellStyle name="Normal 5 3 3 3 6 4" xfId="10695" xr:uid="{2CA688EE-0152-4EBE-BC05-A31906CDE51B}"/>
    <cellStyle name="Normal 5 3 3 3 7" xfId="2600" xr:uid="{00000000-0005-0000-0000-0000EB190000}"/>
    <cellStyle name="Normal 5 3 3 3 7 2" xfId="6884" xr:uid="{00000000-0005-0000-0000-0000EC190000}"/>
    <cellStyle name="Normal 5 3 3 3 7 2 2" xfId="15326" xr:uid="{58E4DC76-C9FE-46DB-9951-EF106EC89BC1}"/>
    <cellStyle name="Normal 5 3 3 3 7 3" xfId="11108" xr:uid="{3B50D756-4BC5-4F06-8A80-11408AF7CA93}"/>
    <cellStyle name="Normal 5 3 3 3 8" xfId="4819" xr:uid="{00000000-0005-0000-0000-0000ED190000}"/>
    <cellStyle name="Normal 5 3 3 3 8 2" xfId="13261" xr:uid="{2DBEF4BF-7463-4992-A282-05796990DFF1}"/>
    <cellStyle name="Normal 5 3 3 3 9" xfId="9043" xr:uid="{2B3AA2F4-85F0-4F31-AED5-A079D49AA7DB}"/>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2B8A167F-83EC-4E5A-AB1B-88A7B6E787C7}"/>
    <cellStyle name="Normal 5 3 3 4 2 2 3" xfId="11603" xr:uid="{EAEB99AE-1D4E-4520-9CF2-0F7AD629F3BC}"/>
    <cellStyle name="Normal 5 3 3 4 2 3" xfId="5234" xr:uid="{00000000-0005-0000-0000-0000F2190000}"/>
    <cellStyle name="Normal 5 3 3 4 2 3 2" xfId="13676" xr:uid="{4E848157-9849-4F94-9F26-A7A66D5B7D2C}"/>
    <cellStyle name="Normal 5 3 3 4 2 4" xfId="9458" xr:uid="{81F5D3AB-86DE-4BEB-9B67-641C12F5115F}"/>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5289051B-9866-452D-9C02-32DA72261939}"/>
    <cellStyle name="Normal 5 3 3 4 3 2 3" xfId="12016" xr:uid="{3A34FF4A-6779-414D-A5EF-50F170B13ABE}"/>
    <cellStyle name="Normal 5 3 3 4 3 3" xfId="5647" xr:uid="{00000000-0005-0000-0000-0000F6190000}"/>
    <cellStyle name="Normal 5 3 3 4 3 3 2" xfId="14089" xr:uid="{A633E2C5-4145-4359-A591-448E0AEE2D56}"/>
    <cellStyle name="Normal 5 3 3 4 3 4" xfId="9871" xr:uid="{08033280-09A9-4945-A0E1-B309F7894A1D}"/>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AB18BBB7-ADBC-441B-84AF-D406007523D7}"/>
    <cellStyle name="Normal 5 3 3 4 4 2 3" xfId="12429" xr:uid="{9BD5D674-B16E-4BAA-BF90-B885979CE1C2}"/>
    <cellStyle name="Normal 5 3 3 4 4 3" xfId="6060" xr:uid="{00000000-0005-0000-0000-0000FA190000}"/>
    <cellStyle name="Normal 5 3 3 4 4 3 2" xfId="14502" xr:uid="{283AD5FD-899C-4E91-8310-330D7A7B4506}"/>
    <cellStyle name="Normal 5 3 3 4 4 4" xfId="10284" xr:uid="{235E15B2-8394-4C1E-9364-04A2880A591B}"/>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7901AD93-54E0-40FF-99EB-26BE6573875D}"/>
    <cellStyle name="Normal 5 3 3 4 5 2 3" xfId="12842" xr:uid="{3FEFDE36-0A2B-4CF6-BA74-F49B4C7DF3FD}"/>
    <cellStyle name="Normal 5 3 3 4 5 3" xfId="6473" xr:uid="{00000000-0005-0000-0000-0000FE190000}"/>
    <cellStyle name="Normal 5 3 3 4 5 3 2" xfId="14915" xr:uid="{E5F12052-9147-4766-976A-5B3CAB79FF4C}"/>
    <cellStyle name="Normal 5 3 3 4 5 4" xfId="10697" xr:uid="{7258E0EA-8BDF-4185-9964-33C707CFEE9D}"/>
    <cellStyle name="Normal 5 3 3 4 6" xfId="2602" xr:uid="{00000000-0005-0000-0000-0000FF190000}"/>
    <cellStyle name="Normal 5 3 3 4 6 2" xfId="6886" xr:uid="{00000000-0005-0000-0000-0000001A0000}"/>
    <cellStyle name="Normal 5 3 3 4 6 2 2" xfId="15328" xr:uid="{A78B604F-54CE-4AAE-A989-EA5DE715579B}"/>
    <cellStyle name="Normal 5 3 3 4 6 3" xfId="11110" xr:uid="{2366925D-4551-4550-9E1D-0D6D8E381D0B}"/>
    <cellStyle name="Normal 5 3 3 4 7" xfId="4821" xr:uid="{00000000-0005-0000-0000-0000011A0000}"/>
    <cellStyle name="Normal 5 3 3 4 7 2" xfId="13263" xr:uid="{64658E91-EA8F-441C-952D-498EBF51A4C5}"/>
    <cellStyle name="Normal 5 3 3 4 8" xfId="9045" xr:uid="{622120D6-A55E-484B-BFD5-AF791034D91E}"/>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A479A39C-54E3-409B-A381-7AC41188743E}"/>
    <cellStyle name="Normal 5 3 3 5 2 3" xfId="11596" xr:uid="{1449A2FB-4E70-425C-9943-34073B294AC8}"/>
    <cellStyle name="Normal 5 3 3 5 3" xfId="5227" xr:uid="{00000000-0005-0000-0000-0000051A0000}"/>
    <cellStyle name="Normal 5 3 3 5 3 2" xfId="13669" xr:uid="{C66CBA4A-CDDC-4410-A8E4-100DA89F6175}"/>
    <cellStyle name="Normal 5 3 3 5 4" xfId="9451" xr:uid="{A00D4F57-A3EE-409D-8784-7F0CFBDF5838}"/>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0DE3F15E-E079-4913-A018-7729F554456E}"/>
    <cellStyle name="Normal 5 3 3 6 2 3" xfId="12009" xr:uid="{F54AB0A3-B36B-4ECA-908B-A109BE2684BE}"/>
    <cellStyle name="Normal 5 3 3 6 3" xfId="5640" xr:uid="{00000000-0005-0000-0000-0000091A0000}"/>
    <cellStyle name="Normal 5 3 3 6 3 2" xfId="14082" xr:uid="{1DD9CE9D-4C03-492D-B9D2-721907DF82D1}"/>
    <cellStyle name="Normal 5 3 3 6 4" xfId="9864" xr:uid="{ADCB3FD4-2E0A-4818-8AF3-CBACB3938604}"/>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49C8A765-6B9A-4B79-A6C8-A035B3D15837}"/>
    <cellStyle name="Normal 5 3 3 7 2 3" xfId="12422" xr:uid="{FD2C6D71-7215-4C3D-9DC9-3EFF636D8808}"/>
    <cellStyle name="Normal 5 3 3 7 3" xfId="6053" xr:uid="{00000000-0005-0000-0000-00000D1A0000}"/>
    <cellStyle name="Normal 5 3 3 7 3 2" xfId="14495" xr:uid="{F72FCE5B-06B1-4B60-8909-1405FED165DD}"/>
    <cellStyle name="Normal 5 3 3 7 4" xfId="10277" xr:uid="{FC29C1B7-6C84-4C9E-83F7-AE4C2E3EED63}"/>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907BEC32-415B-4726-93C3-551EB2D05AE6}"/>
    <cellStyle name="Normal 5 3 3 8 2 3" xfId="12835" xr:uid="{85661CE5-EB03-4584-A170-3F21EE1F3CFF}"/>
    <cellStyle name="Normal 5 3 3 8 3" xfId="6466" xr:uid="{00000000-0005-0000-0000-0000111A0000}"/>
    <cellStyle name="Normal 5 3 3 8 3 2" xfId="14908" xr:uid="{A5681B38-1793-4423-AB02-975C5A60FD9D}"/>
    <cellStyle name="Normal 5 3 3 8 4" xfId="10690" xr:uid="{DF822E29-BF95-4200-A730-294CC69C2CE3}"/>
    <cellStyle name="Normal 5 3 3 9" xfId="2595" xr:uid="{00000000-0005-0000-0000-0000121A0000}"/>
    <cellStyle name="Normal 5 3 3 9 2" xfId="6879" xr:uid="{00000000-0005-0000-0000-0000131A0000}"/>
    <cellStyle name="Normal 5 3 3 9 2 2" xfId="15321" xr:uid="{806A74DC-9768-46F6-AB81-E935FC507896}"/>
    <cellStyle name="Normal 5 3 3 9 3" xfId="11103" xr:uid="{7D585F7A-ABF7-45F2-800E-2649B73B37D9}"/>
    <cellStyle name="Normal 5 3 4" xfId="449" xr:uid="{00000000-0005-0000-0000-0000141A0000}"/>
    <cellStyle name="Normal 5 3 4 10" xfId="9046" xr:uid="{E3845470-B0A6-4E22-8BE8-7365A56A6DB5}"/>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F1470E5D-FE20-46DD-BEDA-A6EC2B227E57}"/>
    <cellStyle name="Normal 5 3 4 2 2 2 2 3" xfId="11606" xr:uid="{ACA65932-F8C0-4178-AC86-D2DD9E923CD9}"/>
    <cellStyle name="Normal 5 3 4 2 2 2 3" xfId="5237" xr:uid="{00000000-0005-0000-0000-00001A1A0000}"/>
    <cellStyle name="Normal 5 3 4 2 2 2 3 2" xfId="13679" xr:uid="{1F3A1DCF-F223-4AC6-87B6-6887ACBED5C4}"/>
    <cellStyle name="Normal 5 3 4 2 2 2 4" xfId="9461" xr:uid="{3CBF9A90-1376-47C4-8C93-96B215D651DA}"/>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8A9A6FDE-8048-486B-A9D6-16C2C315B93E}"/>
    <cellStyle name="Normal 5 3 4 2 2 3 2 3" xfId="12019" xr:uid="{001A59B6-5EC8-4071-9487-A09CFAD2007F}"/>
    <cellStyle name="Normal 5 3 4 2 2 3 3" xfId="5650" xr:uid="{00000000-0005-0000-0000-00001E1A0000}"/>
    <cellStyle name="Normal 5 3 4 2 2 3 3 2" xfId="14092" xr:uid="{2123F563-70F9-4189-8654-0385C3E7CE2B}"/>
    <cellStyle name="Normal 5 3 4 2 2 3 4" xfId="9874" xr:uid="{018D2C9F-C2B6-4ACD-93D8-B198AFD9344B}"/>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9C8CFC68-FA0F-4B0A-8BD7-128784E2C687}"/>
    <cellStyle name="Normal 5 3 4 2 2 4 2 3" xfId="12432" xr:uid="{DEF3932C-97C3-4E28-8E49-07AC6D2B9210}"/>
    <cellStyle name="Normal 5 3 4 2 2 4 3" xfId="6063" xr:uid="{00000000-0005-0000-0000-0000221A0000}"/>
    <cellStyle name="Normal 5 3 4 2 2 4 3 2" xfId="14505" xr:uid="{D5C78556-E4BA-4C38-8687-C4D7B0CE87B4}"/>
    <cellStyle name="Normal 5 3 4 2 2 4 4" xfId="10287" xr:uid="{A90E01AB-DE9A-4229-8451-50144749DA9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DC28C11E-F08A-48B6-AB29-BBFBEEAB5AB2}"/>
    <cellStyle name="Normal 5 3 4 2 2 5 2 3" xfId="12845" xr:uid="{21E5FFEA-56AC-494C-952E-26DECB197F27}"/>
    <cellStyle name="Normal 5 3 4 2 2 5 3" xfId="6476" xr:uid="{00000000-0005-0000-0000-0000261A0000}"/>
    <cellStyle name="Normal 5 3 4 2 2 5 3 2" xfId="14918" xr:uid="{7D5DD688-1067-46CE-8D17-C17BB9D1CB02}"/>
    <cellStyle name="Normal 5 3 4 2 2 5 4" xfId="10700" xr:uid="{5594C88B-C3D0-4B8F-9CA1-1F1359244899}"/>
    <cellStyle name="Normal 5 3 4 2 2 6" xfId="2605" xr:uid="{00000000-0005-0000-0000-0000271A0000}"/>
    <cellStyle name="Normal 5 3 4 2 2 6 2" xfId="6889" xr:uid="{00000000-0005-0000-0000-0000281A0000}"/>
    <cellStyle name="Normal 5 3 4 2 2 6 2 2" xfId="15331" xr:uid="{8686C1C0-C175-4845-93E8-FB67E37E8186}"/>
    <cellStyle name="Normal 5 3 4 2 2 6 3" xfId="11113" xr:uid="{2B0197B3-938B-41AF-B706-A04BBF80A2B2}"/>
    <cellStyle name="Normal 5 3 4 2 2 7" xfId="4824" xr:uid="{00000000-0005-0000-0000-0000291A0000}"/>
    <cellStyle name="Normal 5 3 4 2 2 7 2" xfId="13266" xr:uid="{2F4676DB-25FF-489A-995E-A828A43A3AAC}"/>
    <cellStyle name="Normal 5 3 4 2 2 8" xfId="9048" xr:uid="{D114049B-61C5-494B-B392-FA0CFA771493}"/>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7E0FAAC6-0CC8-4777-9146-7EB047CECF7A}"/>
    <cellStyle name="Normal 5 3 4 2 3 2 3" xfId="11605" xr:uid="{BC9CA9E5-F7EB-4673-BE3A-5FD01FB0F6DC}"/>
    <cellStyle name="Normal 5 3 4 2 3 3" xfId="5236" xr:uid="{00000000-0005-0000-0000-00002D1A0000}"/>
    <cellStyle name="Normal 5 3 4 2 3 3 2" xfId="13678" xr:uid="{E95AE3B7-BE5C-4404-84B2-FB35DA9B9692}"/>
    <cellStyle name="Normal 5 3 4 2 3 4" xfId="9460" xr:uid="{D10473AD-920A-4D59-8904-A24288E7022B}"/>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79341D4C-884D-4408-8E4F-F7FCBB8403FA}"/>
    <cellStyle name="Normal 5 3 4 2 4 2 3" xfId="12018" xr:uid="{595D5163-C798-41C5-9659-D511E69C8952}"/>
    <cellStyle name="Normal 5 3 4 2 4 3" xfId="5649" xr:uid="{00000000-0005-0000-0000-0000311A0000}"/>
    <cellStyle name="Normal 5 3 4 2 4 3 2" xfId="14091" xr:uid="{BB5736FB-4BE9-43F3-A3FD-2A69B3A05C75}"/>
    <cellStyle name="Normal 5 3 4 2 4 4" xfId="9873" xr:uid="{F7172A4D-0CBE-42DA-A79F-49FF7B3F463E}"/>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87ED796D-3621-424E-8452-35AA37AEAA61}"/>
    <cellStyle name="Normal 5 3 4 2 5 2 3" xfId="12431" xr:uid="{18A52915-06FE-40B8-8BF1-9590AD636F81}"/>
    <cellStyle name="Normal 5 3 4 2 5 3" xfId="6062" xr:uid="{00000000-0005-0000-0000-0000351A0000}"/>
    <cellStyle name="Normal 5 3 4 2 5 3 2" xfId="14504" xr:uid="{DBE547D7-D318-4BA2-AD16-D8CCCB60E48F}"/>
    <cellStyle name="Normal 5 3 4 2 5 4" xfId="10286" xr:uid="{44E5367F-1D01-4D8B-94D5-BBF36D052309}"/>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234E2E69-CD46-41A8-92F8-1E69386CC6FE}"/>
    <cellStyle name="Normal 5 3 4 2 6 2 3" xfId="12844" xr:uid="{C7AC7523-60BF-48A6-9993-88E104599E51}"/>
    <cellStyle name="Normal 5 3 4 2 6 3" xfId="6475" xr:uid="{00000000-0005-0000-0000-0000391A0000}"/>
    <cellStyle name="Normal 5 3 4 2 6 3 2" xfId="14917" xr:uid="{81C0464A-9646-4DA9-A06B-724A9B3784AE}"/>
    <cellStyle name="Normal 5 3 4 2 6 4" xfId="10699" xr:uid="{F8E0F24F-87A2-46AA-B9E3-8EA51D5F1C66}"/>
    <cellStyle name="Normal 5 3 4 2 7" xfId="2604" xr:uid="{00000000-0005-0000-0000-00003A1A0000}"/>
    <cellStyle name="Normal 5 3 4 2 7 2" xfId="6888" xr:uid="{00000000-0005-0000-0000-00003B1A0000}"/>
    <cellStyle name="Normal 5 3 4 2 7 2 2" xfId="15330" xr:uid="{C0317A5C-1166-488D-9CB3-1A29F2529C4A}"/>
    <cellStyle name="Normal 5 3 4 2 7 3" xfId="11112" xr:uid="{FEEE13EA-D0FC-4045-98BC-B646453B23F0}"/>
    <cellStyle name="Normal 5 3 4 2 8" xfId="4823" xr:uid="{00000000-0005-0000-0000-00003C1A0000}"/>
    <cellStyle name="Normal 5 3 4 2 8 2" xfId="13265" xr:uid="{2777091C-A654-40AD-BBAD-17F76EE819E1}"/>
    <cellStyle name="Normal 5 3 4 2 9" xfId="9047" xr:uid="{03F9612E-6B55-45BC-BCD2-55A3BA7AD051}"/>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1A480893-2293-4898-914A-AD9D81880736}"/>
    <cellStyle name="Normal 5 3 4 3 2 2 3" xfId="11607" xr:uid="{98644047-5410-40E0-9525-AEEA2856BC1D}"/>
    <cellStyle name="Normal 5 3 4 3 2 3" xfId="5238" xr:uid="{00000000-0005-0000-0000-0000411A0000}"/>
    <cellStyle name="Normal 5 3 4 3 2 3 2" xfId="13680" xr:uid="{154497E8-CEE6-4B9B-B8D4-73808728D11D}"/>
    <cellStyle name="Normal 5 3 4 3 2 4" xfId="9462" xr:uid="{E06C3B62-7D34-44B0-A3CE-48C4B4B566EC}"/>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CA8EE467-26FC-4C45-BC96-38EBF1677F58}"/>
    <cellStyle name="Normal 5 3 4 3 3 2 3" xfId="12020" xr:uid="{5CC098E1-1FD4-4145-B2A8-0ACCED436A3B}"/>
    <cellStyle name="Normal 5 3 4 3 3 3" xfId="5651" xr:uid="{00000000-0005-0000-0000-0000451A0000}"/>
    <cellStyle name="Normal 5 3 4 3 3 3 2" xfId="14093" xr:uid="{98D267DB-B2DA-4BE0-90FA-3EE9A712F67E}"/>
    <cellStyle name="Normal 5 3 4 3 3 4" xfId="9875" xr:uid="{166CE3AD-184C-4BB5-A851-5C7422DB4BB3}"/>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90A3E8E6-BE8F-4C01-BB21-E45CCA701AAD}"/>
    <cellStyle name="Normal 5 3 4 3 4 2 3" xfId="12433" xr:uid="{C69A279B-778C-47C7-897B-3402D11A40A2}"/>
    <cellStyle name="Normal 5 3 4 3 4 3" xfId="6064" xr:uid="{00000000-0005-0000-0000-0000491A0000}"/>
    <cellStyle name="Normal 5 3 4 3 4 3 2" xfId="14506" xr:uid="{FA712803-8B82-445A-88AD-414117777CAC}"/>
    <cellStyle name="Normal 5 3 4 3 4 4" xfId="10288" xr:uid="{7431054F-0AF0-4FF4-AC2E-B3B60EA351EF}"/>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F19D61AB-0CFB-437D-AB5F-15EBC9EC9C49}"/>
    <cellStyle name="Normal 5 3 4 3 5 2 3" xfId="12846" xr:uid="{F42F2915-6D87-4406-9AB2-6D5746636277}"/>
    <cellStyle name="Normal 5 3 4 3 5 3" xfId="6477" xr:uid="{00000000-0005-0000-0000-00004D1A0000}"/>
    <cellStyle name="Normal 5 3 4 3 5 3 2" xfId="14919" xr:uid="{8017979F-7CC5-4FFB-B6A9-D3B0EA8BBC92}"/>
    <cellStyle name="Normal 5 3 4 3 5 4" xfId="10701" xr:uid="{B9621F60-6D21-4C11-B1FE-054540D5EE14}"/>
    <cellStyle name="Normal 5 3 4 3 6" xfId="2606" xr:uid="{00000000-0005-0000-0000-00004E1A0000}"/>
    <cellStyle name="Normal 5 3 4 3 6 2" xfId="6890" xr:uid="{00000000-0005-0000-0000-00004F1A0000}"/>
    <cellStyle name="Normal 5 3 4 3 6 2 2" xfId="15332" xr:uid="{088138BA-BC9D-49B3-ACE7-800A3D76A552}"/>
    <cellStyle name="Normal 5 3 4 3 6 3" xfId="11114" xr:uid="{494169E6-7903-4F63-8E7A-6C7C1A2CC485}"/>
    <cellStyle name="Normal 5 3 4 3 7" xfId="4825" xr:uid="{00000000-0005-0000-0000-0000501A0000}"/>
    <cellStyle name="Normal 5 3 4 3 7 2" xfId="13267" xr:uid="{982F876D-D67C-44C7-A3C1-10BD1C69CE4A}"/>
    <cellStyle name="Normal 5 3 4 3 8" xfId="9049" xr:uid="{C13E0AD7-ECF6-42FB-A97D-A34CBE28A8DF}"/>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EE7FC3A6-EED2-4C90-B97B-8150CCAE6281}"/>
    <cellStyle name="Normal 5 3 4 4 2 3" xfId="11604" xr:uid="{2BAC8A58-FD77-4DB8-AE1C-A95DB9B31C97}"/>
    <cellStyle name="Normal 5 3 4 4 3" xfId="5235" xr:uid="{00000000-0005-0000-0000-0000541A0000}"/>
    <cellStyle name="Normal 5 3 4 4 3 2" xfId="13677" xr:uid="{539EFDCD-C4F1-422B-A64E-5020277CD113}"/>
    <cellStyle name="Normal 5 3 4 4 4" xfId="9459" xr:uid="{C90BAC45-04AE-47D8-ABA4-4F929DEDD114}"/>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23BC0F55-17D0-4B7E-A196-733CF66253B5}"/>
    <cellStyle name="Normal 5 3 4 5 2 3" xfId="12017" xr:uid="{9C687126-B14A-46ED-B79E-1E8DE396AB15}"/>
    <cellStyle name="Normal 5 3 4 5 3" xfId="5648" xr:uid="{00000000-0005-0000-0000-0000581A0000}"/>
    <cellStyle name="Normal 5 3 4 5 3 2" xfId="14090" xr:uid="{FFE4B9DA-C2E3-40D5-89BA-648F9B49DFB0}"/>
    <cellStyle name="Normal 5 3 4 5 4" xfId="9872" xr:uid="{48C871BA-B9E1-47D2-BFEC-345A426D6795}"/>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B826A7D7-E3F4-4EFC-A530-6283C4B23DC6}"/>
    <cellStyle name="Normal 5 3 4 6 2 3" xfId="12430" xr:uid="{3A7B8B08-1E20-46A3-89C5-F084F5EC3D9A}"/>
    <cellStyle name="Normal 5 3 4 6 3" xfId="6061" xr:uid="{00000000-0005-0000-0000-00005C1A0000}"/>
    <cellStyle name="Normal 5 3 4 6 3 2" xfId="14503" xr:uid="{1669C5B0-0A23-43FD-AA15-3285EED99B38}"/>
    <cellStyle name="Normal 5 3 4 6 4" xfId="10285" xr:uid="{5516E109-67D1-4AC1-AE50-8ABD096656AF}"/>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3C225778-06DE-4E93-91CF-956A39236C1D}"/>
    <cellStyle name="Normal 5 3 4 7 2 3" xfId="12843" xr:uid="{C2F46289-763D-4951-98AC-4BC838C91588}"/>
    <cellStyle name="Normal 5 3 4 7 3" xfId="6474" xr:uid="{00000000-0005-0000-0000-0000601A0000}"/>
    <cellStyle name="Normal 5 3 4 7 3 2" xfId="14916" xr:uid="{8D8841BD-579D-47F1-99FD-AEA675DA5A76}"/>
    <cellStyle name="Normal 5 3 4 7 4" xfId="10698" xr:uid="{7AA51EED-967F-411C-9C92-6FE26A2A66A1}"/>
    <cellStyle name="Normal 5 3 4 8" xfId="2603" xr:uid="{00000000-0005-0000-0000-0000611A0000}"/>
    <cellStyle name="Normal 5 3 4 8 2" xfId="6887" xr:uid="{00000000-0005-0000-0000-0000621A0000}"/>
    <cellStyle name="Normal 5 3 4 8 2 2" xfId="15329" xr:uid="{6ACE5DBB-A70B-4495-87D6-054C6B87163E}"/>
    <cellStyle name="Normal 5 3 4 8 3" xfId="11111" xr:uid="{B9F44542-8C89-4B19-9B4A-67DE04BD4974}"/>
    <cellStyle name="Normal 5 3 4 9" xfId="4822" xr:uid="{00000000-0005-0000-0000-0000631A0000}"/>
    <cellStyle name="Normal 5 3 4 9 2" xfId="13264" xr:uid="{A20372D6-CBE7-4DCE-A155-459553D95D72}"/>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39F2B348-990D-42A4-AA0A-C2DC83E20AFD}"/>
    <cellStyle name="Normal 5 3 5 2 2 2 3" xfId="11609" xr:uid="{BDDBBBFD-A3C4-4877-9F76-8ABB5D6CC7A9}"/>
    <cellStyle name="Normal 5 3 5 2 2 3" xfId="5240" xr:uid="{00000000-0005-0000-0000-0000691A0000}"/>
    <cellStyle name="Normal 5 3 5 2 2 3 2" xfId="13682" xr:uid="{B9B2A53A-1D11-4477-9095-6A9BFF7A9F64}"/>
    <cellStyle name="Normal 5 3 5 2 2 4" xfId="9464" xr:uid="{0D7292B4-E40E-46BE-8325-BE342F3BB96D}"/>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6EF81B41-956E-4624-A34B-F6DA6B3238FF}"/>
    <cellStyle name="Normal 5 3 5 2 3 2 3" xfId="12022" xr:uid="{5F2EBA8E-9ECF-43E5-8EFA-D965CCBD0916}"/>
    <cellStyle name="Normal 5 3 5 2 3 3" xfId="5653" xr:uid="{00000000-0005-0000-0000-00006D1A0000}"/>
    <cellStyle name="Normal 5 3 5 2 3 3 2" xfId="14095" xr:uid="{3FBC4A9E-D81F-4A67-B2A5-E35436AC9CB4}"/>
    <cellStyle name="Normal 5 3 5 2 3 4" xfId="9877" xr:uid="{D1CB3C30-BCFD-43C5-863B-F573F18A539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7E2B9DA4-33E3-4D10-A7FE-51D6FE72AC8B}"/>
    <cellStyle name="Normal 5 3 5 2 4 2 3" xfId="12435" xr:uid="{1E000E57-25AA-486C-8E3A-EC3F5D8A5780}"/>
    <cellStyle name="Normal 5 3 5 2 4 3" xfId="6066" xr:uid="{00000000-0005-0000-0000-0000711A0000}"/>
    <cellStyle name="Normal 5 3 5 2 4 3 2" xfId="14508" xr:uid="{498FE0FD-A0EC-492B-9652-F5DB077E3E36}"/>
    <cellStyle name="Normal 5 3 5 2 4 4" xfId="10290" xr:uid="{C4A929A7-933D-44D6-B249-9C8C5ACBCAA7}"/>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D98BB1F9-F5F3-49B3-81F3-5C619B7774B7}"/>
    <cellStyle name="Normal 5 3 5 2 5 2 3" xfId="12848" xr:uid="{1C7AE629-BBC2-4C73-9DC6-3CD6687700C9}"/>
    <cellStyle name="Normal 5 3 5 2 5 3" xfId="6479" xr:uid="{00000000-0005-0000-0000-0000751A0000}"/>
    <cellStyle name="Normal 5 3 5 2 5 3 2" xfId="14921" xr:uid="{90AEFE3F-CB82-41E4-8A29-C9D9E626442C}"/>
    <cellStyle name="Normal 5 3 5 2 5 4" xfId="10703" xr:uid="{C7ACE7A2-3A99-42E7-8A73-50D29FA6C4B0}"/>
    <cellStyle name="Normal 5 3 5 2 6" xfId="2608" xr:uid="{00000000-0005-0000-0000-0000761A0000}"/>
    <cellStyle name="Normal 5 3 5 2 6 2" xfId="6892" xr:uid="{00000000-0005-0000-0000-0000771A0000}"/>
    <cellStyle name="Normal 5 3 5 2 6 2 2" xfId="15334" xr:uid="{66F92675-D336-48A1-A120-AB585BE0F0FA}"/>
    <cellStyle name="Normal 5 3 5 2 6 3" xfId="11116" xr:uid="{572E7BF7-1025-4BF6-98AA-888B2A4599C9}"/>
    <cellStyle name="Normal 5 3 5 2 7" xfId="4827" xr:uid="{00000000-0005-0000-0000-0000781A0000}"/>
    <cellStyle name="Normal 5 3 5 2 7 2" xfId="13269" xr:uid="{FDAEA15D-85FF-446D-B7A7-B08C59070D72}"/>
    <cellStyle name="Normal 5 3 5 2 8" xfId="9051" xr:uid="{56D0509D-37EF-406C-8BE2-4A059743412C}"/>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063DCBFF-45F1-4796-9C0C-E6D58A640E76}"/>
    <cellStyle name="Normal 5 3 5 3 2 3" xfId="11608" xr:uid="{6D270365-B1E8-4583-B616-0A6ED9AC2922}"/>
    <cellStyle name="Normal 5 3 5 3 3" xfId="5239" xr:uid="{00000000-0005-0000-0000-00007C1A0000}"/>
    <cellStyle name="Normal 5 3 5 3 3 2" xfId="13681" xr:uid="{D0B63F5D-75F4-414B-AECD-8E82EA3AD228}"/>
    <cellStyle name="Normal 5 3 5 3 4" xfId="9463" xr:uid="{EBCF64A2-C0DD-40A8-BA3F-EC9C8D3CDB44}"/>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FFA22E6F-19E0-4C5A-AD7C-96CC15278EC5}"/>
    <cellStyle name="Normal 5 3 5 4 2 3" xfId="12021" xr:uid="{E2ED1093-51B8-46A0-AF1A-B2F0D4DB5433}"/>
    <cellStyle name="Normal 5 3 5 4 3" xfId="5652" xr:uid="{00000000-0005-0000-0000-0000801A0000}"/>
    <cellStyle name="Normal 5 3 5 4 3 2" xfId="14094" xr:uid="{733A903A-D22D-428E-ACC9-5C805AF181C8}"/>
    <cellStyle name="Normal 5 3 5 4 4" xfId="9876" xr:uid="{95E98822-B5D8-48EC-9898-DC5373CC8A8F}"/>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ED4CD25A-548B-4E73-922B-AEBC8A4D417F}"/>
    <cellStyle name="Normal 5 3 5 5 2 3" xfId="12434" xr:uid="{B48A2C5E-1FBA-4998-8A10-974884E20A67}"/>
    <cellStyle name="Normal 5 3 5 5 3" xfId="6065" xr:uid="{00000000-0005-0000-0000-0000841A0000}"/>
    <cellStyle name="Normal 5 3 5 5 3 2" xfId="14507" xr:uid="{5BB45E8B-7DC9-4B75-96DF-09702DF02D4F}"/>
    <cellStyle name="Normal 5 3 5 5 4" xfId="10289" xr:uid="{A6B6C74E-5177-41F0-A0FC-E8EC31B4A291}"/>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A4A93D1E-589C-4A31-ABBF-16F3932BC325}"/>
    <cellStyle name="Normal 5 3 5 6 2 3" xfId="12847" xr:uid="{7A4A5640-74E4-421E-BC71-BDAB423FA962}"/>
    <cellStyle name="Normal 5 3 5 6 3" xfId="6478" xr:uid="{00000000-0005-0000-0000-0000881A0000}"/>
    <cellStyle name="Normal 5 3 5 6 3 2" xfId="14920" xr:uid="{AEA4C2EA-C41E-4F04-9AD0-8C0CA817D847}"/>
    <cellStyle name="Normal 5 3 5 6 4" xfId="10702" xr:uid="{DEB67CAD-FA8B-480D-9005-A5CBB55AF278}"/>
    <cellStyle name="Normal 5 3 5 7" xfId="2607" xr:uid="{00000000-0005-0000-0000-0000891A0000}"/>
    <cellStyle name="Normal 5 3 5 7 2" xfId="6891" xr:uid="{00000000-0005-0000-0000-00008A1A0000}"/>
    <cellStyle name="Normal 5 3 5 7 2 2" xfId="15333" xr:uid="{24D9809D-CA58-4D4C-BD32-38D365692506}"/>
    <cellStyle name="Normal 5 3 5 7 3" xfId="11115" xr:uid="{E70B79C9-A70B-48BB-9A4C-A4C40DC0A141}"/>
    <cellStyle name="Normal 5 3 5 8" xfId="4826" xr:uid="{00000000-0005-0000-0000-00008B1A0000}"/>
    <cellStyle name="Normal 5 3 5 8 2" xfId="13268" xr:uid="{39B9DC02-BC2D-45F7-9A34-F6A5DEE7F04A}"/>
    <cellStyle name="Normal 5 3 5 9" xfId="9050" xr:uid="{2F4E770C-60E9-49FE-B69D-DF4CFD687C38}"/>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E27803B0-B35E-484A-9F57-FAEA3BFCDAF7}"/>
    <cellStyle name="Normal 5 3 6 2 2 3" xfId="11610" xr:uid="{3480B7A0-BABE-482B-BD28-00D847BA2783}"/>
    <cellStyle name="Normal 5 3 6 2 3" xfId="5241" xr:uid="{00000000-0005-0000-0000-0000901A0000}"/>
    <cellStyle name="Normal 5 3 6 2 3 2" xfId="13683" xr:uid="{4BB10087-9249-4948-B3F7-1F7B57E26436}"/>
    <cellStyle name="Normal 5 3 6 2 4" xfId="9465" xr:uid="{757D2C43-6E46-4A02-8CFC-B453991FDA1D}"/>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1A47601D-15E7-4F8C-B40C-7732A42A6F86}"/>
    <cellStyle name="Normal 5 3 6 3 2 3" xfId="12023" xr:uid="{51859B42-9213-450E-A588-06784A78C004}"/>
    <cellStyle name="Normal 5 3 6 3 3" xfId="5654" xr:uid="{00000000-0005-0000-0000-0000941A0000}"/>
    <cellStyle name="Normal 5 3 6 3 3 2" xfId="14096" xr:uid="{4E523243-AB06-4717-AA30-3712EEFFAEBE}"/>
    <cellStyle name="Normal 5 3 6 3 4" xfId="9878" xr:uid="{58D74D67-0D50-486E-B3CD-F3F9DE8D2924}"/>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216EDCFD-13E4-47A9-B197-79687DF4F0EC}"/>
    <cellStyle name="Normal 5 3 6 4 2 3" xfId="12436" xr:uid="{C70921CE-58EC-4550-9B03-E672894CC264}"/>
    <cellStyle name="Normal 5 3 6 4 3" xfId="6067" xr:uid="{00000000-0005-0000-0000-0000981A0000}"/>
    <cellStyle name="Normal 5 3 6 4 3 2" xfId="14509" xr:uid="{C2105534-03C9-4C5F-A6E2-0F5E92986C4F}"/>
    <cellStyle name="Normal 5 3 6 4 4" xfId="10291" xr:uid="{86BB5160-3741-4E75-8DAA-60B8110DC41E}"/>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AC5A6A20-8EBE-4D82-998A-2AEA6FB7ECA9}"/>
    <cellStyle name="Normal 5 3 6 5 2 3" xfId="12849" xr:uid="{F739E064-91C8-4278-850A-D30CAEA85E61}"/>
    <cellStyle name="Normal 5 3 6 5 3" xfId="6480" xr:uid="{00000000-0005-0000-0000-00009C1A0000}"/>
    <cellStyle name="Normal 5 3 6 5 3 2" xfId="14922" xr:uid="{A55235C7-FAF3-4B69-87A7-9AD4F082BD8A}"/>
    <cellStyle name="Normal 5 3 6 5 4" xfId="10704" xr:uid="{346EFB73-6CBC-4475-B5C1-E75B1E10E914}"/>
    <cellStyle name="Normal 5 3 6 6" xfId="2609" xr:uid="{00000000-0005-0000-0000-00009D1A0000}"/>
    <cellStyle name="Normal 5 3 6 6 2" xfId="6893" xr:uid="{00000000-0005-0000-0000-00009E1A0000}"/>
    <cellStyle name="Normal 5 3 6 6 2 2" xfId="15335" xr:uid="{A27AA4FD-6768-4763-9AF5-5D8DBB63321E}"/>
    <cellStyle name="Normal 5 3 6 6 3" xfId="11117" xr:uid="{5BD1FD42-4540-4836-AD38-292B7ED21574}"/>
    <cellStyle name="Normal 5 3 6 7" xfId="4828" xr:uid="{00000000-0005-0000-0000-00009F1A0000}"/>
    <cellStyle name="Normal 5 3 6 7 2" xfId="13270" xr:uid="{E1F32DC4-A519-4627-87D8-1671C9B917CB}"/>
    <cellStyle name="Normal 5 3 6 8" xfId="9052" xr:uid="{31CA5C3E-A5AC-4E1F-A3E4-A69575B57AFE}"/>
    <cellStyle name="Normal 5 3 7" xfId="913" xr:uid="{00000000-0005-0000-0000-0000A01A0000}"/>
    <cellStyle name="Normal 5 3 7 2" xfId="3148" xr:uid="{00000000-0005-0000-0000-0000A11A0000}"/>
    <cellStyle name="Normal 5 3 7 2 2" xfId="7371" xr:uid="{00000000-0005-0000-0000-0000A21A0000}"/>
    <cellStyle name="Normal 5 3 7 2 2 2" xfId="15813" xr:uid="{59914736-594B-4DCA-89AD-010E07282DEA}"/>
    <cellStyle name="Normal 5 3 7 2 3" xfId="11595" xr:uid="{750D45A3-5B5D-4D91-A858-0F75ACDE5206}"/>
    <cellStyle name="Normal 5 3 7 3" xfId="5226" xr:uid="{00000000-0005-0000-0000-0000A31A0000}"/>
    <cellStyle name="Normal 5 3 7 3 2" xfId="13668" xr:uid="{D98E9F94-89E9-42E7-A4B3-C9C48DE3D3EE}"/>
    <cellStyle name="Normal 5 3 7 4" xfId="9450" xr:uid="{8E0F5945-5F94-459D-802D-D48ADFFF8AFC}"/>
    <cellStyle name="Normal 5 3 8" xfId="1331" xr:uid="{00000000-0005-0000-0000-0000A41A0000}"/>
    <cellStyle name="Normal 5 3 8 2" xfId="3561" xr:uid="{00000000-0005-0000-0000-0000A51A0000}"/>
    <cellStyle name="Normal 5 3 8 2 2" xfId="7784" xr:uid="{00000000-0005-0000-0000-0000A61A0000}"/>
    <cellStyle name="Normal 5 3 8 2 2 2" xfId="16226" xr:uid="{177F90A7-D270-4906-8DAD-9305796E8590}"/>
    <cellStyle name="Normal 5 3 8 2 3" xfId="12008" xr:uid="{C7A84EA1-6974-4558-A100-9845E959F064}"/>
    <cellStyle name="Normal 5 3 8 3" xfId="5639" xr:uid="{00000000-0005-0000-0000-0000A71A0000}"/>
    <cellStyle name="Normal 5 3 8 3 2" xfId="14081" xr:uid="{5DED9294-623C-4BFA-A4FD-F162FE970682}"/>
    <cellStyle name="Normal 5 3 8 4" xfId="9863" xr:uid="{486828A9-FBFB-42FE-9E4C-D3E70FF115A7}"/>
    <cellStyle name="Normal 5 3 9" xfId="1744" xr:uid="{00000000-0005-0000-0000-0000A81A0000}"/>
    <cellStyle name="Normal 5 3 9 2" xfId="3974" xr:uid="{00000000-0005-0000-0000-0000A91A0000}"/>
    <cellStyle name="Normal 5 3 9 2 2" xfId="8197" xr:uid="{00000000-0005-0000-0000-0000AA1A0000}"/>
    <cellStyle name="Normal 5 3 9 2 2 2" xfId="16639" xr:uid="{A809E058-842D-4F28-927D-8D91F96B6ED2}"/>
    <cellStyle name="Normal 5 3 9 2 3" xfId="12421" xr:uid="{889E2C2F-A210-4DFA-A32A-3FF242791311}"/>
    <cellStyle name="Normal 5 3 9 3" xfId="6052" xr:uid="{00000000-0005-0000-0000-0000AB1A0000}"/>
    <cellStyle name="Normal 5 3 9 3 2" xfId="14494" xr:uid="{11F0DA12-5B69-4797-BE59-092C4DDA09AB}"/>
    <cellStyle name="Normal 5 3 9 4" xfId="10276" xr:uid="{DC32D6EE-BC24-420B-8629-D228269E30BB}"/>
    <cellStyle name="Normal 5 4" xfId="456" xr:uid="{00000000-0005-0000-0000-0000AC1A0000}"/>
    <cellStyle name="Normal 5 4 10" xfId="4829" xr:uid="{00000000-0005-0000-0000-0000AD1A0000}"/>
    <cellStyle name="Normal 5 4 10 2" xfId="13271" xr:uid="{D2DAC8E0-3A37-47E7-9E1E-EC4FD1E4069B}"/>
    <cellStyle name="Normal 5 4 11" xfId="9053" xr:uid="{A3DBC0FB-16E2-4111-995D-01868F246D27}"/>
    <cellStyle name="Normal 5 4 2" xfId="457" xr:uid="{00000000-0005-0000-0000-0000AE1A0000}"/>
    <cellStyle name="Normal 5 4 2 10" xfId="9054" xr:uid="{26A8E5DF-2E19-401A-A5DD-AF66CD81AF73}"/>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E54DA718-0320-4342-A0FB-4AE87413091F}"/>
    <cellStyle name="Normal 5 4 2 2 2 2 2 3" xfId="11614" xr:uid="{DFC2544B-9C91-40F0-B73D-1CC63EE6EAFD}"/>
    <cellStyle name="Normal 5 4 2 2 2 2 3" xfId="5245" xr:uid="{00000000-0005-0000-0000-0000B41A0000}"/>
    <cellStyle name="Normal 5 4 2 2 2 2 3 2" xfId="13687" xr:uid="{5F21F50D-ABC5-4CEF-9257-7643B05FE999}"/>
    <cellStyle name="Normal 5 4 2 2 2 2 4" xfId="9469" xr:uid="{C6C9C0EA-76F9-4863-912B-EDAEF475636A}"/>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0D84F2F6-F007-486A-9755-272A9B5A4D12}"/>
    <cellStyle name="Normal 5 4 2 2 2 3 2 3" xfId="12027" xr:uid="{313F636B-AE64-4DAC-A0C8-3430643DF614}"/>
    <cellStyle name="Normal 5 4 2 2 2 3 3" xfId="5658" xr:uid="{00000000-0005-0000-0000-0000B81A0000}"/>
    <cellStyle name="Normal 5 4 2 2 2 3 3 2" xfId="14100" xr:uid="{7770F689-6F81-4C82-9B6A-79B8AF241945}"/>
    <cellStyle name="Normal 5 4 2 2 2 3 4" xfId="9882" xr:uid="{9CCCFAA0-DA94-4802-B247-E0E546180A3B}"/>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3E335C83-A078-455B-ADE8-D4F678BBA386}"/>
    <cellStyle name="Normal 5 4 2 2 2 4 2 3" xfId="12440" xr:uid="{4591DEEA-CAEF-4EAA-B3B5-2A39E4C88864}"/>
    <cellStyle name="Normal 5 4 2 2 2 4 3" xfId="6071" xr:uid="{00000000-0005-0000-0000-0000BC1A0000}"/>
    <cellStyle name="Normal 5 4 2 2 2 4 3 2" xfId="14513" xr:uid="{DA8334BD-BBC8-498F-8C93-B7A41A3EDCFA}"/>
    <cellStyle name="Normal 5 4 2 2 2 4 4" xfId="10295" xr:uid="{D97EED15-4D21-4EAE-BE48-EA455ADC0B9F}"/>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07C6BBAD-26FC-44A1-B4A7-3FE3420BEBC3}"/>
    <cellStyle name="Normal 5 4 2 2 2 5 2 3" xfId="12853" xr:uid="{B6E117B5-C97C-4FE3-89BF-9C057406A3AF}"/>
    <cellStyle name="Normal 5 4 2 2 2 5 3" xfId="6484" xr:uid="{00000000-0005-0000-0000-0000C01A0000}"/>
    <cellStyle name="Normal 5 4 2 2 2 5 3 2" xfId="14926" xr:uid="{F52C9471-0287-4E5B-BBFA-11CC34B60113}"/>
    <cellStyle name="Normal 5 4 2 2 2 5 4" xfId="10708" xr:uid="{79B0DFBF-A186-482D-9956-6675C96035B4}"/>
    <cellStyle name="Normal 5 4 2 2 2 6" xfId="2613" xr:uid="{00000000-0005-0000-0000-0000C11A0000}"/>
    <cellStyle name="Normal 5 4 2 2 2 6 2" xfId="6897" xr:uid="{00000000-0005-0000-0000-0000C21A0000}"/>
    <cellStyle name="Normal 5 4 2 2 2 6 2 2" xfId="15339" xr:uid="{C35EF1EB-A488-4CA9-A3B4-2496D9932C3D}"/>
    <cellStyle name="Normal 5 4 2 2 2 6 3" xfId="11121" xr:uid="{28C6D068-0B40-468F-AEDD-B3DEED93E86C}"/>
    <cellStyle name="Normal 5 4 2 2 2 7" xfId="4832" xr:uid="{00000000-0005-0000-0000-0000C31A0000}"/>
    <cellStyle name="Normal 5 4 2 2 2 7 2" xfId="13274" xr:uid="{B2564067-E641-409E-9D4D-207291B872EE}"/>
    <cellStyle name="Normal 5 4 2 2 2 8" xfId="9056" xr:uid="{18D94736-2705-4453-9358-FB245103D03E}"/>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FF36A833-E015-4538-BCF8-5F6BE412A1C8}"/>
    <cellStyle name="Normal 5 4 2 2 3 2 3" xfId="11613" xr:uid="{BC861C0C-6C49-4A24-9286-9D18B2B6B38C}"/>
    <cellStyle name="Normal 5 4 2 2 3 3" xfId="5244" xr:uid="{00000000-0005-0000-0000-0000C71A0000}"/>
    <cellStyle name="Normal 5 4 2 2 3 3 2" xfId="13686" xr:uid="{5776C508-2A35-4949-9AFD-2A5D0277D072}"/>
    <cellStyle name="Normal 5 4 2 2 3 4" xfId="9468" xr:uid="{9393089A-6A1B-4543-AD8E-3C018F4F9D4E}"/>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DCDE20A1-B9EF-4813-AA4A-DE1741D338EA}"/>
    <cellStyle name="Normal 5 4 2 2 4 2 3" xfId="12026" xr:uid="{53409B5B-D40D-4F00-AFA9-B76B749BD421}"/>
    <cellStyle name="Normal 5 4 2 2 4 3" xfId="5657" xr:uid="{00000000-0005-0000-0000-0000CB1A0000}"/>
    <cellStyle name="Normal 5 4 2 2 4 3 2" xfId="14099" xr:uid="{AA1216E7-F36E-4DE5-B0EC-AF15EBC7905B}"/>
    <cellStyle name="Normal 5 4 2 2 4 4" xfId="9881" xr:uid="{B52EF3B8-417A-42EC-85AD-8ACC6FE35ABB}"/>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AF4F6966-8E90-4DF4-99C9-BC17F0895896}"/>
    <cellStyle name="Normal 5 4 2 2 5 2 3" xfId="12439" xr:uid="{CEA78857-64D8-4059-A72E-D86C90897407}"/>
    <cellStyle name="Normal 5 4 2 2 5 3" xfId="6070" xr:uid="{00000000-0005-0000-0000-0000CF1A0000}"/>
    <cellStyle name="Normal 5 4 2 2 5 3 2" xfId="14512" xr:uid="{68121164-799E-43F9-A9BA-04B4D0FE693C}"/>
    <cellStyle name="Normal 5 4 2 2 5 4" xfId="10294" xr:uid="{0505777A-B473-4BC0-A2FC-126ED6B6946F}"/>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FFE0F37C-D1CF-4812-B046-7EE60978976A}"/>
    <cellStyle name="Normal 5 4 2 2 6 2 3" xfId="12852" xr:uid="{52666B86-1D22-4794-8B6A-093AF3FE021A}"/>
    <cellStyle name="Normal 5 4 2 2 6 3" xfId="6483" xr:uid="{00000000-0005-0000-0000-0000D31A0000}"/>
    <cellStyle name="Normal 5 4 2 2 6 3 2" xfId="14925" xr:uid="{D0F636A7-E365-4F88-BDA4-8B348D6F7503}"/>
    <cellStyle name="Normal 5 4 2 2 6 4" xfId="10707" xr:uid="{2859BA9D-F869-47D0-AC85-31AF01313EA5}"/>
    <cellStyle name="Normal 5 4 2 2 7" xfId="2612" xr:uid="{00000000-0005-0000-0000-0000D41A0000}"/>
    <cellStyle name="Normal 5 4 2 2 7 2" xfId="6896" xr:uid="{00000000-0005-0000-0000-0000D51A0000}"/>
    <cellStyle name="Normal 5 4 2 2 7 2 2" xfId="15338" xr:uid="{C8FA9461-6860-4CFC-8925-BCB98C44B480}"/>
    <cellStyle name="Normal 5 4 2 2 7 3" xfId="11120" xr:uid="{33B632F2-B69B-4504-8975-9D99D7075415}"/>
    <cellStyle name="Normal 5 4 2 2 8" xfId="4831" xr:uid="{00000000-0005-0000-0000-0000D61A0000}"/>
    <cellStyle name="Normal 5 4 2 2 8 2" xfId="13273" xr:uid="{BB53F1A3-1612-49E6-9EAF-45736F7A8E1E}"/>
    <cellStyle name="Normal 5 4 2 2 9" xfId="9055" xr:uid="{B4DE7AF0-9EB6-4777-89AC-BA4989EC7F88}"/>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1EB2FD16-EE0E-4C08-A122-B08F39B0A479}"/>
    <cellStyle name="Normal 5 4 2 3 2 2 3" xfId="11615" xr:uid="{8AF2D47B-E849-4244-B77D-338B31505F0F}"/>
    <cellStyle name="Normal 5 4 2 3 2 3" xfId="5246" xr:uid="{00000000-0005-0000-0000-0000DB1A0000}"/>
    <cellStyle name="Normal 5 4 2 3 2 3 2" xfId="13688" xr:uid="{CACF0B41-73CF-4AD3-BED1-D1276C67B755}"/>
    <cellStyle name="Normal 5 4 2 3 2 4" xfId="9470" xr:uid="{A8D275AA-1161-4D94-84C3-7055EBE6FFF9}"/>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6516A813-5431-4249-B6BB-DA1030F9B49F}"/>
    <cellStyle name="Normal 5 4 2 3 3 2 3" xfId="12028" xr:uid="{5D13EC8D-C41E-4D0C-8E09-6FA96B9DF981}"/>
    <cellStyle name="Normal 5 4 2 3 3 3" xfId="5659" xr:uid="{00000000-0005-0000-0000-0000DF1A0000}"/>
    <cellStyle name="Normal 5 4 2 3 3 3 2" xfId="14101" xr:uid="{0EFA004D-A8D9-4D72-A692-CAC06F277924}"/>
    <cellStyle name="Normal 5 4 2 3 3 4" xfId="9883" xr:uid="{CBDCE2E2-D6CD-4079-ABA8-40DF9FC15B32}"/>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7776061-A17A-46B0-88CE-1DFF3CFFA352}"/>
    <cellStyle name="Normal 5 4 2 3 4 2 3" xfId="12441" xr:uid="{96A01866-885D-4A08-8557-71ACF84C3C8B}"/>
    <cellStyle name="Normal 5 4 2 3 4 3" xfId="6072" xr:uid="{00000000-0005-0000-0000-0000E31A0000}"/>
    <cellStyle name="Normal 5 4 2 3 4 3 2" xfId="14514" xr:uid="{B640A255-41B5-4297-B8E1-AD8EC964D76C}"/>
    <cellStyle name="Normal 5 4 2 3 4 4" xfId="10296" xr:uid="{716F61D1-0A7F-4F95-8F25-57D13915321F}"/>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422242B2-D440-4A85-80FE-C9D58871ABDB}"/>
    <cellStyle name="Normal 5 4 2 3 5 2 3" xfId="12854" xr:uid="{D3F310CC-ED39-4C9A-8A0B-0A9BC42F65BF}"/>
    <cellStyle name="Normal 5 4 2 3 5 3" xfId="6485" xr:uid="{00000000-0005-0000-0000-0000E71A0000}"/>
    <cellStyle name="Normal 5 4 2 3 5 3 2" xfId="14927" xr:uid="{153E15DD-1966-4D70-9CFE-D3C0D4940B0E}"/>
    <cellStyle name="Normal 5 4 2 3 5 4" xfId="10709" xr:uid="{7F251FA8-F671-40B5-B7B5-F4D3464AF7D5}"/>
    <cellStyle name="Normal 5 4 2 3 6" xfId="2614" xr:uid="{00000000-0005-0000-0000-0000E81A0000}"/>
    <cellStyle name="Normal 5 4 2 3 6 2" xfId="6898" xr:uid="{00000000-0005-0000-0000-0000E91A0000}"/>
    <cellStyle name="Normal 5 4 2 3 6 2 2" xfId="15340" xr:uid="{FD474D03-8266-46C8-9D75-FD90158B6D3D}"/>
    <cellStyle name="Normal 5 4 2 3 6 3" xfId="11122" xr:uid="{6A74DB6C-380E-4911-A481-C517A7C9A0F7}"/>
    <cellStyle name="Normal 5 4 2 3 7" xfId="4833" xr:uid="{00000000-0005-0000-0000-0000EA1A0000}"/>
    <cellStyle name="Normal 5 4 2 3 7 2" xfId="13275" xr:uid="{C0791AC2-3944-411C-8779-87FA7E4C6139}"/>
    <cellStyle name="Normal 5 4 2 3 8" xfId="9057" xr:uid="{EB083EBA-DB0A-4CEC-8CF2-5C2118F7903C}"/>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988B9B45-3B00-40E5-B667-86EABC90E84D}"/>
    <cellStyle name="Normal 5 4 2 4 2 3" xfId="11612" xr:uid="{FF99A09F-17B7-49A3-A3F3-45D4A957C612}"/>
    <cellStyle name="Normal 5 4 2 4 3" xfId="5243" xr:uid="{00000000-0005-0000-0000-0000EE1A0000}"/>
    <cellStyle name="Normal 5 4 2 4 3 2" xfId="13685" xr:uid="{B3872423-9FE6-4CD3-9F44-F949785DD6BC}"/>
    <cellStyle name="Normal 5 4 2 4 4" xfId="9467" xr:uid="{DEBC60AE-64E3-4C9C-8F62-B27AC27137C4}"/>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B233ADF9-A966-4B3D-A265-A8B13D66F0B2}"/>
    <cellStyle name="Normal 5 4 2 5 2 3" xfId="12025" xr:uid="{11C18596-BB8A-48FF-B8C8-19DE7FDAE72D}"/>
    <cellStyle name="Normal 5 4 2 5 3" xfId="5656" xr:uid="{00000000-0005-0000-0000-0000F21A0000}"/>
    <cellStyle name="Normal 5 4 2 5 3 2" xfId="14098" xr:uid="{7C8E94E6-7AD1-497B-9C4F-D36732F33ADD}"/>
    <cellStyle name="Normal 5 4 2 5 4" xfId="9880" xr:uid="{D5773B84-F3B5-4D4E-A01C-6676497B04F2}"/>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B7316631-2627-4BDD-8D84-E45A07AA04B6}"/>
    <cellStyle name="Normal 5 4 2 6 2 3" xfId="12438" xr:uid="{144575C7-9B8F-4248-A937-3BD86A147C51}"/>
    <cellStyle name="Normal 5 4 2 6 3" xfId="6069" xr:uid="{00000000-0005-0000-0000-0000F61A0000}"/>
    <cellStyle name="Normal 5 4 2 6 3 2" xfId="14511" xr:uid="{2FF181AF-C018-4886-BF6C-292A3F3B617B}"/>
    <cellStyle name="Normal 5 4 2 6 4" xfId="10293" xr:uid="{65482E0D-91F6-45B4-B12D-64A31DE5F338}"/>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2EC00E12-D913-4056-8D56-23055DE7AB65}"/>
    <cellStyle name="Normal 5 4 2 7 2 3" xfId="12851" xr:uid="{7458EEA3-FAF5-4E76-94EB-81BD3696D4C8}"/>
    <cellStyle name="Normal 5 4 2 7 3" xfId="6482" xr:uid="{00000000-0005-0000-0000-0000FA1A0000}"/>
    <cellStyle name="Normal 5 4 2 7 3 2" xfId="14924" xr:uid="{33B5359C-EAB5-4467-A477-849A77CD722A}"/>
    <cellStyle name="Normal 5 4 2 7 4" xfId="10706" xr:uid="{4CBE1B49-B95A-41DF-B412-0299244E6085}"/>
    <cellStyle name="Normal 5 4 2 8" xfId="2611" xr:uid="{00000000-0005-0000-0000-0000FB1A0000}"/>
    <cellStyle name="Normal 5 4 2 8 2" xfId="6895" xr:uid="{00000000-0005-0000-0000-0000FC1A0000}"/>
    <cellStyle name="Normal 5 4 2 8 2 2" xfId="15337" xr:uid="{C29CBEEE-4738-42BA-BC3F-90CFBF3363F9}"/>
    <cellStyle name="Normal 5 4 2 8 3" xfId="11119" xr:uid="{F23ECD34-44C3-4B56-9EE2-A594D39B2F59}"/>
    <cellStyle name="Normal 5 4 2 9" xfId="4830" xr:uid="{00000000-0005-0000-0000-0000FD1A0000}"/>
    <cellStyle name="Normal 5 4 2 9 2" xfId="13272" xr:uid="{3AFF1DB4-03CC-4C4B-886F-BA9FC966D5CC}"/>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39D9B832-2994-441D-BA33-86FE06273A43}"/>
    <cellStyle name="Normal 5 4 3 2 2 2 3" xfId="11617" xr:uid="{900A80C4-4A44-4CA2-91DE-9CE49CACDFCF}"/>
    <cellStyle name="Normal 5 4 3 2 2 3" xfId="5248" xr:uid="{00000000-0005-0000-0000-0000031B0000}"/>
    <cellStyle name="Normal 5 4 3 2 2 3 2" xfId="13690" xr:uid="{ED4A246F-8094-423B-929A-6520D59E54DC}"/>
    <cellStyle name="Normal 5 4 3 2 2 4" xfId="9472" xr:uid="{1A797D3E-F67D-446D-A72F-A773707553E2}"/>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84CEA80C-3429-4C3C-900E-F29537B68DA0}"/>
    <cellStyle name="Normal 5 4 3 2 3 2 3" xfId="12030" xr:uid="{9409AC25-2082-4209-AB0C-3F4FDF728892}"/>
    <cellStyle name="Normal 5 4 3 2 3 3" xfId="5661" xr:uid="{00000000-0005-0000-0000-0000071B0000}"/>
    <cellStyle name="Normal 5 4 3 2 3 3 2" xfId="14103" xr:uid="{F9D544B8-081F-4DA7-985C-C1AFEF1BCAC9}"/>
    <cellStyle name="Normal 5 4 3 2 3 4" xfId="9885" xr:uid="{E6D12D74-0A87-4C11-9362-A49F90A23116}"/>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39D2E0B0-1B38-44F4-B27D-2420B45021DF}"/>
    <cellStyle name="Normal 5 4 3 2 4 2 3" xfId="12443" xr:uid="{3F2830B3-20EB-45CC-9B98-060C930BD195}"/>
    <cellStyle name="Normal 5 4 3 2 4 3" xfId="6074" xr:uid="{00000000-0005-0000-0000-00000B1B0000}"/>
    <cellStyle name="Normal 5 4 3 2 4 3 2" xfId="14516" xr:uid="{18981ED1-EA51-41DF-B0CF-FB2EB3940929}"/>
    <cellStyle name="Normal 5 4 3 2 4 4" xfId="10298" xr:uid="{DA9129C8-270C-4370-9EE2-FB867E690AD2}"/>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9FF97826-79DD-4FFB-89DB-8E34DF7FFC50}"/>
    <cellStyle name="Normal 5 4 3 2 5 2 3" xfId="12856" xr:uid="{7E4ABFA3-8874-434A-866B-87F34567BB3E}"/>
    <cellStyle name="Normal 5 4 3 2 5 3" xfId="6487" xr:uid="{00000000-0005-0000-0000-00000F1B0000}"/>
    <cellStyle name="Normal 5 4 3 2 5 3 2" xfId="14929" xr:uid="{C0DC3795-1745-48D0-8D83-39F1C84D3C57}"/>
    <cellStyle name="Normal 5 4 3 2 5 4" xfId="10711" xr:uid="{45AF2389-76F6-42FA-A73B-F02DAC4B716B}"/>
    <cellStyle name="Normal 5 4 3 2 6" xfId="2616" xr:uid="{00000000-0005-0000-0000-0000101B0000}"/>
    <cellStyle name="Normal 5 4 3 2 6 2" xfId="6900" xr:uid="{00000000-0005-0000-0000-0000111B0000}"/>
    <cellStyle name="Normal 5 4 3 2 6 2 2" xfId="15342" xr:uid="{831278B3-B20A-4E57-8B68-DCC00FB0311D}"/>
    <cellStyle name="Normal 5 4 3 2 6 3" xfId="11124" xr:uid="{417D644D-EADB-462D-BAF1-2FFBD066EAE7}"/>
    <cellStyle name="Normal 5 4 3 2 7" xfId="4835" xr:uid="{00000000-0005-0000-0000-0000121B0000}"/>
    <cellStyle name="Normal 5 4 3 2 7 2" xfId="13277" xr:uid="{017715F7-6252-4F75-A4DF-31839F3E0484}"/>
    <cellStyle name="Normal 5 4 3 2 8" xfId="9059" xr:uid="{B4CF34C7-2C93-4E51-A9CF-B6CDDFE75549}"/>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226C9FA4-04C1-40D0-9FE3-EEFF027FC3E2}"/>
    <cellStyle name="Normal 5 4 3 3 2 3" xfId="11616" xr:uid="{85FCFAB7-AF9E-41A1-8506-10A2C775C577}"/>
    <cellStyle name="Normal 5 4 3 3 3" xfId="5247" xr:uid="{00000000-0005-0000-0000-0000161B0000}"/>
    <cellStyle name="Normal 5 4 3 3 3 2" xfId="13689" xr:uid="{9C0637BB-DFEB-4CEA-A1B7-BFD3D0466C2F}"/>
    <cellStyle name="Normal 5 4 3 3 4" xfId="9471" xr:uid="{04C9593F-2D66-4FA1-8F9C-E26B3A4314C7}"/>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7718A2F0-403C-4CC9-A860-AA93D00B3A91}"/>
    <cellStyle name="Normal 5 4 3 4 2 3" xfId="12029" xr:uid="{5A43AE10-A21E-4637-BC1C-6D685C32729A}"/>
    <cellStyle name="Normal 5 4 3 4 3" xfId="5660" xr:uid="{00000000-0005-0000-0000-00001A1B0000}"/>
    <cellStyle name="Normal 5 4 3 4 3 2" xfId="14102" xr:uid="{516E0598-089D-47C2-BD23-796F4321DA92}"/>
    <cellStyle name="Normal 5 4 3 4 4" xfId="9884" xr:uid="{050A67C5-EB9A-4293-B118-D2567EAEAA96}"/>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E37D2138-E229-4F89-BD55-294AD21F53EE}"/>
    <cellStyle name="Normal 5 4 3 5 2 3" xfId="12442" xr:uid="{CD4626E4-BFF7-4905-97CD-F72CE4AE39D1}"/>
    <cellStyle name="Normal 5 4 3 5 3" xfId="6073" xr:uid="{00000000-0005-0000-0000-00001E1B0000}"/>
    <cellStyle name="Normal 5 4 3 5 3 2" xfId="14515" xr:uid="{17CE1D30-7BF3-44F8-A62A-B4D3340A900A}"/>
    <cellStyle name="Normal 5 4 3 5 4" xfId="10297" xr:uid="{E7374948-CE50-41EE-AFC7-A3ED5FB69E31}"/>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B15673AD-F1A9-4D06-9D4D-F98A0D018573}"/>
    <cellStyle name="Normal 5 4 3 6 2 3" xfId="12855" xr:uid="{C843CF19-0CFD-456A-A86E-5C3E35889DE9}"/>
    <cellStyle name="Normal 5 4 3 6 3" xfId="6486" xr:uid="{00000000-0005-0000-0000-0000221B0000}"/>
    <cellStyle name="Normal 5 4 3 6 3 2" xfId="14928" xr:uid="{6DAA7713-6AD6-402E-91CF-DC1AC3B45580}"/>
    <cellStyle name="Normal 5 4 3 6 4" xfId="10710" xr:uid="{B76B3F64-E6A9-4916-8DFD-7EBEE42E1E88}"/>
    <cellStyle name="Normal 5 4 3 7" xfId="2615" xr:uid="{00000000-0005-0000-0000-0000231B0000}"/>
    <cellStyle name="Normal 5 4 3 7 2" xfId="6899" xr:uid="{00000000-0005-0000-0000-0000241B0000}"/>
    <cellStyle name="Normal 5 4 3 7 2 2" xfId="15341" xr:uid="{C99C1982-0BF7-4DF7-86A3-253853B918D0}"/>
    <cellStyle name="Normal 5 4 3 7 3" xfId="11123" xr:uid="{51F0A3AD-122D-48EA-862A-6E93E9A55859}"/>
    <cellStyle name="Normal 5 4 3 8" xfId="4834" xr:uid="{00000000-0005-0000-0000-0000251B0000}"/>
    <cellStyle name="Normal 5 4 3 8 2" xfId="13276" xr:uid="{6803AB5B-14D1-4F47-9456-006D136B9036}"/>
    <cellStyle name="Normal 5 4 3 9" xfId="9058" xr:uid="{81887C2E-939B-48DA-93FB-6976AF183411}"/>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C14268AE-936D-4EF2-9B1C-D78832D4412E}"/>
    <cellStyle name="Normal 5 4 4 2 2 3" xfId="11618" xr:uid="{90C5A287-F895-454C-A35F-57BA919ECB84}"/>
    <cellStyle name="Normal 5 4 4 2 3" xfId="5249" xr:uid="{00000000-0005-0000-0000-00002A1B0000}"/>
    <cellStyle name="Normal 5 4 4 2 3 2" xfId="13691" xr:uid="{67CAEF1F-D5C7-4105-A34F-41A14766C293}"/>
    <cellStyle name="Normal 5 4 4 2 4" xfId="9473" xr:uid="{A959E8E2-77DA-4F06-988B-EC8F9B91E4FF}"/>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A6051EE4-150E-40AE-9960-D0E3900EBA27}"/>
    <cellStyle name="Normal 5 4 4 3 2 3" xfId="12031" xr:uid="{03D072EF-3FCB-4F51-B369-67E018D42BF4}"/>
    <cellStyle name="Normal 5 4 4 3 3" xfId="5662" xr:uid="{00000000-0005-0000-0000-00002E1B0000}"/>
    <cellStyle name="Normal 5 4 4 3 3 2" xfId="14104" xr:uid="{CA878F09-3E96-40B4-9E4B-2DE234A7943A}"/>
    <cellStyle name="Normal 5 4 4 3 4" xfId="9886" xr:uid="{246E660E-72E3-45DB-AAE3-479FB0D9DF78}"/>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F0535D22-FC1E-465E-B4D9-003979C5C08D}"/>
    <cellStyle name="Normal 5 4 4 4 2 3" xfId="12444" xr:uid="{FBDB723C-51BF-4C4B-A07D-52922FFE188F}"/>
    <cellStyle name="Normal 5 4 4 4 3" xfId="6075" xr:uid="{00000000-0005-0000-0000-0000321B0000}"/>
    <cellStyle name="Normal 5 4 4 4 3 2" xfId="14517" xr:uid="{B4DB4908-C5BB-4054-BD36-6970540419C6}"/>
    <cellStyle name="Normal 5 4 4 4 4" xfId="10299" xr:uid="{AF1C8654-699E-4286-9108-396A677C8E1E}"/>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A1E507F5-1B3C-4696-B349-FEA4437660B9}"/>
    <cellStyle name="Normal 5 4 4 5 2 3" xfId="12857" xr:uid="{CD0446AF-F71B-412B-93FF-B8ACB7353DA9}"/>
    <cellStyle name="Normal 5 4 4 5 3" xfId="6488" xr:uid="{00000000-0005-0000-0000-0000361B0000}"/>
    <cellStyle name="Normal 5 4 4 5 3 2" xfId="14930" xr:uid="{68CB2EF9-9BC1-4E58-A3BA-A8D4C22B39FE}"/>
    <cellStyle name="Normal 5 4 4 5 4" xfId="10712" xr:uid="{73789F39-48BC-4882-BE7C-503B2E02CBBA}"/>
    <cellStyle name="Normal 5 4 4 6" xfId="2617" xr:uid="{00000000-0005-0000-0000-0000371B0000}"/>
    <cellStyle name="Normal 5 4 4 6 2" xfId="6901" xr:uid="{00000000-0005-0000-0000-0000381B0000}"/>
    <cellStyle name="Normal 5 4 4 6 2 2" xfId="15343" xr:uid="{D1F3D4E6-D17F-4C5B-B3E5-FFB3345345AC}"/>
    <cellStyle name="Normal 5 4 4 6 3" xfId="11125" xr:uid="{75BA3BB0-ECBE-498D-BFFB-B7B6E1D82E71}"/>
    <cellStyle name="Normal 5 4 4 7" xfId="4836" xr:uid="{00000000-0005-0000-0000-0000391B0000}"/>
    <cellStyle name="Normal 5 4 4 7 2" xfId="13278" xr:uid="{7043328E-E319-41D8-B887-92285C4AA838}"/>
    <cellStyle name="Normal 5 4 4 8" xfId="9060" xr:uid="{FB0B5075-6BAE-4615-B64D-E1C43FC467E1}"/>
    <cellStyle name="Normal 5 4 5" xfId="930" xr:uid="{00000000-0005-0000-0000-00003A1B0000}"/>
    <cellStyle name="Normal 5 4 5 2" xfId="3164" xr:uid="{00000000-0005-0000-0000-00003B1B0000}"/>
    <cellStyle name="Normal 5 4 5 2 2" xfId="7387" xr:uid="{00000000-0005-0000-0000-00003C1B0000}"/>
    <cellStyle name="Normal 5 4 5 2 2 2" xfId="15829" xr:uid="{6036980F-0237-4E0A-8E97-5D2F9F6DE1FD}"/>
    <cellStyle name="Normal 5 4 5 2 3" xfId="11611" xr:uid="{152AC7B5-D7F1-43F9-A8BA-67C9BCC16EDE}"/>
    <cellStyle name="Normal 5 4 5 3" xfId="5242" xr:uid="{00000000-0005-0000-0000-00003D1B0000}"/>
    <cellStyle name="Normal 5 4 5 3 2" xfId="13684" xr:uid="{332F50AB-69ED-44B0-B8E5-AADA1AAC2C4A}"/>
    <cellStyle name="Normal 5 4 5 4" xfId="9466" xr:uid="{A14B8A0D-0C29-4AE3-BF91-AA8335FDB169}"/>
    <cellStyle name="Normal 5 4 6" xfId="1347" xr:uid="{00000000-0005-0000-0000-00003E1B0000}"/>
    <cellStyle name="Normal 5 4 6 2" xfId="3577" xr:uid="{00000000-0005-0000-0000-00003F1B0000}"/>
    <cellStyle name="Normal 5 4 6 2 2" xfId="7800" xr:uid="{00000000-0005-0000-0000-0000401B0000}"/>
    <cellStyle name="Normal 5 4 6 2 2 2" xfId="16242" xr:uid="{93233A6D-0D24-42D5-98BD-E658B51818D0}"/>
    <cellStyle name="Normal 5 4 6 2 3" xfId="12024" xr:uid="{19069A29-6654-4AC8-ADBE-71C0A7E00E9B}"/>
    <cellStyle name="Normal 5 4 6 3" xfId="5655" xr:uid="{00000000-0005-0000-0000-0000411B0000}"/>
    <cellStyle name="Normal 5 4 6 3 2" xfId="14097" xr:uid="{BA5DC904-8C1C-44CE-AAA9-E98DDE7D849F}"/>
    <cellStyle name="Normal 5 4 6 4" xfId="9879" xr:uid="{88E6F43B-E4FE-4E4A-BEEC-526E7B2DC600}"/>
    <cellStyle name="Normal 5 4 7" xfId="1760" xr:uid="{00000000-0005-0000-0000-0000421B0000}"/>
    <cellStyle name="Normal 5 4 7 2" xfId="3990" xr:uid="{00000000-0005-0000-0000-0000431B0000}"/>
    <cellStyle name="Normal 5 4 7 2 2" xfId="8213" xr:uid="{00000000-0005-0000-0000-0000441B0000}"/>
    <cellStyle name="Normal 5 4 7 2 2 2" xfId="16655" xr:uid="{B39D5E94-3FD8-4130-94C3-FED10551398B}"/>
    <cellStyle name="Normal 5 4 7 2 3" xfId="12437" xr:uid="{92310FF4-AD4A-4476-B86D-94303A053AEA}"/>
    <cellStyle name="Normal 5 4 7 3" xfId="6068" xr:uid="{00000000-0005-0000-0000-0000451B0000}"/>
    <cellStyle name="Normal 5 4 7 3 2" xfId="14510" xr:uid="{92ADF3E4-8BB8-4085-859D-9220F4F60521}"/>
    <cellStyle name="Normal 5 4 7 4" xfId="10292" xr:uid="{63376CD9-2DE6-44E4-B2B9-7D24055989FC}"/>
    <cellStyle name="Normal 5 4 8" xfId="2174" xr:uid="{00000000-0005-0000-0000-0000461B0000}"/>
    <cellStyle name="Normal 5 4 8 2" xfId="4403" xr:uid="{00000000-0005-0000-0000-0000471B0000}"/>
    <cellStyle name="Normal 5 4 8 2 2" xfId="8626" xr:uid="{00000000-0005-0000-0000-0000481B0000}"/>
    <cellStyle name="Normal 5 4 8 2 2 2" xfId="17068" xr:uid="{058E2DED-C364-4F05-AED4-8789FC08046A}"/>
    <cellStyle name="Normal 5 4 8 2 3" xfId="12850" xr:uid="{0729A1B1-5619-433E-8A88-D2117E74F476}"/>
    <cellStyle name="Normal 5 4 8 3" xfId="6481" xr:uid="{00000000-0005-0000-0000-0000491B0000}"/>
    <cellStyle name="Normal 5 4 8 3 2" xfId="14923" xr:uid="{8B02AC4C-EF32-4150-81EE-B731B9759331}"/>
    <cellStyle name="Normal 5 4 8 4" xfId="10705" xr:uid="{59C4A11A-87D8-428E-AFCA-606B002FDEA4}"/>
    <cellStyle name="Normal 5 4 9" xfId="2610" xr:uid="{00000000-0005-0000-0000-00004A1B0000}"/>
    <cellStyle name="Normal 5 4 9 2" xfId="6894" xr:uid="{00000000-0005-0000-0000-00004B1B0000}"/>
    <cellStyle name="Normal 5 4 9 2 2" xfId="15336" xr:uid="{8C1CCE15-09EA-4E98-BF5E-551A6F17A1DF}"/>
    <cellStyle name="Normal 5 4 9 3" xfId="11118" xr:uid="{2A15C9B2-13CF-4409-841B-32702CDBB7B5}"/>
    <cellStyle name="Normal 5 5" xfId="464" xr:uid="{00000000-0005-0000-0000-00004C1B0000}"/>
    <cellStyle name="Normal 5 5 10" xfId="9061" xr:uid="{96F4ECB0-77DD-48A5-92A8-580FC7586856}"/>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7C75231C-D9B6-462D-9125-96E0CB687FFD}"/>
    <cellStyle name="Normal 5 5 2 2 2 2 3" xfId="11621" xr:uid="{4674186A-5544-460D-A9B1-7E4B96D5D272}"/>
    <cellStyle name="Normal 5 5 2 2 2 3" xfId="5252" xr:uid="{00000000-0005-0000-0000-0000521B0000}"/>
    <cellStyle name="Normal 5 5 2 2 2 3 2" xfId="13694" xr:uid="{81061020-1E65-455B-824F-BC77541E67A9}"/>
    <cellStyle name="Normal 5 5 2 2 2 4" xfId="9476" xr:uid="{DF50924B-4C5C-484D-8E3E-16AC5C847142}"/>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7CE42503-412F-4F94-9CB3-1FE264AB0CCA}"/>
    <cellStyle name="Normal 5 5 2 2 3 2 3" xfId="12034" xr:uid="{5F34495D-1B66-4536-AA86-2ACAB2BF991C}"/>
    <cellStyle name="Normal 5 5 2 2 3 3" xfId="5665" xr:uid="{00000000-0005-0000-0000-0000561B0000}"/>
    <cellStyle name="Normal 5 5 2 2 3 3 2" xfId="14107" xr:uid="{2D0D8870-BE49-4AEA-9FB9-4C5B066A51F7}"/>
    <cellStyle name="Normal 5 5 2 2 3 4" xfId="9889" xr:uid="{84BED8B6-38B0-4E56-922C-8950C81FB307}"/>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2474718B-C15C-41F6-91C6-A23B28BEE4FF}"/>
    <cellStyle name="Normal 5 5 2 2 4 2 3" xfId="12447" xr:uid="{2FFD7F16-F679-46FD-B95E-A25E694E6F9C}"/>
    <cellStyle name="Normal 5 5 2 2 4 3" xfId="6078" xr:uid="{00000000-0005-0000-0000-00005A1B0000}"/>
    <cellStyle name="Normal 5 5 2 2 4 3 2" xfId="14520" xr:uid="{23EDCA3D-9719-41F2-B6DA-6150A90DC4E4}"/>
    <cellStyle name="Normal 5 5 2 2 4 4" xfId="10302" xr:uid="{83587CCB-C3E9-4CC8-850A-6B5E15C1EA8B}"/>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3D8C0A06-FADD-4E00-BEA6-DC26EF254B55}"/>
    <cellStyle name="Normal 5 5 2 2 5 2 3" xfId="12860" xr:uid="{D91D7FCD-9F3D-41CC-B808-477FD9103EAC}"/>
    <cellStyle name="Normal 5 5 2 2 5 3" xfId="6491" xr:uid="{00000000-0005-0000-0000-00005E1B0000}"/>
    <cellStyle name="Normal 5 5 2 2 5 3 2" xfId="14933" xr:uid="{3AF80381-FD67-476F-A67F-A2D680B33078}"/>
    <cellStyle name="Normal 5 5 2 2 5 4" xfId="10715" xr:uid="{DCC972D2-D1B2-4245-AB1C-E80FC6BDB190}"/>
    <cellStyle name="Normal 5 5 2 2 6" xfId="2620" xr:uid="{00000000-0005-0000-0000-00005F1B0000}"/>
    <cellStyle name="Normal 5 5 2 2 6 2" xfId="6904" xr:uid="{00000000-0005-0000-0000-0000601B0000}"/>
    <cellStyle name="Normal 5 5 2 2 6 2 2" xfId="15346" xr:uid="{C88C7B25-1303-4A10-B63C-04D56FA32F53}"/>
    <cellStyle name="Normal 5 5 2 2 6 3" xfId="11128" xr:uid="{54B620FD-BCD1-4D4D-9535-B0C84A645E68}"/>
    <cellStyle name="Normal 5 5 2 2 7" xfId="4839" xr:uid="{00000000-0005-0000-0000-0000611B0000}"/>
    <cellStyle name="Normal 5 5 2 2 7 2" xfId="13281" xr:uid="{6338A073-279F-471B-84D9-7587EE6592E2}"/>
    <cellStyle name="Normal 5 5 2 2 8" xfId="9063" xr:uid="{63A72D31-C81E-4BB2-A14A-EFB94D9E88C1}"/>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A43884B3-426E-4462-B15B-AC4F01E9D513}"/>
    <cellStyle name="Normal 5 5 2 3 2 3" xfId="11620" xr:uid="{682394E2-49B0-45D4-AB7A-1BD76323F1F8}"/>
    <cellStyle name="Normal 5 5 2 3 3" xfId="5251" xr:uid="{00000000-0005-0000-0000-0000651B0000}"/>
    <cellStyle name="Normal 5 5 2 3 3 2" xfId="13693" xr:uid="{9EF96055-56E9-47BF-8B78-76126B3F7825}"/>
    <cellStyle name="Normal 5 5 2 3 4" xfId="9475" xr:uid="{68CC6A34-93C0-4E16-87A7-59E90B6A8EA6}"/>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556EF9E0-6482-4267-93FE-81375CF8E360}"/>
    <cellStyle name="Normal 5 5 2 4 2 3" xfId="12033" xr:uid="{1DE10A9D-0DFA-4576-BB46-DC3EDBB8540B}"/>
    <cellStyle name="Normal 5 5 2 4 3" xfId="5664" xr:uid="{00000000-0005-0000-0000-0000691B0000}"/>
    <cellStyle name="Normal 5 5 2 4 3 2" xfId="14106" xr:uid="{2AC43799-5C4B-4456-8123-784CEA8A4326}"/>
    <cellStyle name="Normal 5 5 2 4 4" xfId="9888" xr:uid="{C7AEE55E-6289-49B6-854A-361F87DE96FB}"/>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FBA9F9C3-AA57-49EF-893B-8802BF68A133}"/>
    <cellStyle name="Normal 5 5 2 5 2 3" xfId="12446" xr:uid="{4BAA948F-1C0F-4E98-8511-49932CA29021}"/>
    <cellStyle name="Normal 5 5 2 5 3" xfId="6077" xr:uid="{00000000-0005-0000-0000-00006D1B0000}"/>
    <cellStyle name="Normal 5 5 2 5 3 2" xfId="14519" xr:uid="{692B5081-CA19-4D71-A8EA-DD2CD2EE546D}"/>
    <cellStyle name="Normal 5 5 2 5 4" xfId="10301" xr:uid="{B8A38BE6-663F-4F6D-858C-E67F9A4C55B0}"/>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7AC901B1-8BB3-4897-8F7D-617CEEBB35AD}"/>
    <cellStyle name="Normal 5 5 2 6 2 3" xfId="12859" xr:uid="{C340C763-98C1-4131-849E-C814D93681DE}"/>
    <cellStyle name="Normal 5 5 2 6 3" xfId="6490" xr:uid="{00000000-0005-0000-0000-0000711B0000}"/>
    <cellStyle name="Normal 5 5 2 6 3 2" xfId="14932" xr:uid="{AF97E93D-9B76-4A87-BF48-506316E0DBC5}"/>
    <cellStyle name="Normal 5 5 2 6 4" xfId="10714" xr:uid="{D69014DD-D988-4661-BE63-9501E46A90A1}"/>
    <cellStyle name="Normal 5 5 2 7" xfId="2619" xr:uid="{00000000-0005-0000-0000-0000721B0000}"/>
    <cellStyle name="Normal 5 5 2 7 2" xfId="6903" xr:uid="{00000000-0005-0000-0000-0000731B0000}"/>
    <cellStyle name="Normal 5 5 2 7 2 2" xfId="15345" xr:uid="{61464AC5-C9DF-4877-92A3-3781BC349245}"/>
    <cellStyle name="Normal 5 5 2 7 3" xfId="11127" xr:uid="{1EAA6F1F-1FD2-4A4F-8B3F-F9CF2A46F852}"/>
    <cellStyle name="Normal 5 5 2 8" xfId="4838" xr:uid="{00000000-0005-0000-0000-0000741B0000}"/>
    <cellStyle name="Normal 5 5 2 8 2" xfId="13280" xr:uid="{4691C680-2E39-40AC-913A-29A14FEFFABE}"/>
    <cellStyle name="Normal 5 5 2 9" xfId="9062" xr:uid="{33C858EA-DA76-4655-BD8D-7EF69DE76A24}"/>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DF1F3344-6DAD-45CF-B9CB-B1077B280CA4}"/>
    <cellStyle name="Normal 5 5 3 2 2 3" xfId="11622" xr:uid="{7CF4D7A4-C458-4D87-94DA-7974F9663520}"/>
    <cellStyle name="Normal 5 5 3 2 3" xfId="5253" xr:uid="{00000000-0005-0000-0000-0000791B0000}"/>
    <cellStyle name="Normal 5 5 3 2 3 2" xfId="13695" xr:uid="{DCCDC6EC-84CF-4C56-B42C-4FE37E7E4139}"/>
    <cellStyle name="Normal 5 5 3 2 4" xfId="9477" xr:uid="{11388E67-9570-42FA-9481-CE8D7C4CFCB3}"/>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459A8EFE-40E3-4CEA-9AD7-D75097996ADE}"/>
    <cellStyle name="Normal 5 5 3 3 2 3" xfId="12035" xr:uid="{AF517350-456B-4943-A1F9-D5F1EE9A790A}"/>
    <cellStyle name="Normal 5 5 3 3 3" xfId="5666" xr:uid="{00000000-0005-0000-0000-00007D1B0000}"/>
    <cellStyle name="Normal 5 5 3 3 3 2" xfId="14108" xr:uid="{F0719294-DFCC-4C25-88BD-8CC404226D58}"/>
    <cellStyle name="Normal 5 5 3 3 4" xfId="9890" xr:uid="{8DA4BAE8-4FD2-4F60-BFAA-914A91245779}"/>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E2B298FA-153C-4FC2-9C05-D092780EA215}"/>
    <cellStyle name="Normal 5 5 3 4 2 3" xfId="12448" xr:uid="{6ACAC27F-3B17-47D5-ACEF-01E91482AD2A}"/>
    <cellStyle name="Normal 5 5 3 4 3" xfId="6079" xr:uid="{00000000-0005-0000-0000-0000811B0000}"/>
    <cellStyle name="Normal 5 5 3 4 3 2" xfId="14521" xr:uid="{2D232EA1-3CB7-4BE9-99AE-67436DD909EF}"/>
    <cellStyle name="Normal 5 5 3 4 4" xfId="10303" xr:uid="{8BABC5FF-5CFC-48C0-92E4-DB181DBD325B}"/>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5B70F72C-9031-40A8-856D-CA88587A1246}"/>
    <cellStyle name="Normal 5 5 3 5 2 3" xfId="12861" xr:uid="{92709220-DFD2-4E3A-8349-F3D991E82A34}"/>
    <cellStyle name="Normal 5 5 3 5 3" xfId="6492" xr:uid="{00000000-0005-0000-0000-0000851B0000}"/>
    <cellStyle name="Normal 5 5 3 5 3 2" xfId="14934" xr:uid="{BBEB8B47-E8F8-4006-93FF-C70D6094DA8E}"/>
    <cellStyle name="Normal 5 5 3 5 4" xfId="10716" xr:uid="{7A789BC7-74B0-47AB-92DD-B4ABC4215B99}"/>
    <cellStyle name="Normal 5 5 3 6" xfId="2621" xr:uid="{00000000-0005-0000-0000-0000861B0000}"/>
    <cellStyle name="Normal 5 5 3 6 2" xfId="6905" xr:uid="{00000000-0005-0000-0000-0000871B0000}"/>
    <cellStyle name="Normal 5 5 3 6 2 2" xfId="15347" xr:uid="{CF44FDD4-3F11-4316-BA42-3C37E2379308}"/>
    <cellStyle name="Normal 5 5 3 6 3" xfId="11129" xr:uid="{139A37D1-4857-42FA-9083-CEC899D533F5}"/>
    <cellStyle name="Normal 5 5 3 7" xfId="4840" xr:uid="{00000000-0005-0000-0000-0000881B0000}"/>
    <cellStyle name="Normal 5 5 3 7 2" xfId="13282" xr:uid="{CC432C23-5F18-4934-BBBB-A96F1E60DCE4}"/>
    <cellStyle name="Normal 5 5 3 8" xfId="9064" xr:uid="{ADD1D0E9-F406-4983-8E90-047CA3057B00}"/>
    <cellStyle name="Normal 5 5 4" xfId="938" xr:uid="{00000000-0005-0000-0000-0000891B0000}"/>
    <cellStyle name="Normal 5 5 4 2" xfId="3172" xr:uid="{00000000-0005-0000-0000-00008A1B0000}"/>
    <cellStyle name="Normal 5 5 4 2 2" xfId="7395" xr:uid="{00000000-0005-0000-0000-00008B1B0000}"/>
    <cellStyle name="Normal 5 5 4 2 2 2" xfId="15837" xr:uid="{CF3CFA7A-2F33-4336-9894-E591B00D6721}"/>
    <cellStyle name="Normal 5 5 4 2 3" xfId="11619" xr:uid="{8F182B34-1D40-46F9-B5C3-FE3A35CC9C3B}"/>
    <cellStyle name="Normal 5 5 4 3" xfId="5250" xr:uid="{00000000-0005-0000-0000-00008C1B0000}"/>
    <cellStyle name="Normal 5 5 4 3 2" xfId="13692" xr:uid="{B290D0C5-F7E3-46E6-BCB2-451EB6B262DD}"/>
    <cellStyle name="Normal 5 5 4 4" xfId="9474" xr:uid="{33BECAA3-993D-47B5-8BE3-184A183B38C9}"/>
    <cellStyle name="Normal 5 5 5" xfId="1355" xr:uid="{00000000-0005-0000-0000-00008D1B0000}"/>
    <cellStyle name="Normal 5 5 5 2" xfId="3585" xr:uid="{00000000-0005-0000-0000-00008E1B0000}"/>
    <cellStyle name="Normal 5 5 5 2 2" xfId="7808" xr:uid="{00000000-0005-0000-0000-00008F1B0000}"/>
    <cellStyle name="Normal 5 5 5 2 2 2" xfId="16250" xr:uid="{F8B2710F-357B-4D8D-AC53-F6046A10D95A}"/>
    <cellStyle name="Normal 5 5 5 2 3" xfId="12032" xr:uid="{9DF9CA75-8DC6-4532-9207-57BFB76F26A6}"/>
    <cellStyle name="Normal 5 5 5 3" xfId="5663" xr:uid="{00000000-0005-0000-0000-0000901B0000}"/>
    <cellStyle name="Normal 5 5 5 3 2" xfId="14105" xr:uid="{C203CF90-B19B-4F01-9FCC-06B3B63EB827}"/>
    <cellStyle name="Normal 5 5 5 4" xfId="9887" xr:uid="{6669B236-AC8A-4058-BB47-2CAFF3AB182A}"/>
    <cellStyle name="Normal 5 5 6" xfId="1768" xr:uid="{00000000-0005-0000-0000-0000911B0000}"/>
    <cellStyle name="Normal 5 5 6 2" xfId="3998" xr:uid="{00000000-0005-0000-0000-0000921B0000}"/>
    <cellStyle name="Normal 5 5 6 2 2" xfId="8221" xr:uid="{00000000-0005-0000-0000-0000931B0000}"/>
    <cellStyle name="Normal 5 5 6 2 2 2" xfId="16663" xr:uid="{5CDA39E9-DB17-4A58-AC5B-1FCB797EDECF}"/>
    <cellStyle name="Normal 5 5 6 2 3" xfId="12445" xr:uid="{C28FEF73-8F85-47A2-A32E-5EEC27210447}"/>
    <cellStyle name="Normal 5 5 6 3" xfId="6076" xr:uid="{00000000-0005-0000-0000-0000941B0000}"/>
    <cellStyle name="Normal 5 5 6 3 2" xfId="14518" xr:uid="{4EDE51E4-71CC-4FB9-8F10-E897FE2D36F8}"/>
    <cellStyle name="Normal 5 5 6 4" xfId="10300" xr:uid="{007C00A3-C28B-48AE-98F9-F93C53D55756}"/>
    <cellStyle name="Normal 5 5 7" xfId="2182" xr:uid="{00000000-0005-0000-0000-0000951B0000}"/>
    <cellStyle name="Normal 5 5 7 2" xfId="4411" xr:uid="{00000000-0005-0000-0000-0000961B0000}"/>
    <cellStyle name="Normal 5 5 7 2 2" xfId="8634" xr:uid="{00000000-0005-0000-0000-0000971B0000}"/>
    <cellStyle name="Normal 5 5 7 2 2 2" xfId="17076" xr:uid="{E6D19FC5-4202-43BD-81B7-50C2F2094446}"/>
    <cellStyle name="Normal 5 5 7 2 3" xfId="12858" xr:uid="{B9D00723-D8B6-48F6-A954-0974890CB3C3}"/>
    <cellStyle name="Normal 5 5 7 3" xfId="6489" xr:uid="{00000000-0005-0000-0000-0000981B0000}"/>
    <cellStyle name="Normal 5 5 7 3 2" xfId="14931" xr:uid="{7665F976-2075-4BFD-9C36-5B71E9BE5029}"/>
    <cellStyle name="Normal 5 5 7 4" xfId="10713" xr:uid="{AEDAE433-3E0A-4331-8AA3-509C1559B2F5}"/>
    <cellStyle name="Normal 5 5 8" xfId="2618" xr:uid="{00000000-0005-0000-0000-0000991B0000}"/>
    <cellStyle name="Normal 5 5 8 2" xfId="6902" xr:uid="{00000000-0005-0000-0000-00009A1B0000}"/>
    <cellStyle name="Normal 5 5 8 2 2" xfId="15344" xr:uid="{5FBB5268-55BC-420E-9A82-9256E5CD16DD}"/>
    <cellStyle name="Normal 5 5 8 3" xfId="11126" xr:uid="{11AF80FC-DD98-45A2-B3EA-154986369ACE}"/>
    <cellStyle name="Normal 5 5 9" xfId="4837" xr:uid="{00000000-0005-0000-0000-00009B1B0000}"/>
    <cellStyle name="Normal 5 5 9 2" xfId="13279" xr:uid="{81EB21FB-873D-4FBA-9D60-B04306F0C8AC}"/>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BF8C42FA-DC45-4F96-830F-87C2270ADB67}"/>
    <cellStyle name="Normal 5 6 2 2 2 3" xfId="11624" xr:uid="{335B8FD4-3064-4CEB-AEB9-4F61E7A8A084}"/>
    <cellStyle name="Normal 5 6 2 2 3" xfId="5255" xr:uid="{00000000-0005-0000-0000-0000A11B0000}"/>
    <cellStyle name="Normal 5 6 2 2 3 2" xfId="13697" xr:uid="{5286C26B-0FC1-4FC8-8A13-5B692212DE12}"/>
    <cellStyle name="Normal 5 6 2 2 4" xfId="9479" xr:uid="{22FFD39D-30AD-4162-9988-8CEF2FBD1E03}"/>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872A18A5-14FB-4F08-9D92-7271C7EE3734}"/>
    <cellStyle name="Normal 5 6 2 3 2 3" xfId="12037" xr:uid="{4B6AA66E-0526-4777-A990-DA7232F15224}"/>
    <cellStyle name="Normal 5 6 2 3 3" xfId="5668" xr:uid="{00000000-0005-0000-0000-0000A51B0000}"/>
    <cellStyle name="Normal 5 6 2 3 3 2" xfId="14110" xr:uid="{523DAE9C-2BDE-46DF-8F59-2A24C6B21846}"/>
    <cellStyle name="Normal 5 6 2 3 4" xfId="9892" xr:uid="{BB9D5B31-E506-47F2-B939-31E0D672375C}"/>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42232816-45D6-4FDC-8783-AE81C14B6C9D}"/>
    <cellStyle name="Normal 5 6 2 4 2 3" xfId="12450" xr:uid="{FBE8D45F-F35C-4CA1-BC88-ED991A932225}"/>
    <cellStyle name="Normal 5 6 2 4 3" xfId="6081" xr:uid="{00000000-0005-0000-0000-0000A91B0000}"/>
    <cellStyle name="Normal 5 6 2 4 3 2" xfId="14523" xr:uid="{E42C5BFF-B0F1-421A-BD4E-A7498454A451}"/>
    <cellStyle name="Normal 5 6 2 4 4" xfId="10305" xr:uid="{D75707FA-01B9-428D-B78D-32D4373F79F0}"/>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718DB082-D480-4DF8-906C-257F5B6F4137}"/>
    <cellStyle name="Normal 5 6 2 5 2 3" xfId="12863" xr:uid="{A59AA467-53FA-4531-9868-98FA43378DA6}"/>
    <cellStyle name="Normal 5 6 2 5 3" xfId="6494" xr:uid="{00000000-0005-0000-0000-0000AD1B0000}"/>
    <cellStyle name="Normal 5 6 2 5 3 2" xfId="14936" xr:uid="{93A6D7DC-CCBE-42BB-82FC-9523DA28A189}"/>
    <cellStyle name="Normal 5 6 2 5 4" xfId="10718" xr:uid="{B963700C-32A7-4BB8-8B9D-643E294A95DA}"/>
    <cellStyle name="Normal 5 6 2 6" xfId="2623" xr:uid="{00000000-0005-0000-0000-0000AE1B0000}"/>
    <cellStyle name="Normal 5 6 2 6 2" xfId="6907" xr:uid="{00000000-0005-0000-0000-0000AF1B0000}"/>
    <cellStyle name="Normal 5 6 2 6 2 2" xfId="15349" xr:uid="{EAF2FCB1-6E01-463B-8980-01712586737B}"/>
    <cellStyle name="Normal 5 6 2 6 3" xfId="11131" xr:uid="{32C46345-7B53-42C6-BA6D-A4B0FB98867C}"/>
    <cellStyle name="Normal 5 6 2 7" xfId="4842" xr:uid="{00000000-0005-0000-0000-0000B01B0000}"/>
    <cellStyle name="Normal 5 6 2 7 2" xfId="13284" xr:uid="{23379374-DC17-4BAE-A131-AE673C24530D}"/>
    <cellStyle name="Normal 5 6 2 8" xfId="9066" xr:uid="{E5E31E54-F190-466E-8649-3D0B8FA39E3E}"/>
    <cellStyle name="Normal 5 6 3" xfId="942" xr:uid="{00000000-0005-0000-0000-0000B11B0000}"/>
    <cellStyle name="Normal 5 6 3 2" xfId="3176" xr:uid="{00000000-0005-0000-0000-0000B21B0000}"/>
    <cellStyle name="Normal 5 6 3 2 2" xfId="7399" xr:uid="{00000000-0005-0000-0000-0000B31B0000}"/>
    <cellStyle name="Normal 5 6 3 2 2 2" xfId="15841" xr:uid="{A576D9CB-D76E-4A3F-A310-D6B2A365C5D5}"/>
    <cellStyle name="Normal 5 6 3 2 3" xfId="11623" xr:uid="{AA3D5011-FC7F-4A07-ACDB-A2E061F1A8C7}"/>
    <cellStyle name="Normal 5 6 3 3" xfId="5254" xr:uid="{00000000-0005-0000-0000-0000B41B0000}"/>
    <cellStyle name="Normal 5 6 3 3 2" xfId="13696" xr:uid="{527C8009-5F8E-4EF6-B3C9-1D15C5DF9511}"/>
    <cellStyle name="Normal 5 6 3 4" xfId="9478" xr:uid="{C938B6C0-FB56-4466-82F7-945BF48C0981}"/>
    <cellStyle name="Normal 5 6 4" xfId="1359" xr:uid="{00000000-0005-0000-0000-0000B51B0000}"/>
    <cellStyle name="Normal 5 6 4 2" xfId="3589" xr:uid="{00000000-0005-0000-0000-0000B61B0000}"/>
    <cellStyle name="Normal 5 6 4 2 2" xfId="7812" xr:uid="{00000000-0005-0000-0000-0000B71B0000}"/>
    <cellStyle name="Normal 5 6 4 2 2 2" xfId="16254" xr:uid="{58840AA9-CAB4-41A7-AEBA-985C6FECDEB6}"/>
    <cellStyle name="Normal 5 6 4 2 3" xfId="12036" xr:uid="{D0F8C719-EDD5-4D16-9643-2B41F6E91F7E}"/>
    <cellStyle name="Normal 5 6 4 3" xfId="5667" xr:uid="{00000000-0005-0000-0000-0000B81B0000}"/>
    <cellStyle name="Normal 5 6 4 3 2" xfId="14109" xr:uid="{B08B5888-6C89-429A-8C9B-2BEB99D83AF5}"/>
    <cellStyle name="Normal 5 6 4 4" xfId="9891" xr:uid="{407E8DCD-3BAB-4056-A621-EFD24F7CC8D6}"/>
    <cellStyle name="Normal 5 6 5" xfId="1772" xr:uid="{00000000-0005-0000-0000-0000B91B0000}"/>
    <cellStyle name="Normal 5 6 5 2" xfId="4002" xr:uid="{00000000-0005-0000-0000-0000BA1B0000}"/>
    <cellStyle name="Normal 5 6 5 2 2" xfId="8225" xr:uid="{00000000-0005-0000-0000-0000BB1B0000}"/>
    <cellStyle name="Normal 5 6 5 2 2 2" xfId="16667" xr:uid="{F85242F9-86DA-4C6C-B46B-8CF1F8CA8F11}"/>
    <cellStyle name="Normal 5 6 5 2 3" xfId="12449" xr:uid="{28DB50E8-1554-4A23-B0BB-3C1D31F0173B}"/>
    <cellStyle name="Normal 5 6 5 3" xfId="6080" xr:uid="{00000000-0005-0000-0000-0000BC1B0000}"/>
    <cellStyle name="Normal 5 6 5 3 2" xfId="14522" xr:uid="{87A30CD4-4FF6-4865-BCE7-368AC1EBFE60}"/>
    <cellStyle name="Normal 5 6 5 4" xfId="10304" xr:uid="{BD59ABEB-9D76-4FB9-896F-10FF4B1472C4}"/>
    <cellStyle name="Normal 5 6 6" xfId="2186" xr:uid="{00000000-0005-0000-0000-0000BD1B0000}"/>
    <cellStyle name="Normal 5 6 6 2" xfId="4415" xr:uid="{00000000-0005-0000-0000-0000BE1B0000}"/>
    <cellStyle name="Normal 5 6 6 2 2" xfId="8638" xr:uid="{00000000-0005-0000-0000-0000BF1B0000}"/>
    <cellStyle name="Normal 5 6 6 2 2 2" xfId="17080" xr:uid="{AB6E2146-729B-49F1-B8C1-43EF4C2C4373}"/>
    <cellStyle name="Normal 5 6 6 2 3" xfId="12862" xr:uid="{142E3657-02D0-4FD6-864C-8A2506B7E922}"/>
    <cellStyle name="Normal 5 6 6 3" xfId="6493" xr:uid="{00000000-0005-0000-0000-0000C01B0000}"/>
    <cellStyle name="Normal 5 6 6 3 2" xfId="14935" xr:uid="{E3785FC5-D997-467F-8BA7-E0FA6A433B87}"/>
    <cellStyle name="Normal 5 6 6 4" xfId="10717" xr:uid="{9FFDDB23-E2C5-4D80-AFD4-24E210C8674B}"/>
    <cellStyle name="Normal 5 6 7" xfId="2622" xr:uid="{00000000-0005-0000-0000-0000C11B0000}"/>
    <cellStyle name="Normal 5 6 7 2" xfId="6906" xr:uid="{00000000-0005-0000-0000-0000C21B0000}"/>
    <cellStyle name="Normal 5 6 7 2 2" xfId="15348" xr:uid="{6B7A0C27-CF36-4D79-B4AD-73AF6BA01476}"/>
    <cellStyle name="Normal 5 6 7 3" xfId="11130" xr:uid="{9F58C650-844D-4F6D-BBE5-E1C885FE35FE}"/>
    <cellStyle name="Normal 5 6 8" xfId="4841" xr:uid="{00000000-0005-0000-0000-0000C31B0000}"/>
    <cellStyle name="Normal 5 6 8 2" xfId="13283" xr:uid="{6A976987-DD22-4F03-B880-0F22CEC3F211}"/>
    <cellStyle name="Normal 5 6 9" xfId="9065" xr:uid="{DF2F01B4-659B-41A6-B9AF-A11DDC185E5E}"/>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85D396BF-2088-467C-B4A1-96726BA7BD32}"/>
    <cellStyle name="Normal 5 7 2 2 3" xfId="11625" xr:uid="{1541AA02-E728-43FB-8354-096E4209FC1A}"/>
    <cellStyle name="Normal 5 7 2 3" xfId="5256" xr:uid="{00000000-0005-0000-0000-0000C81B0000}"/>
    <cellStyle name="Normal 5 7 2 3 2" xfId="13698" xr:uid="{166C19E0-80E6-402F-A7E0-086E0FE6EACC}"/>
    <cellStyle name="Normal 5 7 2 4" xfId="9480" xr:uid="{ECA58590-7F15-4999-B4EF-584877A9AF79}"/>
    <cellStyle name="Normal 5 7 3" xfId="1361" xr:uid="{00000000-0005-0000-0000-0000C91B0000}"/>
    <cellStyle name="Normal 5 7 3 2" xfId="3591" xr:uid="{00000000-0005-0000-0000-0000CA1B0000}"/>
    <cellStyle name="Normal 5 7 3 2 2" xfId="7814" xr:uid="{00000000-0005-0000-0000-0000CB1B0000}"/>
    <cellStyle name="Normal 5 7 3 2 2 2" xfId="16256" xr:uid="{B33E2CD1-985B-43D0-B1B4-8842A38BF3F2}"/>
    <cellStyle name="Normal 5 7 3 2 3" xfId="12038" xr:uid="{AE1EBF2C-CA2C-4697-B767-9234FDE7A09A}"/>
    <cellStyle name="Normal 5 7 3 3" xfId="5669" xr:uid="{00000000-0005-0000-0000-0000CC1B0000}"/>
    <cellStyle name="Normal 5 7 3 3 2" xfId="14111" xr:uid="{96114975-83C4-49FD-BE2F-45434CA33DD5}"/>
    <cellStyle name="Normal 5 7 3 4" xfId="9893" xr:uid="{99DD9DDC-01DA-4630-848B-766AD73DAE16}"/>
    <cellStyle name="Normal 5 7 4" xfId="1774" xr:uid="{00000000-0005-0000-0000-0000CD1B0000}"/>
    <cellStyle name="Normal 5 7 4 2" xfId="4004" xr:uid="{00000000-0005-0000-0000-0000CE1B0000}"/>
    <cellStyle name="Normal 5 7 4 2 2" xfId="8227" xr:uid="{00000000-0005-0000-0000-0000CF1B0000}"/>
    <cellStyle name="Normal 5 7 4 2 2 2" xfId="16669" xr:uid="{7DCEEDE5-D063-45AB-91A9-EF6A0FA4D6F5}"/>
    <cellStyle name="Normal 5 7 4 2 3" xfId="12451" xr:uid="{3D2B9C9D-3B85-42AC-B464-4B4CFC7EC892}"/>
    <cellStyle name="Normal 5 7 4 3" xfId="6082" xr:uid="{00000000-0005-0000-0000-0000D01B0000}"/>
    <cellStyle name="Normal 5 7 4 3 2" xfId="14524" xr:uid="{0FCFE195-0199-4892-BDD4-D8CEF0DBFC2E}"/>
    <cellStyle name="Normal 5 7 4 4" xfId="10306" xr:uid="{2240EBB7-B4AE-48B0-A725-67F58988D669}"/>
    <cellStyle name="Normal 5 7 5" xfId="2188" xr:uid="{00000000-0005-0000-0000-0000D11B0000}"/>
    <cellStyle name="Normal 5 7 5 2" xfId="4417" xr:uid="{00000000-0005-0000-0000-0000D21B0000}"/>
    <cellStyle name="Normal 5 7 5 2 2" xfId="8640" xr:uid="{00000000-0005-0000-0000-0000D31B0000}"/>
    <cellStyle name="Normal 5 7 5 2 2 2" xfId="17082" xr:uid="{BA09E51F-7A02-4731-90F1-61D2A939FB1F}"/>
    <cellStyle name="Normal 5 7 5 2 3" xfId="12864" xr:uid="{A009315A-BC35-4ECC-8469-9D8DF82DE88C}"/>
    <cellStyle name="Normal 5 7 5 3" xfId="6495" xr:uid="{00000000-0005-0000-0000-0000D41B0000}"/>
    <cellStyle name="Normal 5 7 5 3 2" xfId="14937" xr:uid="{D305CD0B-F4F8-4370-86EE-C64C7A21BA3B}"/>
    <cellStyle name="Normal 5 7 5 4" xfId="10719" xr:uid="{2333E207-AF84-4920-8D25-0A0B4F6853FE}"/>
    <cellStyle name="Normal 5 7 6" xfId="2624" xr:uid="{00000000-0005-0000-0000-0000D51B0000}"/>
    <cellStyle name="Normal 5 7 6 2" xfId="6908" xr:uid="{00000000-0005-0000-0000-0000D61B0000}"/>
    <cellStyle name="Normal 5 7 6 2 2" xfId="15350" xr:uid="{4C181F7C-8669-4E27-9C44-26664B4C593B}"/>
    <cellStyle name="Normal 5 7 6 3" xfId="11132" xr:uid="{A8502E59-945C-4BC7-AACD-7CB014054B31}"/>
    <cellStyle name="Normal 5 7 7" xfId="4843" xr:uid="{00000000-0005-0000-0000-0000D71B0000}"/>
    <cellStyle name="Normal 5 7 7 2" xfId="13285" xr:uid="{4E5857CA-D26F-4A5C-8B57-8DA19C20F07D}"/>
    <cellStyle name="Normal 5 7 8" xfId="9067" xr:uid="{4066EC3D-6EF1-407E-97E6-6ED43FCD78A5}"/>
    <cellStyle name="Normal 5 8" xfId="880" xr:uid="{00000000-0005-0000-0000-0000D81B0000}"/>
    <cellStyle name="Normal 5 8 2" xfId="3115" xr:uid="{00000000-0005-0000-0000-0000D91B0000}"/>
    <cellStyle name="Normal 5 8 2 2" xfId="7338" xr:uid="{00000000-0005-0000-0000-0000DA1B0000}"/>
    <cellStyle name="Normal 5 8 2 2 2" xfId="15780" xr:uid="{9DAEB0FB-2F37-40DA-80A8-4CF744419C5F}"/>
    <cellStyle name="Normal 5 8 2 3" xfId="11562" xr:uid="{E7D3E9D5-7237-4592-9B55-E48BA1A6918C}"/>
    <cellStyle name="Normal 5 8 3" xfId="5193" xr:uid="{00000000-0005-0000-0000-0000DB1B0000}"/>
    <cellStyle name="Normal 5 8 3 2" xfId="13635" xr:uid="{763999A8-5EF9-4806-9962-A46C575E09DB}"/>
    <cellStyle name="Normal 5 8 4" xfId="9417" xr:uid="{E133432E-8F5B-4C01-A41D-F9D04293D140}"/>
    <cellStyle name="Normal 5 9" xfId="1298" xr:uid="{00000000-0005-0000-0000-0000DC1B0000}"/>
    <cellStyle name="Normal 5 9 2" xfId="3528" xr:uid="{00000000-0005-0000-0000-0000DD1B0000}"/>
    <cellStyle name="Normal 5 9 2 2" xfId="7751" xr:uid="{00000000-0005-0000-0000-0000DE1B0000}"/>
    <cellStyle name="Normal 5 9 2 2 2" xfId="16193" xr:uid="{26A6603F-E624-4E78-9F66-8893654F03BF}"/>
    <cellStyle name="Normal 5 9 2 3" xfId="11975" xr:uid="{C271E8F5-7AC8-48AD-A315-3284D1E0BC51}"/>
    <cellStyle name="Normal 5 9 3" xfId="5606" xr:uid="{00000000-0005-0000-0000-0000DF1B0000}"/>
    <cellStyle name="Normal 5 9 3 2" xfId="14048" xr:uid="{B07CCBC7-0238-4CA3-8633-949267C38B19}"/>
    <cellStyle name="Normal 5 9 4" xfId="9830" xr:uid="{B1C5DD60-E259-4B81-88E1-E86811ACF55A}"/>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B20365ED-E085-459D-B4A7-42B24C81E09F}"/>
    <cellStyle name="Normal 8 10 2 3" xfId="12865" xr:uid="{174C4204-682D-4015-B36B-09A9BF87EF2B}"/>
    <cellStyle name="Normal 8 10 3" xfId="6496" xr:uid="{00000000-0005-0000-0000-0000EB1B0000}"/>
    <cellStyle name="Normal 8 10 3 2" xfId="14938" xr:uid="{B2339EF2-CC9A-41F8-AA7A-774337E8D430}"/>
    <cellStyle name="Normal 8 10 4" xfId="10720" xr:uid="{A439D5A6-EFF1-4CCC-B452-9866D029B496}"/>
    <cellStyle name="Normal 8 11" xfId="2625" xr:uid="{00000000-0005-0000-0000-0000EC1B0000}"/>
    <cellStyle name="Normal 8 11 2" xfId="6909" xr:uid="{00000000-0005-0000-0000-0000ED1B0000}"/>
    <cellStyle name="Normal 8 11 2 2" xfId="15351" xr:uid="{75E4EDCA-25E7-4EB1-956E-27BC2A1115F2}"/>
    <cellStyle name="Normal 8 11 3" xfId="11133" xr:uid="{BC8D44EB-2D98-4BD6-8C80-ABB924EAB900}"/>
    <cellStyle name="Normal 8 12" xfId="4844" xr:uid="{00000000-0005-0000-0000-0000EE1B0000}"/>
    <cellStyle name="Normal 8 12 2" xfId="13286" xr:uid="{6472CB55-372F-450A-BF81-5FA488CBF638}"/>
    <cellStyle name="Normal 8 13" xfId="9068" xr:uid="{1CCC3171-63F4-4D53-B768-A95991095A5E}"/>
    <cellStyle name="Normal 8 2" xfId="479" xr:uid="{00000000-0005-0000-0000-0000EF1B0000}"/>
    <cellStyle name="Normal 8 2 10" xfId="2626" xr:uid="{00000000-0005-0000-0000-0000F01B0000}"/>
    <cellStyle name="Normal 8 2 10 2" xfId="6910" xr:uid="{00000000-0005-0000-0000-0000F11B0000}"/>
    <cellStyle name="Normal 8 2 10 2 2" xfId="15352" xr:uid="{9B45C51D-5DDA-4C3D-961C-6C78CB4603E2}"/>
    <cellStyle name="Normal 8 2 10 3" xfId="11134" xr:uid="{EA81578C-141A-48E3-BE62-11111CEA3582}"/>
    <cellStyle name="Normal 8 2 11" xfId="4845" xr:uid="{00000000-0005-0000-0000-0000F21B0000}"/>
    <cellStyle name="Normal 8 2 11 2" xfId="13287" xr:uid="{AEC737EB-4259-4A54-90F7-C4729D3C7D5E}"/>
    <cellStyle name="Normal 8 2 12" xfId="9069" xr:uid="{A30C7092-E7C9-4236-A536-852D569C4940}"/>
    <cellStyle name="Normal 8 2 2" xfId="480" xr:uid="{00000000-0005-0000-0000-0000F31B0000}"/>
    <cellStyle name="Normal 8 2 2 10" xfId="4846" xr:uid="{00000000-0005-0000-0000-0000F41B0000}"/>
    <cellStyle name="Normal 8 2 2 10 2" xfId="13288" xr:uid="{F697BA30-43A7-4E79-8CCD-7D6FC90B89B0}"/>
    <cellStyle name="Normal 8 2 2 11" xfId="9070" xr:uid="{530FF3FE-CC98-4572-B08F-274254336404}"/>
    <cellStyle name="Normal 8 2 2 2" xfId="481" xr:uid="{00000000-0005-0000-0000-0000F51B0000}"/>
    <cellStyle name="Normal 8 2 2 2 10" xfId="9071" xr:uid="{8F157B4C-180C-423E-9C1A-9D7A11AA93A1}"/>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A2B02A2E-28EB-4D1D-9728-75DB355A5A3D}"/>
    <cellStyle name="Normal 8 2 2 2 2 2 2 2 3" xfId="11631" xr:uid="{41E95CAE-0FB9-4138-8D02-E78A9D358F32}"/>
    <cellStyle name="Normal 8 2 2 2 2 2 2 3" xfId="5262" xr:uid="{00000000-0005-0000-0000-0000FB1B0000}"/>
    <cellStyle name="Normal 8 2 2 2 2 2 2 3 2" xfId="13704" xr:uid="{1CD8C399-236C-487F-8A03-241F78177DA5}"/>
    <cellStyle name="Normal 8 2 2 2 2 2 2 4" xfId="9486" xr:uid="{9C26F3B8-E0FF-4652-B883-0B4BED593675}"/>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F8A0829F-28B2-4275-9642-D64903FFF96C}"/>
    <cellStyle name="Normal 8 2 2 2 2 2 3 2 3" xfId="12044" xr:uid="{0C478E67-0FA9-4FF2-8EE5-C281FDD32540}"/>
    <cellStyle name="Normal 8 2 2 2 2 2 3 3" xfId="5675" xr:uid="{00000000-0005-0000-0000-0000FF1B0000}"/>
    <cellStyle name="Normal 8 2 2 2 2 2 3 3 2" xfId="14117" xr:uid="{DFFC4F11-6F8A-4AE9-991C-9B803B29B5DC}"/>
    <cellStyle name="Normal 8 2 2 2 2 2 3 4" xfId="9899" xr:uid="{C2F4F35A-97AC-4291-88E3-659CE06FDA1C}"/>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F254ED34-CDE5-455B-828A-C7D62555EF1E}"/>
    <cellStyle name="Normal 8 2 2 2 2 2 4 2 3" xfId="12457" xr:uid="{C7B55CC2-E769-494A-9BDD-CD33C724ABBA}"/>
    <cellStyle name="Normal 8 2 2 2 2 2 4 3" xfId="6088" xr:uid="{00000000-0005-0000-0000-0000031C0000}"/>
    <cellStyle name="Normal 8 2 2 2 2 2 4 3 2" xfId="14530" xr:uid="{71A096D9-E200-42FB-AB36-3491798DDE07}"/>
    <cellStyle name="Normal 8 2 2 2 2 2 4 4" xfId="10312" xr:uid="{7D57D9CE-9163-4E3E-807E-AFF9A3B46CBA}"/>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6568D066-1F5F-47FD-BE2E-D4AA3BCB7C88}"/>
    <cellStyle name="Normal 8 2 2 2 2 2 5 2 3" xfId="12870" xr:uid="{9BACC94B-90FB-447C-B54C-54833EF24209}"/>
    <cellStyle name="Normal 8 2 2 2 2 2 5 3" xfId="6501" xr:uid="{00000000-0005-0000-0000-0000071C0000}"/>
    <cellStyle name="Normal 8 2 2 2 2 2 5 3 2" xfId="14943" xr:uid="{C5577A5C-4A8F-43E5-A9AC-862E5A255E0F}"/>
    <cellStyle name="Normal 8 2 2 2 2 2 5 4" xfId="10725" xr:uid="{A0860E59-1E01-4660-8F80-598283F72391}"/>
    <cellStyle name="Normal 8 2 2 2 2 2 6" xfId="2630" xr:uid="{00000000-0005-0000-0000-0000081C0000}"/>
    <cellStyle name="Normal 8 2 2 2 2 2 6 2" xfId="6914" xr:uid="{00000000-0005-0000-0000-0000091C0000}"/>
    <cellStyle name="Normal 8 2 2 2 2 2 6 2 2" xfId="15356" xr:uid="{F1A4ACBD-F224-447A-9D3E-F75797F32D13}"/>
    <cellStyle name="Normal 8 2 2 2 2 2 6 3" xfId="11138" xr:uid="{E16851DD-C8F7-4A96-9472-67FF86BA5574}"/>
    <cellStyle name="Normal 8 2 2 2 2 2 7" xfId="4849" xr:uid="{00000000-0005-0000-0000-00000A1C0000}"/>
    <cellStyle name="Normal 8 2 2 2 2 2 7 2" xfId="13291" xr:uid="{126B1B5B-6CA6-4837-A79C-E30ACCF55BEE}"/>
    <cellStyle name="Normal 8 2 2 2 2 2 8" xfId="9073" xr:uid="{E285C13E-82EC-487E-8F6F-B50E1FE6D23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6CA9A0BC-E00E-405A-90D8-7EADBE564A36}"/>
    <cellStyle name="Normal 8 2 2 2 2 3 2 3" xfId="11630" xr:uid="{53E47401-F65A-472C-8205-A1B1C078171F}"/>
    <cellStyle name="Normal 8 2 2 2 2 3 3" xfId="5261" xr:uid="{00000000-0005-0000-0000-00000E1C0000}"/>
    <cellStyle name="Normal 8 2 2 2 2 3 3 2" xfId="13703" xr:uid="{794A8BFC-531C-49C6-95C0-3A8F4401A5FC}"/>
    <cellStyle name="Normal 8 2 2 2 2 3 4" xfId="9485" xr:uid="{4F08A4A3-7AA4-4E76-B60D-BF92721CAE1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0D273D6F-C093-49A0-8942-200ED07008BD}"/>
    <cellStyle name="Normal 8 2 2 2 2 4 2 3" xfId="12043" xr:uid="{3FC6009D-425B-4F68-8D30-FA580B5BF368}"/>
    <cellStyle name="Normal 8 2 2 2 2 4 3" xfId="5674" xr:uid="{00000000-0005-0000-0000-0000121C0000}"/>
    <cellStyle name="Normal 8 2 2 2 2 4 3 2" xfId="14116" xr:uid="{F5918031-0783-45AE-8254-668BC5AA5570}"/>
    <cellStyle name="Normal 8 2 2 2 2 4 4" xfId="9898" xr:uid="{B421EDF1-25DD-43E8-8BF6-5CA7809E97EC}"/>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345B22A2-1B68-4FA1-823F-207AF3AD9260}"/>
    <cellStyle name="Normal 8 2 2 2 2 5 2 3" xfId="12456" xr:uid="{E4292DDD-61D6-4515-B9C5-FB0A032A2E12}"/>
    <cellStyle name="Normal 8 2 2 2 2 5 3" xfId="6087" xr:uid="{00000000-0005-0000-0000-0000161C0000}"/>
    <cellStyle name="Normal 8 2 2 2 2 5 3 2" xfId="14529" xr:uid="{642965B5-6861-4226-A726-F797CCAA6917}"/>
    <cellStyle name="Normal 8 2 2 2 2 5 4" xfId="10311" xr:uid="{9686EFDC-DFEC-4E1A-8DA5-C262FBC616F4}"/>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BE748F0E-7468-46F9-93DA-2AEDAEB90E33}"/>
    <cellStyle name="Normal 8 2 2 2 2 6 2 3" xfId="12869" xr:uid="{0528FA56-BDEE-4D17-B905-E41C0C070289}"/>
    <cellStyle name="Normal 8 2 2 2 2 6 3" xfId="6500" xr:uid="{00000000-0005-0000-0000-00001A1C0000}"/>
    <cellStyle name="Normal 8 2 2 2 2 6 3 2" xfId="14942" xr:uid="{3440867E-814A-476D-B864-43BB9B7E6BC3}"/>
    <cellStyle name="Normal 8 2 2 2 2 6 4" xfId="10724" xr:uid="{987029F6-1255-4A55-9CD0-9FD100CE8435}"/>
    <cellStyle name="Normal 8 2 2 2 2 7" xfId="2629" xr:uid="{00000000-0005-0000-0000-00001B1C0000}"/>
    <cellStyle name="Normal 8 2 2 2 2 7 2" xfId="6913" xr:uid="{00000000-0005-0000-0000-00001C1C0000}"/>
    <cellStyle name="Normal 8 2 2 2 2 7 2 2" xfId="15355" xr:uid="{92224C18-A518-40BB-82C1-1F08FDB4BB5A}"/>
    <cellStyle name="Normal 8 2 2 2 2 7 3" xfId="11137" xr:uid="{BC9CCB41-98AE-4558-8ED6-73EBD62963F3}"/>
    <cellStyle name="Normal 8 2 2 2 2 8" xfId="4848" xr:uid="{00000000-0005-0000-0000-00001D1C0000}"/>
    <cellStyle name="Normal 8 2 2 2 2 8 2" xfId="13290" xr:uid="{FE0389DE-E708-4CB6-9E65-62DC2CDFBB56}"/>
    <cellStyle name="Normal 8 2 2 2 2 9" xfId="9072" xr:uid="{99D1C96C-3FDF-47FC-9778-C26B72622407}"/>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3E733102-406F-4374-B15A-2307D0F6DD13}"/>
    <cellStyle name="Normal 8 2 2 2 3 2 2 3" xfId="11632" xr:uid="{5B577E85-34DE-4CBF-A73C-B4B1D1426CCF}"/>
    <cellStyle name="Normal 8 2 2 2 3 2 3" xfId="5263" xr:uid="{00000000-0005-0000-0000-0000221C0000}"/>
    <cellStyle name="Normal 8 2 2 2 3 2 3 2" xfId="13705" xr:uid="{6B4C595A-A7FB-421C-8C24-C999631C3291}"/>
    <cellStyle name="Normal 8 2 2 2 3 2 4" xfId="9487" xr:uid="{76EE7551-5302-4543-AFD8-4C9E431574AB}"/>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59E452F3-5CEB-4BB4-8ADB-9FE89FD9513C}"/>
    <cellStyle name="Normal 8 2 2 2 3 3 2 3" xfId="12045" xr:uid="{D12DC7D4-A531-4145-9924-980EE3E2E08F}"/>
    <cellStyle name="Normal 8 2 2 2 3 3 3" xfId="5676" xr:uid="{00000000-0005-0000-0000-0000261C0000}"/>
    <cellStyle name="Normal 8 2 2 2 3 3 3 2" xfId="14118" xr:uid="{2627A93E-5A41-4AAB-B7BA-E5A436E4A315}"/>
    <cellStyle name="Normal 8 2 2 2 3 3 4" xfId="9900" xr:uid="{91465C38-9D5D-4A9C-A391-BABE7977116E}"/>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06766838-CD3F-4BBB-975F-663BDA770D99}"/>
    <cellStyle name="Normal 8 2 2 2 3 4 2 3" xfId="12458" xr:uid="{56981A86-D759-46F7-88EF-7DF334B2BFEE}"/>
    <cellStyle name="Normal 8 2 2 2 3 4 3" xfId="6089" xr:uid="{00000000-0005-0000-0000-00002A1C0000}"/>
    <cellStyle name="Normal 8 2 2 2 3 4 3 2" xfId="14531" xr:uid="{4A7C1A52-F660-4CAE-B183-DC09FBD68AB7}"/>
    <cellStyle name="Normal 8 2 2 2 3 4 4" xfId="10313" xr:uid="{76F13F3C-B76E-46B2-A4DF-0CDFC959A152}"/>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78C3DCA2-2157-4143-A1F6-64EE6FCAEA7C}"/>
    <cellStyle name="Normal 8 2 2 2 3 5 2 3" xfId="12871" xr:uid="{D25D868A-C397-4BF5-A833-6D8142DA46B9}"/>
    <cellStyle name="Normal 8 2 2 2 3 5 3" xfId="6502" xr:uid="{00000000-0005-0000-0000-00002E1C0000}"/>
    <cellStyle name="Normal 8 2 2 2 3 5 3 2" xfId="14944" xr:uid="{43CD0EE7-B51C-4C10-A9E3-BF98A7E1A9DA}"/>
    <cellStyle name="Normal 8 2 2 2 3 5 4" xfId="10726" xr:uid="{E327CA04-5031-4E14-AD0F-0482FC727521}"/>
    <cellStyle name="Normal 8 2 2 2 3 6" xfId="2631" xr:uid="{00000000-0005-0000-0000-00002F1C0000}"/>
    <cellStyle name="Normal 8 2 2 2 3 6 2" xfId="6915" xr:uid="{00000000-0005-0000-0000-0000301C0000}"/>
    <cellStyle name="Normal 8 2 2 2 3 6 2 2" xfId="15357" xr:uid="{9079DF47-EB00-4DCA-B98A-1DDA153536FA}"/>
    <cellStyle name="Normal 8 2 2 2 3 6 3" xfId="11139" xr:uid="{15968258-D110-4FD3-A7BC-042B35B10C6D}"/>
    <cellStyle name="Normal 8 2 2 2 3 7" xfId="4850" xr:uid="{00000000-0005-0000-0000-0000311C0000}"/>
    <cellStyle name="Normal 8 2 2 2 3 7 2" xfId="13292" xr:uid="{C2D3A442-D825-4AC8-945D-1017214C98AD}"/>
    <cellStyle name="Normal 8 2 2 2 3 8" xfId="9074" xr:uid="{7702BB5F-80DF-4EE4-B59C-94D0B71999D0}"/>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DB41C30C-B820-4008-B6BE-0DD1D6623BFC}"/>
    <cellStyle name="Normal 8 2 2 2 4 2 3" xfId="11629" xr:uid="{9EFDE55C-33F1-461E-8D1E-3469C8CA81C8}"/>
    <cellStyle name="Normal 8 2 2 2 4 3" xfId="5260" xr:uid="{00000000-0005-0000-0000-0000351C0000}"/>
    <cellStyle name="Normal 8 2 2 2 4 3 2" xfId="13702" xr:uid="{C202751E-DE16-4F68-B827-69101CCD524D}"/>
    <cellStyle name="Normal 8 2 2 2 4 4" xfId="9484" xr:uid="{EB0D06A0-7A5F-4CE0-B6FA-B457EBDF9AB5}"/>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C66C66F4-DE80-44EE-8123-201B3F00CC65}"/>
    <cellStyle name="Normal 8 2 2 2 5 2 3" xfId="12042" xr:uid="{6753FC9B-5466-420D-B996-7221019E2F8C}"/>
    <cellStyle name="Normal 8 2 2 2 5 3" xfId="5673" xr:uid="{00000000-0005-0000-0000-0000391C0000}"/>
    <cellStyle name="Normal 8 2 2 2 5 3 2" xfId="14115" xr:uid="{E26AA9BF-F2A5-4BA2-A77F-530C7ABFC449}"/>
    <cellStyle name="Normal 8 2 2 2 5 4" xfId="9897" xr:uid="{BD93425C-88E8-49D0-AA20-79C0BA164A1C}"/>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BB349C66-8004-4932-9350-59EF243F4DD3}"/>
    <cellStyle name="Normal 8 2 2 2 6 2 3" xfId="12455" xr:uid="{3B5D208D-BCD7-4FB1-84FA-488BC91B6B77}"/>
    <cellStyle name="Normal 8 2 2 2 6 3" xfId="6086" xr:uid="{00000000-0005-0000-0000-00003D1C0000}"/>
    <cellStyle name="Normal 8 2 2 2 6 3 2" xfId="14528" xr:uid="{1E25F85D-497E-487B-B9CD-7173C3ADBA76}"/>
    <cellStyle name="Normal 8 2 2 2 6 4" xfId="10310" xr:uid="{14A1D830-B490-4558-ABAA-BE061C99FC40}"/>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98909CED-D104-4AA2-B182-82DA183A5EE6}"/>
    <cellStyle name="Normal 8 2 2 2 7 2 3" xfId="12868" xr:uid="{51042576-3689-41F5-91EF-8E973E5D7698}"/>
    <cellStyle name="Normal 8 2 2 2 7 3" xfId="6499" xr:uid="{00000000-0005-0000-0000-0000411C0000}"/>
    <cellStyle name="Normal 8 2 2 2 7 3 2" xfId="14941" xr:uid="{A39DDB19-5DA7-438C-9B30-5C99B213FE0E}"/>
    <cellStyle name="Normal 8 2 2 2 7 4" xfId="10723" xr:uid="{95A99E5B-294A-4664-B3CD-6ADF425DFFFC}"/>
    <cellStyle name="Normal 8 2 2 2 8" xfId="2628" xr:uid="{00000000-0005-0000-0000-0000421C0000}"/>
    <cellStyle name="Normal 8 2 2 2 8 2" xfId="6912" xr:uid="{00000000-0005-0000-0000-0000431C0000}"/>
    <cellStyle name="Normal 8 2 2 2 8 2 2" xfId="15354" xr:uid="{C9F59FE3-CBBC-4EA1-B664-2235A6A8FB4A}"/>
    <cellStyle name="Normal 8 2 2 2 8 3" xfId="11136" xr:uid="{B37C66AA-99FB-49DE-81FD-C90731AE5AC5}"/>
    <cellStyle name="Normal 8 2 2 2 9" xfId="4847" xr:uid="{00000000-0005-0000-0000-0000441C0000}"/>
    <cellStyle name="Normal 8 2 2 2 9 2" xfId="13289" xr:uid="{7891A578-DFA0-48FA-AB0E-F879BDE57AAD}"/>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F486B6B7-A1B8-4418-9847-CA9DA1FEB0E2}"/>
    <cellStyle name="Normal 8 2 2 3 2 2 2 3" xfId="11634" xr:uid="{AE15EEE0-1EDB-47D6-8CDE-1788A5F167D3}"/>
    <cellStyle name="Normal 8 2 2 3 2 2 3" xfId="5265" xr:uid="{00000000-0005-0000-0000-00004A1C0000}"/>
    <cellStyle name="Normal 8 2 2 3 2 2 3 2" xfId="13707" xr:uid="{16F53DCC-9887-4DAA-AA4B-2F8BE60C06BC}"/>
    <cellStyle name="Normal 8 2 2 3 2 2 4" xfId="9489" xr:uid="{10E9586A-80AE-4504-93F2-CE752EB54FE2}"/>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54EC8E1E-507F-4BF8-928A-8F6B7B42B7CC}"/>
    <cellStyle name="Normal 8 2 2 3 2 3 2 3" xfId="12047" xr:uid="{3A1A5BA2-818C-44CE-95FA-ADF2D6B0AB11}"/>
    <cellStyle name="Normal 8 2 2 3 2 3 3" xfId="5678" xr:uid="{00000000-0005-0000-0000-00004E1C0000}"/>
    <cellStyle name="Normal 8 2 2 3 2 3 3 2" xfId="14120" xr:uid="{776098EE-947A-480D-AF46-691234F32F15}"/>
    <cellStyle name="Normal 8 2 2 3 2 3 4" xfId="9902" xr:uid="{1E6F2E76-D6DE-4A5E-BE5F-5358E89F6A1D}"/>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2ED45839-70AD-4612-ACAA-EB026C8CC8B1}"/>
    <cellStyle name="Normal 8 2 2 3 2 4 2 3" xfId="12460" xr:uid="{978B45F9-3F1A-46DB-9FA1-A9A00A79AD15}"/>
    <cellStyle name="Normal 8 2 2 3 2 4 3" xfId="6091" xr:uid="{00000000-0005-0000-0000-0000521C0000}"/>
    <cellStyle name="Normal 8 2 2 3 2 4 3 2" xfId="14533" xr:uid="{BA8D6FAA-AA4A-45B6-AB4D-24E82E26D660}"/>
    <cellStyle name="Normal 8 2 2 3 2 4 4" xfId="10315" xr:uid="{F8A16221-AA50-410A-B1B6-4ACBF6E7FBEA}"/>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F9209540-5781-4FEF-BC7B-D3DD4C158B5D}"/>
    <cellStyle name="Normal 8 2 2 3 2 5 2 3" xfId="12873" xr:uid="{8F62B7F1-C69D-43BD-80B1-E1D518784468}"/>
    <cellStyle name="Normal 8 2 2 3 2 5 3" xfId="6504" xr:uid="{00000000-0005-0000-0000-0000561C0000}"/>
    <cellStyle name="Normal 8 2 2 3 2 5 3 2" xfId="14946" xr:uid="{30D8BE33-A3EE-4AD4-B4F1-13B0E9CA95D2}"/>
    <cellStyle name="Normal 8 2 2 3 2 5 4" xfId="10728" xr:uid="{40F9CC2C-A64D-4E6C-A0A3-61A2294FAE6B}"/>
    <cellStyle name="Normal 8 2 2 3 2 6" xfId="2633" xr:uid="{00000000-0005-0000-0000-0000571C0000}"/>
    <cellStyle name="Normal 8 2 2 3 2 6 2" xfId="6917" xr:uid="{00000000-0005-0000-0000-0000581C0000}"/>
    <cellStyle name="Normal 8 2 2 3 2 6 2 2" xfId="15359" xr:uid="{D61AE674-FBC1-443F-B400-C93B8B7EA1F1}"/>
    <cellStyle name="Normal 8 2 2 3 2 6 3" xfId="11141" xr:uid="{2AAC7288-36A4-42D3-A418-A51D62860F73}"/>
    <cellStyle name="Normal 8 2 2 3 2 7" xfId="4852" xr:uid="{00000000-0005-0000-0000-0000591C0000}"/>
    <cellStyle name="Normal 8 2 2 3 2 7 2" xfId="13294" xr:uid="{FBA4D296-33DC-45ED-9D78-5613DF667727}"/>
    <cellStyle name="Normal 8 2 2 3 2 8" xfId="9076" xr:uid="{D2CFC682-58CA-4C40-8BB2-2C6FF030955F}"/>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956E25B3-3029-4670-B035-E3AD516F366F}"/>
    <cellStyle name="Normal 8 2 2 3 3 2 3" xfId="11633" xr:uid="{38074EBC-7987-43FB-8EC4-076FACA49A17}"/>
    <cellStyle name="Normal 8 2 2 3 3 3" xfId="5264" xr:uid="{00000000-0005-0000-0000-00005D1C0000}"/>
    <cellStyle name="Normal 8 2 2 3 3 3 2" xfId="13706" xr:uid="{5045B743-C9F7-4D1D-B925-B9AF175997B3}"/>
    <cellStyle name="Normal 8 2 2 3 3 4" xfId="9488" xr:uid="{824DA4BB-3D40-4FF1-8B46-7764CB351618}"/>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207F0C03-90EA-445D-8B56-BD88DFC320E6}"/>
    <cellStyle name="Normal 8 2 2 3 4 2 3" xfId="12046" xr:uid="{F344A721-E8F3-45A6-B860-91E0E52E2FEB}"/>
    <cellStyle name="Normal 8 2 2 3 4 3" xfId="5677" xr:uid="{00000000-0005-0000-0000-0000611C0000}"/>
    <cellStyle name="Normal 8 2 2 3 4 3 2" xfId="14119" xr:uid="{6037BBAA-6EC2-4D04-9676-DBCAA6D6A33A}"/>
    <cellStyle name="Normal 8 2 2 3 4 4" xfId="9901" xr:uid="{D60C7E60-53C2-4EDF-B40B-0DF27857B2E2}"/>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DE1ACC5C-E562-4EE0-9309-7AC0254A5950}"/>
    <cellStyle name="Normal 8 2 2 3 5 2 3" xfId="12459" xr:uid="{3B7CF5C5-5C52-4378-9ECC-A210A9A04982}"/>
    <cellStyle name="Normal 8 2 2 3 5 3" xfId="6090" xr:uid="{00000000-0005-0000-0000-0000651C0000}"/>
    <cellStyle name="Normal 8 2 2 3 5 3 2" xfId="14532" xr:uid="{416DBE90-5C56-421C-9BE2-0CE045FA0F6E}"/>
    <cellStyle name="Normal 8 2 2 3 5 4" xfId="10314" xr:uid="{02E8A6E8-7080-4F84-95FB-F57A9CB94966}"/>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65B3333F-0FC0-4E00-A2F8-E9E650C88F2C}"/>
    <cellStyle name="Normal 8 2 2 3 6 2 3" xfId="12872" xr:uid="{706EF895-C2E8-47FA-B5E1-F2F59CF2EAD9}"/>
    <cellStyle name="Normal 8 2 2 3 6 3" xfId="6503" xr:uid="{00000000-0005-0000-0000-0000691C0000}"/>
    <cellStyle name="Normal 8 2 2 3 6 3 2" xfId="14945" xr:uid="{F11CC3C4-B00D-4E6C-9455-1E5684C29D6C}"/>
    <cellStyle name="Normal 8 2 2 3 6 4" xfId="10727" xr:uid="{738EC9B8-00C3-4A97-AA94-90AF2A6FEF20}"/>
    <cellStyle name="Normal 8 2 2 3 7" xfId="2632" xr:uid="{00000000-0005-0000-0000-00006A1C0000}"/>
    <cellStyle name="Normal 8 2 2 3 7 2" xfId="6916" xr:uid="{00000000-0005-0000-0000-00006B1C0000}"/>
    <cellStyle name="Normal 8 2 2 3 7 2 2" xfId="15358" xr:uid="{C5BBB17E-21F5-46CB-968A-B4C5F7C3F2CC}"/>
    <cellStyle name="Normal 8 2 2 3 7 3" xfId="11140" xr:uid="{542387BD-06F3-47D3-B57A-4294C245006F}"/>
    <cellStyle name="Normal 8 2 2 3 8" xfId="4851" xr:uid="{00000000-0005-0000-0000-00006C1C0000}"/>
    <cellStyle name="Normal 8 2 2 3 8 2" xfId="13293" xr:uid="{C666A48E-B605-4D6E-8825-95D46D528529}"/>
    <cellStyle name="Normal 8 2 2 3 9" xfId="9075" xr:uid="{5FE4952E-DEAD-451D-8A8F-FBB2F425112D}"/>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98957D08-B103-427B-9FD4-52FC92200B5D}"/>
    <cellStyle name="Normal 8 2 2 4 2 2 3" xfId="11635" xr:uid="{BBEFA587-C6B3-48DA-9905-F945FA8E6E53}"/>
    <cellStyle name="Normal 8 2 2 4 2 3" xfId="5266" xr:uid="{00000000-0005-0000-0000-0000711C0000}"/>
    <cellStyle name="Normal 8 2 2 4 2 3 2" xfId="13708" xr:uid="{DC35DF42-7D77-4A83-9A57-AA4FD1237EDE}"/>
    <cellStyle name="Normal 8 2 2 4 2 4" xfId="9490" xr:uid="{5A1D8F89-D27F-42EC-85B1-0356EE997514}"/>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4845AF29-AABA-43FB-85AE-9AAC4AA3FC68}"/>
    <cellStyle name="Normal 8 2 2 4 3 2 3" xfId="12048" xr:uid="{631AD614-F44F-4B96-BEB2-52E157FFD1EA}"/>
    <cellStyle name="Normal 8 2 2 4 3 3" xfId="5679" xr:uid="{00000000-0005-0000-0000-0000751C0000}"/>
    <cellStyle name="Normal 8 2 2 4 3 3 2" xfId="14121" xr:uid="{6C74A661-BEB2-4E29-9A3C-6A1830334587}"/>
    <cellStyle name="Normal 8 2 2 4 3 4" xfId="9903" xr:uid="{0BE191FD-276B-4A3D-8FDE-7367C5DFF987}"/>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98B6E75C-D662-4A7B-ABB6-F524E9D2211D}"/>
    <cellStyle name="Normal 8 2 2 4 4 2 3" xfId="12461" xr:uid="{109D3AAF-E816-480D-89DB-19B7C82F4E45}"/>
    <cellStyle name="Normal 8 2 2 4 4 3" xfId="6092" xr:uid="{00000000-0005-0000-0000-0000791C0000}"/>
    <cellStyle name="Normal 8 2 2 4 4 3 2" xfId="14534" xr:uid="{14FD6F71-91EB-4AEA-80C0-E1DEAB5DF586}"/>
    <cellStyle name="Normal 8 2 2 4 4 4" xfId="10316" xr:uid="{4F9EE7BF-F4ED-4069-994C-615C21DA60EB}"/>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F085FCEF-923C-49F9-86E7-F691DD7557F9}"/>
    <cellStyle name="Normal 8 2 2 4 5 2 3" xfId="12874" xr:uid="{B96362A4-DDC4-4BBF-B9D9-4A67800531EC}"/>
    <cellStyle name="Normal 8 2 2 4 5 3" xfId="6505" xr:uid="{00000000-0005-0000-0000-00007D1C0000}"/>
    <cellStyle name="Normal 8 2 2 4 5 3 2" xfId="14947" xr:uid="{D49C8A13-17D2-43B2-AA74-03367C35687D}"/>
    <cellStyle name="Normal 8 2 2 4 5 4" xfId="10729" xr:uid="{2CD3A50F-3153-48C0-A7D7-179B13FD42A9}"/>
    <cellStyle name="Normal 8 2 2 4 6" xfId="2634" xr:uid="{00000000-0005-0000-0000-00007E1C0000}"/>
    <cellStyle name="Normal 8 2 2 4 6 2" xfId="6918" xr:uid="{00000000-0005-0000-0000-00007F1C0000}"/>
    <cellStyle name="Normal 8 2 2 4 6 2 2" xfId="15360" xr:uid="{A45418F6-0883-4B16-9879-A34689CE2EBC}"/>
    <cellStyle name="Normal 8 2 2 4 6 3" xfId="11142" xr:uid="{600F7597-11C3-4FEA-9C0F-B5FEC4A15146}"/>
    <cellStyle name="Normal 8 2 2 4 7" xfId="4853" xr:uid="{00000000-0005-0000-0000-0000801C0000}"/>
    <cellStyle name="Normal 8 2 2 4 7 2" xfId="13295" xr:uid="{E2B63CB2-D0C5-4C6B-A96E-758AF9E4C66E}"/>
    <cellStyle name="Normal 8 2 2 4 8" xfId="9077" xr:uid="{90242B81-BCB0-4265-8634-87E9C6304501}"/>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D7E86F9C-F6DC-4243-A4CD-01076B3D8A3B}"/>
    <cellStyle name="Normal 8 2 2 5 2 3" xfId="11628" xr:uid="{3289B63B-2E13-4E9A-9DC6-911B03F29669}"/>
    <cellStyle name="Normal 8 2 2 5 3" xfId="5259" xr:uid="{00000000-0005-0000-0000-0000841C0000}"/>
    <cellStyle name="Normal 8 2 2 5 3 2" xfId="13701" xr:uid="{F5830B53-93D3-4E48-8073-088EBF9AAB37}"/>
    <cellStyle name="Normal 8 2 2 5 4" xfId="9483" xr:uid="{EE9F3D44-FE8D-4EB2-815C-4A0B54F1EA2D}"/>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56CA7047-7702-47EB-A6A8-AC3FF17A0037}"/>
    <cellStyle name="Normal 8 2 2 6 2 3" xfId="12041" xr:uid="{FDE430FF-61F2-4927-9B37-9734C3A72308}"/>
    <cellStyle name="Normal 8 2 2 6 3" xfId="5672" xr:uid="{00000000-0005-0000-0000-0000881C0000}"/>
    <cellStyle name="Normal 8 2 2 6 3 2" xfId="14114" xr:uid="{542264AA-808A-41DC-8DD9-CFB5C34F54B2}"/>
    <cellStyle name="Normal 8 2 2 6 4" xfId="9896" xr:uid="{B2CB8653-C5C6-4988-9623-E975C8C46A48}"/>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870DC5DF-390B-4A88-A428-A2D58BE2C2D6}"/>
    <cellStyle name="Normal 8 2 2 7 2 3" xfId="12454" xr:uid="{5D92C52A-4842-4CD3-ADB2-3DD3BFB33061}"/>
    <cellStyle name="Normal 8 2 2 7 3" xfId="6085" xr:uid="{00000000-0005-0000-0000-00008C1C0000}"/>
    <cellStyle name="Normal 8 2 2 7 3 2" xfId="14527" xr:uid="{5276E5B5-1FC3-49AB-82B6-7A067855AC7B}"/>
    <cellStyle name="Normal 8 2 2 7 4" xfId="10309" xr:uid="{11DC565E-9873-40BA-942A-D5FEE30734BF}"/>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984A95EF-8F06-4455-BB0D-8C961DA36464}"/>
    <cellStyle name="Normal 8 2 2 8 2 3" xfId="12867" xr:uid="{C51369DE-7D27-4905-B371-01609C1EA40B}"/>
    <cellStyle name="Normal 8 2 2 8 3" xfId="6498" xr:uid="{00000000-0005-0000-0000-0000901C0000}"/>
    <cellStyle name="Normal 8 2 2 8 3 2" xfId="14940" xr:uid="{700BE562-2228-4D73-862B-A8D99C121C99}"/>
    <cellStyle name="Normal 8 2 2 8 4" xfId="10722" xr:uid="{8CCEBD77-228E-4F99-9F95-6C9668D3C32D}"/>
    <cellStyle name="Normal 8 2 2 9" xfId="2627" xr:uid="{00000000-0005-0000-0000-0000911C0000}"/>
    <cellStyle name="Normal 8 2 2 9 2" xfId="6911" xr:uid="{00000000-0005-0000-0000-0000921C0000}"/>
    <cellStyle name="Normal 8 2 2 9 2 2" xfId="15353" xr:uid="{1DA0B489-AC65-49BE-BA3F-76367547CBA7}"/>
    <cellStyle name="Normal 8 2 2 9 3" xfId="11135" xr:uid="{1B987BB1-552F-4AB6-ADFF-1FFAC7F6F29B}"/>
    <cellStyle name="Normal 8 2 3" xfId="488" xr:uid="{00000000-0005-0000-0000-0000931C0000}"/>
    <cellStyle name="Normal 8 2 3 10" xfId="9078" xr:uid="{029BE1CF-97AC-4BF1-8BB0-414890800B58}"/>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58E9C830-7025-4D9F-8CEB-9A98313AC027}"/>
    <cellStyle name="Normal 8 2 3 2 2 2 2 3" xfId="11638" xr:uid="{C303B0F8-D149-450A-85FA-22A1E978085A}"/>
    <cellStyle name="Normal 8 2 3 2 2 2 3" xfId="5269" xr:uid="{00000000-0005-0000-0000-0000991C0000}"/>
    <cellStyle name="Normal 8 2 3 2 2 2 3 2" xfId="13711" xr:uid="{32D8B122-2666-47A3-A351-F00FD088BBC8}"/>
    <cellStyle name="Normal 8 2 3 2 2 2 4" xfId="9493" xr:uid="{FFC952F3-8A2C-4111-AF41-6F4F36B7835B}"/>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4B80DF24-29FB-4B08-A487-012CF5057966}"/>
    <cellStyle name="Normal 8 2 3 2 2 3 2 3" xfId="12051" xr:uid="{D1F49642-4E3D-4B9E-B49E-34703FB94A10}"/>
    <cellStyle name="Normal 8 2 3 2 2 3 3" xfId="5682" xr:uid="{00000000-0005-0000-0000-00009D1C0000}"/>
    <cellStyle name="Normal 8 2 3 2 2 3 3 2" xfId="14124" xr:uid="{E922985D-AEAE-49A2-8E33-834A4A39C018}"/>
    <cellStyle name="Normal 8 2 3 2 2 3 4" xfId="9906" xr:uid="{F32A5376-7FD7-4B3D-9FA2-90D4EFD42A3A}"/>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CF4C17E1-7395-4608-A166-2B0B2C12A189}"/>
    <cellStyle name="Normal 8 2 3 2 2 4 2 3" xfId="12464" xr:uid="{B6372C61-B67F-4DC1-88F9-9491EB7E0A2C}"/>
    <cellStyle name="Normal 8 2 3 2 2 4 3" xfId="6095" xr:uid="{00000000-0005-0000-0000-0000A11C0000}"/>
    <cellStyle name="Normal 8 2 3 2 2 4 3 2" xfId="14537" xr:uid="{E36E78D1-7EC3-4E29-8772-EFE1BA154B03}"/>
    <cellStyle name="Normal 8 2 3 2 2 4 4" xfId="10319" xr:uid="{8A8994F1-AE37-4F4F-89E8-9499CF48102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4200F08-E96E-4AF8-85A2-CB7F9E9DFA12}"/>
    <cellStyle name="Normal 8 2 3 2 2 5 2 3" xfId="12877" xr:uid="{493F5547-2110-4C1E-800E-F74512A4E406}"/>
    <cellStyle name="Normal 8 2 3 2 2 5 3" xfId="6508" xr:uid="{00000000-0005-0000-0000-0000A51C0000}"/>
    <cellStyle name="Normal 8 2 3 2 2 5 3 2" xfId="14950" xr:uid="{8552BFC7-F791-4933-88C9-ADFA750BFE65}"/>
    <cellStyle name="Normal 8 2 3 2 2 5 4" xfId="10732" xr:uid="{27657122-76E1-499C-BD85-B85105BDF2D6}"/>
    <cellStyle name="Normal 8 2 3 2 2 6" xfId="2637" xr:uid="{00000000-0005-0000-0000-0000A61C0000}"/>
    <cellStyle name="Normal 8 2 3 2 2 6 2" xfId="6921" xr:uid="{00000000-0005-0000-0000-0000A71C0000}"/>
    <cellStyle name="Normal 8 2 3 2 2 6 2 2" xfId="15363" xr:uid="{07F37A78-2747-4802-8480-09010C508667}"/>
    <cellStyle name="Normal 8 2 3 2 2 6 3" xfId="11145" xr:uid="{97184069-5A47-4A4B-8C16-3F9BA5949A7A}"/>
    <cellStyle name="Normal 8 2 3 2 2 7" xfId="4856" xr:uid="{00000000-0005-0000-0000-0000A81C0000}"/>
    <cellStyle name="Normal 8 2 3 2 2 7 2" xfId="13298" xr:uid="{0F97F353-45C1-4D13-9E1B-6A338AB3496D}"/>
    <cellStyle name="Normal 8 2 3 2 2 8" xfId="9080" xr:uid="{4F1ACF40-F81F-4678-BC0C-5D41539ABA2F}"/>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CC90B603-01FB-4697-9ABA-DF31D54C70F9}"/>
    <cellStyle name="Normal 8 2 3 2 3 2 3" xfId="11637" xr:uid="{4F84CA14-ABE4-47FB-8948-273A6A9C99D1}"/>
    <cellStyle name="Normal 8 2 3 2 3 3" xfId="5268" xr:uid="{00000000-0005-0000-0000-0000AC1C0000}"/>
    <cellStyle name="Normal 8 2 3 2 3 3 2" xfId="13710" xr:uid="{D0D22590-CAAF-437B-9C1E-9FE2AE64D4D1}"/>
    <cellStyle name="Normal 8 2 3 2 3 4" xfId="9492" xr:uid="{24C906EA-F0AF-438F-8E33-B8A328786F6C}"/>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A9B1B9CA-2591-4E69-90F1-DED4FCD7EA38}"/>
    <cellStyle name="Normal 8 2 3 2 4 2 3" xfId="12050" xr:uid="{C1F05C7D-12C1-4420-BFEA-665EB7F512D6}"/>
    <cellStyle name="Normal 8 2 3 2 4 3" xfId="5681" xr:uid="{00000000-0005-0000-0000-0000B01C0000}"/>
    <cellStyle name="Normal 8 2 3 2 4 3 2" xfId="14123" xr:uid="{8C10E810-ACB8-44EE-B027-A243E7D56459}"/>
    <cellStyle name="Normal 8 2 3 2 4 4" xfId="9905" xr:uid="{466652A8-D84C-42B0-9AB9-AE1C60CE3802}"/>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3D6986A6-BD14-4320-B013-B0295BFC9D66}"/>
    <cellStyle name="Normal 8 2 3 2 5 2 3" xfId="12463" xr:uid="{19F45976-6605-437E-8B65-77A95CC8B0D8}"/>
    <cellStyle name="Normal 8 2 3 2 5 3" xfId="6094" xr:uid="{00000000-0005-0000-0000-0000B41C0000}"/>
    <cellStyle name="Normal 8 2 3 2 5 3 2" xfId="14536" xr:uid="{E4FA024B-6275-43E6-9A5E-6F3E22B56325}"/>
    <cellStyle name="Normal 8 2 3 2 5 4" xfId="10318" xr:uid="{DAA1ABE0-3616-4A57-BA72-FAC07567286A}"/>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05456172-D234-423B-9D63-C7518ED9500C}"/>
    <cellStyle name="Normal 8 2 3 2 6 2 3" xfId="12876" xr:uid="{EF8F32E4-329E-4DAB-889E-9A064340781B}"/>
    <cellStyle name="Normal 8 2 3 2 6 3" xfId="6507" xr:uid="{00000000-0005-0000-0000-0000B81C0000}"/>
    <cellStyle name="Normal 8 2 3 2 6 3 2" xfId="14949" xr:uid="{BD13D210-8480-4A31-86A3-683317EF21F9}"/>
    <cellStyle name="Normal 8 2 3 2 6 4" xfId="10731" xr:uid="{D1C7A3EB-4F1C-4FA8-B756-70DE335A2646}"/>
    <cellStyle name="Normal 8 2 3 2 7" xfId="2636" xr:uid="{00000000-0005-0000-0000-0000B91C0000}"/>
    <cellStyle name="Normal 8 2 3 2 7 2" xfId="6920" xr:uid="{00000000-0005-0000-0000-0000BA1C0000}"/>
    <cellStyle name="Normal 8 2 3 2 7 2 2" xfId="15362" xr:uid="{EDCB2C39-AEF1-44C7-82DA-3DDC77CB72CB}"/>
    <cellStyle name="Normal 8 2 3 2 7 3" xfId="11144" xr:uid="{9D96DFA1-649F-42C3-8459-0A16925A74E9}"/>
    <cellStyle name="Normal 8 2 3 2 8" xfId="4855" xr:uid="{00000000-0005-0000-0000-0000BB1C0000}"/>
    <cellStyle name="Normal 8 2 3 2 8 2" xfId="13297" xr:uid="{441F4792-9CE3-44FB-B3DA-CCCAF6B72D86}"/>
    <cellStyle name="Normal 8 2 3 2 9" xfId="9079" xr:uid="{D6FEDC58-1CD0-49D7-B9DB-70BEE2F5CB9E}"/>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D94D0AA7-E6D9-43A8-92DC-CB2CD9E785FD}"/>
    <cellStyle name="Normal 8 2 3 3 2 2 3" xfId="11639" xr:uid="{7F023A10-26D0-4D82-925D-043275679041}"/>
    <cellStyle name="Normal 8 2 3 3 2 3" xfId="5270" xr:uid="{00000000-0005-0000-0000-0000C01C0000}"/>
    <cellStyle name="Normal 8 2 3 3 2 3 2" xfId="13712" xr:uid="{14ACC7FD-126E-4C5D-A689-FBBAC5D887DD}"/>
    <cellStyle name="Normal 8 2 3 3 2 4" xfId="9494" xr:uid="{60E3A600-3AC8-471C-A15B-920E034C4E2E}"/>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6AD0DAAF-D15E-4F92-BADF-29FC75AC5EDB}"/>
    <cellStyle name="Normal 8 2 3 3 3 2 3" xfId="12052" xr:uid="{2D5EFDDF-B683-4090-99B4-C48F89B9D22D}"/>
    <cellStyle name="Normal 8 2 3 3 3 3" xfId="5683" xr:uid="{00000000-0005-0000-0000-0000C41C0000}"/>
    <cellStyle name="Normal 8 2 3 3 3 3 2" xfId="14125" xr:uid="{8F310726-A424-49D2-94F8-BB60FB1ABBA7}"/>
    <cellStyle name="Normal 8 2 3 3 3 4" xfId="9907" xr:uid="{EF755F49-C9AD-438A-8AC1-31DB9CCADD8C}"/>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BEA10B60-2EA5-4B46-8FE6-48BA1B30A16F}"/>
    <cellStyle name="Normal 8 2 3 3 4 2 3" xfId="12465" xr:uid="{17BBDB1F-209C-40BB-BCB0-5BB4BA28A25D}"/>
    <cellStyle name="Normal 8 2 3 3 4 3" xfId="6096" xr:uid="{00000000-0005-0000-0000-0000C81C0000}"/>
    <cellStyle name="Normal 8 2 3 3 4 3 2" xfId="14538" xr:uid="{E26CAD2E-6576-41C1-8F3A-A0546A42E470}"/>
    <cellStyle name="Normal 8 2 3 3 4 4" xfId="10320" xr:uid="{F0EFD1A0-3026-4A3E-953F-F0F87B90B7F2}"/>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1C2FBE2-0EAA-48AA-93B8-43C090F954D6}"/>
    <cellStyle name="Normal 8 2 3 3 5 2 3" xfId="12878" xr:uid="{983BA917-DF23-4706-8F98-142CD89A39C9}"/>
    <cellStyle name="Normal 8 2 3 3 5 3" xfId="6509" xr:uid="{00000000-0005-0000-0000-0000CC1C0000}"/>
    <cellStyle name="Normal 8 2 3 3 5 3 2" xfId="14951" xr:uid="{24783A18-6AD1-4496-9E12-4135D64831D6}"/>
    <cellStyle name="Normal 8 2 3 3 5 4" xfId="10733" xr:uid="{3DB8CA3F-0C52-4B5D-8CC8-E300B59EF266}"/>
    <cellStyle name="Normal 8 2 3 3 6" xfId="2638" xr:uid="{00000000-0005-0000-0000-0000CD1C0000}"/>
    <cellStyle name="Normal 8 2 3 3 6 2" xfId="6922" xr:uid="{00000000-0005-0000-0000-0000CE1C0000}"/>
    <cellStyle name="Normal 8 2 3 3 6 2 2" xfId="15364" xr:uid="{C2D8CCAA-AECA-40CC-9A9F-E77C29EFC54C}"/>
    <cellStyle name="Normal 8 2 3 3 6 3" xfId="11146" xr:uid="{95C9C02F-269D-48F5-9037-B382BB81F5D0}"/>
    <cellStyle name="Normal 8 2 3 3 7" xfId="4857" xr:uid="{00000000-0005-0000-0000-0000CF1C0000}"/>
    <cellStyle name="Normal 8 2 3 3 7 2" xfId="13299" xr:uid="{8B3F9C12-A298-4460-BAAC-9F1B57507A2E}"/>
    <cellStyle name="Normal 8 2 3 3 8" xfId="9081" xr:uid="{E6286310-4D44-4FEF-A449-B3B5FBF65BA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1C0CF2B4-4AC4-4BE9-9404-F3D2F6C28312}"/>
    <cellStyle name="Normal 8 2 3 4 2 3" xfId="11636" xr:uid="{80F12F8C-22EB-4D83-B187-AB1A6923FFB4}"/>
    <cellStyle name="Normal 8 2 3 4 3" xfId="5267" xr:uid="{00000000-0005-0000-0000-0000D31C0000}"/>
    <cellStyle name="Normal 8 2 3 4 3 2" xfId="13709" xr:uid="{AB72DC5E-F1AB-427F-8107-134E40194E01}"/>
    <cellStyle name="Normal 8 2 3 4 4" xfId="9491" xr:uid="{96B3F2EB-10EF-4B63-9D39-C90CD2641664}"/>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92BA1BD3-93C7-456B-BC9D-FE0197F2CCC5}"/>
    <cellStyle name="Normal 8 2 3 5 2 3" xfId="12049" xr:uid="{0FD6D4BE-6A56-4C85-A55F-4EA8964B5D73}"/>
    <cellStyle name="Normal 8 2 3 5 3" xfId="5680" xr:uid="{00000000-0005-0000-0000-0000D71C0000}"/>
    <cellStyle name="Normal 8 2 3 5 3 2" xfId="14122" xr:uid="{5D1D2FE1-437E-4065-A053-9CE3E9C029B4}"/>
    <cellStyle name="Normal 8 2 3 5 4" xfId="9904" xr:uid="{A4F0012D-C43A-4D10-BF35-FB59BF768A96}"/>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A8AF818F-62D6-4952-9A06-E81B5CA90D4F}"/>
    <cellStyle name="Normal 8 2 3 6 2 3" xfId="12462" xr:uid="{7760348E-41D6-41CC-9E81-76A493ECE3CA}"/>
    <cellStyle name="Normal 8 2 3 6 3" xfId="6093" xr:uid="{00000000-0005-0000-0000-0000DB1C0000}"/>
    <cellStyle name="Normal 8 2 3 6 3 2" xfId="14535" xr:uid="{0C112749-E7EF-4018-A40C-C9DFD93637DF}"/>
    <cellStyle name="Normal 8 2 3 6 4" xfId="10317" xr:uid="{89098202-75B6-4F0E-9FFF-C312C5BC9E41}"/>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3694BB3A-8157-4868-AE4E-4058D36DFB59}"/>
    <cellStyle name="Normal 8 2 3 7 2 3" xfId="12875" xr:uid="{79CF926F-22F2-44AF-ABBF-25F607FE241A}"/>
    <cellStyle name="Normal 8 2 3 7 3" xfId="6506" xr:uid="{00000000-0005-0000-0000-0000DF1C0000}"/>
    <cellStyle name="Normal 8 2 3 7 3 2" xfId="14948" xr:uid="{F68612A8-371C-4463-9445-AC4E4CCE2A1F}"/>
    <cellStyle name="Normal 8 2 3 7 4" xfId="10730" xr:uid="{A3C7AE74-3519-48F3-A250-CEAC53C588EA}"/>
    <cellStyle name="Normal 8 2 3 8" xfId="2635" xr:uid="{00000000-0005-0000-0000-0000E01C0000}"/>
    <cellStyle name="Normal 8 2 3 8 2" xfId="6919" xr:uid="{00000000-0005-0000-0000-0000E11C0000}"/>
    <cellStyle name="Normal 8 2 3 8 2 2" xfId="15361" xr:uid="{6B971965-4678-4FC7-94C9-D0973B50678F}"/>
    <cellStyle name="Normal 8 2 3 8 3" xfId="11143" xr:uid="{63118020-ECD4-40F4-92D3-F464453BEDCD}"/>
    <cellStyle name="Normal 8 2 3 9" xfId="4854" xr:uid="{00000000-0005-0000-0000-0000E21C0000}"/>
    <cellStyle name="Normal 8 2 3 9 2" xfId="13296" xr:uid="{3CFAF6AF-B78B-4AB1-ABF9-951F221E027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944F9E2F-587C-4841-B0A8-8F32197DE430}"/>
    <cellStyle name="Normal 8 2 4 2 2 2 3" xfId="11641" xr:uid="{EADC1350-862D-4FBF-9B2A-05CAC3CF7E79}"/>
    <cellStyle name="Normal 8 2 4 2 2 3" xfId="5272" xr:uid="{00000000-0005-0000-0000-0000E81C0000}"/>
    <cellStyle name="Normal 8 2 4 2 2 3 2" xfId="13714" xr:uid="{66079AA8-3F37-4D69-BDF2-160EDF17495E}"/>
    <cellStyle name="Normal 8 2 4 2 2 4" xfId="9496" xr:uid="{58E463C6-32BE-4AA6-A87D-2923E2285350}"/>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FBC93EC9-49D5-4F0B-8DA7-6981AA591C4F}"/>
    <cellStyle name="Normal 8 2 4 2 3 2 3" xfId="12054" xr:uid="{658B6109-7400-45C0-99A8-D025BB8E3C39}"/>
    <cellStyle name="Normal 8 2 4 2 3 3" xfId="5685" xr:uid="{00000000-0005-0000-0000-0000EC1C0000}"/>
    <cellStyle name="Normal 8 2 4 2 3 3 2" xfId="14127" xr:uid="{2383D763-36F3-4672-AC86-6473FD3A4B8F}"/>
    <cellStyle name="Normal 8 2 4 2 3 4" xfId="9909" xr:uid="{B47158D6-4269-474A-AD88-09069EE530D9}"/>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2456F127-ED5F-446E-BC79-7DC0CD635032}"/>
    <cellStyle name="Normal 8 2 4 2 4 2 3" xfId="12467" xr:uid="{7F49920D-C786-4837-B90A-87FD4984D167}"/>
    <cellStyle name="Normal 8 2 4 2 4 3" xfId="6098" xr:uid="{00000000-0005-0000-0000-0000F01C0000}"/>
    <cellStyle name="Normal 8 2 4 2 4 3 2" xfId="14540" xr:uid="{7979E439-5C67-48D1-8017-D3CD0B11304C}"/>
    <cellStyle name="Normal 8 2 4 2 4 4" xfId="10322" xr:uid="{3441DC61-543C-4961-B49A-8753E69858DC}"/>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D0AB8B77-C108-411A-8BE7-1F5D697CFDE8}"/>
    <cellStyle name="Normal 8 2 4 2 5 2 3" xfId="12880" xr:uid="{A03E4CE5-6854-4F00-8DA0-F92030D49834}"/>
    <cellStyle name="Normal 8 2 4 2 5 3" xfId="6511" xr:uid="{00000000-0005-0000-0000-0000F41C0000}"/>
    <cellStyle name="Normal 8 2 4 2 5 3 2" xfId="14953" xr:uid="{0208AC9A-8964-453A-946D-E712FDFA1FDE}"/>
    <cellStyle name="Normal 8 2 4 2 5 4" xfId="10735" xr:uid="{639F551C-4D56-4F3B-8B21-3ED4C264EBE1}"/>
    <cellStyle name="Normal 8 2 4 2 6" xfId="2640" xr:uid="{00000000-0005-0000-0000-0000F51C0000}"/>
    <cellStyle name="Normal 8 2 4 2 6 2" xfId="6924" xr:uid="{00000000-0005-0000-0000-0000F61C0000}"/>
    <cellStyle name="Normal 8 2 4 2 6 2 2" xfId="15366" xr:uid="{0776DB40-A22B-4BB8-AAA0-F83B0686DAC8}"/>
    <cellStyle name="Normal 8 2 4 2 6 3" xfId="11148" xr:uid="{1D3B33A4-EC8D-437C-B9AC-8ACC6727BD20}"/>
    <cellStyle name="Normal 8 2 4 2 7" xfId="4859" xr:uid="{00000000-0005-0000-0000-0000F71C0000}"/>
    <cellStyle name="Normal 8 2 4 2 7 2" xfId="13301" xr:uid="{43FF9936-BEAC-40C7-9768-E285FB18A92A}"/>
    <cellStyle name="Normal 8 2 4 2 8" xfId="9083" xr:uid="{462E356A-F458-4B84-8177-AC8B2F1AE617}"/>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826DC209-452E-465E-A75E-6D64B3F8B92C}"/>
    <cellStyle name="Normal 8 2 4 3 2 3" xfId="11640" xr:uid="{348A4E54-0D8D-480D-B721-C2804464D61C}"/>
    <cellStyle name="Normal 8 2 4 3 3" xfId="5271" xr:uid="{00000000-0005-0000-0000-0000FB1C0000}"/>
    <cellStyle name="Normal 8 2 4 3 3 2" xfId="13713" xr:uid="{5AA60165-AEE1-4BBA-978C-FD0B70012D60}"/>
    <cellStyle name="Normal 8 2 4 3 4" xfId="9495" xr:uid="{13DDB5FB-E6A4-40BA-A4EA-88C90E052CAB}"/>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7C0A1380-C5B4-478D-B314-656627ED2148}"/>
    <cellStyle name="Normal 8 2 4 4 2 3" xfId="12053" xr:uid="{3C8BA605-6951-4483-8E65-16052841DF4F}"/>
    <cellStyle name="Normal 8 2 4 4 3" xfId="5684" xr:uid="{00000000-0005-0000-0000-0000FF1C0000}"/>
    <cellStyle name="Normal 8 2 4 4 3 2" xfId="14126" xr:uid="{965E0517-D241-40C8-BAD5-283DF39B391E}"/>
    <cellStyle name="Normal 8 2 4 4 4" xfId="9908" xr:uid="{46BB988D-DD67-441E-A8BC-D53B061A679A}"/>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2E159543-E17F-49C7-B198-656B09A30C87}"/>
    <cellStyle name="Normal 8 2 4 5 2 3" xfId="12466" xr:uid="{5B6F9568-34A5-443B-9E9D-4539150C59E9}"/>
    <cellStyle name="Normal 8 2 4 5 3" xfId="6097" xr:uid="{00000000-0005-0000-0000-0000031D0000}"/>
    <cellStyle name="Normal 8 2 4 5 3 2" xfId="14539" xr:uid="{A676065C-751A-4BA7-9762-293C71AFF2EF}"/>
    <cellStyle name="Normal 8 2 4 5 4" xfId="10321" xr:uid="{6180D41C-68EF-498E-8DE5-D1284AA34B1C}"/>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79ECD0D2-FB30-4FC4-BA5F-FB44AB863B45}"/>
    <cellStyle name="Normal 8 2 4 6 2 3" xfId="12879" xr:uid="{FC1B78F2-8065-4B12-B5E3-32D965CF3331}"/>
    <cellStyle name="Normal 8 2 4 6 3" xfId="6510" xr:uid="{00000000-0005-0000-0000-0000071D0000}"/>
    <cellStyle name="Normal 8 2 4 6 3 2" xfId="14952" xr:uid="{AB532E01-A1EE-43A0-BD49-A066176E1C82}"/>
    <cellStyle name="Normal 8 2 4 6 4" xfId="10734" xr:uid="{3C595045-1C24-4888-8221-5BA02D093C50}"/>
    <cellStyle name="Normal 8 2 4 7" xfId="2639" xr:uid="{00000000-0005-0000-0000-0000081D0000}"/>
    <cellStyle name="Normal 8 2 4 7 2" xfId="6923" xr:uid="{00000000-0005-0000-0000-0000091D0000}"/>
    <cellStyle name="Normal 8 2 4 7 2 2" xfId="15365" xr:uid="{A02A5EDC-1534-4828-94EF-91CC8CE66EB6}"/>
    <cellStyle name="Normal 8 2 4 7 3" xfId="11147" xr:uid="{AEE34A06-B77A-46A9-88C8-90CC9D0E2C1D}"/>
    <cellStyle name="Normal 8 2 4 8" xfId="4858" xr:uid="{00000000-0005-0000-0000-00000A1D0000}"/>
    <cellStyle name="Normal 8 2 4 8 2" xfId="13300" xr:uid="{70315D0F-2A7A-4980-A61F-EB4CAF1234A6}"/>
    <cellStyle name="Normal 8 2 4 9" xfId="9082" xr:uid="{910AB46B-25B4-45FF-82F5-1262152B8EB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E725BC31-D610-4182-88C9-51FE02DC8E82}"/>
    <cellStyle name="Normal 8 2 5 2 2 3" xfId="11642" xr:uid="{BD0B4269-4F00-41D5-991F-E5E47B05286A}"/>
    <cellStyle name="Normal 8 2 5 2 3" xfId="5273" xr:uid="{00000000-0005-0000-0000-00000F1D0000}"/>
    <cellStyle name="Normal 8 2 5 2 3 2" xfId="13715" xr:uid="{1A58BB7B-FD64-432B-B984-CE4983785A9D}"/>
    <cellStyle name="Normal 8 2 5 2 4" xfId="9497" xr:uid="{A75B02B4-3599-4999-AAAB-35DD5747CD48}"/>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9B3B00D2-27C8-493C-95DE-1F1EF065C613}"/>
    <cellStyle name="Normal 8 2 5 3 2 3" xfId="12055" xr:uid="{6B1EA195-1FED-45BD-9466-71ACF14EAFA3}"/>
    <cellStyle name="Normal 8 2 5 3 3" xfId="5686" xr:uid="{00000000-0005-0000-0000-0000131D0000}"/>
    <cellStyle name="Normal 8 2 5 3 3 2" xfId="14128" xr:uid="{050624E4-D850-4713-AB42-CBF8E7D68484}"/>
    <cellStyle name="Normal 8 2 5 3 4" xfId="9910" xr:uid="{0F8AF874-7666-4216-907D-E68CB746601D}"/>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AE0EF610-81B9-471E-AB8F-2CB7547CD489}"/>
    <cellStyle name="Normal 8 2 5 4 2 3" xfId="12468" xr:uid="{DF977560-E5AD-4500-9BC5-928644D0BA38}"/>
    <cellStyle name="Normal 8 2 5 4 3" xfId="6099" xr:uid="{00000000-0005-0000-0000-0000171D0000}"/>
    <cellStyle name="Normal 8 2 5 4 3 2" xfId="14541" xr:uid="{468537C7-EE2D-4570-BD53-E7ADC7F51776}"/>
    <cellStyle name="Normal 8 2 5 4 4" xfId="10323" xr:uid="{3F3801C1-8C22-498B-A498-77E913122CD1}"/>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A0A1075A-14E3-4943-8D92-AF806A6C7D58}"/>
    <cellStyle name="Normal 8 2 5 5 2 3" xfId="12881" xr:uid="{D0AAE51F-8C63-4FF6-A408-7C4301AAAA7F}"/>
    <cellStyle name="Normal 8 2 5 5 3" xfId="6512" xr:uid="{00000000-0005-0000-0000-00001B1D0000}"/>
    <cellStyle name="Normal 8 2 5 5 3 2" xfId="14954" xr:uid="{8DA1FA38-0DE7-403A-87B1-E7DC405B9FC6}"/>
    <cellStyle name="Normal 8 2 5 5 4" xfId="10736" xr:uid="{1B5DD437-9C3D-41C3-A264-5FC77B0BCFD7}"/>
    <cellStyle name="Normal 8 2 5 6" xfId="2641" xr:uid="{00000000-0005-0000-0000-00001C1D0000}"/>
    <cellStyle name="Normal 8 2 5 6 2" xfId="6925" xr:uid="{00000000-0005-0000-0000-00001D1D0000}"/>
    <cellStyle name="Normal 8 2 5 6 2 2" xfId="15367" xr:uid="{E23FDC58-CBA7-47C9-9866-67F4E69A14B9}"/>
    <cellStyle name="Normal 8 2 5 6 3" xfId="11149" xr:uid="{7CA805B3-C597-429D-8EB9-2A05CBF5758C}"/>
    <cellStyle name="Normal 8 2 5 7" xfId="4860" xr:uid="{00000000-0005-0000-0000-00001E1D0000}"/>
    <cellStyle name="Normal 8 2 5 7 2" xfId="13302" xr:uid="{AB53BA96-ABF0-4DB2-BB9F-812AFA9001D2}"/>
    <cellStyle name="Normal 8 2 5 8" xfId="9084" xr:uid="{1BCE38C4-6C45-4AC6-B876-D9E58AF0998E}"/>
    <cellStyle name="Normal 8 2 6" xfId="946" xr:uid="{00000000-0005-0000-0000-00001F1D0000}"/>
    <cellStyle name="Normal 8 2 6 2" xfId="3180" xr:uid="{00000000-0005-0000-0000-0000201D0000}"/>
    <cellStyle name="Normal 8 2 6 2 2" xfId="7403" xr:uid="{00000000-0005-0000-0000-0000211D0000}"/>
    <cellStyle name="Normal 8 2 6 2 2 2" xfId="15845" xr:uid="{9343258F-16AA-442D-B671-081A5AFBA680}"/>
    <cellStyle name="Normal 8 2 6 2 3" xfId="11627" xr:uid="{261603E6-3E9D-466E-95D7-FF64A434CC4F}"/>
    <cellStyle name="Normal 8 2 6 3" xfId="5258" xr:uid="{00000000-0005-0000-0000-0000221D0000}"/>
    <cellStyle name="Normal 8 2 6 3 2" xfId="13700" xr:uid="{61D007D2-EC6B-48D9-8B4E-1D1B322558C7}"/>
    <cellStyle name="Normal 8 2 6 4" xfId="9482" xr:uid="{1DDA8C06-911B-4285-B94B-51D2F433E9B6}"/>
    <cellStyle name="Normal 8 2 7" xfId="1363" xr:uid="{00000000-0005-0000-0000-0000231D0000}"/>
    <cellStyle name="Normal 8 2 7 2" xfId="3593" xr:uid="{00000000-0005-0000-0000-0000241D0000}"/>
    <cellStyle name="Normal 8 2 7 2 2" xfId="7816" xr:uid="{00000000-0005-0000-0000-0000251D0000}"/>
    <cellStyle name="Normal 8 2 7 2 2 2" xfId="16258" xr:uid="{75DD73C5-C5FA-410D-BDCD-F0CC40AEF862}"/>
    <cellStyle name="Normal 8 2 7 2 3" xfId="12040" xr:uid="{643EEEFB-E062-4A54-AA0E-2BE9E7CD02B4}"/>
    <cellStyle name="Normal 8 2 7 3" xfId="5671" xr:uid="{00000000-0005-0000-0000-0000261D0000}"/>
    <cellStyle name="Normal 8 2 7 3 2" xfId="14113" xr:uid="{2CF8E542-3C13-4D6C-9C06-0F40BE641C9C}"/>
    <cellStyle name="Normal 8 2 7 4" xfId="9895" xr:uid="{B3D99AB9-5CB0-4C89-96F7-BA9C320D47F4}"/>
    <cellStyle name="Normal 8 2 8" xfId="1776" xr:uid="{00000000-0005-0000-0000-0000271D0000}"/>
    <cellStyle name="Normal 8 2 8 2" xfId="4006" xr:uid="{00000000-0005-0000-0000-0000281D0000}"/>
    <cellStyle name="Normal 8 2 8 2 2" xfId="8229" xr:uid="{00000000-0005-0000-0000-0000291D0000}"/>
    <cellStyle name="Normal 8 2 8 2 2 2" xfId="16671" xr:uid="{D22F3B0D-2BF4-40E5-8C2C-31DA74196CAB}"/>
    <cellStyle name="Normal 8 2 8 2 3" xfId="12453" xr:uid="{4C11C08C-67C1-4850-ACCA-94162A7EA6FA}"/>
    <cellStyle name="Normal 8 2 8 3" xfId="6084" xr:uid="{00000000-0005-0000-0000-00002A1D0000}"/>
    <cellStyle name="Normal 8 2 8 3 2" xfId="14526" xr:uid="{65190C76-1000-4192-AC22-38AE6E7EA3B9}"/>
    <cellStyle name="Normal 8 2 8 4" xfId="10308" xr:uid="{D6D9F593-7096-44EC-AD14-B653B712B85F}"/>
    <cellStyle name="Normal 8 2 9" xfId="2190" xr:uid="{00000000-0005-0000-0000-00002B1D0000}"/>
    <cellStyle name="Normal 8 2 9 2" xfId="4419" xr:uid="{00000000-0005-0000-0000-00002C1D0000}"/>
    <cellStyle name="Normal 8 2 9 2 2" xfId="8642" xr:uid="{00000000-0005-0000-0000-00002D1D0000}"/>
    <cellStyle name="Normal 8 2 9 2 2 2" xfId="17084" xr:uid="{A7EFACE4-73A7-4CD1-9A6E-49955445DA14}"/>
    <cellStyle name="Normal 8 2 9 2 3" xfId="12866" xr:uid="{865A4E35-C5EF-48B1-986F-C6D01AD715BB}"/>
    <cellStyle name="Normal 8 2 9 3" xfId="6497" xr:uid="{00000000-0005-0000-0000-00002E1D0000}"/>
    <cellStyle name="Normal 8 2 9 3 2" xfId="14939" xr:uid="{B189801B-7F7E-4932-8C66-2605C1ABCA85}"/>
    <cellStyle name="Normal 8 2 9 4" xfId="10721" xr:uid="{72ED2970-70CB-426F-B10C-6BE986A42549}"/>
    <cellStyle name="Normal 8 3" xfId="495" xr:uid="{00000000-0005-0000-0000-00002F1D0000}"/>
    <cellStyle name="Normal 8 3 10" xfId="4861" xr:uid="{00000000-0005-0000-0000-0000301D0000}"/>
    <cellStyle name="Normal 8 3 10 2" xfId="13303" xr:uid="{CFB78A23-37EA-4A1B-8F4C-FB8935FC3834}"/>
    <cellStyle name="Normal 8 3 11" xfId="9085" xr:uid="{B7AE804F-EDD5-4AA7-8BF0-2184DD5ABEA2}"/>
    <cellStyle name="Normal 8 3 2" xfId="496" xr:uid="{00000000-0005-0000-0000-0000311D0000}"/>
    <cellStyle name="Normal 8 3 2 10" xfId="9086" xr:uid="{C539AEE6-4E3E-4325-8EBF-16B28A1F7695}"/>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AC562BA1-8053-466E-9326-17870C8C5FD2}"/>
    <cellStyle name="Normal 8 3 2 2 2 2 2 3" xfId="11646" xr:uid="{9B788775-DD6D-4F49-A183-BBDDB79E503B}"/>
    <cellStyle name="Normal 8 3 2 2 2 2 3" xfId="5277" xr:uid="{00000000-0005-0000-0000-0000371D0000}"/>
    <cellStyle name="Normal 8 3 2 2 2 2 3 2" xfId="13719" xr:uid="{10CAF096-0A5E-45C1-A225-27F7DD38D736}"/>
    <cellStyle name="Normal 8 3 2 2 2 2 4" xfId="9501" xr:uid="{A51E5E2B-1875-4DD3-9470-843BCBE200CE}"/>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6BE13E13-4F81-416A-AAB3-C8D8C8F64D7B}"/>
    <cellStyle name="Normal 8 3 2 2 2 3 2 3" xfId="12059" xr:uid="{8355387D-F20E-4D76-A112-BE1B5A6B1E9E}"/>
    <cellStyle name="Normal 8 3 2 2 2 3 3" xfId="5690" xr:uid="{00000000-0005-0000-0000-00003B1D0000}"/>
    <cellStyle name="Normal 8 3 2 2 2 3 3 2" xfId="14132" xr:uid="{CB0EB65C-D5F5-4E66-9E20-17DF4BB41021}"/>
    <cellStyle name="Normal 8 3 2 2 2 3 4" xfId="9914" xr:uid="{57CFCEE0-298E-4E83-9B6A-FAFABCF554DC}"/>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16E370E7-8D0B-4990-9D0F-5E9D4A935966}"/>
    <cellStyle name="Normal 8 3 2 2 2 4 2 3" xfId="12472" xr:uid="{2680864F-6ABD-4335-A2CA-10C047E71E82}"/>
    <cellStyle name="Normal 8 3 2 2 2 4 3" xfId="6103" xr:uid="{00000000-0005-0000-0000-00003F1D0000}"/>
    <cellStyle name="Normal 8 3 2 2 2 4 3 2" xfId="14545" xr:uid="{C16CB124-EDAA-4765-820B-63BE27890E12}"/>
    <cellStyle name="Normal 8 3 2 2 2 4 4" xfId="10327" xr:uid="{1670BCB2-DC94-4284-989E-1DD7ECE143AF}"/>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575AF9C8-AEDB-4A43-8CCC-BBDF7EA306A2}"/>
    <cellStyle name="Normal 8 3 2 2 2 5 2 3" xfId="12885" xr:uid="{4A733CB9-D916-47E4-A9FB-B76386CB9063}"/>
    <cellStyle name="Normal 8 3 2 2 2 5 3" xfId="6516" xr:uid="{00000000-0005-0000-0000-0000431D0000}"/>
    <cellStyle name="Normal 8 3 2 2 2 5 3 2" xfId="14958" xr:uid="{2420ADC9-808D-42B5-9872-199D7B20781E}"/>
    <cellStyle name="Normal 8 3 2 2 2 5 4" xfId="10740" xr:uid="{A7DD249E-20CA-4D9D-93E8-2AD955CA7A26}"/>
    <cellStyle name="Normal 8 3 2 2 2 6" xfId="2645" xr:uid="{00000000-0005-0000-0000-0000441D0000}"/>
    <cellStyle name="Normal 8 3 2 2 2 6 2" xfId="6929" xr:uid="{00000000-0005-0000-0000-0000451D0000}"/>
    <cellStyle name="Normal 8 3 2 2 2 6 2 2" xfId="15371" xr:uid="{E299D1F4-5A31-4CFA-92F7-60BE663E338C}"/>
    <cellStyle name="Normal 8 3 2 2 2 6 3" xfId="11153" xr:uid="{963BA74B-E64F-4DC7-BAC4-011DB2F9004C}"/>
    <cellStyle name="Normal 8 3 2 2 2 7" xfId="4864" xr:uid="{00000000-0005-0000-0000-0000461D0000}"/>
    <cellStyle name="Normal 8 3 2 2 2 7 2" xfId="13306" xr:uid="{DD272BFF-149F-472E-8FE4-9195CD6705BA}"/>
    <cellStyle name="Normal 8 3 2 2 2 8" xfId="9088" xr:uid="{D628E29F-B384-468B-992D-F2FFFB473079}"/>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3C06EDDE-E54A-452E-A70E-1F8F3FC43692}"/>
    <cellStyle name="Normal 8 3 2 2 3 2 3" xfId="11645" xr:uid="{CC0443DE-BB3F-4717-B91C-EA12D383149C}"/>
    <cellStyle name="Normal 8 3 2 2 3 3" xfId="5276" xr:uid="{00000000-0005-0000-0000-00004A1D0000}"/>
    <cellStyle name="Normal 8 3 2 2 3 3 2" xfId="13718" xr:uid="{A7D335B6-E07A-4DCD-A987-95AF3476E959}"/>
    <cellStyle name="Normal 8 3 2 2 3 4" xfId="9500" xr:uid="{565C8AF1-84F1-47DE-8C14-2A072968A15B}"/>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5F497DD0-A294-4E6E-A197-51BAD34BE51E}"/>
    <cellStyle name="Normal 8 3 2 2 4 2 3" xfId="12058" xr:uid="{7BEC2035-826E-451C-A65B-2F9B47C9736D}"/>
    <cellStyle name="Normal 8 3 2 2 4 3" xfId="5689" xr:uid="{00000000-0005-0000-0000-00004E1D0000}"/>
    <cellStyle name="Normal 8 3 2 2 4 3 2" xfId="14131" xr:uid="{66CE0FC2-D42D-46F5-8B15-01A5BC009A7B}"/>
    <cellStyle name="Normal 8 3 2 2 4 4" xfId="9913" xr:uid="{D927E3A3-CD84-4B93-A1B0-FDED92723844}"/>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24B3B9F4-5B2B-4CC7-9B81-F628D44AC2D9}"/>
    <cellStyle name="Normal 8 3 2 2 5 2 3" xfId="12471" xr:uid="{3521D1E8-3EBE-49B6-B4E7-85872CFBACB8}"/>
    <cellStyle name="Normal 8 3 2 2 5 3" xfId="6102" xr:uid="{00000000-0005-0000-0000-0000521D0000}"/>
    <cellStyle name="Normal 8 3 2 2 5 3 2" xfId="14544" xr:uid="{FC605A1B-A1A7-4327-BD22-BC9FFF5170DB}"/>
    <cellStyle name="Normal 8 3 2 2 5 4" xfId="10326" xr:uid="{4470B92D-C0A6-4A17-A4C0-3E2E2999764B}"/>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67E2A329-9F20-41A1-AA12-32311F550AB4}"/>
    <cellStyle name="Normal 8 3 2 2 6 2 3" xfId="12884" xr:uid="{6C56F15D-AD7E-48BB-B049-735B9101DDAC}"/>
    <cellStyle name="Normal 8 3 2 2 6 3" xfId="6515" xr:uid="{00000000-0005-0000-0000-0000561D0000}"/>
    <cellStyle name="Normal 8 3 2 2 6 3 2" xfId="14957" xr:uid="{BCE7D39B-1BBF-4765-B6A9-B776AA1EAA13}"/>
    <cellStyle name="Normal 8 3 2 2 6 4" xfId="10739" xr:uid="{6B4FADB6-73E9-4825-812B-AC402EA5355A}"/>
    <cellStyle name="Normal 8 3 2 2 7" xfId="2644" xr:uid="{00000000-0005-0000-0000-0000571D0000}"/>
    <cellStyle name="Normal 8 3 2 2 7 2" xfId="6928" xr:uid="{00000000-0005-0000-0000-0000581D0000}"/>
    <cellStyle name="Normal 8 3 2 2 7 2 2" xfId="15370" xr:uid="{2EE80070-9B45-4CE2-A6AC-734EC0571A87}"/>
    <cellStyle name="Normal 8 3 2 2 7 3" xfId="11152" xr:uid="{3D8E3C97-7D50-46CC-A3B2-1F7B6C7DDDD8}"/>
    <cellStyle name="Normal 8 3 2 2 8" xfId="4863" xr:uid="{00000000-0005-0000-0000-0000591D0000}"/>
    <cellStyle name="Normal 8 3 2 2 8 2" xfId="13305" xr:uid="{5C899F78-24E2-4D2E-BBB2-E9AA5234FE21}"/>
    <cellStyle name="Normal 8 3 2 2 9" xfId="9087" xr:uid="{A61EC4EC-D5A9-474B-9144-258DBC622668}"/>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5245BDE9-21E4-4A02-A6D7-1F7467460434}"/>
    <cellStyle name="Normal 8 3 2 3 2 2 3" xfId="11647" xr:uid="{383A6153-41CF-4252-81FC-62FA2310BA93}"/>
    <cellStyle name="Normal 8 3 2 3 2 3" xfId="5278" xr:uid="{00000000-0005-0000-0000-00005E1D0000}"/>
    <cellStyle name="Normal 8 3 2 3 2 3 2" xfId="13720" xr:uid="{D25F735A-C6AA-407D-95BF-EBFAE82AFC22}"/>
    <cellStyle name="Normal 8 3 2 3 2 4" xfId="9502" xr:uid="{4D0BA930-0440-4219-B033-F65945786809}"/>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568E1AFD-0C95-4F3F-A0CA-7F1AF33A41CA}"/>
    <cellStyle name="Normal 8 3 2 3 3 2 3" xfId="12060" xr:uid="{4DCEACDF-B769-4F4F-9B57-4BFA15FE472E}"/>
    <cellStyle name="Normal 8 3 2 3 3 3" xfId="5691" xr:uid="{00000000-0005-0000-0000-0000621D0000}"/>
    <cellStyle name="Normal 8 3 2 3 3 3 2" xfId="14133" xr:uid="{2CA2EAD7-069A-4F74-9152-A9F8A5CE1960}"/>
    <cellStyle name="Normal 8 3 2 3 3 4" xfId="9915" xr:uid="{8C4C13C2-E84C-447C-9D24-567CB2D141F1}"/>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F2606793-86D4-4963-8D75-67F4CB5B95A3}"/>
    <cellStyle name="Normal 8 3 2 3 4 2 3" xfId="12473" xr:uid="{EFAE36A6-2204-4BE4-9A9D-FF0C1BD4D949}"/>
    <cellStyle name="Normal 8 3 2 3 4 3" xfId="6104" xr:uid="{00000000-0005-0000-0000-0000661D0000}"/>
    <cellStyle name="Normal 8 3 2 3 4 3 2" xfId="14546" xr:uid="{2B7919FB-FA71-4706-AD91-EEA0A4108690}"/>
    <cellStyle name="Normal 8 3 2 3 4 4" xfId="10328" xr:uid="{438CFCB9-18E8-4D56-A0F1-EECBB61432BC}"/>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ADF3A14D-356B-4F83-BC9C-71C132362CC2}"/>
    <cellStyle name="Normal 8 3 2 3 5 2 3" xfId="12886" xr:uid="{F2290ADC-962E-4B3C-96B9-C2F9C1AB9314}"/>
    <cellStyle name="Normal 8 3 2 3 5 3" xfId="6517" xr:uid="{00000000-0005-0000-0000-00006A1D0000}"/>
    <cellStyle name="Normal 8 3 2 3 5 3 2" xfId="14959" xr:uid="{57D2BD0A-ED0E-407A-9147-8D98C96CBF83}"/>
    <cellStyle name="Normal 8 3 2 3 5 4" xfId="10741" xr:uid="{FA6C2134-86F4-4E08-BB84-1FE62BDD4EA4}"/>
    <cellStyle name="Normal 8 3 2 3 6" xfId="2646" xr:uid="{00000000-0005-0000-0000-00006B1D0000}"/>
    <cellStyle name="Normal 8 3 2 3 6 2" xfId="6930" xr:uid="{00000000-0005-0000-0000-00006C1D0000}"/>
    <cellStyle name="Normal 8 3 2 3 6 2 2" xfId="15372" xr:uid="{8C8688CA-83AA-4708-A3C1-05F88D8E3ECF}"/>
    <cellStyle name="Normal 8 3 2 3 6 3" xfId="11154" xr:uid="{030DD8D6-FA4F-48C2-A42C-3DA5D0F7613F}"/>
    <cellStyle name="Normal 8 3 2 3 7" xfId="4865" xr:uid="{00000000-0005-0000-0000-00006D1D0000}"/>
    <cellStyle name="Normal 8 3 2 3 7 2" xfId="13307" xr:uid="{7CD0E2CE-83BA-4761-A0BB-E66E0B5122E7}"/>
    <cellStyle name="Normal 8 3 2 3 8" xfId="9089" xr:uid="{BDBABF50-6C44-4DC9-B4F0-FF75F6742533}"/>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0E2EDC8B-EC8F-4E95-9707-E57F9D2A730C}"/>
    <cellStyle name="Normal 8 3 2 4 2 3" xfId="11644" xr:uid="{700E34D3-F989-4598-BB18-29FE94790D0D}"/>
    <cellStyle name="Normal 8 3 2 4 3" xfId="5275" xr:uid="{00000000-0005-0000-0000-0000711D0000}"/>
    <cellStyle name="Normal 8 3 2 4 3 2" xfId="13717" xr:uid="{D4AD9F97-85BA-416C-B94F-E350302EB5A8}"/>
    <cellStyle name="Normal 8 3 2 4 4" xfId="9499" xr:uid="{3E6AA6CB-F64F-4203-A3FE-139D151E7D7B}"/>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64329D39-5DAD-4287-A0F2-FCD9A4DF9AE5}"/>
    <cellStyle name="Normal 8 3 2 5 2 3" xfId="12057" xr:uid="{FC7CD28F-0E46-47AA-8690-89F0CC4496A9}"/>
    <cellStyle name="Normal 8 3 2 5 3" xfId="5688" xr:uid="{00000000-0005-0000-0000-0000751D0000}"/>
    <cellStyle name="Normal 8 3 2 5 3 2" xfId="14130" xr:uid="{2270CC62-2183-4839-9411-184CF44AC04E}"/>
    <cellStyle name="Normal 8 3 2 5 4" xfId="9912" xr:uid="{CDFC9EFF-31EB-4B94-83B8-E647989E7222}"/>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26155CB3-6A4B-44F3-9C9E-5419B8592460}"/>
    <cellStyle name="Normal 8 3 2 6 2 3" xfId="12470" xr:uid="{44609DD3-3B30-402D-BB4C-80FC8E38BF3C}"/>
    <cellStyle name="Normal 8 3 2 6 3" xfId="6101" xr:uid="{00000000-0005-0000-0000-0000791D0000}"/>
    <cellStyle name="Normal 8 3 2 6 3 2" xfId="14543" xr:uid="{905FCAA8-D491-4166-B33E-F45DC6FAB3A2}"/>
    <cellStyle name="Normal 8 3 2 6 4" xfId="10325" xr:uid="{49528A44-22AB-4B3B-B0E0-26C18287B97E}"/>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F605FAD1-EDFC-470E-9852-801640461F84}"/>
    <cellStyle name="Normal 8 3 2 7 2 3" xfId="12883" xr:uid="{B4C539E7-110F-4D1C-AC0D-856A0F267F69}"/>
    <cellStyle name="Normal 8 3 2 7 3" xfId="6514" xr:uid="{00000000-0005-0000-0000-00007D1D0000}"/>
    <cellStyle name="Normal 8 3 2 7 3 2" xfId="14956" xr:uid="{D93BAD91-53A1-4DB5-AE40-D39411FD2503}"/>
    <cellStyle name="Normal 8 3 2 7 4" xfId="10738" xr:uid="{39BA0B87-BF09-43CA-920E-D413E0F24961}"/>
    <cellStyle name="Normal 8 3 2 8" xfId="2643" xr:uid="{00000000-0005-0000-0000-00007E1D0000}"/>
    <cellStyle name="Normal 8 3 2 8 2" xfId="6927" xr:uid="{00000000-0005-0000-0000-00007F1D0000}"/>
    <cellStyle name="Normal 8 3 2 8 2 2" xfId="15369" xr:uid="{08AF64FC-FA44-48F7-8BC9-B1AB07270AF1}"/>
    <cellStyle name="Normal 8 3 2 8 3" xfId="11151" xr:uid="{CE7BCF91-08F2-4A95-BC60-49BAC274DB5D}"/>
    <cellStyle name="Normal 8 3 2 9" xfId="4862" xr:uid="{00000000-0005-0000-0000-0000801D0000}"/>
    <cellStyle name="Normal 8 3 2 9 2" xfId="13304" xr:uid="{3A1740DC-563D-4485-AE0F-72D324E7A64D}"/>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3DA1A9F7-8787-4C83-A338-0FBE54C8A6C4}"/>
    <cellStyle name="Normal 8 3 3 2 2 2 3" xfId="11649" xr:uid="{AD632743-DE1B-43FC-B1F9-F4E5EF4E79CE}"/>
    <cellStyle name="Normal 8 3 3 2 2 3" xfId="5280" xr:uid="{00000000-0005-0000-0000-0000861D0000}"/>
    <cellStyle name="Normal 8 3 3 2 2 3 2" xfId="13722" xr:uid="{D9EDF468-B19A-436D-9C13-72A4770F2969}"/>
    <cellStyle name="Normal 8 3 3 2 2 4" xfId="9504" xr:uid="{41CC3796-69C2-4135-A2FC-919AA655FBBD}"/>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CD9398D9-08FE-4F5A-9DD9-D6A9058D173D}"/>
    <cellStyle name="Normal 8 3 3 2 3 2 3" xfId="12062" xr:uid="{236F7B4E-6920-49BE-8B52-85BF037672D5}"/>
    <cellStyle name="Normal 8 3 3 2 3 3" xfId="5693" xr:uid="{00000000-0005-0000-0000-00008A1D0000}"/>
    <cellStyle name="Normal 8 3 3 2 3 3 2" xfId="14135" xr:uid="{17E6A9E8-8937-44AA-84FF-4F76F7AD9241}"/>
    <cellStyle name="Normal 8 3 3 2 3 4" xfId="9917" xr:uid="{B0F1DEF1-F60F-4C78-A5F4-B71D2864A6AE}"/>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696F108E-59DA-4469-BA00-E8168C32E216}"/>
    <cellStyle name="Normal 8 3 3 2 4 2 3" xfId="12475" xr:uid="{77A12332-FF74-414D-8FF1-5D5F17F3CE2F}"/>
    <cellStyle name="Normal 8 3 3 2 4 3" xfId="6106" xr:uid="{00000000-0005-0000-0000-00008E1D0000}"/>
    <cellStyle name="Normal 8 3 3 2 4 3 2" xfId="14548" xr:uid="{2C484DDB-B47D-4BF5-8509-9F705CA100C6}"/>
    <cellStyle name="Normal 8 3 3 2 4 4" xfId="10330" xr:uid="{CCACB512-E84E-44B7-A1B4-962C575612AC}"/>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CDB4CC28-613C-480A-B3B4-D4E77AD64F81}"/>
    <cellStyle name="Normal 8 3 3 2 5 2 3" xfId="12888" xr:uid="{4C01A24E-07F2-4058-9F9E-E57FB3085EDB}"/>
    <cellStyle name="Normal 8 3 3 2 5 3" xfId="6519" xr:uid="{00000000-0005-0000-0000-0000921D0000}"/>
    <cellStyle name="Normal 8 3 3 2 5 3 2" xfId="14961" xr:uid="{93C6420F-B7A1-418F-9437-C114051A105B}"/>
    <cellStyle name="Normal 8 3 3 2 5 4" xfId="10743" xr:uid="{F9285827-7D42-4FBA-85B3-1B63A4187F38}"/>
    <cellStyle name="Normal 8 3 3 2 6" xfId="2648" xr:uid="{00000000-0005-0000-0000-0000931D0000}"/>
    <cellStyle name="Normal 8 3 3 2 6 2" xfId="6932" xr:uid="{00000000-0005-0000-0000-0000941D0000}"/>
    <cellStyle name="Normal 8 3 3 2 6 2 2" xfId="15374" xr:uid="{DFBE9223-BC2C-4FA8-8508-8E2DC19F4A88}"/>
    <cellStyle name="Normal 8 3 3 2 6 3" xfId="11156" xr:uid="{D3C28078-DDA0-464E-A46C-85F0C03A5A49}"/>
    <cellStyle name="Normal 8 3 3 2 7" xfId="4867" xr:uid="{00000000-0005-0000-0000-0000951D0000}"/>
    <cellStyle name="Normal 8 3 3 2 7 2" xfId="13309" xr:uid="{38EAC793-55B5-407D-93A8-C006E436A906}"/>
    <cellStyle name="Normal 8 3 3 2 8" xfId="9091" xr:uid="{3C54F8E4-F3F9-49F8-A924-5EF8523D9F89}"/>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3E2D4A87-48E0-4101-AA4C-D4B0B342C524}"/>
    <cellStyle name="Normal 8 3 3 3 2 3" xfId="11648" xr:uid="{B066D92F-BB93-4D79-B7EC-FA67B4087692}"/>
    <cellStyle name="Normal 8 3 3 3 3" xfId="5279" xr:uid="{00000000-0005-0000-0000-0000991D0000}"/>
    <cellStyle name="Normal 8 3 3 3 3 2" xfId="13721" xr:uid="{C37BEF60-2683-4DA2-8813-BDB5D53A6904}"/>
    <cellStyle name="Normal 8 3 3 3 4" xfId="9503" xr:uid="{3D809729-2F5B-49B9-B5A5-818DCB08357E}"/>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9BD5E752-EB74-4416-AD56-8006456F74CD}"/>
    <cellStyle name="Normal 8 3 3 4 2 3" xfId="12061" xr:uid="{B0420061-FE8C-4D10-B165-9E8B67EE292B}"/>
    <cellStyle name="Normal 8 3 3 4 3" xfId="5692" xr:uid="{00000000-0005-0000-0000-00009D1D0000}"/>
    <cellStyle name="Normal 8 3 3 4 3 2" xfId="14134" xr:uid="{E7D0A9DA-D360-476E-A7CF-7A0B67496659}"/>
    <cellStyle name="Normal 8 3 3 4 4" xfId="9916" xr:uid="{0710A037-36E0-4CD0-884B-91156BBE4AB9}"/>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D65143AE-85B5-416D-B724-D423541F302C}"/>
    <cellStyle name="Normal 8 3 3 5 2 3" xfId="12474" xr:uid="{E9C046DD-C4FB-41AA-A802-CFB26576F849}"/>
    <cellStyle name="Normal 8 3 3 5 3" xfId="6105" xr:uid="{00000000-0005-0000-0000-0000A11D0000}"/>
    <cellStyle name="Normal 8 3 3 5 3 2" xfId="14547" xr:uid="{B3090DB0-35A7-4DD1-A516-1967D723F559}"/>
    <cellStyle name="Normal 8 3 3 5 4" xfId="10329" xr:uid="{1CA99AA7-9DBE-4E5D-81E8-2CDB9B59762B}"/>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34607FA1-99AE-4F52-8B8E-BED92BB7BB61}"/>
    <cellStyle name="Normal 8 3 3 6 2 3" xfId="12887" xr:uid="{05860029-A396-4907-96C0-2D39654E0C94}"/>
    <cellStyle name="Normal 8 3 3 6 3" xfId="6518" xr:uid="{00000000-0005-0000-0000-0000A51D0000}"/>
    <cellStyle name="Normal 8 3 3 6 3 2" xfId="14960" xr:uid="{5AAB3A6C-D035-472B-B3E1-0270A02B7707}"/>
    <cellStyle name="Normal 8 3 3 6 4" xfId="10742" xr:uid="{D14965CD-ECC5-417E-B9AF-E071DF97F9FD}"/>
    <cellStyle name="Normal 8 3 3 7" xfId="2647" xr:uid="{00000000-0005-0000-0000-0000A61D0000}"/>
    <cellStyle name="Normal 8 3 3 7 2" xfId="6931" xr:uid="{00000000-0005-0000-0000-0000A71D0000}"/>
    <cellStyle name="Normal 8 3 3 7 2 2" xfId="15373" xr:uid="{B87BE3B7-3360-4C3F-9A2B-D7CEEB2364C6}"/>
    <cellStyle name="Normal 8 3 3 7 3" xfId="11155" xr:uid="{8E0D07BB-C826-4560-A313-B6498B8427EC}"/>
    <cellStyle name="Normal 8 3 3 8" xfId="4866" xr:uid="{00000000-0005-0000-0000-0000A81D0000}"/>
    <cellStyle name="Normal 8 3 3 8 2" xfId="13308" xr:uid="{0E9C41BB-C6A5-4A79-B205-D807837217C4}"/>
    <cellStyle name="Normal 8 3 3 9" xfId="9090" xr:uid="{C8B32126-20C6-4B92-B7E6-B1D23AA98695}"/>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4827DD2F-46C4-45B6-A46B-C90ADB503341}"/>
    <cellStyle name="Normal 8 3 4 2 2 3" xfId="11650" xr:uid="{551C56E0-774F-4D45-A9CF-D778E719E777}"/>
    <cellStyle name="Normal 8 3 4 2 3" xfId="5281" xr:uid="{00000000-0005-0000-0000-0000AD1D0000}"/>
    <cellStyle name="Normal 8 3 4 2 3 2" xfId="13723" xr:uid="{F5C0D5FB-9FC6-4947-A286-519AD6FA06EC}"/>
    <cellStyle name="Normal 8 3 4 2 4" xfId="9505" xr:uid="{BBFD9A75-20E8-492C-9B79-A53DA971B4A7}"/>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CFD18DB3-C3D9-49E4-834E-FF3AC9605F04}"/>
    <cellStyle name="Normal 8 3 4 3 2 3" xfId="12063" xr:uid="{D539BB0B-4712-45F4-8598-6198153D1173}"/>
    <cellStyle name="Normal 8 3 4 3 3" xfId="5694" xr:uid="{00000000-0005-0000-0000-0000B11D0000}"/>
    <cellStyle name="Normal 8 3 4 3 3 2" xfId="14136" xr:uid="{81140615-BBD6-4016-9D08-A18021EB681F}"/>
    <cellStyle name="Normal 8 3 4 3 4" xfId="9918" xr:uid="{654F8D31-78DA-4D2C-B143-3CB2B737323F}"/>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64DA0C0C-C2C1-4495-8ADC-CD62A5BA1054}"/>
    <cellStyle name="Normal 8 3 4 4 2 3" xfId="12476" xr:uid="{EEF147B6-99C7-4C0A-8E36-79FC77319C55}"/>
    <cellStyle name="Normal 8 3 4 4 3" xfId="6107" xr:uid="{00000000-0005-0000-0000-0000B51D0000}"/>
    <cellStyle name="Normal 8 3 4 4 3 2" xfId="14549" xr:uid="{59E81AEF-4F54-4CFD-84CA-46A578FE6E21}"/>
    <cellStyle name="Normal 8 3 4 4 4" xfId="10331" xr:uid="{76D1BE7E-8D35-4560-A46C-529C011E0FEF}"/>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D05896BE-18BB-4A8F-A292-65D558BBFC8C}"/>
    <cellStyle name="Normal 8 3 4 5 2 3" xfId="12889" xr:uid="{F7B85C92-C1E2-4216-B835-59B73B098E4B}"/>
    <cellStyle name="Normal 8 3 4 5 3" xfId="6520" xr:uid="{00000000-0005-0000-0000-0000B91D0000}"/>
    <cellStyle name="Normal 8 3 4 5 3 2" xfId="14962" xr:uid="{71B29901-25F3-4196-87B4-3E081FF848CE}"/>
    <cellStyle name="Normal 8 3 4 5 4" xfId="10744" xr:uid="{04D25C12-82D9-4D0E-9C6C-4612ADF1D954}"/>
    <cellStyle name="Normal 8 3 4 6" xfId="2649" xr:uid="{00000000-0005-0000-0000-0000BA1D0000}"/>
    <cellStyle name="Normal 8 3 4 6 2" xfId="6933" xr:uid="{00000000-0005-0000-0000-0000BB1D0000}"/>
    <cellStyle name="Normal 8 3 4 6 2 2" xfId="15375" xr:uid="{912062A8-4A1A-4DA0-B590-BD34BDAF79B0}"/>
    <cellStyle name="Normal 8 3 4 6 3" xfId="11157" xr:uid="{46965D84-6CE4-4748-AD31-9980B85A79E4}"/>
    <cellStyle name="Normal 8 3 4 7" xfId="4868" xr:uid="{00000000-0005-0000-0000-0000BC1D0000}"/>
    <cellStyle name="Normal 8 3 4 7 2" xfId="13310" xr:uid="{25FB5CA0-415F-433E-8403-3E03BD59251B}"/>
    <cellStyle name="Normal 8 3 4 8" xfId="9092" xr:uid="{A6065581-7160-4342-AC86-26BCF8AE0ACB}"/>
    <cellStyle name="Normal 8 3 5" xfId="962" xr:uid="{00000000-0005-0000-0000-0000BD1D0000}"/>
    <cellStyle name="Normal 8 3 5 2" xfId="3196" xr:uid="{00000000-0005-0000-0000-0000BE1D0000}"/>
    <cellStyle name="Normal 8 3 5 2 2" xfId="7419" xr:uid="{00000000-0005-0000-0000-0000BF1D0000}"/>
    <cellStyle name="Normal 8 3 5 2 2 2" xfId="15861" xr:uid="{790D5EE1-DB58-4C63-9A5E-E0CEBD46C4A7}"/>
    <cellStyle name="Normal 8 3 5 2 3" xfId="11643" xr:uid="{89BE768B-5520-4255-BEE1-BC908ECBAE3A}"/>
    <cellStyle name="Normal 8 3 5 3" xfId="5274" xr:uid="{00000000-0005-0000-0000-0000C01D0000}"/>
    <cellStyle name="Normal 8 3 5 3 2" xfId="13716" xr:uid="{59070B1C-293C-48A1-96E6-76C1FDF4EE96}"/>
    <cellStyle name="Normal 8 3 5 4" xfId="9498" xr:uid="{C34CFC07-53E6-4CA4-BEE6-1CF1F608A069}"/>
    <cellStyle name="Normal 8 3 6" xfId="1379" xr:uid="{00000000-0005-0000-0000-0000C11D0000}"/>
    <cellStyle name="Normal 8 3 6 2" xfId="3609" xr:uid="{00000000-0005-0000-0000-0000C21D0000}"/>
    <cellStyle name="Normal 8 3 6 2 2" xfId="7832" xr:uid="{00000000-0005-0000-0000-0000C31D0000}"/>
    <cellStyle name="Normal 8 3 6 2 2 2" xfId="16274" xr:uid="{A97C0F1F-4B2A-49B5-8A5F-ECC6668C2C45}"/>
    <cellStyle name="Normal 8 3 6 2 3" xfId="12056" xr:uid="{9489C400-CC52-4A32-B404-91B211859AF6}"/>
    <cellStyle name="Normal 8 3 6 3" xfId="5687" xr:uid="{00000000-0005-0000-0000-0000C41D0000}"/>
    <cellStyle name="Normal 8 3 6 3 2" xfId="14129" xr:uid="{24C5FA5C-3DE5-4481-A403-9F6C3205B0DC}"/>
    <cellStyle name="Normal 8 3 6 4" xfId="9911" xr:uid="{C780FFD0-5A99-47B0-899A-53A3E4298429}"/>
    <cellStyle name="Normal 8 3 7" xfId="1792" xr:uid="{00000000-0005-0000-0000-0000C51D0000}"/>
    <cellStyle name="Normal 8 3 7 2" xfId="4022" xr:uid="{00000000-0005-0000-0000-0000C61D0000}"/>
    <cellStyle name="Normal 8 3 7 2 2" xfId="8245" xr:uid="{00000000-0005-0000-0000-0000C71D0000}"/>
    <cellStyle name="Normal 8 3 7 2 2 2" xfId="16687" xr:uid="{F25815AA-C1C3-456B-B71E-2213874B32D1}"/>
    <cellStyle name="Normal 8 3 7 2 3" xfId="12469" xr:uid="{150A9D1A-73F4-49EB-AA47-7062E5752557}"/>
    <cellStyle name="Normal 8 3 7 3" xfId="6100" xr:uid="{00000000-0005-0000-0000-0000C81D0000}"/>
    <cellStyle name="Normal 8 3 7 3 2" xfId="14542" xr:uid="{EAC8284A-63FB-4499-9DD4-774B7295E9D2}"/>
    <cellStyle name="Normal 8 3 7 4" xfId="10324" xr:uid="{0EC36A3A-6AB5-48A6-917B-7C5FFC6F3591}"/>
    <cellStyle name="Normal 8 3 8" xfId="2206" xr:uid="{00000000-0005-0000-0000-0000C91D0000}"/>
    <cellStyle name="Normal 8 3 8 2" xfId="4435" xr:uid="{00000000-0005-0000-0000-0000CA1D0000}"/>
    <cellStyle name="Normal 8 3 8 2 2" xfId="8658" xr:uid="{00000000-0005-0000-0000-0000CB1D0000}"/>
    <cellStyle name="Normal 8 3 8 2 2 2" xfId="17100" xr:uid="{91AC44E1-C8E7-456B-93D3-6FC98AF3257C}"/>
    <cellStyle name="Normal 8 3 8 2 3" xfId="12882" xr:uid="{AB2B8A59-6E62-49A8-95A8-D831AB27EA80}"/>
    <cellStyle name="Normal 8 3 8 3" xfId="6513" xr:uid="{00000000-0005-0000-0000-0000CC1D0000}"/>
    <cellStyle name="Normal 8 3 8 3 2" xfId="14955" xr:uid="{6A80E51D-716F-4911-A3D2-700BA8778EFC}"/>
    <cellStyle name="Normal 8 3 8 4" xfId="10737" xr:uid="{B5E041B3-FF84-4214-8305-A3212BA11535}"/>
    <cellStyle name="Normal 8 3 9" xfId="2642" xr:uid="{00000000-0005-0000-0000-0000CD1D0000}"/>
    <cellStyle name="Normal 8 3 9 2" xfId="6926" xr:uid="{00000000-0005-0000-0000-0000CE1D0000}"/>
    <cellStyle name="Normal 8 3 9 2 2" xfId="15368" xr:uid="{D6458D36-BA45-487F-8EDD-A1663AF8E01B}"/>
    <cellStyle name="Normal 8 3 9 3" xfId="11150" xr:uid="{1FEF4976-ACDB-49A6-93D2-D5DEE4BE4A06}"/>
    <cellStyle name="Normal 8 4" xfId="503" xr:uid="{00000000-0005-0000-0000-0000CF1D0000}"/>
    <cellStyle name="Normal 8 4 10" xfId="9093" xr:uid="{BD1002B8-64C9-4B4D-95FC-EDE7B2C5708A}"/>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4DCE1D90-580F-4EC5-A1FB-B69F5EE3FA6D}"/>
    <cellStyle name="Normal 8 4 2 2 2 2 3" xfId="11653" xr:uid="{C3F27E33-2123-4EBD-90BB-DF6554392A9A}"/>
    <cellStyle name="Normal 8 4 2 2 2 3" xfId="5284" xr:uid="{00000000-0005-0000-0000-0000D51D0000}"/>
    <cellStyle name="Normal 8 4 2 2 2 3 2" xfId="13726" xr:uid="{447D2F10-7995-47D1-A27B-E2B925B954C0}"/>
    <cellStyle name="Normal 8 4 2 2 2 4" xfId="9508" xr:uid="{E1FCB330-D396-4B49-9C43-86350703FB41}"/>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75A7930E-E548-4812-9D83-F9203BEE2CCF}"/>
    <cellStyle name="Normal 8 4 2 2 3 2 3" xfId="12066" xr:uid="{C46A87D3-ACED-475E-A7C8-011294392D27}"/>
    <cellStyle name="Normal 8 4 2 2 3 3" xfId="5697" xr:uid="{00000000-0005-0000-0000-0000D91D0000}"/>
    <cellStyle name="Normal 8 4 2 2 3 3 2" xfId="14139" xr:uid="{50EACB7B-A082-44B6-91A8-3EC298FED750}"/>
    <cellStyle name="Normal 8 4 2 2 3 4" xfId="9921" xr:uid="{530FB9AB-C4AC-4D25-B150-E6D25827EADB}"/>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EC059AC6-2E84-4523-A94F-E2475097B2DF}"/>
    <cellStyle name="Normal 8 4 2 2 4 2 3" xfId="12479" xr:uid="{396552FB-457E-49FC-BA5A-E3CC940648A0}"/>
    <cellStyle name="Normal 8 4 2 2 4 3" xfId="6110" xr:uid="{00000000-0005-0000-0000-0000DD1D0000}"/>
    <cellStyle name="Normal 8 4 2 2 4 3 2" xfId="14552" xr:uid="{743C0D8B-98B4-4D43-903A-83BE90C3D54C}"/>
    <cellStyle name="Normal 8 4 2 2 4 4" xfId="10334" xr:uid="{845A0CCE-F9CC-43E6-B88E-83688D36B202}"/>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643E7192-3DAA-49A1-9DD3-E5F4AFC0EAFE}"/>
    <cellStyle name="Normal 8 4 2 2 5 2 3" xfId="12892" xr:uid="{A364F783-B8BF-4EFF-8772-2631C9E2A965}"/>
    <cellStyle name="Normal 8 4 2 2 5 3" xfId="6523" xr:uid="{00000000-0005-0000-0000-0000E11D0000}"/>
    <cellStyle name="Normal 8 4 2 2 5 3 2" xfId="14965" xr:uid="{E7025EE6-2C56-4174-A245-6B1ADB1033D8}"/>
    <cellStyle name="Normal 8 4 2 2 5 4" xfId="10747" xr:uid="{2C696BD1-A739-4E8C-ABB6-AAA45DCD65EA}"/>
    <cellStyle name="Normal 8 4 2 2 6" xfId="2652" xr:uid="{00000000-0005-0000-0000-0000E21D0000}"/>
    <cellStyle name="Normal 8 4 2 2 6 2" xfId="6936" xr:uid="{00000000-0005-0000-0000-0000E31D0000}"/>
    <cellStyle name="Normal 8 4 2 2 6 2 2" xfId="15378" xr:uid="{B2AF62B4-A6D8-4C14-9423-018A7646D2B1}"/>
    <cellStyle name="Normal 8 4 2 2 6 3" xfId="11160" xr:uid="{326AFE48-D435-412B-AFB1-5EDFC39AEFB7}"/>
    <cellStyle name="Normal 8 4 2 2 7" xfId="4871" xr:uid="{00000000-0005-0000-0000-0000E41D0000}"/>
    <cellStyle name="Normal 8 4 2 2 7 2" xfId="13313" xr:uid="{6F70DC20-EAF8-46E7-B05B-5F0890BF7CEE}"/>
    <cellStyle name="Normal 8 4 2 2 8" xfId="9095" xr:uid="{CCA6E135-A5C1-4293-A114-C7C716C05DC5}"/>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AAA14B6D-7A58-4AEA-B3F7-348A9E104707}"/>
    <cellStyle name="Normal 8 4 2 3 2 3" xfId="11652" xr:uid="{AA16B6BC-4FA3-4613-8EC7-D37D3978327C}"/>
    <cellStyle name="Normal 8 4 2 3 3" xfId="5283" xr:uid="{00000000-0005-0000-0000-0000E81D0000}"/>
    <cellStyle name="Normal 8 4 2 3 3 2" xfId="13725" xr:uid="{B0D9E925-E4C7-44E4-9782-F847FBDC384B}"/>
    <cellStyle name="Normal 8 4 2 3 4" xfId="9507" xr:uid="{43696BD7-93F0-40A5-B7E9-5091A1C14FC8}"/>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B28C99BA-076C-4865-812E-E286433B0257}"/>
    <cellStyle name="Normal 8 4 2 4 2 3" xfId="12065" xr:uid="{3FCAE0C6-20F5-40E6-B011-F91BC619A4A4}"/>
    <cellStyle name="Normal 8 4 2 4 3" xfId="5696" xr:uid="{00000000-0005-0000-0000-0000EC1D0000}"/>
    <cellStyle name="Normal 8 4 2 4 3 2" xfId="14138" xr:uid="{7EC05079-DC6D-4117-A6A0-2460C33B0712}"/>
    <cellStyle name="Normal 8 4 2 4 4" xfId="9920" xr:uid="{BD0E4AF1-86A6-4DB5-A3F1-2EA8AA1BC5E6}"/>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ECC85DEB-83DD-4002-B860-AA653BF0D87F}"/>
    <cellStyle name="Normal 8 4 2 5 2 3" xfId="12478" xr:uid="{2560C6A0-DA11-485A-BA0D-F133962D7338}"/>
    <cellStyle name="Normal 8 4 2 5 3" xfId="6109" xr:uid="{00000000-0005-0000-0000-0000F01D0000}"/>
    <cellStyle name="Normal 8 4 2 5 3 2" xfId="14551" xr:uid="{828ED729-480D-4830-9A9D-71C9F07F0051}"/>
    <cellStyle name="Normal 8 4 2 5 4" xfId="10333" xr:uid="{2B65FDEC-D397-46D7-97D1-FD4B78C00F71}"/>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DEB17E57-CEF0-4B2C-A137-0F96BC42935B}"/>
    <cellStyle name="Normal 8 4 2 6 2 3" xfId="12891" xr:uid="{F7E1E12D-2EF4-49D6-A9ED-32299F0B12D4}"/>
    <cellStyle name="Normal 8 4 2 6 3" xfId="6522" xr:uid="{00000000-0005-0000-0000-0000F41D0000}"/>
    <cellStyle name="Normal 8 4 2 6 3 2" xfId="14964" xr:uid="{8205EE05-9013-4E43-AC76-09B4483FE880}"/>
    <cellStyle name="Normal 8 4 2 6 4" xfId="10746" xr:uid="{DE6A7267-016C-4126-8C87-4E71F21C00F0}"/>
    <cellStyle name="Normal 8 4 2 7" xfId="2651" xr:uid="{00000000-0005-0000-0000-0000F51D0000}"/>
    <cellStyle name="Normal 8 4 2 7 2" xfId="6935" xr:uid="{00000000-0005-0000-0000-0000F61D0000}"/>
    <cellStyle name="Normal 8 4 2 7 2 2" xfId="15377" xr:uid="{A73748ED-562F-4874-A42C-4AF61D50AC63}"/>
    <cellStyle name="Normal 8 4 2 7 3" xfId="11159" xr:uid="{5B7CF904-969A-4230-9290-31708F8D4BE8}"/>
    <cellStyle name="Normal 8 4 2 8" xfId="4870" xr:uid="{00000000-0005-0000-0000-0000F71D0000}"/>
    <cellStyle name="Normal 8 4 2 8 2" xfId="13312" xr:uid="{D478B360-62D4-466B-9B28-07BBF4A5EC40}"/>
    <cellStyle name="Normal 8 4 2 9" xfId="9094" xr:uid="{FF4A2C80-C79B-40DE-BF3F-5904B94FC987}"/>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AC710102-8154-4A41-AAD4-62A82955BCC8}"/>
    <cellStyle name="Normal 8 4 3 2 2 3" xfId="11654" xr:uid="{05879C4C-358D-42C1-85D2-799A2DAD9B39}"/>
    <cellStyle name="Normal 8 4 3 2 3" xfId="5285" xr:uid="{00000000-0005-0000-0000-0000FC1D0000}"/>
    <cellStyle name="Normal 8 4 3 2 3 2" xfId="13727" xr:uid="{FF694A03-7716-4E89-9BAF-BA192B880F05}"/>
    <cellStyle name="Normal 8 4 3 2 4" xfId="9509" xr:uid="{FDF8602B-B7EC-4728-B2A8-AD2915CC477A}"/>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819DD4C3-8708-4C4B-BBD7-A3151DD64A33}"/>
    <cellStyle name="Normal 8 4 3 3 2 3" xfId="12067" xr:uid="{37F9990C-E76C-44DA-8F9F-6EEDA249CB9E}"/>
    <cellStyle name="Normal 8 4 3 3 3" xfId="5698" xr:uid="{00000000-0005-0000-0000-0000001E0000}"/>
    <cellStyle name="Normal 8 4 3 3 3 2" xfId="14140" xr:uid="{051B9EA1-C01F-4E03-AD2D-C9C37CEB54EA}"/>
    <cellStyle name="Normal 8 4 3 3 4" xfId="9922" xr:uid="{21C1DC54-6C34-4D58-B708-4EBB9AD151BB}"/>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AB00989F-3F9C-4910-9DBD-3EE18A68F699}"/>
    <cellStyle name="Normal 8 4 3 4 2 3" xfId="12480" xr:uid="{32642F8D-C9F6-4B29-BEDD-96EA02A08208}"/>
    <cellStyle name="Normal 8 4 3 4 3" xfId="6111" xr:uid="{00000000-0005-0000-0000-0000041E0000}"/>
    <cellStyle name="Normal 8 4 3 4 3 2" xfId="14553" xr:uid="{95D213DF-44FC-4834-AA5E-39093E94CD1D}"/>
    <cellStyle name="Normal 8 4 3 4 4" xfId="10335" xr:uid="{A42F8B36-2467-4373-917F-71FE96095C66}"/>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39746926-B4B7-467D-BD18-53EBF8A91653}"/>
    <cellStyle name="Normal 8 4 3 5 2 3" xfId="12893" xr:uid="{CD78B06F-6815-42C3-8102-8638A8D1D71B}"/>
    <cellStyle name="Normal 8 4 3 5 3" xfId="6524" xr:uid="{00000000-0005-0000-0000-0000081E0000}"/>
    <cellStyle name="Normal 8 4 3 5 3 2" xfId="14966" xr:uid="{FB6BB66C-6B87-4995-A269-9E0706E95CA1}"/>
    <cellStyle name="Normal 8 4 3 5 4" xfId="10748" xr:uid="{182374BD-9BF7-4DDB-8E7C-7D5778B9965C}"/>
    <cellStyle name="Normal 8 4 3 6" xfId="2653" xr:uid="{00000000-0005-0000-0000-0000091E0000}"/>
    <cellStyle name="Normal 8 4 3 6 2" xfId="6937" xr:uid="{00000000-0005-0000-0000-00000A1E0000}"/>
    <cellStyle name="Normal 8 4 3 6 2 2" xfId="15379" xr:uid="{49A1E2AE-FA89-4C15-8EF8-E07233712CEC}"/>
    <cellStyle name="Normal 8 4 3 6 3" xfId="11161" xr:uid="{ECD2F433-9F5F-4F0B-B04B-227316BB97C4}"/>
    <cellStyle name="Normal 8 4 3 7" xfId="4872" xr:uid="{00000000-0005-0000-0000-00000B1E0000}"/>
    <cellStyle name="Normal 8 4 3 7 2" xfId="13314" xr:uid="{224D1A23-BAC5-4F3C-8BC8-996FA130AB8B}"/>
    <cellStyle name="Normal 8 4 3 8" xfId="9096" xr:uid="{2EBE57B3-FD49-429F-9FF2-D08A9C63A78E}"/>
    <cellStyle name="Normal 8 4 4" xfId="970" xr:uid="{00000000-0005-0000-0000-00000C1E0000}"/>
    <cellStyle name="Normal 8 4 4 2" xfId="3204" xr:uid="{00000000-0005-0000-0000-00000D1E0000}"/>
    <cellStyle name="Normal 8 4 4 2 2" xfId="7427" xr:uid="{00000000-0005-0000-0000-00000E1E0000}"/>
    <cellStyle name="Normal 8 4 4 2 2 2" xfId="15869" xr:uid="{D400D16A-0D0A-421D-8094-D81DAAF0E068}"/>
    <cellStyle name="Normal 8 4 4 2 3" xfId="11651" xr:uid="{A39622F8-7ECB-4E5B-A8A2-698DCA4A7BDD}"/>
    <cellStyle name="Normal 8 4 4 3" xfId="5282" xr:uid="{00000000-0005-0000-0000-00000F1E0000}"/>
    <cellStyle name="Normal 8 4 4 3 2" xfId="13724" xr:uid="{AFDC6FD2-B98B-4A59-AB78-5A30E37A115E}"/>
    <cellStyle name="Normal 8 4 4 4" xfId="9506" xr:uid="{885A98AF-E3AC-46DC-92D4-5BD79A8D6783}"/>
    <cellStyle name="Normal 8 4 5" xfId="1387" xr:uid="{00000000-0005-0000-0000-0000101E0000}"/>
    <cellStyle name="Normal 8 4 5 2" xfId="3617" xr:uid="{00000000-0005-0000-0000-0000111E0000}"/>
    <cellStyle name="Normal 8 4 5 2 2" xfId="7840" xr:uid="{00000000-0005-0000-0000-0000121E0000}"/>
    <cellStyle name="Normal 8 4 5 2 2 2" xfId="16282" xr:uid="{2D6744C7-F348-41C9-8393-BEF711A470AA}"/>
    <cellStyle name="Normal 8 4 5 2 3" xfId="12064" xr:uid="{0195C939-B5FB-41BC-93D2-4AE1853C876E}"/>
    <cellStyle name="Normal 8 4 5 3" xfId="5695" xr:uid="{00000000-0005-0000-0000-0000131E0000}"/>
    <cellStyle name="Normal 8 4 5 3 2" xfId="14137" xr:uid="{DE41EA7D-7617-4B8C-AD29-86B0A2EF2324}"/>
    <cellStyle name="Normal 8 4 5 4" xfId="9919" xr:uid="{9BA64D0D-76A2-4285-8BD9-90B0A254318E}"/>
    <cellStyle name="Normal 8 4 6" xfId="1800" xr:uid="{00000000-0005-0000-0000-0000141E0000}"/>
    <cellStyle name="Normal 8 4 6 2" xfId="4030" xr:uid="{00000000-0005-0000-0000-0000151E0000}"/>
    <cellStyle name="Normal 8 4 6 2 2" xfId="8253" xr:uid="{00000000-0005-0000-0000-0000161E0000}"/>
    <cellStyle name="Normal 8 4 6 2 2 2" xfId="16695" xr:uid="{D7A680AA-632D-4758-A7F7-19BBABAE5828}"/>
    <cellStyle name="Normal 8 4 6 2 3" xfId="12477" xr:uid="{6E1CC4C1-94C2-4D43-ABEA-883598415F6E}"/>
    <cellStyle name="Normal 8 4 6 3" xfId="6108" xr:uid="{00000000-0005-0000-0000-0000171E0000}"/>
    <cellStyle name="Normal 8 4 6 3 2" xfId="14550" xr:uid="{D2631E91-8AF6-448A-ADE6-679FD0AE88F2}"/>
    <cellStyle name="Normal 8 4 6 4" xfId="10332" xr:uid="{BF6E1A0C-8010-45F6-A208-120AF43B9FF3}"/>
    <cellStyle name="Normal 8 4 7" xfId="2214" xr:uid="{00000000-0005-0000-0000-0000181E0000}"/>
    <cellStyle name="Normal 8 4 7 2" xfId="4443" xr:uid="{00000000-0005-0000-0000-0000191E0000}"/>
    <cellStyle name="Normal 8 4 7 2 2" xfId="8666" xr:uid="{00000000-0005-0000-0000-00001A1E0000}"/>
    <cellStyle name="Normal 8 4 7 2 2 2" xfId="17108" xr:uid="{AB1836C5-0A51-46ED-A0CA-2BA14EE95680}"/>
    <cellStyle name="Normal 8 4 7 2 3" xfId="12890" xr:uid="{F6E37393-F977-454D-9EEF-651F7BC105DD}"/>
    <cellStyle name="Normal 8 4 7 3" xfId="6521" xr:uid="{00000000-0005-0000-0000-00001B1E0000}"/>
    <cellStyle name="Normal 8 4 7 3 2" xfId="14963" xr:uid="{A198AC40-0AFF-48DF-9F20-BF471B971A95}"/>
    <cellStyle name="Normal 8 4 7 4" xfId="10745" xr:uid="{57284265-8614-4386-A320-BE12B435EEAE}"/>
    <cellStyle name="Normal 8 4 8" xfId="2650" xr:uid="{00000000-0005-0000-0000-00001C1E0000}"/>
    <cellStyle name="Normal 8 4 8 2" xfId="6934" xr:uid="{00000000-0005-0000-0000-00001D1E0000}"/>
    <cellStyle name="Normal 8 4 8 2 2" xfId="15376" xr:uid="{66A3B84A-9328-4121-B5E2-51E5DE5808E2}"/>
    <cellStyle name="Normal 8 4 8 3" xfId="11158" xr:uid="{6D0C89C3-C1A2-476F-9528-48908BB396BD}"/>
    <cellStyle name="Normal 8 4 9" xfId="4869" xr:uid="{00000000-0005-0000-0000-00001E1E0000}"/>
    <cellStyle name="Normal 8 4 9 2" xfId="13311" xr:uid="{560E17C6-2CFE-4DD1-ACE8-CF7271C2248E}"/>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9B01BBB1-E66B-44BF-9D29-C5CECF6B1ECF}"/>
    <cellStyle name="Normal 8 5 2 2 2 3" xfId="11656" xr:uid="{EDC6CC02-5772-4010-B03B-14832FD5E2B7}"/>
    <cellStyle name="Normal 8 5 2 2 3" xfId="5287" xr:uid="{00000000-0005-0000-0000-0000241E0000}"/>
    <cellStyle name="Normal 8 5 2 2 3 2" xfId="13729" xr:uid="{BE269D0B-2100-4DE4-8BB4-BF46D627AA9B}"/>
    <cellStyle name="Normal 8 5 2 2 4" xfId="9511" xr:uid="{40006269-77E2-4EDB-BBA6-15BEB28375D7}"/>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A069D1F9-7AC7-40BC-9777-C5EC7C42CBFB}"/>
    <cellStyle name="Normal 8 5 2 3 2 3" xfId="12069" xr:uid="{807E8097-9104-4B38-908B-517F93002893}"/>
    <cellStyle name="Normal 8 5 2 3 3" xfId="5700" xr:uid="{00000000-0005-0000-0000-0000281E0000}"/>
    <cellStyle name="Normal 8 5 2 3 3 2" xfId="14142" xr:uid="{C50CDC3F-73D1-4740-9616-A2C00A5C9051}"/>
    <cellStyle name="Normal 8 5 2 3 4" xfId="9924" xr:uid="{C16FAA5C-F9FF-4EB3-A57E-EB9CECFF2E2A}"/>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75B3892F-570A-4392-AE7F-3EE9DA64058C}"/>
    <cellStyle name="Normal 8 5 2 4 2 3" xfId="12482" xr:uid="{2519B28C-6EAB-41F5-8679-204F971EAB12}"/>
    <cellStyle name="Normal 8 5 2 4 3" xfId="6113" xr:uid="{00000000-0005-0000-0000-00002C1E0000}"/>
    <cellStyle name="Normal 8 5 2 4 3 2" xfId="14555" xr:uid="{7601512D-8EB4-4D29-BA1B-53A4FD2B2850}"/>
    <cellStyle name="Normal 8 5 2 4 4" xfId="10337" xr:uid="{F516EF93-4289-43AC-A616-ADE6F418A7CD}"/>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C3F08A39-563A-4E52-AD92-69419FD26360}"/>
    <cellStyle name="Normal 8 5 2 5 2 3" xfId="12895" xr:uid="{F638B388-1FC9-42DD-95FE-B82E0B88E35E}"/>
    <cellStyle name="Normal 8 5 2 5 3" xfId="6526" xr:uid="{00000000-0005-0000-0000-0000301E0000}"/>
    <cellStyle name="Normal 8 5 2 5 3 2" xfId="14968" xr:uid="{CD7FCB67-4496-47AB-B9D6-711D2561AF73}"/>
    <cellStyle name="Normal 8 5 2 5 4" xfId="10750" xr:uid="{A98E5983-C7D1-4E35-8DA3-EE93911E5C0D}"/>
    <cellStyle name="Normal 8 5 2 6" xfId="2655" xr:uid="{00000000-0005-0000-0000-0000311E0000}"/>
    <cellStyle name="Normal 8 5 2 6 2" xfId="6939" xr:uid="{00000000-0005-0000-0000-0000321E0000}"/>
    <cellStyle name="Normal 8 5 2 6 2 2" xfId="15381" xr:uid="{47209494-9665-49F4-B8EA-DD2C30692102}"/>
    <cellStyle name="Normal 8 5 2 6 3" xfId="11163" xr:uid="{E756050A-654B-4DCD-B6B1-1B36EA4608E4}"/>
    <cellStyle name="Normal 8 5 2 7" xfId="4874" xr:uid="{00000000-0005-0000-0000-0000331E0000}"/>
    <cellStyle name="Normal 8 5 2 7 2" xfId="13316" xr:uid="{6AF057B7-8755-46BF-BF28-E8E066F9183B}"/>
    <cellStyle name="Normal 8 5 2 8" xfId="9098" xr:uid="{09A21BB9-F997-4A5B-9221-E3D6372F4018}"/>
    <cellStyle name="Normal 8 5 3" xfId="974" xr:uid="{00000000-0005-0000-0000-0000341E0000}"/>
    <cellStyle name="Normal 8 5 3 2" xfId="3208" xr:uid="{00000000-0005-0000-0000-0000351E0000}"/>
    <cellStyle name="Normal 8 5 3 2 2" xfId="7431" xr:uid="{00000000-0005-0000-0000-0000361E0000}"/>
    <cellStyle name="Normal 8 5 3 2 2 2" xfId="15873" xr:uid="{1622E65E-C5B7-45E2-9D5B-37DDD78894B8}"/>
    <cellStyle name="Normal 8 5 3 2 3" xfId="11655" xr:uid="{955B0335-6D52-4394-9DF6-2381FA4E0BBD}"/>
    <cellStyle name="Normal 8 5 3 3" xfId="5286" xr:uid="{00000000-0005-0000-0000-0000371E0000}"/>
    <cellStyle name="Normal 8 5 3 3 2" xfId="13728" xr:uid="{3B81F806-E44A-4EC8-AA40-FABB47C8EC95}"/>
    <cellStyle name="Normal 8 5 3 4" xfId="9510" xr:uid="{F2B2E33D-EDA5-41E7-B1CF-EE2169021387}"/>
    <cellStyle name="Normal 8 5 4" xfId="1391" xr:uid="{00000000-0005-0000-0000-0000381E0000}"/>
    <cellStyle name="Normal 8 5 4 2" xfId="3621" xr:uid="{00000000-0005-0000-0000-0000391E0000}"/>
    <cellStyle name="Normal 8 5 4 2 2" xfId="7844" xr:uid="{00000000-0005-0000-0000-00003A1E0000}"/>
    <cellStyle name="Normal 8 5 4 2 2 2" xfId="16286" xr:uid="{65C46415-FBFC-4DEA-AE10-8A89F739860B}"/>
    <cellStyle name="Normal 8 5 4 2 3" xfId="12068" xr:uid="{2384E461-D530-4A5A-AC11-7D710DF9F90F}"/>
    <cellStyle name="Normal 8 5 4 3" xfId="5699" xr:uid="{00000000-0005-0000-0000-00003B1E0000}"/>
    <cellStyle name="Normal 8 5 4 3 2" xfId="14141" xr:uid="{C8AA195B-EC56-422C-899B-18AB039AC694}"/>
    <cellStyle name="Normal 8 5 4 4" xfId="9923" xr:uid="{C1880B3B-889D-48F4-9B2F-EE27A819DC3A}"/>
    <cellStyle name="Normal 8 5 5" xfId="1804" xr:uid="{00000000-0005-0000-0000-00003C1E0000}"/>
    <cellStyle name="Normal 8 5 5 2" xfId="4034" xr:uid="{00000000-0005-0000-0000-00003D1E0000}"/>
    <cellStyle name="Normal 8 5 5 2 2" xfId="8257" xr:uid="{00000000-0005-0000-0000-00003E1E0000}"/>
    <cellStyle name="Normal 8 5 5 2 2 2" xfId="16699" xr:uid="{20CB3D3B-8D50-4BFC-9F22-0A2A4421A8A0}"/>
    <cellStyle name="Normal 8 5 5 2 3" xfId="12481" xr:uid="{304B2DA6-568E-4AD4-8D33-3D020B7DF7E0}"/>
    <cellStyle name="Normal 8 5 5 3" xfId="6112" xr:uid="{00000000-0005-0000-0000-00003F1E0000}"/>
    <cellStyle name="Normal 8 5 5 3 2" xfId="14554" xr:uid="{F73C22E6-7CCB-4058-B533-BAAB4CA6887F}"/>
    <cellStyle name="Normal 8 5 5 4" xfId="10336" xr:uid="{73789F42-4D56-4A56-BF24-68F0D15729F7}"/>
    <cellStyle name="Normal 8 5 6" xfId="2218" xr:uid="{00000000-0005-0000-0000-0000401E0000}"/>
    <cellStyle name="Normal 8 5 6 2" xfId="4447" xr:uid="{00000000-0005-0000-0000-0000411E0000}"/>
    <cellStyle name="Normal 8 5 6 2 2" xfId="8670" xr:uid="{00000000-0005-0000-0000-0000421E0000}"/>
    <cellStyle name="Normal 8 5 6 2 2 2" xfId="17112" xr:uid="{A10ED57D-0B61-4A3C-B02C-24BE33EF2DBD}"/>
    <cellStyle name="Normal 8 5 6 2 3" xfId="12894" xr:uid="{FAB99B19-F8B8-4311-98EE-C080B50A23FD}"/>
    <cellStyle name="Normal 8 5 6 3" xfId="6525" xr:uid="{00000000-0005-0000-0000-0000431E0000}"/>
    <cellStyle name="Normal 8 5 6 3 2" xfId="14967" xr:uid="{04E009CF-1526-4642-849D-9CCFAF153D3B}"/>
    <cellStyle name="Normal 8 5 6 4" xfId="10749" xr:uid="{3AE5D840-D098-4F63-87B9-E291151AF1FE}"/>
    <cellStyle name="Normal 8 5 7" xfId="2654" xr:uid="{00000000-0005-0000-0000-0000441E0000}"/>
    <cellStyle name="Normal 8 5 7 2" xfId="6938" xr:uid="{00000000-0005-0000-0000-0000451E0000}"/>
    <cellStyle name="Normal 8 5 7 2 2" xfId="15380" xr:uid="{E47F450F-CC05-4367-BB9C-5773CB378126}"/>
    <cellStyle name="Normal 8 5 7 3" xfId="11162" xr:uid="{36DCBD4A-297E-483D-AEAD-A3D68E1869C8}"/>
    <cellStyle name="Normal 8 5 8" xfId="4873" xr:uid="{00000000-0005-0000-0000-0000461E0000}"/>
    <cellStyle name="Normal 8 5 8 2" xfId="13315" xr:uid="{6FBFE7B9-A102-4BEF-B9F1-E4D197BF129B}"/>
    <cellStyle name="Normal 8 5 9" xfId="9097" xr:uid="{D89E76CB-5459-4B01-8E39-8A70F216E206}"/>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D7EA3C8C-A40D-4352-8076-C42263D502C8}"/>
    <cellStyle name="Normal 8 6 2 2 3" xfId="11657" xr:uid="{D165227C-F0FA-44CB-AE98-2481203E93E7}"/>
    <cellStyle name="Normal 8 6 2 3" xfId="5288" xr:uid="{00000000-0005-0000-0000-00004B1E0000}"/>
    <cellStyle name="Normal 8 6 2 3 2" xfId="13730" xr:uid="{889E443A-6F59-44CB-ACB6-A3D7FCBF66C8}"/>
    <cellStyle name="Normal 8 6 2 4" xfId="9512" xr:uid="{AD299FD2-6B7D-4A48-A8AA-4E4319AD075B}"/>
    <cellStyle name="Normal 8 6 3" xfId="1393" xr:uid="{00000000-0005-0000-0000-00004C1E0000}"/>
    <cellStyle name="Normal 8 6 3 2" xfId="3623" xr:uid="{00000000-0005-0000-0000-00004D1E0000}"/>
    <cellStyle name="Normal 8 6 3 2 2" xfId="7846" xr:uid="{00000000-0005-0000-0000-00004E1E0000}"/>
    <cellStyle name="Normal 8 6 3 2 2 2" xfId="16288" xr:uid="{E6398FD2-5940-43D1-A635-51F0514529BB}"/>
    <cellStyle name="Normal 8 6 3 2 3" xfId="12070" xr:uid="{8EB84763-3F84-464B-AB5A-5F1F0E517E80}"/>
    <cellStyle name="Normal 8 6 3 3" xfId="5701" xr:uid="{00000000-0005-0000-0000-00004F1E0000}"/>
    <cellStyle name="Normal 8 6 3 3 2" xfId="14143" xr:uid="{C429AFC7-B2BB-47E5-B368-1A829A4D8439}"/>
    <cellStyle name="Normal 8 6 3 4" xfId="9925" xr:uid="{2E0DA06A-C095-4430-B095-E0B9960F2445}"/>
    <cellStyle name="Normal 8 6 4" xfId="1806" xr:uid="{00000000-0005-0000-0000-0000501E0000}"/>
    <cellStyle name="Normal 8 6 4 2" xfId="4036" xr:uid="{00000000-0005-0000-0000-0000511E0000}"/>
    <cellStyle name="Normal 8 6 4 2 2" xfId="8259" xr:uid="{00000000-0005-0000-0000-0000521E0000}"/>
    <cellStyle name="Normal 8 6 4 2 2 2" xfId="16701" xr:uid="{9751BA7E-1DE7-4570-B90B-69C6099638BF}"/>
    <cellStyle name="Normal 8 6 4 2 3" xfId="12483" xr:uid="{B96B0E02-25F7-4898-8938-B7F5FA973423}"/>
    <cellStyle name="Normal 8 6 4 3" xfId="6114" xr:uid="{00000000-0005-0000-0000-0000531E0000}"/>
    <cellStyle name="Normal 8 6 4 3 2" xfId="14556" xr:uid="{C1CC505B-DFAA-4B71-AD42-DCFA83C2B13D}"/>
    <cellStyle name="Normal 8 6 4 4" xfId="10338" xr:uid="{B922BACA-CEC3-487C-8E66-88CA084AEBE7}"/>
    <cellStyle name="Normal 8 6 5" xfId="2220" xr:uid="{00000000-0005-0000-0000-0000541E0000}"/>
    <cellStyle name="Normal 8 6 5 2" xfId="4449" xr:uid="{00000000-0005-0000-0000-0000551E0000}"/>
    <cellStyle name="Normal 8 6 5 2 2" xfId="8672" xr:uid="{00000000-0005-0000-0000-0000561E0000}"/>
    <cellStyle name="Normal 8 6 5 2 2 2" xfId="17114" xr:uid="{D07E1A04-36AC-45AE-AD03-19C1B9A26860}"/>
    <cellStyle name="Normal 8 6 5 2 3" xfId="12896" xr:uid="{2BE73CD8-D28D-48E3-8B17-677B4120CD3C}"/>
    <cellStyle name="Normal 8 6 5 3" xfId="6527" xr:uid="{00000000-0005-0000-0000-0000571E0000}"/>
    <cellStyle name="Normal 8 6 5 3 2" xfId="14969" xr:uid="{C7294312-AD00-4060-A260-9B89E2CF2E79}"/>
    <cellStyle name="Normal 8 6 5 4" xfId="10751" xr:uid="{20A23CBD-F899-447F-9D23-76D12D703C65}"/>
    <cellStyle name="Normal 8 6 6" xfId="2656" xr:uid="{00000000-0005-0000-0000-0000581E0000}"/>
    <cellStyle name="Normal 8 6 6 2" xfId="6940" xr:uid="{00000000-0005-0000-0000-0000591E0000}"/>
    <cellStyle name="Normal 8 6 6 2 2" xfId="15382" xr:uid="{8AB8F9C9-005F-4955-A2F8-BFA6EFFE58F5}"/>
    <cellStyle name="Normal 8 6 6 3" xfId="11164" xr:uid="{CA257B35-2853-4944-B145-5491A74E5052}"/>
    <cellStyle name="Normal 8 6 7" xfId="4875" xr:uid="{00000000-0005-0000-0000-00005A1E0000}"/>
    <cellStyle name="Normal 8 6 7 2" xfId="13317" xr:uid="{515B533D-7FF8-465C-8926-E526A7F301E0}"/>
    <cellStyle name="Normal 8 6 8" xfId="9099" xr:uid="{D312063A-6A73-4564-AB99-172142660B20}"/>
    <cellStyle name="Normal 8 7" xfId="945" xr:uid="{00000000-0005-0000-0000-00005B1E0000}"/>
    <cellStyle name="Normal 8 7 2" xfId="3179" xr:uid="{00000000-0005-0000-0000-00005C1E0000}"/>
    <cellStyle name="Normal 8 7 2 2" xfId="7402" xr:uid="{00000000-0005-0000-0000-00005D1E0000}"/>
    <cellStyle name="Normal 8 7 2 2 2" xfId="15844" xr:uid="{C61826DC-E0A4-4ACB-AD40-5B37A1004E6D}"/>
    <cellStyle name="Normal 8 7 2 3" xfId="11626" xr:uid="{5FFF69F4-5420-4E7C-BFEF-8BE94911B73F}"/>
    <cellStyle name="Normal 8 7 3" xfId="5257" xr:uid="{00000000-0005-0000-0000-00005E1E0000}"/>
    <cellStyle name="Normal 8 7 3 2" xfId="13699" xr:uid="{8A760E45-19B5-4C23-82B8-BD63D6249C11}"/>
    <cellStyle name="Normal 8 7 4" xfId="9481" xr:uid="{80D12FD7-0DA3-4E02-9C51-610B95D47D9B}"/>
    <cellStyle name="Normal 8 8" xfId="1362" xr:uid="{00000000-0005-0000-0000-00005F1E0000}"/>
    <cellStyle name="Normal 8 8 2" xfId="3592" xr:uid="{00000000-0005-0000-0000-0000601E0000}"/>
    <cellStyle name="Normal 8 8 2 2" xfId="7815" xr:uid="{00000000-0005-0000-0000-0000611E0000}"/>
    <cellStyle name="Normal 8 8 2 2 2" xfId="16257" xr:uid="{1CB7F6A8-6AD6-408D-984F-37754E231F4F}"/>
    <cellStyle name="Normal 8 8 2 3" xfId="12039" xr:uid="{5B7FBAA2-94A8-4BFB-9CD3-B228BC8002C9}"/>
    <cellStyle name="Normal 8 8 3" xfId="5670" xr:uid="{00000000-0005-0000-0000-0000621E0000}"/>
    <cellStyle name="Normal 8 8 3 2" xfId="14112" xr:uid="{CB291899-3779-41D8-B869-3FF414B82619}"/>
    <cellStyle name="Normal 8 8 4" xfId="9894" xr:uid="{27D8622F-EC80-4E70-B7DF-54B6977C8A97}"/>
    <cellStyle name="Normal 8 9" xfId="1775" xr:uid="{00000000-0005-0000-0000-0000631E0000}"/>
    <cellStyle name="Normal 8 9 2" xfId="4005" xr:uid="{00000000-0005-0000-0000-0000641E0000}"/>
    <cellStyle name="Normal 8 9 2 2" xfId="8228" xr:uid="{00000000-0005-0000-0000-0000651E0000}"/>
    <cellStyle name="Normal 8 9 2 2 2" xfId="16670" xr:uid="{62036ABB-5475-4C11-8F95-1C119B5D9F48}"/>
    <cellStyle name="Normal 8 9 2 3" xfId="12452" xr:uid="{5DD90DFA-A539-471F-97DB-3B49DDED0CD5}"/>
    <cellStyle name="Normal 8 9 3" xfId="6083" xr:uid="{00000000-0005-0000-0000-0000661E0000}"/>
    <cellStyle name="Normal 8 9 3 2" xfId="14525" xr:uid="{FC0A8649-A2D0-45B2-9039-BE2A8D74FC4A}"/>
    <cellStyle name="Normal 8 9 4" xfId="10307" xr:uid="{C43126FB-F899-451C-B2A9-4E621A55E0E8}"/>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B182801F-AF74-4762-B303-A8D2D59328EB}"/>
    <cellStyle name="Normal 9 2 10 3" xfId="11165" xr:uid="{8D5F1448-B814-4AB6-B492-B41CA6B34393}"/>
    <cellStyle name="Normal 9 2 11" xfId="4876" xr:uid="{00000000-0005-0000-0000-00006B1E0000}"/>
    <cellStyle name="Normal 9 2 11 2" xfId="13318" xr:uid="{F2A1D8DA-FC2F-48F0-86BD-097A7BF2F492}"/>
    <cellStyle name="Normal 9 2 12" xfId="9100" xr:uid="{7D73BD94-C270-4B58-A7CB-920046F7083E}"/>
    <cellStyle name="Normal 9 2 2" xfId="512" xr:uid="{00000000-0005-0000-0000-00006C1E0000}"/>
    <cellStyle name="Normal 9 2 2 10" xfId="4877" xr:uid="{00000000-0005-0000-0000-00006D1E0000}"/>
    <cellStyle name="Normal 9 2 2 10 2" xfId="13319" xr:uid="{991EBA6A-37A3-456E-9772-A10206A4CE48}"/>
    <cellStyle name="Normal 9 2 2 11" xfId="9101" xr:uid="{3E2F0027-A212-4003-BCDD-8DBDEAAEB423}"/>
    <cellStyle name="Normal 9 2 2 2" xfId="513" xr:uid="{00000000-0005-0000-0000-00006E1E0000}"/>
    <cellStyle name="Normal 9 2 2 2 10" xfId="9102" xr:uid="{00435BA0-770D-45D3-B536-E874B5C63FA6}"/>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FEEC0871-D3B1-4543-998C-4238C0A39A0A}"/>
    <cellStyle name="Normal 9 2 2 2 2 2 2 2 3" xfId="11662" xr:uid="{3C971122-4049-4555-9312-134B7CD52FB7}"/>
    <cellStyle name="Normal 9 2 2 2 2 2 2 3" xfId="5293" xr:uid="{00000000-0005-0000-0000-0000741E0000}"/>
    <cellStyle name="Normal 9 2 2 2 2 2 2 3 2" xfId="13735" xr:uid="{6FC90A3A-F3F9-484E-B6A8-8079E9EF09D8}"/>
    <cellStyle name="Normal 9 2 2 2 2 2 2 4" xfId="9517" xr:uid="{FA9CEFF3-071B-4875-A1B6-12E95FAF91BC}"/>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35808BE8-4A77-4393-9C3A-5A88E0EA2CAB}"/>
    <cellStyle name="Normal 9 2 2 2 2 2 3 2 3" xfId="12075" xr:uid="{19ACD7E6-D1F9-4F7B-9155-83D82055F4BC}"/>
    <cellStyle name="Normal 9 2 2 2 2 2 3 3" xfId="5706" xr:uid="{00000000-0005-0000-0000-0000781E0000}"/>
    <cellStyle name="Normal 9 2 2 2 2 2 3 3 2" xfId="14148" xr:uid="{CACCCFF8-5867-40BD-8492-5BFC05E49AF2}"/>
    <cellStyle name="Normal 9 2 2 2 2 2 3 4" xfId="9930" xr:uid="{E67641F2-1729-4F4A-8F60-650743CA7FCE}"/>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CDE2A5F1-53C2-4674-9D38-DA28F15F3002}"/>
    <cellStyle name="Normal 9 2 2 2 2 2 4 2 3" xfId="12488" xr:uid="{2360B1A0-7E3A-42A1-95EC-EF09FCDFB463}"/>
    <cellStyle name="Normal 9 2 2 2 2 2 4 3" xfId="6119" xr:uid="{00000000-0005-0000-0000-00007C1E0000}"/>
    <cellStyle name="Normal 9 2 2 2 2 2 4 3 2" xfId="14561" xr:uid="{8BA43F9B-9DA8-4B9C-AACE-4106A28D7E52}"/>
    <cellStyle name="Normal 9 2 2 2 2 2 4 4" xfId="10343" xr:uid="{BEC1A14E-581C-4DF7-893D-8C1F9DF0BC33}"/>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3CAF56ED-7F44-4CE1-8A28-70DCB6BDF2FA}"/>
    <cellStyle name="Normal 9 2 2 2 2 2 5 2 3" xfId="12901" xr:uid="{97BF5490-5E01-4767-A26C-86101A8732CD}"/>
    <cellStyle name="Normal 9 2 2 2 2 2 5 3" xfId="6532" xr:uid="{00000000-0005-0000-0000-0000801E0000}"/>
    <cellStyle name="Normal 9 2 2 2 2 2 5 3 2" xfId="14974" xr:uid="{9D6116CB-62FE-4976-A31E-9A04F4E3B360}"/>
    <cellStyle name="Normal 9 2 2 2 2 2 5 4" xfId="10756" xr:uid="{7EA61AA5-0E14-470B-9E35-AE022A2FD674}"/>
    <cellStyle name="Normal 9 2 2 2 2 2 6" xfId="2661" xr:uid="{00000000-0005-0000-0000-0000811E0000}"/>
    <cellStyle name="Normal 9 2 2 2 2 2 6 2" xfId="6945" xr:uid="{00000000-0005-0000-0000-0000821E0000}"/>
    <cellStyle name="Normal 9 2 2 2 2 2 6 2 2" xfId="15387" xr:uid="{C24A93C5-5FFD-4F1B-A92E-52C1D9BD71DA}"/>
    <cellStyle name="Normal 9 2 2 2 2 2 6 3" xfId="11169" xr:uid="{A55C3ECB-CBE1-48D9-9B42-A4D244479A3C}"/>
    <cellStyle name="Normal 9 2 2 2 2 2 7" xfId="4880" xr:uid="{00000000-0005-0000-0000-0000831E0000}"/>
    <cellStyle name="Normal 9 2 2 2 2 2 7 2" xfId="13322" xr:uid="{E71B6D94-FF2C-4777-85F9-8A664C7CF1EF}"/>
    <cellStyle name="Normal 9 2 2 2 2 2 8" xfId="9104" xr:uid="{435D1E3C-5ED3-4AC0-9DBB-4E7199ED2405}"/>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CDC8BF76-9240-4776-BD7F-52A86B26DD45}"/>
    <cellStyle name="Normal 9 2 2 2 2 3 2 3" xfId="11661" xr:uid="{5D342400-8BB9-444E-89B8-AA0C25AFBDCB}"/>
    <cellStyle name="Normal 9 2 2 2 2 3 3" xfId="5292" xr:uid="{00000000-0005-0000-0000-0000871E0000}"/>
    <cellStyle name="Normal 9 2 2 2 2 3 3 2" xfId="13734" xr:uid="{742784B8-1C8A-43B3-B04C-5B0E993DBD73}"/>
    <cellStyle name="Normal 9 2 2 2 2 3 4" xfId="9516" xr:uid="{EFCC6DE9-415A-45AE-BB77-FD72FBA7A1CB}"/>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09BDA9B4-127E-455C-8355-6495DE79B89A}"/>
    <cellStyle name="Normal 9 2 2 2 2 4 2 3" xfId="12074" xr:uid="{BFD738E2-D6C2-48DA-B70C-5EBC008296AD}"/>
    <cellStyle name="Normal 9 2 2 2 2 4 3" xfId="5705" xr:uid="{00000000-0005-0000-0000-00008B1E0000}"/>
    <cellStyle name="Normal 9 2 2 2 2 4 3 2" xfId="14147" xr:uid="{5D49C602-61A9-40B0-90C5-4956BCEDA34D}"/>
    <cellStyle name="Normal 9 2 2 2 2 4 4" xfId="9929" xr:uid="{27E82657-D0AB-4B08-B994-3D6F7A44C20C}"/>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D905D5E7-B2E0-4CA4-8FB0-E6AD8B2C3C14}"/>
    <cellStyle name="Normal 9 2 2 2 2 5 2 3" xfId="12487" xr:uid="{DBD15129-79BA-41A0-9332-070B098341DC}"/>
    <cellStyle name="Normal 9 2 2 2 2 5 3" xfId="6118" xr:uid="{00000000-0005-0000-0000-00008F1E0000}"/>
    <cellStyle name="Normal 9 2 2 2 2 5 3 2" xfId="14560" xr:uid="{48B2AE20-72EA-487A-B05D-47B8D03AA55C}"/>
    <cellStyle name="Normal 9 2 2 2 2 5 4" xfId="10342" xr:uid="{0FEE4C35-C79A-4036-83BC-8D22DAFFBED2}"/>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879E93E1-EA53-43FF-A571-5903D02C180A}"/>
    <cellStyle name="Normal 9 2 2 2 2 6 2 3" xfId="12900" xr:uid="{89E9CA49-2493-4EEF-92E0-BAD2D1DB7B8B}"/>
    <cellStyle name="Normal 9 2 2 2 2 6 3" xfId="6531" xr:uid="{00000000-0005-0000-0000-0000931E0000}"/>
    <cellStyle name="Normal 9 2 2 2 2 6 3 2" xfId="14973" xr:uid="{5DD696E6-B328-4F6D-B371-6D35DA7D88E1}"/>
    <cellStyle name="Normal 9 2 2 2 2 6 4" xfId="10755" xr:uid="{278865B0-50F8-45E1-9E92-F6FF05E61EE3}"/>
    <cellStyle name="Normal 9 2 2 2 2 7" xfId="2660" xr:uid="{00000000-0005-0000-0000-0000941E0000}"/>
    <cellStyle name="Normal 9 2 2 2 2 7 2" xfId="6944" xr:uid="{00000000-0005-0000-0000-0000951E0000}"/>
    <cellStyle name="Normal 9 2 2 2 2 7 2 2" xfId="15386" xr:uid="{CBA237BA-5919-4607-B4C2-34AB7E46EDD1}"/>
    <cellStyle name="Normal 9 2 2 2 2 7 3" xfId="11168" xr:uid="{D37D454A-60AB-4F7B-B26B-D2D636FC3F87}"/>
    <cellStyle name="Normal 9 2 2 2 2 8" xfId="4879" xr:uid="{00000000-0005-0000-0000-0000961E0000}"/>
    <cellStyle name="Normal 9 2 2 2 2 8 2" xfId="13321" xr:uid="{A4139343-1FB9-4694-8C2C-94F64AA2D670}"/>
    <cellStyle name="Normal 9 2 2 2 2 9" xfId="9103" xr:uid="{F0E78628-D03E-4F5F-B53C-38958AF998B4}"/>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4D451F42-E3E4-4D50-9212-79A811B69ECA}"/>
    <cellStyle name="Normal 9 2 2 2 3 2 2 3" xfId="11663" xr:uid="{C3BE69D3-7B1E-4123-815A-89CB458F5464}"/>
    <cellStyle name="Normal 9 2 2 2 3 2 3" xfId="5294" xr:uid="{00000000-0005-0000-0000-00009B1E0000}"/>
    <cellStyle name="Normal 9 2 2 2 3 2 3 2" xfId="13736" xr:uid="{7A92E567-2A88-4C2F-A416-D453F71EB92A}"/>
    <cellStyle name="Normal 9 2 2 2 3 2 4" xfId="9518" xr:uid="{1A7514B2-B8BE-4952-867F-C0385F81A263}"/>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F3E43C24-8268-492A-84BF-580856EB3211}"/>
    <cellStyle name="Normal 9 2 2 2 3 3 2 3" xfId="12076" xr:uid="{1E4BCDA6-45FC-4096-A3A7-FD4F3418A6F6}"/>
    <cellStyle name="Normal 9 2 2 2 3 3 3" xfId="5707" xr:uid="{00000000-0005-0000-0000-00009F1E0000}"/>
    <cellStyle name="Normal 9 2 2 2 3 3 3 2" xfId="14149" xr:uid="{C4E5F2C2-F844-406E-BC3D-1FB7FF7893E4}"/>
    <cellStyle name="Normal 9 2 2 2 3 3 4" xfId="9931" xr:uid="{A2E9AD92-0943-4A93-9764-02B454E13A71}"/>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C1863DD4-3C75-47A3-89D0-D7B3607A44B5}"/>
    <cellStyle name="Normal 9 2 2 2 3 4 2 3" xfId="12489" xr:uid="{73D892BA-7965-4179-BC6C-294E0B7AC69C}"/>
    <cellStyle name="Normal 9 2 2 2 3 4 3" xfId="6120" xr:uid="{00000000-0005-0000-0000-0000A31E0000}"/>
    <cellStyle name="Normal 9 2 2 2 3 4 3 2" xfId="14562" xr:uid="{20CA925C-31E3-4408-AEAC-6CF65F8340D0}"/>
    <cellStyle name="Normal 9 2 2 2 3 4 4" xfId="10344" xr:uid="{A903922A-BB75-4D6B-BBE7-E0ABA36734BC}"/>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86CDCD60-5D6F-41FD-BA4F-C1E862F57340}"/>
    <cellStyle name="Normal 9 2 2 2 3 5 2 3" xfId="12902" xr:uid="{3BBB688D-C40B-41A7-9E8C-BF05F233C39B}"/>
    <cellStyle name="Normal 9 2 2 2 3 5 3" xfId="6533" xr:uid="{00000000-0005-0000-0000-0000A71E0000}"/>
    <cellStyle name="Normal 9 2 2 2 3 5 3 2" xfId="14975" xr:uid="{B87BAB0E-B4C1-419B-B99C-EA35B8EDE00C}"/>
    <cellStyle name="Normal 9 2 2 2 3 5 4" xfId="10757" xr:uid="{50D6224A-17C6-40C4-BEA5-1C2F937CAAE2}"/>
    <cellStyle name="Normal 9 2 2 2 3 6" xfId="2662" xr:uid="{00000000-0005-0000-0000-0000A81E0000}"/>
    <cellStyle name="Normal 9 2 2 2 3 6 2" xfId="6946" xr:uid="{00000000-0005-0000-0000-0000A91E0000}"/>
    <cellStyle name="Normal 9 2 2 2 3 6 2 2" xfId="15388" xr:uid="{6FA9A8A1-51F8-4DC7-960F-9FBCDF2D8325}"/>
    <cellStyle name="Normal 9 2 2 2 3 6 3" xfId="11170" xr:uid="{C8CD7639-D650-400A-B642-D68C294AAB1A}"/>
    <cellStyle name="Normal 9 2 2 2 3 7" xfId="4881" xr:uid="{00000000-0005-0000-0000-0000AA1E0000}"/>
    <cellStyle name="Normal 9 2 2 2 3 7 2" xfId="13323" xr:uid="{61E34C04-812E-4690-A9D1-3AB72939DCCE}"/>
    <cellStyle name="Normal 9 2 2 2 3 8" xfId="9105" xr:uid="{3D36B1D8-9E1A-44D5-8404-B5A02E1AF78A}"/>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01AF9FC9-D8C8-4275-9272-D3EA8516224C}"/>
    <cellStyle name="Normal 9 2 2 2 4 2 3" xfId="11660" xr:uid="{77E2BF54-EA7C-4FBD-911C-873E1AF134BC}"/>
    <cellStyle name="Normal 9 2 2 2 4 3" xfId="5291" xr:uid="{00000000-0005-0000-0000-0000AE1E0000}"/>
    <cellStyle name="Normal 9 2 2 2 4 3 2" xfId="13733" xr:uid="{307ECEDF-EB02-4A85-AF8D-2EE77FADE914}"/>
    <cellStyle name="Normal 9 2 2 2 4 4" xfId="9515" xr:uid="{5A66CE55-AD18-4085-9742-916D4B463FD8}"/>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69145898-9F11-44DF-BDC6-68BD89AEFE8C}"/>
    <cellStyle name="Normal 9 2 2 2 5 2 3" xfId="12073" xr:uid="{B2AE316E-2963-421D-83BF-16AA13F879FB}"/>
    <cellStyle name="Normal 9 2 2 2 5 3" xfId="5704" xr:uid="{00000000-0005-0000-0000-0000B21E0000}"/>
    <cellStyle name="Normal 9 2 2 2 5 3 2" xfId="14146" xr:uid="{3480A3F8-AA42-486B-8D61-C1974A527EB7}"/>
    <cellStyle name="Normal 9 2 2 2 5 4" xfId="9928" xr:uid="{FF192D4E-CA7D-4505-BDB8-B0696059B44E}"/>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483368B7-7716-4891-8D88-0E91594F8210}"/>
    <cellStyle name="Normal 9 2 2 2 6 2 3" xfId="12486" xr:uid="{FB110745-58CA-4102-9228-9D599F1AFBCF}"/>
    <cellStyle name="Normal 9 2 2 2 6 3" xfId="6117" xr:uid="{00000000-0005-0000-0000-0000B61E0000}"/>
    <cellStyle name="Normal 9 2 2 2 6 3 2" xfId="14559" xr:uid="{C3B69325-C5DD-4B78-973F-5448D93D28EB}"/>
    <cellStyle name="Normal 9 2 2 2 6 4" xfId="10341" xr:uid="{DD00DAA4-0978-4A02-9D37-A613AA04D298}"/>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45FD8E74-72A8-4598-B3B3-30B6BB418780}"/>
    <cellStyle name="Normal 9 2 2 2 7 2 3" xfId="12899" xr:uid="{F70D1242-96BA-4E47-A5AA-EC60523B8E89}"/>
    <cellStyle name="Normal 9 2 2 2 7 3" xfId="6530" xr:uid="{00000000-0005-0000-0000-0000BA1E0000}"/>
    <cellStyle name="Normal 9 2 2 2 7 3 2" xfId="14972" xr:uid="{B84829F3-CF2E-40FC-ACC5-6802834E23CF}"/>
    <cellStyle name="Normal 9 2 2 2 7 4" xfId="10754" xr:uid="{2FB5B339-FE3C-426F-8473-A4B680364281}"/>
    <cellStyle name="Normal 9 2 2 2 8" xfId="2659" xr:uid="{00000000-0005-0000-0000-0000BB1E0000}"/>
    <cellStyle name="Normal 9 2 2 2 8 2" xfId="6943" xr:uid="{00000000-0005-0000-0000-0000BC1E0000}"/>
    <cellStyle name="Normal 9 2 2 2 8 2 2" xfId="15385" xr:uid="{04D90832-A8FA-40E1-AC49-FED37E198371}"/>
    <cellStyle name="Normal 9 2 2 2 8 3" xfId="11167" xr:uid="{8BB86F3C-7986-4DD8-A0D2-18542028F313}"/>
    <cellStyle name="Normal 9 2 2 2 9" xfId="4878" xr:uid="{00000000-0005-0000-0000-0000BD1E0000}"/>
    <cellStyle name="Normal 9 2 2 2 9 2" xfId="13320" xr:uid="{F65E4AF8-FB7C-4CF9-8816-19881635BF5B}"/>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7B685CF1-B5A4-4433-A503-418D841E166F}"/>
    <cellStyle name="Normal 9 2 2 3 2 2 2 3" xfId="11665" xr:uid="{69F26C0A-93E5-437E-9263-9E84A8AEF870}"/>
    <cellStyle name="Normal 9 2 2 3 2 2 3" xfId="5296" xr:uid="{00000000-0005-0000-0000-0000C31E0000}"/>
    <cellStyle name="Normal 9 2 2 3 2 2 3 2" xfId="13738" xr:uid="{B9FAE678-F703-4C0F-BC51-F35171F3A75D}"/>
    <cellStyle name="Normal 9 2 2 3 2 2 4" xfId="9520" xr:uid="{338E13F9-3A61-422E-93C3-A1B1469C285A}"/>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6305AB07-E985-487D-A551-CD794D6EAB98}"/>
    <cellStyle name="Normal 9 2 2 3 2 3 2 3" xfId="12078" xr:uid="{DC4A4F1B-A15C-4A81-9F10-0C0AD2B95240}"/>
    <cellStyle name="Normal 9 2 2 3 2 3 3" xfId="5709" xr:uid="{00000000-0005-0000-0000-0000C71E0000}"/>
    <cellStyle name="Normal 9 2 2 3 2 3 3 2" xfId="14151" xr:uid="{01B80411-4337-4D22-938C-55951BF53BF4}"/>
    <cellStyle name="Normal 9 2 2 3 2 3 4" xfId="9933" xr:uid="{C9756A1E-C9ED-4A55-8B93-02EAFD82C6FC}"/>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B62172F8-9407-45CC-B334-8F3025D3A8A3}"/>
    <cellStyle name="Normal 9 2 2 3 2 4 2 3" xfId="12491" xr:uid="{910D54CA-D610-474A-8E14-D4B2F8415879}"/>
    <cellStyle name="Normal 9 2 2 3 2 4 3" xfId="6122" xr:uid="{00000000-0005-0000-0000-0000CB1E0000}"/>
    <cellStyle name="Normal 9 2 2 3 2 4 3 2" xfId="14564" xr:uid="{5312EBD6-08D9-4655-85B8-630FB424A5C7}"/>
    <cellStyle name="Normal 9 2 2 3 2 4 4" xfId="10346" xr:uid="{DFDA6944-37C2-4F7D-B0D9-89819932B1E7}"/>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06548AB2-E4C9-42EC-AAF2-85039981391D}"/>
    <cellStyle name="Normal 9 2 2 3 2 5 2 3" xfId="12904" xr:uid="{775096D9-3B44-4353-B722-110F40EBAA4E}"/>
    <cellStyle name="Normal 9 2 2 3 2 5 3" xfId="6535" xr:uid="{00000000-0005-0000-0000-0000CF1E0000}"/>
    <cellStyle name="Normal 9 2 2 3 2 5 3 2" xfId="14977" xr:uid="{C99BC6FD-FA00-4ED6-AEA4-12D250625376}"/>
    <cellStyle name="Normal 9 2 2 3 2 5 4" xfId="10759" xr:uid="{4B4F7493-70F8-4198-95B6-77C84D704300}"/>
    <cellStyle name="Normal 9 2 2 3 2 6" xfId="2664" xr:uid="{00000000-0005-0000-0000-0000D01E0000}"/>
    <cellStyle name="Normal 9 2 2 3 2 6 2" xfId="6948" xr:uid="{00000000-0005-0000-0000-0000D11E0000}"/>
    <cellStyle name="Normal 9 2 2 3 2 6 2 2" xfId="15390" xr:uid="{63EB63E7-7B2E-4876-81A5-0756E75FB99B}"/>
    <cellStyle name="Normal 9 2 2 3 2 6 3" xfId="11172" xr:uid="{F39EF824-ABF7-4812-A680-EBCB490FF6AF}"/>
    <cellStyle name="Normal 9 2 2 3 2 7" xfId="4883" xr:uid="{00000000-0005-0000-0000-0000D21E0000}"/>
    <cellStyle name="Normal 9 2 2 3 2 7 2" xfId="13325" xr:uid="{97A5066D-C298-44B9-B834-085C6A8A6150}"/>
    <cellStyle name="Normal 9 2 2 3 2 8" xfId="9107" xr:uid="{4121571B-49AB-43F4-B0A3-B632CFD37BB3}"/>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F1ECA990-9EFD-4D0F-A932-B652419A1A13}"/>
    <cellStyle name="Normal 9 2 2 3 3 2 3" xfId="11664" xr:uid="{AAB4006A-4FC9-43AB-9FF9-859F22E338B8}"/>
    <cellStyle name="Normal 9 2 2 3 3 3" xfId="5295" xr:uid="{00000000-0005-0000-0000-0000D61E0000}"/>
    <cellStyle name="Normal 9 2 2 3 3 3 2" xfId="13737" xr:uid="{42F19E29-C78A-45B2-B238-4B771BC42886}"/>
    <cellStyle name="Normal 9 2 2 3 3 4" xfId="9519" xr:uid="{847FF9A3-83A7-446B-AD54-21FD23987D7C}"/>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0AF10319-3EA3-463D-A85F-AFB51CA8D3E6}"/>
    <cellStyle name="Normal 9 2 2 3 4 2 3" xfId="12077" xr:uid="{C80AA058-3FB3-4AEE-9B8A-39C591EDDF33}"/>
    <cellStyle name="Normal 9 2 2 3 4 3" xfId="5708" xr:uid="{00000000-0005-0000-0000-0000DA1E0000}"/>
    <cellStyle name="Normal 9 2 2 3 4 3 2" xfId="14150" xr:uid="{7317B719-5302-471B-9911-D0FC25F99D21}"/>
    <cellStyle name="Normal 9 2 2 3 4 4" xfId="9932" xr:uid="{8EC29F27-778F-4E1D-8C26-027C7A6D89A7}"/>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B36A245E-DA98-48A1-96A3-098D38AB0E54}"/>
    <cellStyle name="Normal 9 2 2 3 5 2 3" xfId="12490" xr:uid="{2E2EE7E3-6B1E-4973-B49D-A7E37A2A17C1}"/>
    <cellStyle name="Normal 9 2 2 3 5 3" xfId="6121" xr:uid="{00000000-0005-0000-0000-0000DE1E0000}"/>
    <cellStyle name="Normal 9 2 2 3 5 3 2" xfId="14563" xr:uid="{E3100925-0BD7-48D5-83CE-0CDF123160BB}"/>
    <cellStyle name="Normal 9 2 2 3 5 4" xfId="10345" xr:uid="{D535F337-E158-4B4D-9560-AE4F2640513E}"/>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C4507CCD-8FB7-49C8-A117-36CEA1E83500}"/>
    <cellStyle name="Normal 9 2 2 3 6 2 3" xfId="12903" xr:uid="{A048B248-CFE8-4830-BA3E-DE05D3393DDE}"/>
    <cellStyle name="Normal 9 2 2 3 6 3" xfId="6534" xr:uid="{00000000-0005-0000-0000-0000E21E0000}"/>
    <cellStyle name="Normal 9 2 2 3 6 3 2" xfId="14976" xr:uid="{FAA57822-560C-4988-9BC0-EA85E6DFA3B1}"/>
    <cellStyle name="Normal 9 2 2 3 6 4" xfId="10758" xr:uid="{F4A6AD1C-E1ED-4700-A3F8-11345B59AEB5}"/>
    <cellStyle name="Normal 9 2 2 3 7" xfId="2663" xr:uid="{00000000-0005-0000-0000-0000E31E0000}"/>
    <cellStyle name="Normal 9 2 2 3 7 2" xfId="6947" xr:uid="{00000000-0005-0000-0000-0000E41E0000}"/>
    <cellStyle name="Normal 9 2 2 3 7 2 2" xfId="15389" xr:uid="{B45B98DB-6AFA-45E0-98DE-207CB67BEB6F}"/>
    <cellStyle name="Normal 9 2 2 3 7 3" xfId="11171" xr:uid="{7DF96505-988E-43A4-9A6E-FB8E76DC7BE1}"/>
    <cellStyle name="Normal 9 2 2 3 8" xfId="4882" xr:uid="{00000000-0005-0000-0000-0000E51E0000}"/>
    <cellStyle name="Normal 9 2 2 3 8 2" xfId="13324" xr:uid="{389D74B5-B68A-46C9-AFCE-72F0D4B92621}"/>
    <cellStyle name="Normal 9 2 2 3 9" xfId="9106" xr:uid="{BD428ED7-C0B5-4D14-ABC0-314589E92C4C}"/>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C90D4E7F-49B5-4F91-A2D4-8303F3356F64}"/>
    <cellStyle name="Normal 9 2 2 4 2 2 3" xfId="11666" xr:uid="{93984BAA-E24F-4575-9F90-E0886D4E6E74}"/>
    <cellStyle name="Normal 9 2 2 4 2 3" xfId="5297" xr:uid="{00000000-0005-0000-0000-0000EA1E0000}"/>
    <cellStyle name="Normal 9 2 2 4 2 3 2" xfId="13739" xr:uid="{8125A509-7D22-4009-A928-EFB606702A31}"/>
    <cellStyle name="Normal 9 2 2 4 2 4" xfId="9521" xr:uid="{E7C7B02F-9317-4297-9091-3031487DBCF6}"/>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21DA83B0-6560-4EF9-980C-7D8A3F4716E6}"/>
    <cellStyle name="Normal 9 2 2 4 3 2 3" xfId="12079" xr:uid="{372CD690-1EEC-40F2-AACD-6F39168893D1}"/>
    <cellStyle name="Normal 9 2 2 4 3 3" xfId="5710" xr:uid="{00000000-0005-0000-0000-0000EE1E0000}"/>
    <cellStyle name="Normal 9 2 2 4 3 3 2" xfId="14152" xr:uid="{2F43090B-066D-48E9-ADAB-54A72255D903}"/>
    <cellStyle name="Normal 9 2 2 4 3 4" xfId="9934" xr:uid="{9AFC8AC4-E8E4-4C95-BFB2-56CDD1F4146D}"/>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326189C3-9FAA-4851-B6F2-8DF3A7655621}"/>
    <cellStyle name="Normal 9 2 2 4 4 2 3" xfId="12492" xr:uid="{8218863D-54C6-4BDA-A80D-2F9685C943EE}"/>
    <cellStyle name="Normal 9 2 2 4 4 3" xfId="6123" xr:uid="{00000000-0005-0000-0000-0000F21E0000}"/>
    <cellStyle name="Normal 9 2 2 4 4 3 2" xfId="14565" xr:uid="{24D78A22-EE12-47FE-AAB8-CC6D7BD496E4}"/>
    <cellStyle name="Normal 9 2 2 4 4 4" xfId="10347" xr:uid="{D9FE9EFC-35AB-41D7-AE42-09046DB25DF6}"/>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93636A05-DE0C-498E-8951-4D61FD8F296C}"/>
    <cellStyle name="Normal 9 2 2 4 5 2 3" xfId="12905" xr:uid="{D1979E88-7294-49C9-849B-270AC548A161}"/>
    <cellStyle name="Normal 9 2 2 4 5 3" xfId="6536" xr:uid="{00000000-0005-0000-0000-0000F61E0000}"/>
    <cellStyle name="Normal 9 2 2 4 5 3 2" xfId="14978" xr:uid="{38E25EEB-F458-4900-AB6A-2C97A2A2EE4D}"/>
    <cellStyle name="Normal 9 2 2 4 5 4" xfId="10760" xr:uid="{0CC05431-2B86-42DC-B1FD-E664E9F19AC7}"/>
    <cellStyle name="Normal 9 2 2 4 6" xfId="2665" xr:uid="{00000000-0005-0000-0000-0000F71E0000}"/>
    <cellStyle name="Normal 9 2 2 4 6 2" xfId="6949" xr:uid="{00000000-0005-0000-0000-0000F81E0000}"/>
    <cellStyle name="Normal 9 2 2 4 6 2 2" xfId="15391" xr:uid="{017F549D-D658-43BD-9B76-744342540B08}"/>
    <cellStyle name="Normal 9 2 2 4 6 3" xfId="11173" xr:uid="{A10F639B-E790-49E5-9AA5-852346731DAE}"/>
    <cellStyle name="Normal 9 2 2 4 7" xfId="4884" xr:uid="{00000000-0005-0000-0000-0000F91E0000}"/>
    <cellStyle name="Normal 9 2 2 4 7 2" xfId="13326" xr:uid="{5FF778F0-8DBF-4040-B33C-014FCF652913}"/>
    <cellStyle name="Normal 9 2 2 4 8" xfId="9108" xr:uid="{E908D83B-F69C-48C1-8327-70A8D1D85D9F}"/>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2BE2AFF5-43BD-4801-A9F3-815C2A3D5C7C}"/>
    <cellStyle name="Normal 9 2 2 5 2 3" xfId="11659" xr:uid="{0E1F1DE8-6868-4F95-84D2-C8072CD8F96E}"/>
    <cellStyle name="Normal 9 2 2 5 3" xfId="5290" xr:uid="{00000000-0005-0000-0000-0000FD1E0000}"/>
    <cellStyle name="Normal 9 2 2 5 3 2" xfId="13732" xr:uid="{638033A0-76C2-4155-848A-BBFDB15B6789}"/>
    <cellStyle name="Normal 9 2 2 5 4" xfId="9514" xr:uid="{D6639B0B-DFC3-47D3-B45A-616FE554F0A4}"/>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C84E697D-CF24-46F9-9F04-D318E7EFBF9D}"/>
    <cellStyle name="Normal 9 2 2 6 2 3" xfId="12072" xr:uid="{9981E686-4B2A-40FB-995E-EF2315E9413C}"/>
    <cellStyle name="Normal 9 2 2 6 3" xfId="5703" xr:uid="{00000000-0005-0000-0000-0000011F0000}"/>
    <cellStyle name="Normal 9 2 2 6 3 2" xfId="14145" xr:uid="{D4D053AD-9BA5-4735-8047-5ABABDF4ADBD}"/>
    <cellStyle name="Normal 9 2 2 6 4" xfId="9927" xr:uid="{9610248C-4F69-4748-813A-016FFA8F823B}"/>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281761A1-C6E5-4B5B-B0A0-BFBFEEE1B167}"/>
    <cellStyle name="Normal 9 2 2 7 2 3" xfId="12485" xr:uid="{D8C1DC42-5833-4C54-A222-97D70F32D0AC}"/>
    <cellStyle name="Normal 9 2 2 7 3" xfId="6116" xr:uid="{00000000-0005-0000-0000-0000051F0000}"/>
    <cellStyle name="Normal 9 2 2 7 3 2" xfId="14558" xr:uid="{B7CBF03C-AA2A-46F0-9BED-CD45C92C2F15}"/>
    <cellStyle name="Normal 9 2 2 7 4" xfId="10340" xr:uid="{DE2E28E7-C666-44D6-AEF8-AFBCEEAD48E2}"/>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925987BE-DF79-438A-9017-DBB8A0424A33}"/>
    <cellStyle name="Normal 9 2 2 8 2 3" xfId="12898" xr:uid="{0B9FB0C3-8CE3-4DB5-9ABC-C05C9CCA549A}"/>
    <cellStyle name="Normal 9 2 2 8 3" xfId="6529" xr:uid="{00000000-0005-0000-0000-0000091F0000}"/>
    <cellStyle name="Normal 9 2 2 8 3 2" xfId="14971" xr:uid="{EA5110EB-6323-441C-95B8-DEAC079973E6}"/>
    <cellStyle name="Normal 9 2 2 8 4" xfId="10753" xr:uid="{C6361609-A61B-4C6B-9F6B-102A8F6816E0}"/>
    <cellStyle name="Normal 9 2 2 9" xfId="2658" xr:uid="{00000000-0005-0000-0000-00000A1F0000}"/>
    <cellStyle name="Normal 9 2 2 9 2" xfId="6942" xr:uid="{00000000-0005-0000-0000-00000B1F0000}"/>
    <cellStyle name="Normal 9 2 2 9 2 2" xfId="15384" xr:uid="{E4F69B2E-9EF7-4C85-B6E6-6F03DD2933C4}"/>
    <cellStyle name="Normal 9 2 2 9 3" xfId="11166" xr:uid="{167FE001-5002-4602-84AE-26D4C003032A}"/>
    <cellStyle name="Normal 9 2 3" xfId="520" xr:uid="{00000000-0005-0000-0000-00000C1F0000}"/>
    <cellStyle name="Normal 9 2 3 10" xfId="9109" xr:uid="{CF8A378B-C659-4C87-88EF-BD97FE5BD1F4}"/>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923DA188-BC5A-4939-858B-3E41313F674E}"/>
    <cellStyle name="Normal 9 2 3 2 2 2 2 3" xfId="11669" xr:uid="{C2F0309E-5232-4575-BEA5-3B80BA246739}"/>
    <cellStyle name="Normal 9 2 3 2 2 2 3" xfId="5300" xr:uid="{00000000-0005-0000-0000-0000121F0000}"/>
    <cellStyle name="Normal 9 2 3 2 2 2 3 2" xfId="13742" xr:uid="{CBA1D5D7-91B4-4AA3-BE58-313902A8D2F0}"/>
    <cellStyle name="Normal 9 2 3 2 2 2 4" xfId="9524" xr:uid="{3086DBA0-E5FF-435D-AF47-9FFEB191B404}"/>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17E782FF-C379-4725-8042-26889E3DCDF8}"/>
    <cellStyle name="Normal 9 2 3 2 2 3 2 3" xfId="12082" xr:uid="{12781157-2C0E-4090-B11D-3033C142512D}"/>
    <cellStyle name="Normal 9 2 3 2 2 3 3" xfId="5713" xr:uid="{00000000-0005-0000-0000-0000161F0000}"/>
    <cellStyle name="Normal 9 2 3 2 2 3 3 2" xfId="14155" xr:uid="{7D8FCC7F-76E7-4376-8DB2-4F25BAD1028C}"/>
    <cellStyle name="Normal 9 2 3 2 2 3 4" xfId="9937" xr:uid="{3B37601F-04A9-4A24-BE51-85169632C9DF}"/>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AB9C8EB2-ED91-44E0-BAC2-A6F4CFD17C6E}"/>
    <cellStyle name="Normal 9 2 3 2 2 4 2 3" xfId="12495" xr:uid="{0E0F24EB-8A21-472E-93C5-1088E82ED656}"/>
    <cellStyle name="Normal 9 2 3 2 2 4 3" xfId="6126" xr:uid="{00000000-0005-0000-0000-00001A1F0000}"/>
    <cellStyle name="Normal 9 2 3 2 2 4 3 2" xfId="14568" xr:uid="{850A21C5-2DBD-4462-8924-01761BD05A25}"/>
    <cellStyle name="Normal 9 2 3 2 2 4 4" xfId="10350" xr:uid="{C83451EB-9AC5-490C-964A-A33E8D6C0ECC}"/>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8D1206D0-C712-48A0-9194-44DE7F4ED948}"/>
    <cellStyle name="Normal 9 2 3 2 2 5 2 3" xfId="12908" xr:uid="{DDE7C4CD-A2F0-416F-B212-6F188612F179}"/>
    <cellStyle name="Normal 9 2 3 2 2 5 3" xfId="6539" xr:uid="{00000000-0005-0000-0000-00001E1F0000}"/>
    <cellStyle name="Normal 9 2 3 2 2 5 3 2" xfId="14981" xr:uid="{A6BBE97C-016B-4AAB-A7C3-79970EDA8A02}"/>
    <cellStyle name="Normal 9 2 3 2 2 5 4" xfId="10763" xr:uid="{C4E3BAFB-9F14-43A0-A94F-3A4E0CF8C6CD}"/>
    <cellStyle name="Normal 9 2 3 2 2 6" xfId="2668" xr:uid="{00000000-0005-0000-0000-00001F1F0000}"/>
    <cellStyle name="Normal 9 2 3 2 2 6 2" xfId="6952" xr:uid="{00000000-0005-0000-0000-0000201F0000}"/>
    <cellStyle name="Normal 9 2 3 2 2 6 2 2" xfId="15394" xr:uid="{A3F63FEE-32A0-4D13-9EB7-B267E55E89C4}"/>
    <cellStyle name="Normal 9 2 3 2 2 6 3" xfId="11176" xr:uid="{38AE3B98-6D6A-49F8-9F8D-03708A45AC08}"/>
    <cellStyle name="Normal 9 2 3 2 2 7" xfId="4887" xr:uid="{00000000-0005-0000-0000-0000211F0000}"/>
    <cellStyle name="Normal 9 2 3 2 2 7 2" xfId="13329" xr:uid="{DB86614E-BCFC-44F7-95E7-FDCC2FF8EA64}"/>
    <cellStyle name="Normal 9 2 3 2 2 8" xfId="9111" xr:uid="{B11663B2-35B4-4F35-98A6-95FA36B5FEC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8A36D532-993A-44CE-9806-BD21CEDF785C}"/>
    <cellStyle name="Normal 9 2 3 2 3 2 3" xfId="11668" xr:uid="{1CBF3B99-9F3D-464E-892F-D42C83305951}"/>
    <cellStyle name="Normal 9 2 3 2 3 3" xfId="5299" xr:uid="{00000000-0005-0000-0000-0000251F0000}"/>
    <cellStyle name="Normal 9 2 3 2 3 3 2" xfId="13741" xr:uid="{9826A5FE-2544-4F62-971C-8F6E46E545B3}"/>
    <cellStyle name="Normal 9 2 3 2 3 4" xfId="9523" xr:uid="{A2218EC2-6AA1-4FDE-9B05-77971FF9A76D}"/>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D1B118E8-BCF2-438F-ABB7-B05A398F1C45}"/>
    <cellStyle name="Normal 9 2 3 2 4 2 3" xfId="12081" xr:uid="{D1BA52EA-4240-4CF6-8BD9-9EB8747D39E8}"/>
    <cellStyle name="Normal 9 2 3 2 4 3" xfId="5712" xr:uid="{00000000-0005-0000-0000-0000291F0000}"/>
    <cellStyle name="Normal 9 2 3 2 4 3 2" xfId="14154" xr:uid="{925DB1BB-A853-494A-A7CE-8181C57DE97A}"/>
    <cellStyle name="Normal 9 2 3 2 4 4" xfId="9936" xr:uid="{FA9247A5-137A-419A-90CD-8FAF985FE62F}"/>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8490284D-A3A4-49B8-AA36-19A94F677679}"/>
    <cellStyle name="Normal 9 2 3 2 5 2 3" xfId="12494" xr:uid="{924F8F56-069F-4EC9-A8D8-26A8504A1798}"/>
    <cellStyle name="Normal 9 2 3 2 5 3" xfId="6125" xr:uid="{00000000-0005-0000-0000-00002D1F0000}"/>
    <cellStyle name="Normal 9 2 3 2 5 3 2" xfId="14567" xr:uid="{67C6719C-9AA6-4E83-932A-5B8831B23934}"/>
    <cellStyle name="Normal 9 2 3 2 5 4" xfId="10349" xr:uid="{CE485B55-D8C9-4478-AFB7-F7CC18DAF2C2}"/>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241C24D1-59C0-44BD-9921-B8C5333C2610}"/>
    <cellStyle name="Normal 9 2 3 2 6 2 3" xfId="12907" xr:uid="{98866BBC-ADDD-4FE7-99DD-29F28CAD7B18}"/>
    <cellStyle name="Normal 9 2 3 2 6 3" xfId="6538" xr:uid="{00000000-0005-0000-0000-0000311F0000}"/>
    <cellStyle name="Normal 9 2 3 2 6 3 2" xfId="14980" xr:uid="{493FA35C-0058-42D8-BF37-752021C5CE5E}"/>
    <cellStyle name="Normal 9 2 3 2 6 4" xfId="10762" xr:uid="{0B002BD0-D2CA-4047-8152-758159C1C8FF}"/>
    <cellStyle name="Normal 9 2 3 2 7" xfId="2667" xr:uid="{00000000-0005-0000-0000-0000321F0000}"/>
    <cellStyle name="Normal 9 2 3 2 7 2" xfId="6951" xr:uid="{00000000-0005-0000-0000-0000331F0000}"/>
    <cellStyle name="Normal 9 2 3 2 7 2 2" xfId="15393" xr:uid="{58202723-9CD8-4E6F-9AC7-D8A8F928C79D}"/>
    <cellStyle name="Normal 9 2 3 2 7 3" xfId="11175" xr:uid="{E871CF10-381C-4D83-8BB0-3737D2AA85BD}"/>
    <cellStyle name="Normal 9 2 3 2 8" xfId="4886" xr:uid="{00000000-0005-0000-0000-0000341F0000}"/>
    <cellStyle name="Normal 9 2 3 2 8 2" xfId="13328" xr:uid="{75CFBDB9-71F0-4F26-B746-B4298E53B2CD}"/>
    <cellStyle name="Normal 9 2 3 2 9" xfId="9110" xr:uid="{FC40B5E5-185A-46D2-B6CB-2653FF89F8F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BE65D463-E988-4C8B-8669-B6DDB9A4ED34}"/>
    <cellStyle name="Normal 9 2 3 3 2 2 3" xfId="11670" xr:uid="{22768AFA-AF76-4F61-9BD7-427D2B0654CF}"/>
    <cellStyle name="Normal 9 2 3 3 2 3" xfId="5301" xr:uid="{00000000-0005-0000-0000-0000391F0000}"/>
    <cellStyle name="Normal 9 2 3 3 2 3 2" xfId="13743" xr:uid="{E19FB3FB-4133-4363-91B1-BA269A1496F2}"/>
    <cellStyle name="Normal 9 2 3 3 2 4" xfId="9525" xr:uid="{F825A457-8122-481B-8738-A9A55B9CD5A6}"/>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960A65CB-9920-4588-9E9E-C5D40201B296}"/>
    <cellStyle name="Normal 9 2 3 3 3 2 3" xfId="12083" xr:uid="{1BBAE91A-1735-45B3-AADA-2E704211D8B5}"/>
    <cellStyle name="Normal 9 2 3 3 3 3" xfId="5714" xr:uid="{00000000-0005-0000-0000-00003D1F0000}"/>
    <cellStyle name="Normal 9 2 3 3 3 3 2" xfId="14156" xr:uid="{58FD75CB-5939-4735-B709-42D3276AA89C}"/>
    <cellStyle name="Normal 9 2 3 3 3 4" xfId="9938" xr:uid="{E277D241-9B56-471A-A299-3ABCBA3739A3}"/>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D8E85FAB-D930-4E14-9671-EBD614E7885B}"/>
    <cellStyle name="Normal 9 2 3 3 4 2 3" xfId="12496" xr:uid="{9C7FB4EC-51E8-4A77-BB9E-4F229FDB8121}"/>
    <cellStyle name="Normal 9 2 3 3 4 3" xfId="6127" xr:uid="{00000000-0005-0000-0000-0000411F0000}"/>
    <cellStyle name="Normal 9 2 3 3 4 3 2" xfId="14569" xr:uid="{BA8365ED-D49C-4276-A8C3-E9C7181AA550}"/>
    <cellStyle name="Normal 9 2 3 3 4 4" xfId="10351" xr:uid="{91C394C1-C501-46EA-B87C-AFF73927CDC6}"/>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A14331B8-4CF4-4878-A697-C1AA7AC0E2E8}"/>
    <cellStyle name="Normal 9 2 3 3 5 2 3" xfId="12909" xr:uid="{4D619CDA-AABF-4C58-A2EF-B29CDC106ADC}"/>
    <cellStyle name="Normal 9 2 3 3 5 3" xfId="6540" xr:uid="{00000000-0005-0000-0000-0000451F0000}"/>
    <cellStyle name="Normal 9 2 3 3 5 3 2" xfId="14982" xr:uid="{0B491EE4-1A4B-4E40-8076-2B288ACD8E56}"/>
    <cellStyle name="Normal 9 2 3 3 5 4" xfId="10764" xr:uid="{E11F7D0D-3BD3-4F68-B378-139CCAC5CE0A}"/>
    <cellStyle name="Normal 9 2 3 3 6" xfId="2669" xr:uid="{00000000-0005-0000-0000-0000461F0000}"/>
    <cellStyle name="Normal 9 2 3 3 6 2" xfId="6953" xr:uid="{00000000-0005-0000-0000-0000471F0000}"/>
    <cellStyle name="Normal 9 2 3 3 6 2 2" xfId="15395" xr:uid="{CDBEF351-0FD7-4B09-BB1A-EFA36A075C11}"/>
    <cellStyle name="Normal 9 2 3 3 6 3" xfId="11177" xr:uid="{2FA4A45D-8A19-474D-B3D8-C798058AE4C1}"/>
    <cellStyle name="Normal 9 2 3 3 7" xfId="4888" xr:uid="{00000000-0005-0000-0000-0000481F0000}"/>
    <cellStyle name="Normal 9 2 3 3 7 2" xfId="13330" xr:uid="{0D87B769-1BDA-4130-9966-BBD080BD26A5}"/>
    <cellStyle name="Normal 9 2 3 3 8" xfId="9112" xr:uid="{61CE0957-453E-4EBB-964E-D9E7D0A1AEB4}"/>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9496CFA4-1F53-411D-BC3D-F12838F4836B}"/>
    <cellStyle name="Normal 9 2 3 4 2 3" xfId="11667" xr:uid="{756CABDC-91C9-4E29-8425-AD606D50AD97}"/>
    <cellStyle name="Normal 9 2 3 4 3" xfId="5298" xr:uid="{00000000-0005-0000-0000-00004C1F0000}"/>
    <cellStyle name="Normal 9 2 3 4 3 2" xfId="13740" xr:uid="{C44DDCEF-A2A7-42EF-9AC5-AA29DF056890}"/>
    <cellStyle name="Normal 9 2 3 4 4" xfId="9522" xr:uid="{5B634303-17C5-4F91-A4D8-77D8E1DEA61E}"/>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FA9B953E-4899-4898-B627-6DF18656A78C}"/>
    <cellStyle name="Normal 9 2 3 5 2 3" xfId="12080" xr:uid="{9EDCEBE1-D44B-4849-8D32-16CBF4B99456}"/>
    <cellStyle name="Normal 9 2 3 5 3" xfId="5711" xr:uid="{00000000-0005-0000-0000-0000501F0000}"/>
    <cellStyle name="Normal 9 2 3 5 3 2" xfId="14153" xr:uid="{7903253B-0D45-4D1F-AB3B-9548A3CF50FA}"/>
    <cellStyle name="Normal 9 2 3 5 4" xfId="9935" xr:uid="{E5BD6DD8-BCF2-4BE2-A060-26A8E1662FD1}"/>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753C37BE-2703-4BC6-AC80-886721176200}"/>
    <cellStyle name="Normal 9 2 3 6 2 3" xfId="12493" xr:uid="{C0EC8877-F155-45FD-B78D-230F6075B03F}"/>
    <cellStyle name="Normal 9 2 3 6 3" xfId="6124" xr:uid="{00000000-0005-0000-0000-0000541F0000}"/>
    <cellStyle name="Normal 9 2 3 6 3 2" xfId="14566" xr:uid="{2FDE7915-BE32-450F-BB5E-A37CF92081D2}"/>
    <cellStyle name="Normal 9 2 3 6 4" xfId="10348" xr:uid="{753A428E-D6FA-44E6-82E0-C68486D4C865}"/>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1E19D0D7-F54B-495C-A3EA-38F298C8EEEC}"/>
    <cellStyle name="Normal 9 2 3 7 2 3" xfId="12906" xr:uid="{B5956410-13DC-40C4-BB31-ABE8F69330C0}"/>
    <cellStyle name="Normal 9 2 3 7 3" xfId="6537" xr:uid="{00000000-0005-0000-0000-0000581F0000}"/>
    <cellStyle name="Normal 9 2 3 7 3 2" xfId="14979" xr:uid="{09842EB6-757A-4652-A2C9-671D801F33CE}"/>
    <cellStyle name="Normal 9 2 3 7 4" xfId="10761" xr:uid="{234F1916-2467-4E57-8EEF-38CFCECEF3AE}"/>
    <cellStyle name="Normal 9 2 3 8" xfId="2666" xr:uid="{00000000-0005-0000-0000-0000591F0000}"/>
    <cellStyle name="Normal 9 2 3 8 2" xfId="6950" xr:uid="{00000000-0005-0000-0000-00005A1F0000}"/>
    <cellStyle name="Normal 9 2 3 8 2 2" xfId="15392" xr:uid="{06C3D6C6-FF67-459C-8BA1-94587519E4C0}"/>
    <cellStyle name="Normal 9 2 3 8 3" xfId="11174" xr:uid="{451618ED-C436-4CD4-A5FA-F3DE9B09F251}"/>
    <cellStyle name="Normal 9 2 3 9" xfId="4885" xr:uid="{00000000-0005-0000-0000-00005B1F0000}"/>
    <cellStyle name="Normal 9 2 3 9 2" xfId="13327" xr:uid="{E10B7DB9-6D3D-4980-BAFD-D8759211985F}"/>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5924A366-3FDB-4406-BE84-CD3BFE3AD091}"/>
    <cellStyle name="Normal 9 2 4 2 2 2 3" xfId="11672" xr:uid="{52CCD425-C476-4A65-879C-E48218D096E1}"/>
    <cellStyle name="Normal 9 2 4 2 2 3" xfId="5303" xr:uid="{00000000-0005-0000-0000-0000611F0000}"/>
    <cellStyle name="Normal 9 2 4 2 2 3 2" xfId="13745" xr:uid="{4BDE8D54-818B-4297-BE65-AD7BCE5918A8}"/>
    <cellStyle name="Normal 9 2 4 2 2 4" xfId="9527" xr:uid="{EB624112-3ACB-4BA7-A6A4-DBD048C45DB1}"/>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913F85D7-5C12-497D-B852-0FF7F2C9E949}"/>
    <cellStyle name="Normal 9 2 4 2 3 2 3" xfId="12085" xr:uid="{E8D6C9E9-A823-4DFA-B187-C58D170918EF}"/>
    <cellStyle name="Normal 9 2 4 2 3 3" xfId="5716" xr:uid="{00000000-0005-0000-0000-0000651F0000}"/>
    <cellStyle name="Normal 9 2 4 2 3 3 2" xfId="14158" xr:uid="{A1DB10DF-2CF4-4982-813C-7AF3AC0AD18B}"/>
    <cellStyle name="Normal 9 2 4 2 3 4" xfId="9940" xr:uid="{1B1CA70B-3A03-4946-AAFD-54E5295D5BCE}"/>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D2734F36-117A-4B72-873D-1D220BCCA8C7}"/>
    <cellStyle name="Normal 9 2 4 2 4 2 3" xfId="12498" xr:uid="{268CBC8A-A156-4919-9A9E-591A16D450D5}"/>
    <cellStyle name="Normal 9 2 4 2 4 3" xfId="6129" xr:uid="{00000000-0005-0000-0000-0000691F0000}"/>
    <cellStyle name="Normal 9 2 4 2 4 3 2" xfId="14571" xr:uid="{78BEB388-6DE8-4691-8A60-49BEF8F64647}"/>
    <cellStyle name="Normal 9 2 4 2 4 4" xfId="10353" xr:uid="{5F77C65F-3833-47F6-8546-1E36A1605CB1}"/>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C9FB749D-2201-41F3-9E2D-9AE5DD8380FA}"/>
    <cellStyle name="Normal 9 2 4 2 5 2 3" xfId="12911" xr:uid="{25BCED7A-E1DF-4937-B355-0E5F5F4CE9F0}"/>
    <cellStyle name="Normal 9 2 4 2 5 3" xfId="6542" xr:uid="{00000000-0005-0000-0000-00006D1F0000}"/>
    <cellStyle name="Normal 9 2 4 2 5 3 2" xfId="14984" xr:uid="{D3973530-8B27-49C2-BDE8-4DAA06434B96}"/>
    <cellStyle name="Normal 9 2 4 2 5 4" xfId="10766" xr:uid="{695F78BB-00D3-49A9-837A-AB53D5872370}"/>
    <cellStyle name="Normal 9 2 4 2 6" xfId="2671" xr:uid="{00000000-0005-0000-0000-00006E1F0000}"/>
    <cellStyle name="Normal 9 2 4 2 6 2" xfId="6955" xr:uid="{00000000-0005-0000-0000-00006F1F0000}"/>
    <cellStyle name="Normal 9 2 4 2 6 2 2" xfId="15397" xr:uid="{E9698C9B-88EB-4CE6-9D5F-53B1CEFAF265}"/>
    <cellStyle name="Normal 9 2 4 2 6 3" xfId="11179" xr:uid="{6FA559E9-B6A7-408A-BD5D-5BE59DB5411C}"/>
    <cellStyle name="Normal 9 2 4 2 7" xfId="4890" xr:uid="{00000000-0005-0000-0000-0000701F0000}"/>
    <cellStyle name="Normal 9 2 4 2 7 2" xfId="13332" xr:uid="{0A7F9D89-F910-44CE-9AC4-BC021B48ADCC}"/>
    <cellStyle name="Normal 9 2 4 2 8" xfId="9114" xr:uid="{54929518-AE99-438D-AC2D-70011095F8DF}"/>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4624B58C-7FC1-4329-AB09-2B51DEA734E1}"/>
    <cellStyle name="Normal 9 2 4 3 2 3" xfId="11671" xr:uid="{8BC5F7BD-8C22-4C6F-AFEE-8F82107800B0}"/>
    <cellStyle name="Normal 9 2 4 3 3" xfId="5302" xr:uid="{00000000-0005-0000-0000-0000741F0000}"/>
    <cellStyle name="Normal 9 2 4 3 3 2" xfId="13744" xr:uid="{9115D1BE-228C-4BAB-B834-0474FF2553C6}"/>
    <cellStyle name="Normal 9 2 4 3 4" xfId="9526" xr:uid="{DCA8DBAD-4A62-4F51-A47B-0146377A1271}"/>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2BC1C1E4-7F7C-443C-BB40-2DCEDA9E8565}"/>
    <cellStyle name="Normal 9 2 4 4 2 3" xfId="12084" xr:uid="{8E8D0DE4-ECD5-43E1-B4D8-7BB35354B34D}"/>
    <cellStyle name="Normal 9 2 4 4 3" xfId="5715" xr:uid="{00000000-0005-0000-0000-0000781F0000}"/>
    <cellStyle name="Normal 9 2 4 4 3 2" xfId="14157" xr:uid="{94A288A5-920F-41B3-8608-DED51632E65E}"/>
    <cellStyle name="Normal 9 2 4 4 4" xfId="9939" xr:uid="{050DB988-2247-49D0-B0E5-AE51925996FD}"/>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E39EACEC-A1B9-4F98-993A-3B6F5475D8F6}"/>
    <cellStyle name="Normal 9 2 4 5 2 3" xfId="12497" xr:uid="{E4C47705-4583-4254-BA3F-596448913EDD}"/>
    <cellStyle name="Normal 9 2 4 5 3" xfId="6128" xr:uid="{00000000-0005-0000-0000-00007C1F0000}"/>
    <cellStyle name="Normal 9 2 4 5 3 2" xfId="14570" xr:uid="{A61A3F73-8266-4B88-A429-A9268406BB63}"/>
    <cellStyle name="Normal 9 2 4 5 4" xfId="10352" xr:uid="{2DC0C6C0-3157-47AC-BADB-E57C7A577FE8}"/>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3EA38608-F2C4-4D30-8627-78EE4126FDCF}"/>
    <cellStyle name="Normal 9 2 4 6 2 3" xfId="12910" xr:uid="{177F11B6-E511-41BA-9BE8-1D59433BE8EE}"/>
    <cellStyle name="Normal 9 2 4 6 3" xfId="6541" xr:uid="{00000000-0005-0000-0000-0000801F0000}"/>
    <cellStyle name="Normal 9 2 4 6 3 2" xfId="14983" xr:uid="{F6764C27-2D86-483E-93AA-14169045B417}"/>
    <cellStyle name="Normal 9 2 4 6 4" xfId="10765" xr:uid="{641F4D81-D7A9-4E6F-8AB9-46E6D9D86236}"/>
    <cellStyle name="Normal 9 2 4 7" xfId="2670" xr:uid="{00000000-0005-0000-0000-0000811F0000}"/>
    <cellStyle name="Normal 9 2 4 7 2" xfId="6954" xr:uid="{00000000-0005-0000-0000-0000821F0000}"/>
    <cellStyle name="Normal 9 2 4 7 2 2" xfId="15396" xr:uid="{5723951F-1A58-4C3A-AE51-0A24E52A8503}"/>
    <cellStyle name="Normal 9 2 4 7 3" xfId="11178" xr:uid="{9A704ABE-08B4-4AB8-B009-F90D5E65E592}"/>
    <cellStyle name="Normal 9 2 4 8" xfId="4889" xr:uid="{00000000-0005-0000-0000-0000831F0000}"/>
    <cellStyle name="Normal 9 2 4 8 2" xfId="13331" xr:uid="{2BC3C3D2-62A0-46C3-8633-F67F2DC3B8B3}"/>
    <cellStyle name="Normal 9 2 4 9" xfId="9113" xr:uid="{06E035A5-2397-4BFE-BE56-5497EF0466A8}"/>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0F1EBC09-C4FE-4911-A8FB-F7538F1021CE}"/>
    <cellStyle name="Normal 9 2 5 2 2 3" xfId="11673" xr:uid="{418B4D59-69F9-4CEA-8194-C1766BEA13E3}"/>
    <cellStyle name="Normal 9 2 5 2 3" xfId="5304" xr:uid="{00000000-0005-0000-0000-0000881F0000}"/>
    <cellStyle name="Normal 9 2 5 2 3 2" xfId="13746" xr:uid="{BF91A725-4A61-48D9-A397-4B89E93115ED}"/>
    <cellStyle name="Normal 9 2 5 2 4" xfId="9528" xr:uid="{BB9123E1-E6DA-4234-91FA-D6630B38DD23}"/>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ECF045CA-1609-42BB-82C4-370258ACC9E9}"/>
    <cellStyle name="Normal 9 2 5 3 2 3" xfId="12086" xr:uid="{AD0F82FA-1703-438A-97A9-81D2008EDEA1}"/>
    <cellStyle name="Normal 9 2 5 3 3" xfId="5717" xr:uid="{00000000-0005-0000-0000-00008C1F0000}"/>
    <cellStyle name="Normal 9 2 5 3 3 2" xfId="14159" xr:uid="{ADF61255-93C0-40A7-8C53-001095A272C3}"/>
    <cellStyle name="Normal 9 2 5 3 4" xfId="9941" xr:uid="{6F031341-E626-42F9-8B86-3D242050C3E4}"/>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89EB4BB3-CAD0-4FA8-AB71-6FE67B25FB89}"/>
    <cellStyle name="Normal 9 2 5 4 2 3" xfId="12499" xr:uid="{012B2DA3-F190-4D0E-899F-62E4F6FCE08F}"/>
    <cellStyle name="Normal 9 2 5 4 3" xfId="6130" xr:uid="{00000000-0005-0000-0000-0000901F0000}"/>
    <cellStyle name="Normal 9 2 5 4 3 2" xfId="14572" xr:uid="{91F0605C-CFC1-450D-BA64-AABA36161ABC}"/>
    <cellStyle name="Normal 9 2 5 4 4" xfId="10354" xr:uid="{93797268-DBD4-4F08-AD38-92B699683094}"/>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B906897F-0BFA-4EEC-8EEE-C55217AA1887}"/>
    <cellStyle name="Normal 9 2 5 5 2 3" xfId="12912" xr:uid="{10CF28BC-AD7C-445B-BE26-51DF015E119A}"/>
    <cellStyle name="Normal 9 2 5 5 3" xfId="6543" xr:uid="{00000000-0005-0000-0000-0000941F0000}"/>
    <cellStyle name="Normal 9 2 5 5 3 2" xfId="14985" xr:uid="{EB7F60F5-4C69-439A-9042-5E67C86006C7}"/>
    <cellStyle name="Normal 9 2 5 5 4" xfId="10767" xr:uid="{C4A14650-6246-4345-885C-B6B519508623}"/>
    <cellStyle name="Normal 9 2 5 6" xfId="2672" xr:uid="{00000000-0005-0000-0000-0000951F0000}"/>
    <cellStyle name="Normal 9 2 5 6 2" xfId="6956" xr:uid="{00000000-0005-0000-0000-0000961F0000}"/>
    <cellStyle name="Normal 9 2 5 6 2 2" xfId="15398" xr:uid="{E5AF82EB-E47A-4D76-B257-0F01EFEF2AF7}"/>
    <cellStyle name="Normal 9 2 5 6 3" xfId="11180" xr:uid="{6A143CDB-07E3-43C0-8A91-7000E10EFFAE}"/>
    <cellStyle name="Normal 9 2 5 7" xfId="4891" xr:uid="{00000000-0005-0000-0000-0000971F0000}"/>
    <cellStyle name="Normal 9 2 5 7 2" xfId="13333" xr:uid="{4D33C25B-C7CA-45E8-B317-362A9B59FA52}"/>
    <cellStyle name="Normal 9 2 5 8" xfId="9115" xr:uid="{3D1F8B34-E610-4EF8-A73E-97B5FC4517BD}"/>
    <cellStyle name="Normal 9 2 6" xfId="978" xr:uid="{00000000-0005-0000-0000-0000981F0000}"/>
    <cellStyle name="Normal 9 2 6 2" xfId="3211" xr:uid="{00000000-0005-0000-0000-0000991F0000}"/>
    <cellStyle name="Normal 9 2 6 2 2" xfId="7434" xr:uid="{00000000-0005-0000-0000-00009A1F0000}"/>
    <cellStyle name="Normal 9 2 6 2 2 2" xfId="15876" xr:uid="{DDDF7BB2-5DE3-47E0-9E07-27D59F16B8C6}"/>
    <cellStyle name="Normal 9 2 6 2 3" xfId="11658" xr:uid="{70D1C30E-D37A-48F5-9CCE-606CCE778A91}"/>
    <cellStyle name="Normal 9 2 6 3" xfId="5289" xr:uid="{00000000-0005-0000-0000-00009B1F0000}"/>
    <cellStyle name="Normal 9 2 6 3 2" xfId="13731" xr:uid="{56C86632-44C3-431F-98A3-8B5CACACEA35}"/>
    <cellStyle name="Normal 9 2 6 4" xfId="9513" xr:uid="{C8CA8F87-09BF-41D5-A024-099A0E850B03}"/>
    <cellStyle name="Normal 9 2 7" xfId="1394" xr:uid="{00000000-0005-0000-0000-00009C1F0000}"/>
    <cellStyle name="Normal 9 2 7 2" xfId="3624" xr:uid="{00000000-0005-0000-0000-00009D1F0000}"/>
    <cellStyle name="Normal 9 2 7 2 2" xfId="7847" xr:uid="{00000000-0005-0000-0000-00009E1F0000}"/>
    <cellStyle name="Normal 9 2 7 2 2 2" xfId="16289" xr:uid="{41F59FB7-1325-4FA9-9121-2261E21FB2ED}"/>
    <cellStyle name="Normal 9 2 7 2 3" xfId="12071" xr:uid="{8B396DE9-5003-4011-8B62-7BDF35CC7D3F}"/>
    <cellStyle name="Normal 9 2 7 3" xfId="5702" xr:uid="{00000000-0005-0000-0000-00009F1F0000}"/>
    <cellStyle name="Normal 9 2 7 3 2" xfId="14144" xr:uid="{1E0C3A84-652F-4A9F-AA2F-6B080F922455}"/>
    <cellStyle name="Normal 9 2 7 4" xfId="9926" xr:uid="{152183EC-BB03-4632-8ADC-06E3EB57AD0B}"/>
    <cellStyle name="Normal 9 2 8" xfId="1807" xr:uid="{00000000-0005-0000-0000-0000A01F0000}"/>
    <cellStyle name="Normal 9 2 8 2" xfId="4037" xr:uid="{00000000-0005-0000-0000-0000A11F0000}"/>
    <cellStyle name="Normal 9 2 8 2 2" xfId="8260" xr:uid="{00000000-0005-0000-0000-0000A21F0000}"/>
    <cellStyle name="Normal 9 2 8 2 2 2" xfId="16702" xr:uid="{66551D6C-0E69-42D3-ADD0-5A6F10F821AC}"/>
    <cellStyle name="Normal 9 2 8 2 3" xfId="12484" xr:uid="{B7E3F42D-BE55-4888-B3A8-EFFF08322A29}"/>
    <cellStyle name="Normal 9 2 8 3" xfId="6115" xr:uid="{00000000-0005-0000-0000-0000A31F0000}"/>
    <cellStyle name="Normal 9 2 8 3 2" xfId="14557" xr:uid="{01D40EF4-5209-45CC-A5B6-589C74950CCE}"/>
    <cellStyle name="Normal 9 2 8 4" xfId="10339" xr:uid="{5F72D241-C479-4362-AAB6-C41E34544F5B}"/>
    <cellStyle name="Normal 9 2 9" xfId="2221" xr:uid="{00000000-0005-0000-0000-0000A41F0000}"/>
    <cellStyle name="Normal 9 2 9 2" xfId="4450" xr:uid="{00000000-0005-0000-0000-0000A51F0000}"/>
    <cellStyle name="Normal 9 2 9 2 2" xfId="8673" xr:uid="{00000000-0005-0000-0000-0000A61F0000}"/>
    <cellStyle name="Normal 9 2 9 2 2 2" xfId="17115" xr:uid="{BD99670B-E5F2-434D-A5E1-142C5377C520}"/>
    <cellStyle name="Normal 9 2 9 2 3" xfId="12897" xr:uid="{3BA56B5F-8608-46B5-B516-8586C3EF0ECD}"/>
    <cellStyle name="Normal 9 2 9 3" xfId="6528" xr:uid="{00000000-0005-0000-0000-0000A71F0000}"/>
    <cellStyle name="Normal 9 2 9 3 2" xfId="14970" xr:uid="{BBF1A95C-8314-427B-9FDE-A712F5C86F77}"/>
    <cellStyle name="Normal 9 2 9 4" xfId="10752" xr:uid="{1A1A17E7-353F-4F04-B970-D7ADE363E1A0}"/>
    <cellStyle name="Normal 9 3" xfId="527" xr:uid="{00000000-0005-0000-0000-0000A81F0000}"/>
    <cellStyle name="Normal 9 3 10" xfId="4892" xr:uid="{00000000-0005-0000-0000-0000A91F0000}"/>
    <cellStyle name="Normal 9 3 10 2" xfId="13334" xr:uid="{84E42797-02CB-40F7-8A49-4A9B4F50BCEB}"/>
    <cellStyle name="Normal 9 3 11" xfId="9116" xr:uid="{7A076975-716B-42B3-AC5B-BDD546DF9E78}"/>
    <cellStyle name="Normal 9 3 2" xfId="528" xr:uid="{00000000-0005-0000-0000-0000AA1F0000}"/>
    <cellStyle name="Normal 9 3 2 10" xfId="9117" xr:uid="{BA229832-1ED6-40EF-AFC6-F3FC5E2547A5}"/>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353C58DC-5A96-4956-9690-E28F480A709F}"/>
    <cellStyle name="Normal 9 3 2 2 2 2 2 3" xfId="11677" xr:uid="{C98213ED-039F-4D30-974C-293968AE211A}"/>
    <cellStyle name="Normal 9 3 2 2 2 2 3" xfId="5308" xr:uid="{00000000-0005-0000-0000-0000B01F0000}"/>
    <cellStyle name="Normal 9 3 2 2 2 2 3 2" xfId="13750" xr:uid="{08B6A298-811C-4A43-A43A-140830C3670E}"/>
    <cellStyle name="Normal 9 3 2 2 2 2 4" xfId="9532" xr:uid="{9F42D2E9-CFA6-432A-9435-CCC2B3276281}"/>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416F90C2-1E8D-4ED0-98B6-011E8EA3758E}"/>
    <cellStyle name="Normal 9 3 2 2 2 3 2 3" xfId="12090" xr:uid="{5EC3BD4E-A0C2-4A93-BB70-887F700D4394}"/>
    <cellStyle name="Normal 9 3 2 2 2 3 3" xfId="5721" xr:uid="{00000000-0005-0000-0000-0000B41F0000}"/>
    <cellStyle name="Normal 9 3 2 2 2 3 3 2" xfId="14163" xr:uid="{5D177780-DACA-4494-AC2E-0EEF054B31B4}"/>
    <cellStyle name="Normal 9 3 2 2 2 3 4" xfId="9945" xr:uid="{7E2E059E-AF06-4C1E-A228-F9ED4E06038A}"/>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ABDD1086-DD91-4FAF-8F35-ADDA27FB8913}"/>
    <cellStyle name="Normal 9 3 2 2 2 4 2 3" xfId="12503" xr:uid="{D5F6E48D-EBBD-452A-86B9-749B6B2209E2}"/>
    <cellStyle name="Normal 9 3 2 2 2 4 3" xfId="6134" xr:uid="{00000000-0005-0000-0000-0000B81F0000}"/>
    <cellStyle name="Normal 9 3 2 2 2 4 3 2" xfId="14576" xr:uid="{036A1AA8-8906-45D5-A4CB-03464251DBD5}"/>
    <cellStyle name="Normal 9 3 2 2 2 4 4" xfId="10358" xr:uid="{6C5455D6-A0C9-48A2-BB07-00F92462C58A}"/>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A9F20855-9198-438A-9A22-59CECB5EBF56}"/>
    <cellStyle name="Normal 9 3 2 2 2 5 2 3" xfId="12916" xr:uid="{4767586C-1DF5-45C3-AF7D-7CE001B0959D}"/>
    <cellStyle name="Normal 9 3 2 2 2 5 3" xfId="6547" xr:uid="{00000000-0005-0000-0000-0000BC1F0000}"/>
    <cellStyle name="Normal 9 3 2 2 2 5 3 2" xfId="14989" xr:uid="{63661177-73F4-4691-94E0-B6B70EAACF00}"/>
    <cellStyle name="Normal 9 3 2 2 2 5 4" xfId="10771" xr:uid="{281221DB-71BB-4383-B74A-8CEAB1D6F864}"/>
    <cellStyle name="Normal 9 3 2 2 2 6" xfId="2676" xr:uid="{00000000-0005-0000-0000-0000BD1F0000}"/>
    <cellStyle name="Normal 9 3 2 2 2 6 2" xfId="6960" xr:uid="{00000000-0005-0000-0000-0000BE1F0000}"/>
    <cellStyle name="Normal 9 3 2 2 2 6 2 2" xfId="15402" xr:uid="{A42CA217-FF4A-4D81-B693-FAEF99EB2503}"/>
    <cellStyle name="Normal 9 3 2 2 2 6 3" xfId="11184" xr:uid="{A1B42305-6848-4F01-A3AC-7300DB45F29A}"/>
    <cellStyle name="Normal 9 3 2 2 2 7" xfId="4895" xr:uid="{00000000-0005-0000-0000-0000BF1F0000}"/>
    <cellStyle name="Normal 9 3 2 2 2 7 2" xfId="13337" xr:uid="{87B3395D-284B-4AAE-98F5-CABE9EE806F7}"/>
    <cellStyle name="Normal 9 3 2 2 2 8" xfId="9119" xr:uid="{6262CCEF-0A7E-4D9D-AF4F-60AF20C10663}"/>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9FF610B5-3655-4C79-A1AA-06D5845EC7A1}"/>
    <cellStyle name="Normal 9 3 2 2 3 2 3" xfId="11676" xr:uid="{49DBF0C2-1DBA-4A98-BD7E-B482940E1CBA}"/>
    <cellStyle name="Normal 9 3 2 2 3 3" xfId="5307" xr:uid="{00000000-0005-0000-0000-0000C31F0000}"/>
    <cellStyle name="Normal 9 3 2 2 3 3 2" xfId="13749" xr:uid="{82E1E403-3641-45D8-A8BF-74650156403E}"/>
    <cellStyle name="Normal 9 3 2 2 3 4" xfId="9531" xr:uid="{457D9862-12CB-42CD-A099-11D7423C3FC9}"/>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B8B14521-58A8-411D-9408-E914E9BD8F75}"/>
    <cellStyle name="Normal 9 3 2 2 4 2 3" xfId="12089" xr:uid="{C6C5BBA4-51CF-42D7-A84E-B4C74C12F305}"/>
    <cellStyle name="Normal 9 3 2 2 4 3" xfId="5720" xr:uid="{00000000-0005-0000-0000-0000C71F0000}"/>
    <cellStyle name="Normal 9 3 2 2 4 3 2" xfId="14162" xr:uid="{EF217F60-3F13-432E-A3DA-391269B41F6B}"/>
    <cellStyle name="Normal 9 3 2 2 4 4" xfId="9944" xr:uid="{B1B02AC4-1A46-4B61-B59D-0CD69EE16A61}"/>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9DE02136-8EB8-4899-9FFA-A2461A886A10}"/>
    <cellStyle name="Normal 9 3 2 2 5 2 3" xfId="12502" xr:uid="{04D44FCB-D072-43BE-9BF4-8DEB39AD546E}"/>
    <cellStyle name="Normal 9 3 2 2 5 3" xfId="6133" xr:uid="{00000000-0005-0000-0000-0000CB1F0000}"/>
    <cellStyle name="Normal 9 3 2 2 5 3 2" xfId="14575" xr:uid="{6A8547B6-C42F-4B74-AAF9-F75DD28AB5B2}"/>
    <cellStyle name="Normal 9 3 2 2 5 4" xfId="10357" xr:uid="{3E250D17-E253-44C3-BEEC-0B29A59E49AC}"/>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C273592A-05E7-4B81-84FB-47A34C310D8D}"/>
    <cellStyle name="Normal 9 3 2 2 6 2 3" xfId="12915" xr:uid="{A77D8F5C-119D-46D7-8F82-3D32A4FB36D5}"/>
    <cellStyle name="Normal 9 3 2 2 6 3" xfId="6546" xr:uid="{00000000-0005-0000-0000-0000CF1F0000}"/>
    <cellStyle name="Normal 9 3 2 2 6 3 2" xfId="14988" xr:uid="{C94BF803-C20C-41C1-B68E-0F885DEB7D88}"/>
    <cellStyle name="Normal 9 3 2 2 6 4" xfId="10770" xr:uid="{C0558D26-4658-4523-8B8B-AC3492759BCC}"/>
    <cellStyle name="Normal 9 3 2 2 7" xfId="2675" xr:uid="{00000000-0005-0000-0000-0000D01F0000}"/>
    <cellStyle name="Normal 9 3 2 2 7 2" xfId="6959" xr:uid="{00000000-0005-0000-0000-0000D11F0000}"/>
    <cellStyle name="Normal 9 3 2 2 7 2 2" xfId="15401" xr:uid="{C20113F6-860A-441E-82A0-69A211CD1295}"/>
    <cellStyle name="Normal 9 3 2 2 7 3" xfId="11183" xr:uid="{A5008C79-307A-4F52-9CEE-F3BEAF38A27E}"/>
    <cellStyle name="Normal 9 3 2 2 8" xfId="4894" xr:uid="{00000000-0005-0000-0000-0000D21F0000}"/>
    <cellStyle name="Normal 9 3 2 2 8 2" xfId="13336" xr:uid="{01FDA109-B1AD-4F2F-9F7B-B113732C089E}"/>
    <cellStyle name="Normal 9 3 2 2 9" xfId="9118" xr:uid="{530D0CFA-E239-49FF-83B4-D768D906F785}"/>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97FAD6F1-2560-4598-B025-A9FF6358DAD3}"/>
    <cellStyle name="Normal 9 3 2 3 2 2 3" xfId="11678" xr:uid="{17FB6D7A-B2D6-42C5-A3C8-293A0A1259D8}"/>
    <cellStyle name="Normal 9 3 2 3 2 3" xfId="5309" xr:uid="{00000000-0005-0000-0000-0000D71F0000}"/>
    <cellStyle name="Normal 9 3 2 3 2 3 2" xfId="13751" xr:uid="{11DFB1D4-0A43-4D3A-B909-0971A6525C28}"/>
    <cellStyle name="Normal 9 3 2 3 2 4" xfId="9533" xr:uid="{E8C17FAE-4C14-42EC-9C54-DBCD6208E1F0}"/>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A5B47C9D-CF6F-492E-8A7B-54A08550A929}"/>
    <cellStyle name="Normal 9 3 2 3 3 2 3" xfId="12091" xr:uid="{94BDB5B4-B4D6-4E77-A900-9B2ADC47789C}"/>
    <cellStyle name="Normal 9 3 2 3 3 3" xfId="5722" xr:uid="{00000000-0005-0000-0000-0000DB1F0000}"/>
    <cellStyle name="Normal 9 3 2 3 3 3 2" xfId="14164" xr:uid="{32D078CA-B8E9-4E58-B894-1E92F954C992}"/>
    <cellStyle name="Normal 9 3 2 3 3 4" xfId="9946" xr:uid="{B28BF8DE-7EE5-40EC-8A14-526F7F0C8EEF}"/>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74D7C065-DB7D-40CA-9905-10880A3DBF3B}"/>
    <cellStyle name="Normal 9 3 2 3 4 2 3" xfId="12504" xr:uid="{84802C95-B23E-4E06-BA8F-CA6D97E0301A}"/>
    <cellStyle name="Normal 9 3 2 3 4 3" xfId="6135" xr:uid="{00000000-0005-0000-0000-0000DF1F0000}"/>
    <cellStyle name="Normal 9 3 2 3 4 3 2" xfId="14577" xr:uid="{80983777-2F7A-4D89-88CE-B4EEDEABF49D}"/>
    <cellStyle name="Normal 9 3 2 3 4 4" xfId="10359" xr:uid="{6C1C7CDB-1766-42BE-8EB2-E5671ECFB6A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5F3A15FE-5034-4F07-A325-70C9225BB90A}"/>
    <cellStyle name="Normal 9 3 2 3 5 2 3" xfId="12917" xr:uid="{50509553-8A7E-45D5-A019-51D62040693B}"/>
    <cellStyle name="Normal 9 3 2 3 5 3" xfId="6548" xr:uid="{00000000-0005-0000-0000-0000E31F0000}"/>
    <cellStyle name="Normal 9 3 2 3 5 3 2" xfId="14990" xr:uid="{0BE5DABB-201D-4B3C-8C8D-95A9538A1478}"/>
    <cellStyle name="Normal 9 3 2 3 5 4" xfId="10772" xr:uid="{DAE0CE1F-F161-4725-9CC8-2D389D8590F4}"/>
    <cellStyle name="Normal 9 3 2 3 6" xfId="2677" xr:uid="{00000000-0005-0000-0000-0000E41F0000}"/>
    <cellStyle name="Normal 9 3 2 3 6 2" xfId="6961" xr:uid="{00000000-0005-0000-0000-0000E51F0000}"/>
    <cellStyle name="Normal 9 3 2 3 6 2 2" xfId="15403" xr:uid="{DB75E672-3950-47AB-8F53-8D434DE86641}"/>
    <cellStyle name="Normal 9 3 2 3 6 3" xfId="11185" xr:uid="{76194E6F-7DE7-408B-8276-CF9AADE79E0C}"/>
    <cellStyle name="Normal 9 3 2 3 7" xfId="4896" xr:uid="{00000000-0005-0000-0000-0000E61F0000}"/>
    <cellStyle name="Normal 9 3 2 3 7 2" xfId="13338" xr:uid="{28246FF7-64F2-42EF-8190-0CD405DDF922}"/>
    <cellStyle name="Normal 9 3 2 3 8" xfId="9120" xr:uid="{7217C90A-E25E-44AC-BCE1-07A1899F0762}"/>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A3ABD990-889B-4F70-B977-A5A3241D7B11}"/>
    <cellStyle name="Normal 9 3 2 4 2 3" xfId="11675" xr:uid="{B0C1B950-5AEA-4565-9E70-B735C27D011E}"/>
    <cellStyle name="Normal 9 3 2 4 3" xfId="5306" xr:uid="{00000000-0005-0000-0000-0000EA1F0000}"/>
    <cellStyle name="Normal 9 3 2 4 3 2" xfId="13748" xr:uid="{0B6C1B97-B90C-4CC3-8770-F5E6080248FF}"/>
    <cellStyle name="Normal 9 3 2 4 4" xfId="9530" xr:uid="{CDFA7C1A-AF8A-41EE-9931-E072C299D3D7}"/>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3752ECFF-8F72-4F2A-8E72-E672927DF8B9}"/>
    <cellStyle name="Normal 9 3 2 5 2 3" xfId="12088" xr:uid="{D496CC72-72FA-4602-A613-5E72EA0016C1}"/>
    <cellStyle name="Normal 9 3 2 5 3" xfId="5719" xr:uid="{00000000-0005-0000-0000-0000EE1F0000}"/>
    <cellStyle name="Normal 9 3 2 5 3 2" xfId="14161" xr:uid="{C1798922-DD92-4C53-8D79-93E3238398EE}"/>
    <cellStyle name="Normal 9 3 2 5 4" xfId="9943" xr:uid="{2AC5FF7F-E0C0-4485-B8C4-011D4F3B4BDC}"/>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FDEE15DD-D23C-472B-8293-16FB9E568828}"/>
    <cellStyle name="Normal 9 3 2 6 2 3" xfId="12501" xr:uid="{6A504378-9AC5-4E4E-A04E-92E367FC6FEB}"/>
    <cellStyle name="Normal 9 3 2 6 3" xfId="6132" xr:uid="{00000000-0005-0000-0000-0000F21F0000}"/>
    <cellStyle name="Normal 9 3 2 6 3 2" xfId="14574" xr:uid="{BC93A8A7-623A-43BC-8ABD-76E87427F632}"/>
    <cellStyle name="Normal 9 3 2 6 4" xfId="10356" xr:uid="{A9CA230E-71DE-4A12-943D-F8A09E85EDBD}"/>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3A91C830-A4F1-48AF-915C-55393C681D6A}"/>
    <cellStyle name="Normal 9 3 2 7 2 3" xfId="12914" xr:uid="{A2253DFA-C31F-406E-A006-9C7D7AD02FE5}"/>
    <cellStyle name="Normal 9 3 2 7 3" xfId="6545" xr:uid="{00000000-0005-0000-0000-0000F61F0000}"/>
    <cellStyle name="Normal 9 3 2 7 3 2" xfId="14987" xr:uid="{990F736F-82C7-4587-ACD0-9FB25D3360F0}"/>
    <cellStyle name="Normal 9 3 2 7 4" xfId="10769" xr:uid="{BDC6AA0E-3AE3-4DC7-A6C7-31961749ABE8}"/>
    <cellStyle name="Normal 9 3 2 8" xfId="2674" xr:uid="{00000000-0005-0000-0000-0000F71F0000}"/>
    <cellStyle name="Normal 9 3 2 8 2" xfId="6958" xr:uid="{00000000-0005-0000-0000-0000F81F0000}"/>
    <cellStyle name="Normal 9 3 2 8 2 2" xfId="15400" xr:uid="{A8B62F8C-3998-4064-8EDF-5CB3B3112236}"/>
    <cellStyle name="Normal 9 3 2 8 3" xfId="11182" xr:uid="{6DD0A73E-04E6-4C5A-9002-0D45A7169526}"/>
    <cellStyle name="Normal 9 3 2 9" xfId="4893" xr:uid="{00000000-0005-0000-0000-0000F91F0000}"/>
    <cellStyle name="Normal 9 3 2 9 2" xfId="13335" xr:uid="{C3C340C3-C9B7-4CEF-85D0-6F1851C11AC7}"/>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B8AC761F-1C53-40DC-9224-FDF676AE4E1D}"/>
    <cellStyle name="Normal 9 3 3 2 2 2 3" xfId="11680" xr:uid="{AEC77D55-E1C8-4764-946A-9C4E8B0B7A16}"/>
    <cellStyle name="Normal 9 3 3 2 2 3" xfId="5311" xr:uid="{00000000-0005-0000-0000-0000FF1F0000}"/>
    <cellStyle name="Normal 9 3 3 2 2 3 2" xfId="13753" xr:uid="{5F04732A-C160-4A92-9D18-235F1552194E}"/>
    <cellStyle name="Normal 9 3 3 2 2 4" xfId="9535" xr:uid="{9CB20AEF-05A4-4C64-BFA2-CD67597671D5}"/>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C237FAD6-C70D-4418-A335-4AF3461E8698}"/>
    <cellStyle name="Normal 9 3 3 2 3 2 3" xfId="12093" xr:uid="{9E4C6419-9161-4244-B7FA-1BF81636D0C7}"/>
    <cellStyle name="Normal 9 3 3 2 3 3" xfId="5724" xr:uid="{00000000-0005-0000-0000-000003200000}"/>
    <cellStyle name="Normal 9 3 3 2 3 3 2" xfId="14166" xr:uid="{F9C06A42-D590-4B7F-9B07-A2EE04FAB1CC}"/>
    <cellStyle name="Normal 9 3 3 2 3 4" xfId="9948" xr:uid="{7130427A-8876-469B-B419-4045E8139997}"/>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305F1A69-49C4-41EA-AB93-C16EBC204CDC}"/>
    <cellStyle name="Normal 9 3 3 2 4 2 3" xfId="12506" xr:uid="{3582D43C-B696-4D63-A3B3-CEA84936F48A}"/>
    <cellStyle name="Normal 9 3 3 2 4 3" xfId="6137" xr:uid="{00000000-0005-0000-0000-000007200000}"/>
    <cellStyle name="Normal 9 3 3 2 4 3 2" xfId="14579" xr:uid="{54EF4603-60A9-486F-B2D1-6AE200A7E83A}"/>
    <cellStyle name="Normal 9 3 3 2 4 4" xfId="10361" xr:uid="{ACF21670-ADF1-43B8-8562-1BC6ECD52E81}"/>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BCA2D9EA-743B-4FFF-BB31-1B3754B02C28}"/>
    <cellStyle name="Normal 9 3 3 2 5 2 3" xfId="12919" xr:uid="{C65CFE67-1266-4231-8348-F5B76F4EF289}"/>
    <cellStyle name="Normal 9 3 3 2 5 3" xfId="6550" xr:uid="{00000000-0005-0000-0000-00000B200000}"/>
    <cellStyle name="Normal 9 3 3 2 5 3 2" xfId="14992" xr:uid="{2E47CF31-FCBB-40E7-A47F-93F196C3F628}"/>
    <cellStyle name="Normal 9 3 3 2 5 4" xfId="10774" xr:uid="{06603C4E-C8E3-4B73-BF5B-44679EE37A04}"/>
    <cellStyle name="Normal 9 3 3 2 6" xfId="2679" xr:uid="{00000000-0005-0000-0000-00000C200000}"/>
    <cellStyle name="Normal 9 3 3 2 6 2" xfId="6963" xr:uid="{00000000-0005-0000-0000-00000D200000}"/>
    <cellStyle name="Normal 9 3 3 2 6 2 2" xfId="15405" xr:uid="{559A0D6A-6DF1-4C5F-9F09-9DA09288F101}"/>
    <cellStyle name="Normal 9 3 3 2 6 3" xfId="11187" xr:uid="{82DDA81E-44FF-4C22-9B24-2DFF5DB16F7A}"/>
    <cellStyle name="Normal 9 3 3 2 7" xfId="4898" xr:uid="{00000000-0005-0000-0000-00000E200000}"/>
    <cellStyle name="Normal 9 3 3 2 7 2" xfId="13340" xr:uid="{544DC8A5-9497-491E-A130-3D5CFB3B5A1F}"/>
    <cellStyle name="Normal 9 3 3 2 8" xfId="9122" xr:uid="{9B09E094-3015-49FE-824B-75217DACF45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B1C31133-40DE-4AD4-96F4-5BEA6931E254}"/>
    <cellStyle name="Normal 9 3 3 3 2 3" xfId="11679" xr:uid="{518037D4-EE54-4C2D-ADF1-8AFD47E3CB22}"/>
    <cellStyle name="Normal 9 3 3 3 3" xfId="5310" xr:uid="{00000000-0005-0000-0000-000012200000}"/>
    <cellStyle name="Normal 9 3 3 3 3 2" xfId="13752" xr:uid="{C0C2BB1D-4018-4015-9CD3-7A1C61D74CF4}"/>
    <cellStyle name="Normal 9 3 3 3 4" xfId="9534" xr:uid="{7CDC3D93-FE13-4722-A94E-1465EDBC9D60}"/>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7997D633-1E12-4341-82E6-67794CAE35E8}"/>
    <cellStyle name="Normal 9 3 3 4 2 3" xfId="12092" xr:uid="{6A8C14F1-9497-40D5-97E5-2F73945A58D0}"/>
    <cellStyle name="Normal 9 3 3 4 3" xfId="5723" xr:uid="{00000000-0005-0000-0000-000016200000}"/>
    <cellStyle name="Normal 9 3 3 4 3 2" xfId="14165" xr:uid="{6621B96F-B2A4-44AA-8BEC-37E70B3CDCA0}"/>
    <cellStyle name="Normal 9 3 3 4 4" xfId="9947" xr:uid="{1D2A63EA-1C8F-41AC-9E38-F8E4A7579F11}"/>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0F09D142-8542-445C-96E4-7CAC02B543EA}"/>
    <cellStyle name="Normal 9 3 3 5 2 3" xfId="12505" xr:uid="{E9C0792A-01E4-433D-938F-267D525662AE}"/>
    <cellStyle name="Normal 9 3 3 5 3" xfId="6136" xr:uid="{00000000-0005-0000-0000-00001A200000}"/>
    <cellStyle name="Normal 9 3 3 5 3 2" xfId="14578" xr:uid="{0C2ECCAE-74B7-4784-AEFD-0F0CC396524A}"/>
    <cellStyle name="Normal 9 3 3 5 4" xfId="10360" xr:uid="{DF957B95-EC58-4217-A6FC-667193DD3DDE}"/>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1478E0A3-7911-4CE4-A23D-BAD314AA997F}"/>
    <cellStyle name="Normal 9 3 3 6 2 3" xfId="12918" xr:uid="{E2629B02-B386-409C-BF33-A13428542F58}"/>
    <cellStyle name="Normal 9 3 3 6 3" xfId="6549" xr:uid="{00000000-0005-0000-0000-00001E200000}"/>
    <cellStyle name="Normal 9 3 3 6 3 2" xfId="14991" xr:uid="{910DB0CF-BC5A-437D-8FD2-CC5A2C831F53}"/>
    <cellStyle name="Normal 9 3 3 6 4" xfId="10773" xr:uid="{224BEDC4-281A-4126-AAF2-11523C78FA62}"/>
    <cellStyle name="Normal 9 3 3 7" xfId="2678" xr:uid="{00000000-0005-0000-0000-00001F200000}"/>
    <cellStyle name="Normal 9 3 3 7 2" xfId="6962" xr:uid="{00000000-0005-0000-0000-000020200000}"/>
    <cellStyle name="Normal 9 3 3 7 2 2" xfId="15404" xr:uid="{5F68078A-6896-49DE-8BF0-3396632B462B}"/>
    <cellStyle name="Normal 9 3 3 7 3" xfId="11186" xr:uid="{61D31E01-D9D4-42DF-ACAB-8A8DBBDB755A}"/>
    <cellStyle name="Normal 9 3 3 8" xfId="4897" xr:uid="{00000000-0005-0000-0000-000021200000}"/>
    <cellStyle name="Normal 9 3 3 8 2" xfId="13339" xr:uid="{833EB013-74F9-4B0A-A0F9-CDEDB62AA445}"/>
    <cellStyle name="Normal 9 3 3 9" xfId="9121" xr:uid="{D0FCCE75-2DD9-479E-971E-A3C4655988DE}"/>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4D6A8A14-D77F-4F66-9B68-D00FAAE2E5D1}"/>
    <cellStyle name="Normal 9 3 4 2 2 3" xfId="11681" xr:uid="{F9668B23-99DC-4884-9853-437A520ED64D}"/>
    <cellStyle name="Normal 9 3 4 2 3" xfId="5312" xr:uid="{00000000-0005-0000-0000-000026200000}"/>
    <cellStyle name="Normal 9 3 4 2 3 2" xfId="13754" xr:uid="{DC2B5928-BC1C-4141-B9AD-54401252044F}"/>
    <cellStyle name="Normal 9 3 4 2 4" xfId="9536" xr:uid="{35D5CDD8-2D7F-46CB-B81E-155E4AD2797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44EC45AC-4A15-4E35-80B9-C041F71306CF}"/>
    <cellStyle name="Normal 9 3 4 3 2 3" xfId="12094" xr:uid="{A06BFAFF-681E-49E7-A87B-B8FF78547CB6}"/>
    <cellStyle name="Normal 9 3 4 3 3" xfId="5725" xr:uid="{00000000-0005-0000-0000-00002A200000}"/>
    <cellStyle name="Normal 9 3 4 3 3 2" xfId="14167" xr:uid="{828BCB82-51C9-44CB-8FEF-1F71FB339274}"/>
    <cellStyle name="Normal 9 3 4 3 4" xfId="9949" xr:uid="{FE7C171D-B200-46DD-888F-DFC11B9E2E7C}"/>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FD4554DD-9E8A-4BF3-8AFA-48E377BC563E}"/>
    <cellStyle name="Normal 9 3 4 4 2 3" xfId="12507" xr:uid="{0F3F8C92-3B5A-4C1B-9E6D-3692D10B8D1F}"/>
    <cellStyle name="Normal 9 3 4 4 3" xfId="6138" xr:uid="{00000000-0005-0000-0000-00002E200000}"/>
    <cellStyle name="Normal 9 3 4 4 3 2" xfId="14580" xr:uid="{20B1973D-A9EC-4112-B654-3A56F422B9E6}"/>
    <cellStyle name="Normal 9 3 4 4 4" xfId="10362" xr:uid="{63B1C7BD-840C-403A-A94E-C7D103F3E5A5}"/>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9DE941B6-60C6-4BDE-9FE0-2E4D1A0B81AC}"/>
    <cellStyle name="Normal 9 3 4 5 2 3" xfId="12920" xr:uid="{E3FD5EEE-1F42-4D6C-B1B6-64C9B43FFCB5}"/>
    <cellStyle name="Normal 9 3 4 5 3" xfId="6551" xr:uid="{00000000-0005-0000-0000-000032200000}"/>
    <cellStyle name="Normal 9 3 4 5 3 2" xfId="14993" xr:uid="{DAA07ED4-5375-4092-997D-331E2C6F66AB}"/>
    <cellStyle name="Normal 9 3 4 5 4" xfId="10775" xr:uid="{A49269F8-60C2-4F91-8410-BD499BEA5448}"/>
    <cellStyle name="Normal 9 3 4 6" xfId="2680" xr:uid="{00000000-0005-0000-0000-000033200000}"/>
    <cellStyle name="Normal 9 3 4 6 2" xfId="6964" xr:uid="{00000000-0005-0000-0000-000034200000}"/>
    <cellStyle name="Normal 9 3 4 6 2 2" xfId="15406" xr:uid="{E082EF3E-1EE4-42E2-8338-76DDBF0A4BC2}"/>
    <cellStyle name="Normal 9 3 4 6 3" xfId="11188" xr:uid="{E9F25B40-1CC9-42EA-BFEA-FEA6266244DE}"/>
    <cellStyle name="Normal 9 3 4 7" xfId="4899" xr:uid="{00000000-0005-0000-0000-000035200000}"/>
    <cellStyle name="Normal 9 3 4 7 2" xfId="13341" xr:uid="{22511DE2-28B7-49D8-A09C-5A26A1544DB7}"/>
    <cellStyle name="Normal 9 3 4 8" xfId="9123" xr:uid="{F7CFCAA4-5E76-42DD-80CE-A314B2C3E7DE}"/>
    <cellStyle name="Normal 9 3 5" xfId="994" xr:uid="{00000000-0005-0000-0000-000036200000}"/>
    <cellStyle name="Normal 9 3 5 2" xfId="3227" xr:uid="{00000000-0005-0000-0000-000037200000}"/>
    <cellStyle name="Normal 9 3 5 2 2" xfId="7450" xr:uid="{00000000-0005-0000-0000-000038200000}"/>
    <cellStyle name="Normal 9 3 5 2 2 2" xfId="15892" xr:uid="{2AA25B5E-A65A-4DBE-8D87-8748D41D0697}"/>
    <cellStyle name="Normal 9 3 5 2 3" xfId="11674" xr:uid="{66C44D78-AADE-48B7-9A13-57227C829324}"/>
    <cellStyle name="Normal 9 3 5 3" xfId="5305" xr:uid="{00000000-0005-0000-0000-000039200000}"/>
    <cellStyle name="Normal 9 3 5 3 2" xfId="13747" xr:uid="{BBFF5162-126E-456F-8A06-CC7B580DD05F}"/>
    <cellStyle name="Normal 9 3 5 4" xfId="9529" xr:uid="{B3708DFF-2202-413F-93F0-29B69D347C0C}"/>
    <cellStyle name="Normal 9 3 6" xfId="1410" xr:uid="{00000000-0005-0000-0000-00003A200000}"/>
    <cellStyle name="Normal 9 3 6 2" xfId="3640" xr:uid="{00000000-0005-0000-0000-00003B200000}"/>
    <cellStyle name="Normal 9 3 6 2 2" xfId="7863" xr:uid="{00000000-0005-0000-0000-00003C200000}"/>
    <cellStyle name="Normal 9 3 6 2 2 2" xfId="16305" xr:uid="{0CB8136E-001A-4127-A98B-AFE7F7EAA84B}"/>
    <cellStyle name="Normal 9 3 6 2 3" xfId="12087" xr:uid="{A33FD1F7-26FE-4702-8836-EE6E6EBC964E}"/>
    <cellStyle name="Normal 9 3 6 3" xfId="5718" xr:uid="{00000000-0005-0000-0000-00003D200000}"/>
    <cellStyle name="Normal 9 3 6 3 2" xfId="14160" xr:uid="{AEF45110-5F04-4970-9207-F363FA8E4DF9}"/>
    <cellStyle name="Normal 9 3 6 4" xfId="9942" xr:uid="{4A7E7DDA-5481-4D1F-8B8D-198F884FB861}"/>
    <cellStyle name="Normal 9 3 7" xfId="1823" xr:uid="{00000000-0005-0000-0000-00003E200000}"/>
    <cellStyle name="Normal 9 3 7 2" xfId="4053" xr:uid="{00000000-0005-0000-0000-00003F200000}"/>
    <cellStyle name="Normal 9 3 7 2 2" xfId="8276" xr:uid="{00000000-0005-0000-0000-000040200000}"/>
    <cellStyle name="Normal 9 3 7 2 2 2" xfId="16718" xr:uid="{7D86104B-6222-41F3-A4CC-2ADAB7D1254E}"/>
    <cellStyle name="Normal 9 3 7 2 3" xfId="12500" xr:uid="{A01B7314-2D4F-4DA7-AAF1-1245B741BAB3}"/>
    <cellStyle name="Normal 9 3 7 3" xfId="6131" xr:uid="{00000000-0005-0000-0000-000041200000}"/>
    <cellStyle name="Normal 9 3 7 3 2" xfId="14573" xr:uid="{4DA6718D-938C-4C2F-994C-5A96DF22C433}"/>
    <cellStyle name="Normal 9 3 7 4" xfId="10355" xr:uid="{A519A718-5139-4574-8892-E622B08A20F1}"/>
    <cellStyle name="Normal 9 3 8" xfId="2237" xr:uid="{00000000-0005-0000-0000-000042200000}"/>
    <cellStyle name="Normal 9 3 8 2" xfId="4466" xr:uid="{00000000-0005-0000-0000-000043200000}"/>
    <cellStyle name="Normal 9 3 8 2 2" xfId="8689" xr:uid="{00000000-0005-0000-0000-000044200000}"/>
    <cellStyle name="Normal 9 3 8 2 2 2" xfId="17131" xr:uid="{04252207-6B35-495E-B8B3-761AD7E6B6F4}"/>
    <cellStyle name="Normal 9 3 8 2 3" xfId="12913" xr:uid="{C99BBEB5-E3EE-4442-B329-8A080E29C1B9}"/>
    <cellStyle name="Normal 9 3 8 3" xfId="6544" xr:uid="{00000000-0005-0000-0000-000045200000}"/>
    <cellStyle name="Normal 9 3 8 3 2" xfId="14986" xr:uid="{941FF50D-3F0A-442B-8010-FDB94E8C9B7E}"/>
    <cellStyle name="Normal 9 3 8 4" xfId="10768" xr:uid="{02AC0476-7E68-4779-A221-284B6623C0A6}"/>
    <cellStyle name="Normal 9 3 9" xfId="2673" xr:uid="{00000000-0005-0000-0000-000046200000}"/>
    <cellStyle name="Normal 9 3 9 2" xfId="6957" xr:uid="{00000000-0005-0000-0000-000047200000}"/>
    <cellStyle name="Normal 9 3 9 2 2" xfId="15399" xr:uid="{05B3B79E-F456-49E9-81E1-80876139DA3D}"/>
    <cellStyle name="Normal 9 3 9 3" xfId="11181" xr:uid="{3D7C7A53-BB03-4AA7-9AD0-E424B515342D}"/>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8DDA4DCE-677F-4E1A-9C3A-3AEAEFA98798}"/>
    <cellStyle name="Normal 9 5 2 2 2 3" xfId="11683" xr:uid="{E577E493-02D6-49FD-BAEF-7B997C26583B}"/>
    <cellStyle name="Normal 9 5 2 2 3" xfId="5314" xr:uid="{00000000-0005-0000-0000-00004F200000}"/>
    <cellStyle name="Normal 9 5 2 2 3 2" xfId="13756" xr:uid="{A28B405F-6909-425A-B494-086B09E25696}"/>
    <cellStyle name="Normal 9 5 2 2 4" xfId="9538" xr:uid="{CDC43707-15C8-4984-92FA-AE28A0284ECC}"/>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04E8FADC-6A55-48F3-9B81-12A5DE8FAB09}"/>
    <cellStyle name="Normal 9 5 2 3 2 3" xfId="12096" xr:uid="{00E00065-2A1A-4E13-8E05-D2F590BDED09}"/>
    <cellStyle name="Normal 9 5 2 3 3" xfId="5727" xr:uid="{00000000-0005-0000-0000-000053200000}"/>
    <cellStyle name="Normal 9 5 2 3 3 2" xfId="14169" xr:uid="{DB9F8467-79CC-402A-88D6-96EB14102A55}"/>
    <cellStyle name="Normal 9 5 2 3 4" xfId="9951" xr:uid="{875ED17B-2A1A-4D01-A652-3968FEDBE35C}"/>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FFE0366F-5EA6-45F6-A697-F181DF1E29C9}"/>
    <cellStyle name="Normal 9 5 2 4 2 3" xfId="12509" xr:uid="{C7B858FA-6ED8-499B-8FEA-C9807BA6004B}"/>
    <cellStyle name="Normal 9 5 2 4 3" xfId="6140" xr:uid="{00000000-0005-0000-0000-000057200000}"/>
    <cellStyle name="Normal 9 5 2 4 3 2" xfId="14582" xr:uid="{F500085B-46B4-4C78-BCE3-67D96DC41F9B}"/>
    <cellStyle name="Normal 9 5 2 4 4" xfId="10364" xr:uid="{B7E4EB0D-9AEA-49E0-9D03-1CF8665027DF}"/>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AFF24F80-B411-494C-A420-69E249C59B38}"/>
    <cellStyle name="Normal 9 5 2 5 2 3" xfId="12922" xr:uid="{263B1C41-FDDC-47B7-A170-3BC510C03798}"/>
    <cellStyle name="Normal 9 5 2 5 3" xfId="6553" xr:uid="{00000000-0005-0000-0000-00005B200000}"/>
    <cellStyle name="Normal 9 5 2 5 3 2" xfId="14995" xr:uid="{8BEE7D27-C145-47A1-80EE-7C9ADAFCF146}"/>
    <cellStyle name="Normal 9 5 2 5 4" xfId="10777" xr:uid="{E20E3B21-0363-4985-A425-69D0F0C8ACB7}"/>
    <cellStyle name="Normal 9 5 2 6" xfId="2682" xr:uid="{00000000-0005-0000-0000-00005C200000}"/>
    <cellStyle name="Normal 9 5 2 6 2" xfId="6966" xr:uid="{00000000-0005-0000-0000-00005D200000}"/>
    <cellStyle name="Normal 9 5 2 6 2 2" xfId="15408" xr:uid="{61D40C04-9692-42F2-9C85-40EDA6EFA46A}"/>
    <cellStyle name="Normal 9 5 2 6 3" xfId="11190" xr:uid="{F2FF67CB-9CBE-4D8B-9DC0-B019B3DB6D16}"/>
    <cellStyle name="Normal 9 5 2 7" xfId="4901" xr:uid="{00000000-0005-0000-0000-00005E200000}"/>
    <cellStyle name="Normal 9 5 2 7 2" xfId="13343" xr:uid="{D649A119-FE6D-4B5D-8332-342BFC74095E}"/>
    <cellStyle name="Normal 9 5 2 8" xfId="9125" xr:uid="{4410C3F5-CA6D-4A72-BA43-2880F99319AE}"/>
    <cellStyle name="Normal 9 5 3" xfId="1003" xr:uid="{00000000-0005-0000-0000-00005F200000}"/>
    <cellStyle name="Normal 9 5 3 2" xfId="3235" xr:uid="{00000000-0005-0000-0000-000060200000}"/>
    <cellStyle name="Normal 9 5 3 2 2" xfId="7458" xr:uid="{00000000-0005-0000-0000-000061200000}"/>
    <cellStyle name="Normal 9 5 3 2 2 2" xfId="15900" xr:uid="{1A27F8E6-E0CE-485F-885C-84F53A202DB8}"/>
    <cellStyle name="Normal 9 5 3 2 3" xfId="11682" xr:uid="{AF7B9680-11C5-4A03-8504-D9BE070E761A}"/>
    <cellStyle name="Normal 9 5 3 3" xfId="5313" xr:uid="{00000000-0005-0000-0000-000062200000}"/>
    <cellStyle name="Normal 9 5 3 3 2" xfId="13755" xr:uid="{A96F312C-2F75-46AB-A946-665ADF244EF1}"/>
    <cellStyle name="Normal 9 5 3 4" xfId="9537" xr:uid="{0B169AC3-5493-4E97-8A8F-462BD437066C}"/>
    <cellStyle name="Normal 9 5 4" xfId="1418" xr:uid="{00000000-0005-0000-0000-000063200000}"/>
    <cellStyle name="Normal 9 5 4 2" xfId="3648" xr:uid="{00000000-0005-0000-0000-000064200000}"/>
    <cellStyle name="Normal 9 5 4 2 2" xfId="7871" xr:uid="{00000000-0005-0000-0000-000065200000}"/>
    <cellStyle name="Normal 9 5 4 2 2 2" xfId="16313" xr:uid="{970DB423-8C12-4997-A35E-47324840FA5E}"/>
    <cellStyle name="Normal 9 5 4 2 3" xfId="12095" xr:uid="{5D8EA362-D5B5-473B-A2BF-26169B0B4D6C}"/>
    <cellStyle name="Normal 9 5 4 3" xfId="5726" xr:uid="{00000000-0005-0000-0000-000066200000}"/>
    <cellStyle name="Normal 9 5 4 3 2" xfId="14168" xr:uid="{EDE8AFA4-9D1A-4A23-BA20-6A86ED3CB58B}"/>
    <cellStyle name="Normal 9 5 4 4" xfId="9950" xr:uid="{B11FC6B8-B003-4291-90E7-7505F2448953}"/>
    <cellStyle name="Normal 9 5 5" xfId="1831" xr:uid="{00000000-0005-0000-0000-000067200000}"/>
    <cellStyle name="Normal 9 5 5 2" xfId="4061" xr:uid="{00000000-0005-0000-0000-000068200000}"/>
    <cellStyle name="Normal 9 5 5 2 2" xfId="8284" xr:uid="{00000000-0005-0000-0000-000069200000}"/>
    <cellStyle name="Normal 9 5 5 2 2 2" xfId="16726" xr:uid="{206AE656-8CD3-4B41-98E6-FCB169EB0B14}"/>
    <cellStyle name="Normal 9 5 5 2 3" xfId="12508" xr:uid="{961BC836-3557-49DB-909F-490177BB147E}"/>
    <cellStyle name="Normal 9 5 5 3" xfId="6139" xr:uid="{00000000-0005-0000-0000-00006A200000}"/>
    <cellStyle name="Normal 9 5 5 3 2" xfId="14581" xr:uid="{3C1F8B21-9149-460B-9B00-E6343832FB14}"/>
    <cellStyle name="Normal 9 5 5 4" xfId="10363" xr:uid="{3F48E2AA-6610-4181-9B0A-82D64705A460}"/>
    <cellStyle name="Normal 9 5 6" xfId="2245" xr:uid="{00000000-0005-0000-0000-00006B200000}"/>
    <cellStyle name="Normal 9 5 6 2" xfId="4474" xr:uid="{00000000-0005-0000-0000-00006C200000}"/>
    <cellStyle name="Normal 9 5 6 2 2" xfId="8697" xr:uid="{00000000-0005-0000-0000-00006D200000}"/>
    <cellStyle name="Normal 9 5 6 2 2 2" xfId="17139" xr:uid="{F021E604-2F96-45BA-9D41-2D16A693E494}"/>
    <cellStyle name="Normal 9 5 6 2 3" xfId="12921" xr:uid="{0CED07C5-DD72-4ABA-82EA-6F4143C36CC4}"/>
    <cellStyle name="Normal 9 5 6 3" xfId="6552" xr:uid="{00000000-0005-0000-0000-00006E200000}"/>
    <cellStyle name="Normal 9 5 6 3 2" xfId="14994" xr:uid="{44529429-8A64-4798-91D9-41A489CA4A91}"/>
    <cellStyle name="Normal 9 5 6 4" xfId="10776" xr:uid="{A6F99D55-B694-4215-9FF6-F52A654C02D4}"/>
    <cellStyle name="Normal 9 5 7" xfId="2681" xr:uid="{00000000-0005-0000-0000-00006F200000}"/>
    <cellStyle name="Normal 9 5 7 2" xfId="6965" xr:uid="{00000000-0005-0000-0000-000070200000}"/>
    <cellStyle name="Normal 9 5 7 2 2" xfId="15407" xr:uid="{C6B3F1DC-5977-4B50-8DC0-89B1A5246714}"/>
    <cellStyle name="Normal 9 5 7 3" xfId="11189" xr:uid="{EE350132-249A-4CEB-913D-96BCF7F98B0F}"/>
    <cellStyle name="Normal 9 5 8" xfId="4900" xr:uid="{00000000-0005-0000-0000-000071200000}"/>
    <cellStyle name="Normal 9 5 8 2" xfId="13342" xr:uid="{77A78E24-AAA4-49D9-ABC3-3FC19DC6B122}"/>
    <cellStyle name="Normal 9 5 9" xfId="9124" xr:uid="{62B82374-5952-43A3-9DDE-16193D6F4536}"/>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3859DA64-BE29-47FC-A35B-77DA98109AE1}"/>
    <cellStyle name="Normal 9 6 2 2 3" xfId="11684" xr:uid="{B66B3054-FAEB-4CD4-B13F-6CA49B277930}"/>
    <cellStyle name="Normal 9 6 2 3" xfId="5315" xr:uid="{00000000-0005-0000-0000-000076200000}"/>
    <cellStyle name="Normal 9 6 2 3 2" xfId="13757" xr:uid="{9C45F7EF-6DEF-47E6-B48B-5376B186F116}"/>
    <cellStyle name="Normal 9 6 2 4" xfId="9539" xr:uid="{0765AAC8-8F36-41FB-A01F-C7E9209B5E48}"/>
    <cellStyle name="Normal 9 6 3" xfId="1420" xr:uid="{00000000-0005-0000-0000-000077200000}"/>
    <cellStyle name="Normal 9 6 3 2" xfId="3650" xr:uid="{00000000-0005-0000-0000-000078200000}"/>
    <cellStyle name="Normal 9 6 3 2 2" xfId="7873" xr:uid="{00000000-0005-0000-0000-000079200000}"/>
    <cellStyle name="Normal 9 6 3 2 2 2" xfId="16315" xr:uid="{655647C6-C7E9-4E34-B34A-4593BCB6E904}"/>
    <cellStyle name="Normal 9 6 3 2 3" xfId="12097" xr:uid="{EC838537-D581-4E8F-B6AE-41A1E7615D20}"/>
    <cellStyle name="Normal 9 6 3 3" xfId="5728" xr:uid="{00000000-0005-0000-0000-00007A200000}"/>
    <cellStyle name="Normal 9 6 3 3 2" xfId="14170" xr:uid="{D1058D2D-857A-463C-A3DC-68AF44140789}"/>
    <cellStyle name="Normal 9 6 3 4" xfId="9952" xr:uid="{4CED02CA-0BDB-4CC6-8616-B3464BD2B2DB}"/>
    <cellStyle name="Normal 9 6 4" xfId="1833" xr:uid="{00000000-0005-0000-0000-00007B200000}"/>
    <cellStyle name="Normal 9 6 4 2" xfId="4063" xr:uid="{00000000-0005-0000-0000-00007C200000}"/>
    <cellStyle name="Normal 9 6 4 2 2" xfId="8286" xr:uid="{00000000-0005-0000-0000-00007D200000}"/>
    <cellStyle name="Normal 9 6 4 2 2 2" xfId="16728" xr:uid="{D8E16A07-4A99-48A3-A942-1F8F910952AB}"/>
    <cellStyle name="Normal 9 6 4 2 3" xfId="12510" xr:uid="{C4FC392B-F613-4321-BDD3-E347BEC01EAA}"/>
    <cellStyle name="Normal 9 6 4 3" xfId="6141" xr:uid="{00000000-0005-0000-0000-00007E200000}"/>
    <cellStyle name="Normal 9 6 4 3 2" xfId="14583" xr:uid="{9AAC91F1-9EAE-47E2-8FC2-95C1E40F302F}"/>
    <cellStyle name="Normal 9 6 4 4" xfId="10365" xr:uid="{67926BC9-5A43-4C34-9924-1917A11CB10A}"/>
    <cellStyle name="Normal 9 6 5" xfId="2247" xr:uid="{00000000-0005-0000-0000-00007F200000}"/>
    <cellStyle name="Normal 9 6 5 2" xfId="4476" xr:uid="{00000000-0005-0000-0000-000080200000}"/>
    <cellStyle name="Normal 9 6 5 2 2" xfId="8699" xr:uid="{00000000-0005-0000-0000-000081200000}"/>
    <cellStyle name="Normal 9 6 5 2 2 2" xfId="17141" xr:uid="{1E9C55AC-0C33-4274-A0A4-08EF8F91791B}"/>
    <cellStyle name="Normal 9 6 5 2 3" xfId="12923" xr:uid="{D25C062B-CDD8-49B4-AFBE-E65DC249E5C8}"/>
    <cellStyle name="Normal 9 6 5 3" xfId="6554" xr:uid="{00000000-0005-0000-0000-000082200000}"/>
    <cellStyle name="Normal 9 6 5 3 2" xfId="14996" xr:uid="{5706376E-AB6E-4C6E-9934-6E1D15B3DF10}"/>
    <cellStyle name="Normal 9 6 5 4" xfId="10778" xr:uid="{CFFB0C13-925A-4354-8233-9243AEB66F6B}"/>
    <cellStyle name="Normal 9 6 6" xfId="2683" xr:uid="{00000000-0005-0000-0000-000083200000}"/>
    <cellStyle name="Normal 9 6 6 2" xfId="6967" xr:uid="{00000000-0005-0000-0000-000084200000}"/>
    <cellStyle name="Normal 9 6 6 2 2" xfId="15409" xr:uid="{B371A90D-D7EA-4A55-9AA9-71BBDDC97032}"/>
    <cellStyle name="Normal 9 6 6 3" xfId="11191" xr:uid="{26F791A5-CFC2-49D9-99F0-00CDE5F8AFE7}"/>
    <cellStyle name="Normal 9 6 7" xfId="4902" xr:uid="{00000000-0005-0000-0000-000085200000}"/>
    <cellStyle name="Normal 9 6 7 2" xfId="13344" xr:uid="{9E8F011D-636E-4027-8D48-A3E36CFF7B63}"/>
    <cellStyle name="Normal 9 6 8" xfId="9126" xr:uid="{7A9D0AAE-9D50-46F8-A001-0EA827EA67D6}"/>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C38EB61A-9BE7-424B-B68F-31368DA1E9EE}"/>
    <cellStyle name="Note 2 2 10 3" xfId="11272" xr:uid="{9C2EDD88-3016-4C27-92D7-3CE2AF52DC50}"/>
    <cellStyle name="Note 2 2 11" xfId="4903" xr:uid="{00000000-0005-0000-0000-000094200000}"/>
    <cellStyle name="Note 2 2 11 2" xfId="13345" xr:uid="{F97D6465-BD1E-435B-AC0E-DEC1D778F27D}"/>
    <cellStyle name="Note 2 2 12" xfId="9127" xr:uid="{D8C3F343-BA85-47B0-9F18-18956F15B5B1}"/>
    <cellStyle name="Note 2 2 2" xfId="546" xr:uid="{00000000-0005-0000-0000-000095200000}"/>
    <cellStyle name="Note 2 2 2 10" xfId="4904" xr:uid="{00000000-0005-0000-0000-000096200000}"/>
    <cellStyle name="Note 2 2 2 10 2" xfId="13346" xr:uid="{C15A23F2-3941-4A2E-AD5C-BD824CA458D6}"/>
    <cellStyle name="Note 2 2 2 11" xfId="9128" xr:uid="{451855B5-A2A5-4788-86DD-41B898045B09}"/>
    <cellStyle name="Note 2 2 2 2" xfId="547" xr:uid="{00000000-0005-0000-0000-000097200000}"/>
    <cellStyle name="Note 2 2 2 2 10" xfId="9129" xr:uid="{F28C009C-EC2C-4423-85F7-18C85DD43FFB}"/>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C1ED140B-358C-4ADA-829D-F60409C1CAA1}"/>
    <cellStyle name="Note 2 2 2 2 2 2 3" xfId="11687" xr:uid="{4B41E22B-8B50-4083-AE50-0DF2D578A2F7}"/>
    <cellStyle name="Note 2 2 2 2 2 3" xfId="5318" xr:uid="{00000000-0005-0000-0000-00009B200000}"/>
    <cellStyle name="Note 2 2 2 2 2 3 2" xfId="13760" xr:uid="{FF063057-3278-4D91-BC56-EE4139EC8FFF}"/>
    <cellStyle name="Note 2 2 2 2 2 4" xfId="9542" xr:uid="{7E80E7ED-F972-480F-B8C9-A474B848CC77}"/>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32C97D99-E2F3-4DDD-824A-C61480CF6F49}"/>
    <cellStyle name="Note 2 2 2 2 3 2 3" xfId="12100" xr:uid="{6E7DB4C5-9473-4FB1-9D8B-749D93ED5DA6}"/>
    <cellStyle name="Note 2 2 2 2 3 3" xfId="5731" xr:uid="{00000000-0005-0000-0000-00009F200000}"/>
    <cellStyle name="Note 2 2 2 2 3 3 2" xfId="14173" xr:uid="{31DB2C24-EC5E-4063-BF38-C59DCDBF3142}"/>
    <cellStyle name="Note 2 2 2 2 3 4" xfId="9955" xr:uid="{6B752BC7-91AB-44B4-8683-3A16163FBA6C}"/>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3D7F764F-E01F-4131-BEF0-B0D8D756A001}"/>
    <cellStyle name="Note 2 2 2 2 4 2 3" xfId="12513" xr:uid="{618BC2E4-D52F-4140-9E86-DC856BC4A8F1}"/>
    <cellStyle name="Note 2 2 2 2 4 3" xfId="6144" xr:uid="{00000000-0005-0000-0000-0000A3200000}"/>
    <cellStyle name="Note 2 2 2 2 4 3 2" xfId="14586" xr:uid="{659E75D3-C998-4243-8038-30EA38808C91}"/>
    <cellStyle name="Note 2 2 2 2 4 4" xfId="10368" xr:uid="{DC510243-36A0-47FC-AC40-2D68F6D3861E}"/>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1BB00B38-E638-4C6A-A2D0-271C15D2C0C0}"/>
    <cellStyle name="Note 2 2 2 2 5 2 3" xfId="12926" xr:uid="{9B77843D-FE72-464F-AC52-E189E11E1614}"/>
    <cellStyle name="Note 2 2 2 2 5 3" xfId="6557" xr:uid="{00000000-0005-0000-0000-0000A7200000}"/>
    <cellStyle name="Note 2 2 2 2 5 3 2" xfId="14999" xr:uid="{2EA48152-CB6F-4B68-A6C5-9728C58B6378}"/>
    <cellStyle name="Note 2 2 2 2 5 4" xfId="10781" xr:uid="{B4613B8A-8907-4D79-876A-271BB12D06DA}"/>
    <cellStyle name="Note 2 2 2 2 6" xfId="2686" xr:uid="{00000000-0005-0000-0000-0000A8200000}"/>
    <cellStyle name="Note 2 2 2 2 6 2" xfId="6970" xr:uid="{00000000-0005-0000-0000-0000A9200000}"/>
    <cellStyle name="Note 2 2 2 2 6 2 2" xfId="15412" xr:uid="{BEE50695-20E9-4A09-9D67-FC68A61569F6}"/>
    <cellStyle name="Note 2 2 2 2 6 3" xfId="11194" xr:uid="{4D95710F-CD3D-461D-916C-918810549E26}"/>
    <cellStyle name="Note 2 2 2 2 7" xfId="2745" xr:uid="{00000000-0005-0000-0000-0000AA200000}"/>
    <cellStyle name="Note 2 2 2 2 8" xfId="2826" xr:uid="{00000000-0005-0000-0000-0000AB200000}"/>
    <cellStyle name="Note 2 2 2 2 8 2" xfId="7050" xr:uid="{00000000-0005-0000-0000-0000AC200000}"/>
    <cellStyle name="Note 2 2 2 2 8 2 2" xfId="15492" xr:uid="{0FF5C8F8-6483-49D9-B047-E6773C3E2182}"/>
    <cellStyle name="Note 2 2 2 2 8 3" xfId="11274" xr:uid="{704D8186-5BF2-406D-9F8E-ED02BEC77A6C}"/>
    <cellStyle name="Note 2 2 2 2 9" xfId="4905" xr:uid="{00000000-0005-0000-0000-0000AD200000}"/>
    <cellStyle name="Note 2 2 2 2 9 2" xfId="13347" xr:uid="{25F54D6E-361B-4398-B51A-CBE67C1E04A4}"/>
    <cellStyle name="Note 2 2 2 3" xfId="1007" xr:uid="{00000000-0005-0000-0000-0000AE200000}"/>
    <cellStyle name="Note 2 2 2 3 2" xfId="3239" xr:uid="{00000000-0005-0000-0000-0000AF200000}"/>
    <cellStyle name="Note 2 2 2 3 2 2" xfId="7462" xr:uid="{00000000-0005-0000-0000-0000B0200000}"/>
    <cellStyle name="Note 2 2 2 3 2 2 2" xfId="15904" xr:uid="{05146F89-5A46-433D-9EAD-FDAEF45CE445}"/>
    <cellStyle name="Note 2 2 2 3 2 3" xfId="11686" xr:uid="{43159EA4-BD78-4B9B-B811-690406F365F4}"/>
    <cellStyle name="Note 2 2 2 3 3" xfId="5317" xr:uid="{00000000-0005-0000-0000-0000B1200000}"/>
    <cellStyle name="Note 2 2 2 3 3 2" xfId="13759" xr:uid="{A17E27FE-0AE3-4D12-AFBE-2BB8B1511E47}"/>
    <cellStyle name="Note 2 2 2 3 4" xfId="9541" xr:uid="{C55EEA91-70AB-48D4-ACEA-071938382876}"/>
    <cellStyle name="Note 2 2 2 4" xfId="1422" xr:uid="{00000000-0005-0000-0000-0000B2200000}"/>
    <cellStyle name="Note 2 2 2 4 2" xfId="3652" xr:uid="{00000000-0005-0000-0000-0000B3200000}"/>
    <cellStyle name="Note 2 2 2 4 2 2" xfId="7875" xr:uid="{00000000-0005-0000-0000-0000B4200000}"/>
    <cellStyle name="Note 2 2 2 4 2 2 2" xfId="16317" xr:uid="{B94347AE-A0FA-4BB9-9224-50A9FFBBE08C}"/>
    <cellStyle name="Note 2 2 2 4 2 3" xfId="12099" xr:uid="{4844B497-E12F-48C7-ABEA-A5C5E2F7D99B}"/>
    <cellStyle name="Note 2 2 2 4 3" xfId="5730" xr:uid="{00000000-0005-0000-0000-0000B5200000}"/>
    <cellStyle name="Note 2 2 2 4 3 2" xfId="14172" xr:uid="{BD455915-96C1-4B29-AA71-9BBC94D1C3DC}"/>
    <cellStyle name="Note 2 2 2 4 4" xfId="9954" xr:uid="{2A4F3C49-F81E-43FD-AA53-A14EB3AAE18E}"/>
    <cellStyle name="Note 2 2 2 5" xfId="1836" xr:uid="{00000000-0005-0000-0000-0000B6200000}"/>
    <cellStyle name="Note 2 2 2 5 2" xfId="4065" xr:uid="{00000000-0005-0000-0000-0000B7200000}"/>
    <cellStyle name="Note 2 2 2 5 2 2" xfId="8288" xr:uid="{00000000-0005-0000-0000-0000B8200000}"/>
    <cellStyle name="Note 2 2 2 5 2 2 2" xfId="16730" xr:uid="{195B86DC-C879-4930-BDF5-F19237532F8D}"/>
    <cellStyle name="Note 2 2 2 5 2 3" xfId="12512" xr:uid="{6E07F523-4199-43B9-878B-F24D3446ADCD}"/>
    <cellStyle name="Note 2 2 2 5 3" xfId="6143" xr:uid="{00000000-0005-0000-0000-0000B9200000}"/>
    <cellStyle name="Note 2 2 2 5 3 2" xfId="14585" xr:uid="{D5F15BD8-28A3-45A3-907A-7C6C13CA83A8}"/>
    <cellStyle name="Note 2 2 2 5 4" xfId="10367" xr:uid="{3E12C506-06AA-413A-AC6D-9EEF6501E779}"/>
    <cellStyle name="Note 2 2 2 6" xfId="2249" xr:uid="{00000000-0005-0000-0000-0000BA200000}"/>
    <cellStyle name="Note 2 2 2 6 2" xfId="4478" xr:uid="{00000000-0005-0000-0000-0000BB200000}"/>
    <cellStyle name="Note 2 2 2 6 2 2" xfId="8701" xr:uid="{00000000-0005-0000-0000-0000BC200000}"/>
    <cellStyle name="Note 2 2 2 6 2 2 2" xfId="17143" xr:uid="{ED410BA4-C58D-403F-80FD-5E9DD48AE09D}"/>
    <cellStyle name="Note 2 2 2 6 2 3" xfId="12925" xr:uid="{57C13DB8-5B77-4357-97C0-074D67BE5223}"/>
    <cellStyle name="Note 2 2 2 6 3" xfId="6556" xr:uid="{00000000-0005-0000-0000-0000BD200000}"/>
    <cellStyle name="Note 2 2 2 6 3 2" xfId="14998" xr:uid="{AA288A2E-2BD9-48BA-AF3C-0563670C3D4B}"/>
    <cellStyle name="Note 2 2 2 6 4" xfId="10780" xr:uid="{8EA16926-A99C-4725-A38D-DF8C7891FDBA}"/>
    <cellStyle name="Note 2 2 2 7" xfId="2685" xr:uid="{00000000-0005-0000-0000-0000BE200000}"/>
    <cellStyle name="Note 2 2 2 7 2" xfId="6969" xr:uid="{00000000-0005-0000-0000-0000BF200000}"/>
    <cellStyle name="Note 2 2 2 7 2 2" xfId="15411" xr:uid="{82148505-4487-45F5-9E33-D67603EFB33E}"/>
    <cellStyle name="Note 2 2 2 7 3" xfId="11193" xr:uid="{11E26FF1-91E6-4413-AE0C-1393ED640B63}"/>
    <cellStyle name="Note 2 2 2 8" xfId="2744" xr:uid="{00000000-0005-0000-0000-0000C0200000}"/>
    <cellStyle name="Note 2 2 2 9" xfId="2825" xr:uid="{00000000-0005-0000-0000-0000C1200000}"/>
    <cellStyle name="Note 2 2 2 9 2" xfId="7049" xr:uid="{00000000-0005-0000-0000-0000C2200000}"/>
    <cellStyle name="Note 2 2 2 9 2 2" xfId="15491" xr:uid="{2A367338-4A9C-48D0-BEB6-45A113296F68}"/>
    <cellStyle name="Note 2 2 2 9 3" xfId="11273" xr:uid="{86DEDFB8-0499-446B-BB3C-A8CCB80769E0}"/>
    <cellStyle name="Note 2 2 3" xfId="548" xr:uid="{00000000-0005-0000-0000-0000C3200000}"/>
    <cellStyle name="Note 2 2 3 10" xfId="9130" xr:uid="{4D2EBA42-2D06-4BEA-8CE6-0E3444ECA4AD}"/>
    <cellStyle name="Note 2 2 3 2" xfId="1009" xr:uid="{00000000-0005-0000-0000-0000C4200000}"/>
    <cellStyle name="Note 2 2 3 2 2" xfId="3241" xr:uid="{00000000-0005-0000-0000-0000C5200000}"/>
    <cellStyle name="Note 2 2 3 2 2 2" xfId="7464" xr:uid="{00000000-0005-0000-0000-0000C6200000}"/>
    <cellStyle name="Note 2 2 3 2 2 2 2" xfId="15906" xr:uid="{4785E72D-B4EB-438C-9D77-BABBB8D3F9F4}"/>
    <cellStyle name="Note 2 2 3 2 2 3" xfId="11688" xr:uid="{056A6DDA-5E0C-4DB3-8858-CD72E2E1C2E2}"/>
    <cellStyle name="Note 2 2 3 2 3" xfId="5319" xr:uid="{00000000-0005-0000-0000-0000C7200000}"/>
    <cellStyle name="Note 2 2 3 2 3 2" xfId="13761" xr:uid="{5E899C8F-5A84-49D0-A76F-6ADA02BFB9A7}"/>
    <cellStyle name="Note 2 2 3 2 4" xfId="9543" xr:uid="{2D4DA36B-5962-4546-BB14-058A6FC46D2E}"/>
    <cellStyle name="Note 2 2 3 3" xfId="1424" xr:uid="{00000000-0005-0000-0000-0000C8200000}"/>
    <cellStyle name="Note 2 2 3 3 2" xfId="3654" xr:uid="{00000000-0005-0000-0000-0000C9200000}"/>
    <cellStyle name="Note 2 2 3 3 2 2" xfId="7877" xr:uid="{00000000-0005-0000-0000-0000CA200000}"/>
    <cellStyle name="Note 2 2 3 3 2 2 2" xfId="16319" xr:uid="{7577496C-78DF-4B57-8D9F-313935DF6D55}"/>
    <cellStyle name="Note 2 2 3 3 2 3" xfId="12101" xr:uid="{7F563721-42AA-4B3C-A5DA-675ED44A7EAB}"/>
    <cellStyle name="Note 2 2 3 3 3" xfId="5732" xr:uid="{00000000-0005-0000-0000-0000CB200000}"/>
    <cellStyle name="Note 2 2 3 3 3 2" xfId="14174" xr:uid="{9C24E6C5-663C-430E-9063-2F9147AB7842}"/>
    <cellStyle name="Note 2 2 3 3 4" xfId="9956" xr:uid="{197C7C8F-38CB-434F-B5AA-3A4A37121D49}"/>
    <cellStyle name="Note 2 2 3 4" xfId="1838" xr:uid="{00000000-0005-0000-0000-0000CC200000}"/>
    <cellStyle name="Note 2 2 3 4 2" xfId="4067" xr:uid="{00000000-0005-0000-0000-0000CD200000}"/>
    <cellStyle name="Note 2 2 3 4 2 2" xfId="8290" xr:uid="{00000000-0005-0000-0000-0000CE200000}"/>
    <cellStyle name="Note 2 2 3 4 2 2 2" xfId="16732" xr:uid="{CE8E8BEF-AE11-467B-957B-3C32851EA9A7}"/>
    <cellStyle name="Note 2 2 3 4 2 3" xfId="12514" xr:uid="{8A01DE55-5A60-4365-96C6-A5443B792E52}"/>
    <cellStyle name="Note 2 2 3 4 3" xfId="6145" xr:uid="{00000000-0005-0000-0000-0000CF200000}"/>
    <cellStyle name="Note 2 2 3 4 3 2" xfId="14587" xr:uid="{2306D8A6-EB25-449B-BE0A-B3460E11BAF8}"/>
    <cellStyle name="Note 2 2 3 4 4" xfId="10369" xr:uid="{FD0EC794-345A-48E0-8ADD-592B56776B4F}"/>
    <cellStyle name="Note 2 2 3 5" xfId="2251" xr:uid="{00000000-0005-0000-0000-0000D0200000}"/>
    <cellStyle name="Note 2 2 3 5 2" xfId="4480" xr:uid="{00000000-0005-0000-0000-0000D1200000}"/>
    <cellStyle name="Note 2 2 3 5 2 2" xfId="8703" xr:uid="{00000000-0005-0000-0000-0000D2200000}"/>
    <cellStyle name="Note 2 2 3 5 2 2 2" xfId="17145" xr:uid="{A5CDD2FF-4F9F-4C57-8FBD-C268ACAE8599}"/>
    <cellStyle name="Note 2 2 3 5 2 3" xfId="12927" xr:uid="{12823B0D-573B-453F-840D-70CA1B7375F6}"/>
    <cellStyle name="Note 2 2 3 5 3" xfId="6558" xr:uid="{00000000-0005-0000-0000-0000D3200000}"/>
    <cellStyle name="Note 2 2 3 5 3 2" xfId="15000" xr:uid="{9A7A62A9-8432-4F37-B634-438A311FE6DF}"/>
    <cellStyle name="Note 2 2 3 5 4" xfId="10782" xr:uid="{7D04B9DB-A374-49EF-AC98-0A422197042B}"/>
    <cellStyle name="Note 2 2 3 6" xfId="2687" xr:uid="{00000000-0005-0000-0000-0000D4200000}"/>
    <cellStyle name="Note 2 2 3 6 2" xfId="6971" xr:uid="{00000000-0005-0000-0000-0000D5200000}"/>
    <cellStyle name="Note 2 2 3 6 2 2" xfId="15413" xr:uid="{80C7F174-7EC7-4120-BF67-997F6423BBD8}"/>
    <cellStyle name="Note 2 2 3 6 3" xfId="11195" xr:uid="{0F49DB02-6CD0-4711-95FA-FF73C00C5DBC}"/>
    <cellStyle name="Note 2 2 3 7" xfId="2746" xr:uid="{00000000-0005-0000-0000-0000D6200000}"/>
    <cellStyle name="Note 2 2 3 8" xfId="2827" xr:uid="{00000000-0005-0000-0000-0000D7200000}"/>
    <cellStyle name="Note 2 2 3 8 2" xfId="7051" xr:uid="{00000000-0005-0000-0000-0000D8200000}"/>
    <cellStyle name="Note 2 2 3 8 2 2" xfId="15493" xr:uid="{097D6D73-AC3C-4354-9DBE-67C7026BF764}"/>
    <cellStyle name="Note 2 2 3 8 3" xfId="11275" xr:uid="{2094497F-D534-4629-BEB9-88079416CF9F}"/>
    <cellStyle name="Note 2 2 3 9" xfId="4906" xr:uid="{00000000-0005-0000-0000-0000D9200000}"/>
    <cellStyle name="Note 2 2 3 9 2" xfId="13348" xr:uid="{D54F1AC8-A18C-4602-BAB4-468A9846E2B8}"/>
    <cellStyle name="Note 2 2 4" xfId="1006" xr:uid="{00000000-0005-0000-0000-0000DA200000}"/>
    <cellStyle name="Note 2 2 4 2" xfId="3238" xr:uid="{00000000-0005-0000-0000-0000DB200000}"/>
    <cellStyle name="Note 2 2 4 2 2" xfId="7461" xr:uid="{00000000-0005-0000-0000-0000DC200000}"/>
    <cellStyle name="Note 2 2 4 2 2 2" xfId="15903" xr:uid="{1376D29F-7031-406E-889D-7FF5BE590C3B}"/>
    <cellStyle name="Note 2 2 4 2 3" xfId="11685" xr:uid="{1E0A35A5-331C-4338-9BE9-4EB65F782D1F}"/>
    <cellStyle name="Note 2 2 4 3" xfId="5316" xr:uid="{00000000-0005-0000-0000-0000DD200000}"/>
    <cellStyle name="Note 2 2 4 3 2" xfId="13758" xr:uid="{E870C42E-5B28-4815-8036-010722810197}"/>
    <cellStyle name="Note 2 2 4 4" xfId="9540" xr:uid="{F9C0C42B-E2BB-4DC3-842A-B47B0524463C}"/>
    <cellStyle name="Note 2 2 5" xfId="1421" xr:uid="{00000000-0005-0000-0000-0000DE200000}"/>
    <cellStyle name="Note 2 2 5 2" xfId="3651" xr:uid="{00000000-0005-0000-0000-0000DF200000}"/>
    <cellStyle name="Note 2 2 5 2 2" xfId="7874" xr:uid="{00000000-0005-0000-0000-0000E0200000}"/>
    <cellStyle name="Note 2 2 5 2 2 2" xfId="16316" xr:uid="{A8516F9C-3513-480C-A0E8-7877BE940141}"/>
    <cellStyle name="Note 2 2 5 2 3" xfId="12098" xr:uid="{685D18B1-CA36-411B-B9DF-1ECB5F61B45A}"/>
    <cellStyle name="Note 2 2 5 3" xfId="5729" xr:uid="{00000000-0005-0000-0000-0000E1200000}"/>
    <cellStyle name="Note 2 2 5 3 2" xfId="14171" xr:uid="{CC04FFA2-8D31-4082-8325-EB0AF1AC315D}"/>
    <cellStyle name="Note 2 2 5 4" xfId="9953" xr:uid="{17DFC901-51C0-4A22-851D-FEFD5AB446F3}"/>
    <cellStyle name="Note 2 2 6" xfId="1835" xr:uid="{00000000-0005-0000-0000-0000E2200000}"/>
    <cellStyle name="Note 2 2 6 2" xfId="4064" xr:uid="{00000000-0005-0000-0000-0000E3200000}"/>
    <cellStyle name="Note 2 2 6 2 2" xfId="8287" xr:uid="{00000000-0005-0000-0000-0000E4200000}"/>
    <cellStyle name="Note 2 2 6 2 2 2" xfId="16729" xr:uid="{93CBE6DE-23C8-4D85-AED2-0AA9D125989C}"/>
    <cellStyle name="Note 2 2 6 2 3" xfId="12511" xr:uid="{98C7CEB4-5E85-4028-9A36-B7C206F2AD55}"/>
    <cellStyle name="Note 2 2 6 3" xfId="6142" xr:uid="{00000000-0005-0000-0000-0000E5200000}"/>
    <cellStyle name="Note 2 2 6 3 2" xfId="14584" xr:uid="{C7454A21-FA57-406C-98FA-9F945DC303BB}"/>
    <cellStyle name="Note 2 2 6 4" xfId="10366" xr:uid="{80C960ED-186A-4DE2-B242-855C71F1BB5D}"/>
    <cellStyle name="Note 2 2 7" xfId="2248" xr:uid="{00000000-0005-0000-0000-0000E6200000}"/>
    <cellStyle name="Note 2 2 7 2" xfId="4477" xr:uid="{00000000-0005-0000-0000-0000E7200000}"/>
    <cellStyle name="Note 2 2 7 2 2" xfId="8700" xr:uid="{00000000-0005-0000-0000-0000E8200000}"/>
    <cellStyle name="Note 2 2 7 2 2 2" xfId="17142" xr:uid="{94E99D38-902A-4424-B096-093159A106D9}"/>
    <cellStyle name="Note 2 2 7 2 3" xfId="12924" xr:uid="{50A1F1D1-4707-4417-88EB-38AAA01D5E80}"/>
    <cellStyle name="Note 2 2 7 3" xfId="6555" xr:uid="{00000000-0005-0000-0000-0000E9200000}"/>
    <cellStyle name="Note 2 2 7 3 2" xfId="14997" xr:uid="{7371F768-188C-46F6-A98F-1FD88E8715E4}"/>
    <cellStyle name="Note 2 2 7 4" xfId="10779" xr:uid="{49762885-C254-473A-B82A-D114592FD5D3}"/>
    <cellStyle name="Note 2 2 8" xfId="2684" xr:uid="{00000000-0005-0000-0000-0000EA200000}"/>
    <cellStyle name="Note 2 2 8 2" xfId="6968" xr:uid="{00000000-0005-0000-0000-0000EB200000}"/>
    <cellStyle name="Note 2 2 8 2 2" xfId="15410" xr:uid="{7D36E5F2-58C7-47C9-976F-88B5C1467C05}"/>
    <cellStyle name="Note 2 2 8 3" xfId="11192" xr:uid="{290B8C23-7B73-44CC-A64B-35769FFD5C4A}"/>
    <cellStyle name="Note 2 2 9" xfId="2743" xr:uid="{00000000-0005-0000-0000-0000EC200000}"/>
    <cellStyle name="Note 2 3" xfId="549" xr:uid="{00000000-0005-0000-0000-0000ED200000}"/>
    <cellStyle name="Note 2 3 10" xfId="4907" xr:uid="{00000000-0005-0000-0000-0000EE200000}"/>
    <cellStyle name="Note 2 3 10 2" xfId="13349" xr:uid="{2E694D7F-A737-426F-8A4D-75D39B0D2A8F}"/>
    <cellStyle name="Note 2 3 11" xfId="9131" xr:uid="{BDCB82F3-FBF3-45A0-8476-C96481856E1C}"/>
    <cellStyle name="Note 2 3 2" xfId="550" xr:uid="{00000000-0005-0000-0000-0000EF200000}"/>
    <cellStyle name="Note 2 3 2 10" xfId="9132" xr:uid="{9A5D1A3C-3F9B-406C-87E9-352D29FAA85F}"/>
    <cellStyle name="Note 2 3 2 2" xfId="1011" xr:uid="{00000000-0005-0000-0000-0000F0200000}"/>
    <cellStyle name="Note 2 3 2 2 2" xfId="3243" xr:uid="{00000000-0005-0000-0000-0000F1200000}"/>
    <cellStyle name="Note 2 3 2 2 2 2" xfId="7466" xr:uid="{00000000-0005-0000-0000-0000F2200000}"/>
    <cellStyle name="Note 2 3 2 2 2 2 2" xfId="15908" xr:uid="{50770F0D-B387-4544-85E9-32DFB094DD27}"/>
    <cellStyle name="Note 2 3 2 2 2 3" xfId="11690" xr:uid="{95FD4493-0AF1-4C4B-8BB4-67F102BFCEEC}"/>
    <cellStyle name="Note 2 3 2 2 3" xfId="5321" xr:uid="{00000000-0005-0000-0000-0000F3200000}"/>
    <cellStyle name="Note 2 3 2 2 3 2" xfId="13763" xr:uid="{8AABEF05-7369-474D-85AF-767229659A73}"/>
    <cellStyle name="Note 2 3 2 2 4" xfId="9545" xr:uid="{E2DBDD74-8758-458D-A914-F5531F30732B}"/>
    <cellStyle name="Note 2 3 2 3" xfId="1426" xr:uid="{00000000-0005-0000-0000-0000F4200000}"/>
    <cellStyle name="Note 2 3 2 3 2" xfId="3656" xr:uid="{00000000-0005-0000-0000-0000F5200000}"/>
    <cellStyle name="Note 2 3 2 3 2 2" xfId="7879" xr:uid="{00000000-0005-0000-0000-0000F6200000}"/>
    <cellStyle name="Note 2 3 2 3 2 2 2" xfId="16321" xr:uid="{351E360D-E307-43AB-AA47-B9CC1CC2541A}"/>
    <cellStyle name="Note 2 3 2 3 2 3" xfId="12103" xr:uid="{B5F01B7E-046B-4A3D-AC30-1D408DD22748}"/>
    <cellStyle name="Note 2 3 2 3 3" xfId="5734" xr:uid="{00000000-0005-0000-0000-0000F7200000}"/>
    <cellStyle name="Note 2 3 2 3 3 2" xfId="14176" xr:uid="{F603FEAB-F512-4DAB-8B92-C82A8682AE59}"/>
    <cellStyle name="Note 2 3 2 3 4" xfId="9958" xr:uid="{8223D792-8E17-452B-BDDB-D01BFA6739E6}"/>
    <cellStyle name="Note 2 3 2 4" xfId="1840" xr:uid="{00000000-0005-0000-0000-0000F8200000}"/>
    <cellStyle name="Note 2 3 2 4 2" xfId="4069" xr:uid="{00000000-0005-0000-0000-0000F9200000}"/>
    <cellStyle name="Note 2 3 2 4 2 2" xfId="8292" xr:uid="{00000000-0005-0000-0000-0000FA200000}"/>
    <cellStyle name="Note 2 3 2 4 2 2 2" xfId="16734" xr:uid="{E853AF8D-49A2-4A91-A74E-58307684A57E}"/>
    <cellStyle name="Note 2 3 2 4 2 3" xfId="12516" xr:uid="{84633449-149A-4EE3-AEEF-2C2FB8EB0D3E}"/>
    <cellStyle name="Note 2 3 2 4 3" xfId="6147" xr:uid="{00000000-0005-0000-0000-0000FB200000}"/>
    <cellStyle name="Note 2 3 2 4 3 2" xfId="14589" xr:uid="{8C991DCE-0006-477F-ADCC-04B21B01A87F}"/>
    <cellStyle name="Note 2 3 2 4 4" xfId="10371" xr:uid="{6CB760DA-4D12-4CED-8083-3602008D947C}"/>
    <cellStyle name="Note 2 3 2 5" xfId="2253" xr:uid="{00000000-0005-0000-0000-0000FC200000}"/>
    <cellStyle name="Note 2 3 2 5 2" xfId="4482" xr:uid="{00000000-0005-0000-0000-0000FD200000}"/>
    <cellStyle name="Note 2 3 2 5 2 2" xfId="8705" xr:uid="{00000000-0005-0000-0000-0000FE200000}"/>
    <cellStyle name="Note 2 3 2 5 2 2 2" xfId="17147" xr:uid="{1E57474A-EDF2-4847-A291-1FA740AB3D51}"/>
    <cellStyle name="Note 2 3 2 5 2 3" xfId="12929" xr:uid="{E684F91B-F136-4D31-8F44-9E9084FA028D}"/>
    <cellStyle name="Note 2 3 2 5 3" xfId="6560" xr:uid="{00000000-0005-0000-0000-0000FF200000}"/>
    <cellStyle name="Note 2 3 2 5 3 2" xfId="15002" xr:uid="{0AED0201-73C0-4450-A1D0-A3E1FDCBDCD2}"/>
    <cellStyle name="Note 2 3 2 5 4" xfId="10784" xr:uid="{D16C0C47-2FA7-4229-8788-965F443AA6A6}"/>
    <cellStyle name="Note 2 3 2 6" xfId="2689" xr:uid="{00000000-0005-0000-0000-000000210000}"/>
    <cellStyle name="Note 2 3 2 6 2" xfId="6973" xr:uid="{00000000-0005-0000-0000-000001210000}"/>
    <cellStyle name="Note 2 3 2 6 2 2" xfId="15415" xr:uid="{0318065C-9970-41B2-985A-ED74BED0BD58}"/>
    <cellStyle name="Note 2 3 2 6 3" xfId="11197" xr:uid="{2F1BC3E1-82D1-47A9-B763-1761A1BA343A}"/>
    <cellStyle name="Note 2 3 2 7" xfId="2748" xr:uid="{00000000-0005-0000-0000-000002210000}"/>
    <cellStyle name="Note 2 3 2 8" xfId="2829" xr:uid="{00000000-0005-0000-0000-000003210000}"/>
    <cellStyle name="Note 2 3 2 8 2" xfId="7053" xr:uid="{00000000-0005-0000-0000-000004210000}"/>
    <cellStyle name="Note 2 3 2 8 2 2" xfId="15495" xr:uid="{FE252CB7-C855-4FC1-80F1-762C53D08BDA}"/>
    <cellStyle name="Note 2 3 2 8 3" xfId="11277" xr:uid="{D557C376-B8FA-4D56-8A31-4FD753D4BE57}"/>
    <cellStyle name="Note 2 3 2 9" xfId="4908" xr:uid="{00000000-0005-0000-0000-000005210000}"/>
    <cellStyle name="Note 2 3 2 9 2" xfId="13350" xr:uid="{C89324B0-1B12-4E29-BD7B-D1A733AA327F}"/>
    <cellStyle name="Note 2 3 3" xfId="1010" xr:uid="{00000000-0005-0000-0000-000006210000}"/>
    <cellStyle name="Note 2 3 3 2" xfId="3242" xr:uid="{00000000-0005-0000-0000-000007210000}"/>
    <cellStyle name="Note 2 3 3 2 2" xfId="7465" xr:uid="{00000000-0005-0000-0000-000008210000}"/>
    <cellStyle name="Note 2 3 3 2 2 2" xfId="15907" xr:uid="{4A0D3EDC-3BF0-4029-A39A-F3671EC803A7}"/>
    <cellStyle name="Note 2 3 3 2 3" xfId="11689" xr:uid="{8A20C7D7-2998-45F3-B0A5-2F0A16B69327}"/>
    <cellStyle name="Note 2 3 3 3" xfId="5320" xr:uid="{00000000-0005-0000-0000-000009210000}"/>
    <cellStyle name="Note 2 3 3 3 2" xfId="13762" xr:uid="{EF60E8B9-BC53-406F-9018-B2C8549AF8A0}"/>
    <cellStyle name="Note 2 3 3 4" xfId="9544" xr:uid="{F7DB8DE0-D8DB-441D-B7DE-7EE6AFCF7107}"/>
    <cellStyle name="Note 2 3 4" xfId="1425" xr:uid="{00000000-0005-0000-0000-00000A210000}"/>
    <cellStyle name="Note 2 3 4 2" xfId="3655" xr:uid="{00000000-0005-0000-0000-00000B210000}"/>
    <cellStyle name="Note 2 3 4 2 2" xfId="7878" xr:uid="{00000000-0005-0000-0000-00000C210000}"/>
    <cellStyle name="Note 2 3 4 2 2 2" xfId="16320" xr:uid="{B78FDF51-1301-4036-A3CD-F273748FBA66}"/>
    <cellStyle name="Note 2 3 4 2 3" xfId="12102" xr:uid="{2B650152-0FC9-4E2B-811F-6B3A39E08AFB}"/>
    <cellStyle name="Note 2 3 4 3" xfId="5733" xr:uid="{00000000-0005-0000-0000-00000D210000}"/>
    <cellStyle name="Note 2 3 4 3 2" xfId="14175" xr:uid="{10CC9039-F780-4593-8DEE-23A337A55578}"/>
    <cellStyle name="Note 2 3 4 4" xfId="9957" xr:uid="{25197338-47FD-4C67-8433-B3E79A23FFAC}"/>
    <cellStyle name="Note 2 3 5" xfId="1839" xr:uid="{00000000-0005-0000-0000-00000E210000}"/>
    <cellStyle name="Note 2 3 5 2" xfId="4068" xr:uid="{00000000-0005-0000-0000-00000F210000}"/>
    <cellStyle name="Note 2 3 5 2 2" xfId="8291" xr:uid="{00000000-0005-0000-0000-000010210000}"/>
    <cellStyle name="Note 2 3 5 2 2 2" xfId="16733" xr:uid="{AEF339AA-D9E4-491A-BFB5-779A54DAE724}"/>
    <cellStyle name="Note 2 3 5 2 3" xfId="12515" xr:uid="{C4F67DE3-B658-49B1-8F50-7429B0222B66}"/>
    <cellStyle name="Note 2 3 5 3" xfId="6146" xr:uid="{00000000-0005-0000-0000-000011210000}"/>
    <cellStyle name="Note 2 3 5 3 2" xfId="14588" xr:uid="{53E3E683-BFCF-48AC-A6F3-8DCE70CA8534}"/>
    <cellStyle name="Note 2 3 5 4" xfId="10370" xr:uid="{E7EEA925-6142-4A6A-A380-F3582803AC14}"/>
    <cellStyle name="Note 2 3 6" xfId="2252" xr:uid="{00000000-0005-0000-0000-000012210000}"/>
    <cellStyle name="Note 2 3 6 2" xfId="4481" xr:uid="{00000000-0005-0000-0000-000013210000}"/>
    <cellStyle name="Note 2 3 6 2 2" xfId="8704" xr:uid="{00000000-0005-0000-0000-000014210000}"/>
    <cellStyle name="Note 2 3 6 2 2 2" xfId="17146" xr:uid="{2A0A5875-3F0A-4175-A909-7138EF2CDC97}"/>
    <cellStyle name="Note 2 3 6 2 3" xfId="12928" xr:uid="{E12586DB-DE0F-466E-92ED-D7CC02265867}"/>
    <cellStyle name="Note 2 3 6 3" xfId="6559" xr:uid="{00000000-0005-0000-0000-000015210000}"/>
    <cellStyle name="Note 2 3 6 3 2" xfId="15001" xr:uid="{6B2EDCD9-A09D-45A1-A2B1-3B003438D94D}"/>
    <cellStyle name="Note 2 3 6 4" xfId="10783" xr:uid="{91547494-CD39-45D6-BF14-39D8044DC81E}"/>
    <cellStyle name="Note 2 3 7" xfId="2688" xr:uid="{00000000-0005-0000-0000-000016210000}"/>
    <cellStyle name="Note 2 3 7 2" xfId="6972" xr:uid="{00000000-0005-0000-0000-000017210000}"/>
    <cellStyle name="Note 2 3 7 2 2" xfId="15414" xr:uid="{EA68D395-36C5-4C9C-802D-6CF44F7381E7}"/>
    <cellStyle name="Note 2 3 7 3" xfId="11196" xr:uid="{6B212B8C-B098-432D-944A-024A3A0FC45B}"/>
    <cellStyle name="Note 2 3 8" xfId="2747" xr:uid="{00000000-0005-0000-0000-000018210000}"/>
    <cellStyle name="Note 2 3 9" xfId="2828" xr:uid="{00000000-0005-0000-0000-000019210000}"/>
    <cellStyle name="Note 2 3 9 2" xfId="7052" xr:uid="{00000000-0005-0000-0000-00001A210000}"/>
    <cellStyle name="Note 2 3 9 2 2" xfId="15494" xr:uid="{93066368-3321-4820-8090-34D35D0944FF}"/>
    <cellStyle name="Note 2 3 9 3" xfId="11276" xr:uid="{FB4C2596-ED54-4B50-AFD9-5BDE8E1D3159}"/>
    <cellStyle name="Note 2 4" xfId="551" xr:uid="{00000000-0005-0000-0000-00001B210000}"/>
    <cellStyle name="Note 2 4 10" xfId="9133" xr:uid="{71CFAC86-AB86-4C20-B482-3FB0C7915706}"/>
    <cellStyle name="Note 2 4 2" xfId="1012" xr:uid="{00000000-0005-0000-0000-00001C210000}"/>
    <cellStyle name="Note 2 4 2 2" xfId="3244" xr:uid="{00000000-0005-0000-0000-00001D210000}"/>
    <cellStyle name="Note 2 4 2 2 2" xfId="7467" xr:uid="{00000000-0005-0000-0000-00001E210000}"/>
    <cellStyle name="Note 2 4 2 2 2 2" xfId="15909" xr:uid="{C3E0A7DF-BE9B-4C5C-B1DE-129C4AD84D4E}"/>
    <cellStyle name="Note 2 4 2 2 3" xfId="11691" xr:uid="{3230759A-D64A-4532-83AF-16BD8B9471DE}"/>
    <cellStyle name="Note 2 4 2 3" xfId="5322" xr:uid="{00000000-0005-0000-0000-00001F210000}"/>
    <cellStyle name="Note 2 4 2 3 2" xfId="13764" xr:uid="{61905558-8321-46ED-9110-3BE9F105E7C9}"/>
    <cellStyle name="Note 2 4 2 4" xfId="9546" xr:uid="{9F01285C-3A66-4111-9FED-86E3E8DB21D7}"/>
    <cellStyle name="Note 2 4 3" xfId="1427" xr:uid="{00000000-0005-0000-0000-000020210000}"/>
    <cellStyle name="Note 2 4 3 2" xfId="3657" xr:uid="{00000000-0005-0000-0000-000021210000}"/>
    <cellStyle name="Note 2 4 3 2 2" xfId="7880" xr:uid="{00000000-0005-0000-0000-000022210000}"/>
    <cellStyle name="Note 2 4 3 2 2 2" xfId="16322" xr:uid="{DED3A775-4326-4F7B-AFD9-D380591814D8}"/>
    <cellStyle name="Note 2 4 3 2 3" xfId="12104" xr:uid="{5BF10209-CBE1-4971-8963-08D2BB3F9758}"/>
    <cellStyle name="Note 2 4 3 3" xfId="5735" xr:uid="{00000000-0005-0000-0000-000023210000}"/>
    <cellStyle name="Note 2 4 3 3 2" xfId="14177" xr:uid="{F33BF9C1-FFDA-454E-BC70-982012E78423}"/>
    <cellStyle name="Note 2 4 3 4" xfId="9959" xr:uid="{116ECB22-FBB0-433C-9C5A-E819B65A1283}"/>
    <cellStyle name="Note 2 4 4" xfId="1841" xr:uid="{00000000-0005-0000-0000-000024210000}"/>
    <cellStyle name="Note 2 4 4 2" xfId="4070" xr:uid="{00000000-0005-0000-0000-000025210000}"/>
    <cellStyle name="Note 2 4 4 2 2" xfId="8293" xr:uid="{00000000-0005-0000-0000-000026210000}"/>
    <cellStyle name="Note 2 4 4 2 2 2" xfId="16735" xr:uid="{B6B407F4-E22F-4D46-96B7-FFA3DE544104}"/>
    <cellStyle name="Note 2 4 4 2 3" xfId="12517" xr:uid="{8D0A53E9-4AB5-4CE4-9F55-BAF2F10CC5DE}"/>
    <cellStyle name="Note 2 4 4 3" xfId="6148" xr:uid="{00000000-0005-0000-0000-000027210000}"/>
    <cellStyle name="Note 2 4 4 3 2" xfId="14590" xr:uid="{A93D5330-918E-4D64-8BFE-AE1533CC77B9}"/>
    <cellStyle name="Note 2 4 4 4" xfId="10372" xr:uid="{0319BCC6-23B0-468A-A76D-4CA030CA898A}"/>
    <cellStyle name="Note 2 4 5" xfId="2254" xr:uid="{00000000-0005-0000-0000-000028210000}"/>
    <cellStyle name="Note 2 4 5 2" xfId="4483" xr:uid="{00000000-0005-0000-0000-000029210000}"/>
    <cellStyle name="Note 2 4 5 2 2" xfId="8706" xr:uid="{00000000-0005-0000-0000-00002A210000}"/>
    <cellStyle name="Note 2 4 5 2 2 2" xfId="17148" xr:uid="{BB068A35-75FD-4EB7-B25D-95796DED4B2D}"/>
    <cellStyle name="Note 2 4 5 2 3" xfId="12930" xr:uid="{4AD8D4AF-2C6C-4244-B7DD-1B97022E677F}"/>
    <cellStyle name="Note 2 4 5 3" xfId="6561" xr:uid="{00000000-0005-0000-0000-00002B210000}"/>
    <cellStyle name="Note 2 4 5 3 2" xfId="15003" xr:uid="{307622DA-8958-4933-9F07-EF0AA88D6A2B}"/>
    <cellStyle name="Note 2 4 5 4" xfId="10785" xr:uid="{7480A5E0-4DD8-4870-BF54-42EDF295A786}"/>
    <cellStyle name="Note 2 4 6" xfId="2690" xr:uid="{00000000-0005-0000-0000-00002C210000}"/>
    <cellStyle name="Note 2 4 6 2" xfId="6974" xr:uid="{00000000-0005-0000-0000-00002D210000}"/>
    <cellStyle name="Note 2 4 6 2 2" xfId="15416" xr:uid="{033282E3-0DAE-4A05-9F33-A04CE8C05A63}"/>
    <cellStyle name="Note 2 4 6 3" xfId="11198" xr:uid="{0F18EE9B-F2FE-4896-A4B1-DBDA91E648B8}"/>
    <cellStyle name="Note 2 4 7" xfId="2749" xr:uid="{00000000-0005-0000-0000-00002E210000}"/>
    <cellStyle name="Note 2 4 8" xfId="2830" xr:uid="{00000000-0005-0000-0000-00002F210000}"/>
    <cellStyle name="Note 2 4 8 2" xfId="7054" xr:uid="{00000000-0005-0000-0000-000030210000}"/>
    <cellStyle name="Note 2 4 8 2 2" xfId="15496" xr:uid="{90FF3B64-FA08-4D8C-B2E4-6A569F5C38AD}"/>
    <cellStyle name="Note 2 4 8 3" xfId="11278" xr:uid="{56B96646-3B0A-4F0C-AE5C-68764FDFDD2C}"/>
    <cellStyle name="Note 2 4 9" xfId="4909" xr:uid="{00000000-0005-0000-0000-000031210000}"/>
    <cellStyle name="Note 2 4 9 2" xfId="13351" xr:uid="{A003193E-BCFB-43E0-A333-5F28C56B2913}"/>
    <cellStyle name="Note 2 5" xfId="552" xr:uid="{00000000-0005-0000-0000-000032210000}"/>
    <cellStyle name="Note 2 5 10" xfId="9134" xr:uid="{0D639B23-190E-4A47-AAE7-DDA9DC62CB52}"/>
    <cellStyle name="Note 2 5 2" xfId="1013" xr:uid="{00000000-0005-0000-0000-000033210000}"/>
    <cellStyle name="Note 2 5 2 2" xfId="3245" xr:uid="{00000000-0005-0000-0000-000034210000}"/>
    <cellStyle name="Note 2 5 2 2 2" xfId="7468" xr:uid="{00000000-0005-0000-0000-000035210000}"/>
    <cellStyle name="Note 2 5 2 2 2 2" xfId="15910" xr:uid="{FF77CC6B-420A-4426-9915-DA85602F04FE}"/>
    <cellStyle name="Note 2 5 2 2 3" xfId="11692" xr:uid="{6CD16E90-0C97-407A-8B96-5AA19955C367}"/>
    <cellStyle name="Note 2 5 2 3" xfId="5323" xr:uid="{00000000-0005-0000-0000-000036210000}"/>
    <cellStyle name="Note 2 5 2 3 2" xfId="13765" xr:uid="{EC6E2B16-179E-4DB7-B522-30AF656B6081}"/>
    <cellStyle name="Note 2 5 2 4" xfId="9547" xr:uid="{F6967429-5A41-421D-A0E7-A84C77D5A159}"/>
    <cellStyle name="Note 2 5 3" xfId="1428" xr:uid="{00000000-0005-0000-0000-000037210000}"/>
    <cellStyle name="Note 2 5 3 2" xfId="3658" xr:uid="{00000000-0005-0000-0000-000038210000}"/>
    <cellStyle name="Note 2 5 3 2 2" xfId="7881" xr:uid="{00000000-0005-0000-0000-000039210000}"/>
    <cellStyle name="Note 2 5 3 2 2 2" xfId="16323" xr:uid="{0472F84F-6F48-4669-B3E1-7F3C7DDFB44B}"/>
    <cellStyle name="Note 2 5 3 2 3" xfId="12105" xr:uid="{68D2838E-E827-412F-B442-15CAB172A9DD}"/>
    <cellStyle name="Note 2 5 3 3" xfId="5736" xr:uid="{00000000-0005-0000-0000-00003A210000}"/>
    <cellStyle name="Note 2 5 3 3 2" xfId="14178" xr:uid="{4D3FCD9A-4085-4B37-BB9A-984A9DECB429}"/>
    <cellStyle name="Note 2 5 3 4" xfId="9960" xr:uid="{46372E8F-2C19-4C2B-8C05-A3303D57E826}"/>
    <cellStyle name="Note 2 5 4" xfId="1842" xr:uid="{00000000-0005-0000-0000-00003B210000}"/>
    <cellStyle name="Note 2 5 4 2" xfId="4071" xr:uid="{00000000-0005-0000-0000-00003C210000}"/>
    <cellStyle name="Note 2 5 4 2 2" xfId="8294" xr:uid="{00000000-0005-0000-0000-00003D210000}"/>
    <cellStyle name="Note 2 5 4 2 2 2" xfId="16736" xr:uid="{5A854DB0-51EC-447A-B746-0D3B4756A5B0}"/>
    <cellStyle name="Note 2 5 4 2 3" xfId="12518" xr:uid="{66F3A665-C270-4003-9E35-7C58652C8AB2}"/>
    <cellStyle name="Note 2 5 4 3" xfId="6149" xr:uid="{00000000-0005-0000-0000-00003E210000}"/>
    <cellStyle name="Note 2 5 4 3 2" xfId="14591" xr:uid="{18EE8C17-238E-4896-9D61-B50CC2EE8E55}"/>
    <cellStyle name="Note 2 5 4 4" xfId="10373" xr:uid="{7C43CB33-B0AA-480B-9178-ECDBC948120D}"/>
    <cellStyle name="Note 2 5 5" xfId="2255" xr:uid="{00000000-0005-0000-0000-00003F210000}"/>
    <cellStyle name="Note 2 5 5 2" xfId="4484" xr:uid="{00000000-0005-0000-0000-000040210000}"/>
    <cellStyle name="Note 2 5 5 2 2" xfId="8707" xr:uid="{00000000-0005-0000-0000-000041210000}"/>
    <cellStyle name="Note 2 5 5 2 2 2" xfId="17149" xr:uid="{EA304B4B-139F-4741-9C21-EB9FCDDE891E}"/>
    <cellStyle name="Note 2 5 5 2 3" xfId="12931" xr:uid="{076A362E-13FC-4D1B-8B9B-1111799AE6DE}"/>
    <cellStyle name="Note 2 5 5 3" xfId="6562" xr:uid="{00000000-0005-0000-0000-000042210000}"/>
    <cellStyle name="Note 2 5 5 3 2" xfId="15004" xr:uid="{E43E8B86-C4DC-4898-8AD9-4E2DE941819E}"/>
    <cellStyle name="Note 2 5 5 4" xfId="10786" xr:uid="{E35BC39B-2A47-4908-B3A8-0AF0FD60B91B}"/>
    <cellStyle name="Note 2 5 6" xfId="2691" xr:uid="{00000000-0005-0000-0000-000043210000}"/>
    <cellStyle name="Note 2 5 6 2" xfId="6975" xr:uid="{00000000-0005-0000-0000-000044210000}"/>
    <cellStyle name="Note 2 5 6 2 2" xfId="15417" xr:uid="{BA31C8F8-A437-4BDB-9176-B9475131B4DE}"/>
    <cellStyle name="Note 2 5 6 3" xfId="11199" xr:uid="{0B188F97-BBCF-4DDD-B85C-4FF95CC524B0}"/>
    <cellStyle name="Note 2 5 7" xfId="2750" xr:uid="{00000000-0005-0000-0000-000045210000}"/>
    <cellStyle name="Note 2 5 8" xfId="2831" xr:uid="{00000000-0005-0000-0000-000046210000}"/>
    <cellStyle name="Note 2 5 8 2" xfId="7055" xr:uid="{00000000-0005-0000-0000-000047210000}"/>
    <cellStyle name="Note 2 5 8 2 2" xfId="15497" xr:uid="{7D6DAEA7-288D-42A9-8FB8-20CE17FE130F}"/>
    <cellStyle name="Note 2 5 8 3" xfId="11279" xr:uid="{45AEA2FD-C43B-4E2A-970F-9A8C5612BC66}"/>
    <cellStyle name="Note 2 5 9" xfId="4910" xr:uid="{00000000-0005-0000-0000-000048210000}"/>
    <cellStyle name="Note 2 5 9 2" xfId="13352" xr:uid="{75126918-658F-4D2B-BAFD-528370DF0109}"/>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E06F6C3A-F053-4155-97AA-E21917DD964C}"/>
    <cellStyle name="Note 3 2 10 3" xfId="11280" xr:uid="{E0AD68BB-19CA-498F-969D-35BBECD1FF23}"/>
    <cellStyle name="Note 3 2 11" xfId="4911" xr:uid="{00000000-0005-0000-0000-00004D210000}"/>
    <cellStyle name="Note 3 2 11 2" xfId="13353" xr:uid="{DFEF1CC3-F8CD-43A7-B577-E85ADEE6A8D1}"/>
    <cellStyle name="Note 3 2 12" xfId="9135" xr:uid="{97E0A094-BA1A-4755-B521-9D0040DB4B81}"/>
    <cellStyle name="Note 3 2 2" xfId="555" xr:uid="{00000000-0005-0000-0000-00004E210000}"/>
    <cellStyle name="Note 3 2 2 10" xfId="4912" xr:uid="{00000000-0005-0000-0000-00004F210000}"/>
    <cellStyle name="Note 3 2 2 10 2" xfId="13354" xr:uid="{9C27D922-DFE4-4A64-BAED-0158C763F603}"/>
    <cellStyle name="Note 3 2 2 11" xfId="9136" xr:uid="{5B8CA0D9-6D53-4389-BCE5-F3032B7BC23D}"/>
    <cellStyle name="Note 3 2 2 2" xfId="556" xr:uid="{00000000-0005-0000-0000-000050210000}"/>
    <cellStyle name="Note 3 2 2 2 10" xfId="9137" xr:uid="{651B74F8-F26C-4861-94D5-C715816318E3}"/>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641689D5-3178-4892-9DBC-FB7066FDFD33}"/>
    <cellStyle name="Note 3 2 2 2 2 2 3" xfId="11695" xr:uid="{4C09F8A8-583F-433D-A3E1-6214A1FD8981}"/>
    <cellStyle name="Note 3 2 2 2 2 3" xfId="5326" xr:uid="{00000000-0005-0000-0000-000054210000}"/>
    <cellStyle name="Note 3 2 2 2 2 3 2" xfId="13768" xr:uid="{B51B171D-D65B-45CE-92B7-352193FAFEBE}"/>
    <cellStyle name="Note 3 2 2 2 2 4" xfId="9550" xr:uid="{2C06D759-F622-4E61-8F6B-69E987F40A3A}"/>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313107D0-DD8A-425D-844D-61F02736BB4F}"/>
    <cellStyle name="Note 3 2 2 2 3 2 3" xfId="12108" xr:uid="{F5030AA1-DD71-4D22-B00F-4E213B128556}"/>
    <cellStyle name="Note 3 2 2 2 3 3" xfId="5739" xr:uid="{00000000-0005-0000-0000-000058210000}"/>
    <cellStyle name="Note 3 2 2 2 3 3 2" xfId="14181" xr:uid="{BF11D1E8-A897-4F0A-B7DC-464D1DAEB1B5}"/>
    <cellStyle name="Note 3 2 2 2 3 4" xfId="9963" xr:uid="{CB6203B5-BD14-4DD1-BE0C-E99DC70C6C4E}"/>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42DCC4C6-C2EF-4E64-A909-29B87ADD1762}"/>
    <cellStyle name="Note 3 2 2 2 4 2 3" xfId="12521" xr:uid="{5DE2929E-73F1-4666-A4AE-544249D22FA0}"/>
    <cellStyle name="Note 3 2 2 2 4 3" xfId="6152" xr:uid="{00000000-0005-0000-0000-00005C210000}"/>
    <cellStyle name="Note 3 2 2 2 4 3 2" xfId="14594" xr:uid="{80A4CEE5-02D8-4886-9372-9344C396A9DC}"/>
    <cellStyle name="Note 3 2 2 2 4 4" xfId="10376" xr:uid="{DFC000A4-D48D-445A-81C3-DC882BAA3C16}"/>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76EBDF93-3F57-4FDA-BC67-0DF7690CBECC}"/>
    <cellStyle name="Note 3 2 2 2 5 2 3" xfId="12934" xr:uid="{305739C3-CEB6-4C20-B63B-0DED7CDEAF34}"/>
    <cellStyle name="Note 3 2 2 2 5 3" xfId="6565" xr:uid="{00000000-0005-0000-0000-000060210000}"/>
    <cellStyle name="Note 3 2 2 2 5 3 2" xfId="15007" xr:uid="{EE8AF479-ED5B-47BE-890A-FBC596C9CBA4}"/>
    <cellStyle name="Note 3 2 2 2 5 4" xfId="10789" xr:uid="{B9A587FE-916F-4D55-ABC7-A885CDB46759}"/>
    <cellStyle name="Note 3 2 2 2 6" xfId="2694" xr:uid="{00000000-0005-0000-0000-000061210000}"/>
    <cellStyle name="Note 3 2 2 2 6 2" xfId="6978" xr:uid="{00000000-0005-0000-0000-000062210000}"/>
    <cellStyle name="Note 3 2 2 2 6 2 2" xfId="15420" xr:uid="{8C36B85E-A3B3-408F-AE9C-4419C90309F0}"/>
    <cellStyle name="Note 3 2 2 2 6 3" xfId="11202" xr:uid="{8D1F1D27-82F8-4C7D-89EC-47018D341CE2}"/>
    <cellStyle name="Note 3 2 2 2 7" xfId="2753" xr:uid="{00000000-0005-0000-0000-000063210000}"/>
    <cellStyle name="Note 3 2 2 2 8" xfId="2834" xr:uid="{00000000-0005-0000-0000-000064210000}"/>
    <cellStyle name="Note 3 2 2 2 8 2" xfId="7058" xr:uid="{00000000-0005-0000-0000-000065210000}"/>
    <cellStyle name="Note 3 2 2 2 8 2 2" xfId="15500" xr:uid="{4FCA2BAB-BF6E-4390-9616-4F9CF80E3A28}"/>
    <cellStyle name="Note 3 2 2 2 8 3" xfId="11282" xr:uid="{81891765-5CF4-4C06-BA58-9B8DFA84228B}"/>
    <cellStyle name="Note 3 2 2 2 9" xfId="4913" xr:uid="{00000000-0005-0000-0000-000066210000}"/>
    <cellStyle name="Note 3 2 2 2 9 2" xfId="13355" xr:uid="{9D21F58E-A8D1-45A7-9549-BFB56302A48F}"/>
    <cellStyle name="Note 3 2 2 3" xfId="1015" xr:uid="{00000000-0005-0000-0000-000067210000}"/>
    <cellStyle name="Note 3 2 2 3 2" xfId="3247" xr:uid="{00000000-0005-0000-0000-000068210000}"/>
    <cellStyle name="Note 3 2 2 3 2 2" xfId="7470" xr:uid="{00000000-0005-0000-0000-000069210000}"/>
    <cellStyle name="Note 3 2 2 3 2 2 2" xfId="15912" xr:uid="{CE2C7ED8-715E-4FC3-9DE9-5A6CD384F000}"/>
    <cellStyle name="Note 3 2 2 3 2 3" xfId="11694" xr:uid="{C2DC5D26-5C83-4426-8BFF-24C810AF8B5D}"/>
    <cellStyle name="Note 3 2 2 3 3" xfId="5325" xr:uid="{00000000-0005-0000-0000-00006A210000}"/>
    <cellStyle name="Note 3 2 2 3 3 2" xfId="13767" xr:uid="{A1FC8ABB-E006-4D63-8482-6600145813C2}"/>
    <cellStyle name="Note 3 2 2 3 4" xfId="9549" xr:uid="{8D7E5C26-FC2E-46F9-86E7-48DF1499B4FF}"/>
    <cellStyle name="Note 3 2 2 4" xfId="1430" xr:uid="{00000000-0005-0000-0000-00006B210000}"/>
    <cellStyle name="Note 3 2 2 4 2" xfId="3660" xr:uid="{00000000-0005-0000-0000-00006C210000}"/>
    <cellStyle name="Note 3 2 2 4 2 2" xfId="7883" xr:uid="{00000000-0005-0000-0000-00006D210000}"/>
    <cellStyle name="Note 3 2 2 4 2 2 2" xfId="16325" xr:uid="{D0811113-E977-4C7A-B66B-D6B73D62B85F}"/>
    <cellStyle name="Note 3 2 2 4 2 3" xfId="12107" xr:uid="{4CCBF65F-4109-4BD4-951D-43991B0239B3}"/>
    <cellStyle name="Note 3 2 2 4 3" xfId="5738" xr:uid="{00000000-0005-0000-0000-00006E210000}"/>
    <cellStyle name="Note 3 2 2 4 3 2" xfId="14180" xr:uid="{35E911C2-0BD3-41C7-904C-5D58F87C263A}"/>
    <cellStyle name="Note 3 2 2 4 4" xfId="9962" xr:uid="{5B21A2E2-8922-49E6-9504-673616D4FAEB}"/>
    <cellStyle name="Note 3 2 2 5" xfId="1844" xr:uid="{00000000-0005-0000-0000-00006F210000}"/>
    <cellStyle name="Note 3 2 2 5 2" xfId="4073" xr:uid="{00000000-0005-0000-0000-000070210000}"/>
    <cellStyle name="Note 3 2 2 5 2 2" xfId="8296" xr:uid="{00000000-0005-0000-0000-000071210000}"/>
    <cellStyle name="Note 3 2 2 5 2 2 2" xfId="16738" xr:uid="{287CF76E-4EBB-4CBF-BD51-39161F5AF5FF}"/>
    <cellStyle name="Note 3 2 2 5 2 3" xfId="12520" xr:uid="{830EC1A6-E592-4DAA-BC5F-2B183BABFCB5}"/>
    <cellStyle name="Note 3 2 2 5 3" xfId="6151" xr:uid="{00000000-0005-0000-0000-000072210000}"/>
    <cellStyle name="Note 3 2 2 5 3 2" xfId="14593" xr:uid="{53643E6C-7051-47D8-B35F-8CE8695F8261}"/>
    <cellStyle name="Note 3 2 2 5 4" xfId="10375" xr:uid="{8273DC0B-6AF1-4F9B-8F0D-E61C0F6BB1AB}"/>
    <cellStyle name="Note 3 2 2 6" xfId="2257" xr:uid="{00000000-0005-0000-0000-000073210000}"/>
    <cellStyle name="Note 3 2 2 6 2" xfId="4486" xr:uid="{00000000-0005-0000-0000-000074210000}"/>
    <cellStyle name="Note 3 2 2 6 2 2" xfId="8709" xr:uid="{00000000-0005-0000-0000-000075210000}"/>
    <cellStyle name="Note 3 2 2 6 2 2 2" xfId="17151" xr:uid="{1E481170-CBBB-487F-BDFE-E022BB7D6EC5}"/>
    <cellStyle name="Note 3 2 2 6 2 3" xfId="12933" xr:uid="{A06E1703-A4AF-4906-B989-ACE030AEB1AD}"/>
    <cellStyle name="Note 3 2 2 6 3" xfId="6564" xr:uid="{00000000-0005-0000-0000-000076210000}"/>
    <cellStyle name="Note 3 2 2 6 3 2" xfId="15006" xr:uid="{FEF0BD61-84BB-471B-B1DD-EACA2D41B449}"/>
    <cellStyle name="Note 3 2 2 6 4" xfId="10788" xr:uid="{E4C6B84A-587C-4222-959F-948A9D19D4D1}"/>
    <cellStyle name="Note 3 2 2 7" xfId="2693" xr:uid="{00000000-0005-0000-0000-000077210000}"/>
    <cellStyle name="Note 3 2 2 7 2" xfId="6977" xr:uid="{00000000-0005-0000-0000-000078210000}"/>
    <cellStyle name="Note 3 2 2 7 2 2" xfId="15419" xr:uid="{CE3AE7F2-5E29-4E95-8BFE-A47F2582C422}"/>
    <cellStyle name="Note 3 2 2 7 3" xfId="11201" xr:uid="{FDF63FD6-7602-4073-8B69-56A073D11FD5}"/>
    <cellStyle name="Note 3 2 2 8" xfId="2752" xr:uid="{00000000-0005-0000-0000-000079210000}"/>
    <cellStyle name="Note 3 2 2 9" xfId="2833" xr:uid="{00000000-0005-0000-0000-00007A210000}"/>
    <cellStyle name="Note 3 2 2 9 2" xfId="7057" xr:uid="{00000000-0005-0000-0000-00007B210000}"/>
    <cellStyle name="Note 3 2 2 9 2 2" xfId="15499" xr:uid="{7C319C81-F0A5-4ACD-A102-012C5CEFF150}"/>
    <cellStyle name="Note 3 2 2 9 3" xfId="11281" xr:uid="{BE0AF641-10FB-4B9C-86EA-8F4F61EABEE8}"/>
    <cellStyle name="Note 3 2 3" xfId="557" xr:uid="{00000000-0005-0000-0000-00007C210000}"/>
    <cellStyle name="Note 3 2 3 10" xfId="9138" xr:uid="{09D35082-441F-4E36-84AD-1461B9B11182}"/>
    <cellStyle name="Note 3 2 3 2" xfId="1017" xr:uid="{00000000-0005-0000-0000-00007D210000}"/>
    <cellStyle name="Note 3 2 3 2 2" xfId="3249" xr:uid="{00000000-0005-0000-0000-00007E210000}"/>
    <cellStyle name="Note 3 2 3 2 2 2" xfId="7472" xr:uid="{00000000-0005-0000-0000-00007F210000}"/>
    <cellStyle name="Note 3 2 3 2 2 2 2" xfId="15914" xr:uid="{9169A2D2-6AC4-4A7A-AF44-124A454D9198}"/>
    <cellStyle name="Note 3 2 3 2 2 3" xfId="11696" xr:uid="{04EE0064-4C56-451C-92A6-9F3358F6F40C}"/>
    <cellStyle name="Note 3 2 3 2 3" xfId="5327" xr:uid="{00000000-0005-0000-0000-000080210000}"/>
    <cellStyle name="Note 3 2 3 2 3 2" xfId="13769" xr:uid="{5D162853-E89A-4124-8F15-470258F917F2}"/>
    <cellStyle name="Note 3 2 3 2 4" xfId="9551" xr:uid="{0DBC17A8-E24B-4497-B0E5-EABEEEF5860A}"/>
    <cellStyle name="Note 3 2 3 3" xfId="1432" xr:uid="{00000000-0005-0000-0000-000081210000}"/>
    <cellStyle name="Note 3 2 3 3 2" xfId="3662" xr:uid="{00000000-0005-0000-0000-000082210000}"/>
    <cellStyle name="Note 3 2 3 3 2 2" xfId="7885" xr:uid="{00000000-0005-0000-0000-000083210000}"/>
    <cellStyle name="Note 3 2 3 3 2 2 2" xfId="16327" xr:uid="{9E9A96FB-7E01-4AD1-B668-9769B1AB6322}"/>
    <cellStyle name="Note 3 2 3 3 2 3" xfId="12109" xr:uid="{B8B3271B-32F2-4EA0-83E3-0FEA7BD79300}"/>
    <cellStyle name="Note 3 2 3 3 3" xfId="5740" xr:uid="{00000000-0005-0000-0000-000084210000}"/>
    <cellStyle name="Note 3 2 3 3 3 2" xfId="14182" xr:uid="{6A2D82A3-215A-403A-AA0F-245B5A484AA3}"/>
    <cellStyle name="Note 3 2 3 3 4" xfId="9964" xr:uid="{C1A817CB-D7E4-4BF9-9AD9-BC71DDFB002E}"/>
    <cellStyle name="Note 3 2 3 4" xfId="1846" xr:uid="{00000000-0005-0000-0000-000085210000}"/>
    <cellStyle name="Note 3 2 3 4 2" xfId="4075" xr:uid="{00000000-0005-0000-0000-000086210000}"/>
    <cellStyle name="Note 3 2 3 4 2 2" xfId="8298" xr:uid="{00000000-0005-0000-0000-000087210000}"/>
    <cellStyle name="Note 3 2 3 4 2 2 2" xfId="16740" xr:uid="{989F99BE-8A11-4B7B-AE8D-8354A6917928}"/>
    <cellStyle name="Note 3 2 3 4 2 3" xfId="12522" xr:uid="{AA43B74E-AF56-4075-B2FD-F38163C71757}"/>
    <cellStyle name="Note 3 2 3 4 3" xfId="6153" xr:uid="{00000000-0005-0000-0000-000088210000}"/>
    <cellStyle name="Note 3 2 3 4 3 2" xfId="14595" xr:uid="{E12C2EFF-8F9F-492E-AE8B-A9227567785C}"/>
    <cellStyle name="Note 3 2 3 4 4" xfId="10377" xr:uid="{CE9DA282-3758-4117-8130-634DFDFD1A2A}"/>
    <cellStyle name="Note 3 2 3 5" xfId="2259" xr:uid="{00000000-0005-0000-0000-000089210000}"/>
    <cellStyle name="Note 3 2 3 5 2" xfId="4488" xr:uid="{00000000-0005-0000-0000-00008A210000}"/>
    <cellStyle name="Note 3 2 3 5 2 2" xfId="8711" xr:uid="{00000000-0005-0000-0000-00008B210000}"/>
    <cellStyle name="Note 3 2 3 5 2 2 2" xfId="17153" xr:uid="{07B1A270-DA0A-4E3B-A310-BAFC4370EFF7}"/>
    <cellStyle name="Note 3 2 3 5 2 3" xfId="12935" xr:uid="{8F27D50A-A93C-4E5D-99A1-D3BE7BDFB82A}"/>
    <cellStyle name="Note 3 2 3 5 3" xfId="6566" xr:uid="{00000000-0005-0000-0000-00008C210000}"/>
    <cellStyle name="Note 3 2 3 5 3 2" xfId="15008" xr:uid="{7DBA11B6-648A-4254-B8AF-9B80C3A96B2D}"/>
    <cellStyle name="Note 3 2 3 5 4" xfId="10790" xr:uid="{09BF806C-D01F-4490-8C3D-0D1424C43DE9}"/>
    <cellStyle name="Note 3 2 3 6" xfId="2695" xr:uid="{00000000-0005-0000-0000-00008D210000}"/>
    <cellStyle name="Note 3 2 3 6 2" xfId="6979" xr:uid="{00000000-0005-0000-0000-00008E210000}"/>
    <cellStyle name="Note 3 2 3 6 2 2" xfId="15421" xr:uid="{A79C12C0-0D66-4D2D-9CF7-ADED85A9B4F0}"/>
    <cellStyle name="Note 3 2 3 6 3" xfId="11203" xr:uid="{6DF1D0EF-6736-4293-A8E2-71F715FC3036}"/>
    <cellStyle name="Note 3 2 3 7" xfId="2754" xr:uid="{00000000-0005-0000-0000-00008F210000}"/>
    <cellStyle name="Note 3 2 3 8" xfId="2835" xr:uid="{00000000-0005-0000-0000-000090210000}"/>
    <cellStyle name="Note 3 2 3 8 2" xfId="7059" xr:uid="{00000000-0005-0000-0000-000091210000}"/>
    <cellStyle name="Note 3 2 3 8 2 2" xfId="15501" xr:uid="{5AC32EE7-1FBF-4D2A-BC98-54BD72239E99}"/>
    <cellStyle name="Note 3 2 3 8 3" xfId="11283" xr:uid="{12B06386-B746-4AE9-9A75-9A1C94CEC1AA}"/>
    <cellStyle name="Note 3 2 3 9" xfId="4914" xr:uid="{00000000-0005-0000-0000-000092210000}"/>
    <cellStyle name="Note 3 2 3 9 2" xfId="13356" xr:uid="{3C12C027-CF90-4477-94B3-EFCA05622E7A}"/>
    <cellStyle name="Note 3 2 4" xfId="1014" xr:uid="{00000000-0005-0000-0000-000093210000}"/>
    <cellStyle name="Note 3 2 4 2" xfId="3246" xr:uid="{00000000-0005-0000-0000-000094210000}"/>
    <cellStyle name="Note 3 2 4 2 2" xfId="7469" xr:uid="{00000000-0005-0000-0000-000095210000}"/>
    <cellStyle name="Note 3 2 4 2 2 2" xfId="15911" xr:uid="{A9B2D0D6-5E38-44A8-A325-6258FD9C48D9}"/>
    <cellStyle name="Note 3 2 4 2 3" xfId="11693" xr:uid="{96F32064-8909-4947-8132-D221283D7F4F}"/>
    <cellStyle name="Note 3 2 4 3" xfId="5324" xr:uid="{00000000-0005-0000-0000-000096210000}"/>
    <cellStyle name="Note 3 2 4 3 2" xfId="13766" xr:uid="{C20A17CF-6E81-4C09-8C03-7F6CE683D17B}"/>
    <cellStyle name="Note 3 2 4 4" xfId="9548" xr:uid="{1600CB4E-E59E-4CC6-9B5F-E5945B7397C6}"/>
    <cellStyle name="Note 3 2 5" xfId="1429" xr:uid="{00000000-0005-0000-0000-000097210000}"/>
    <cellStyle name="Note 3 2 5 2" xfId="3659" xr:uid="{00000000-0005-0000-0000-000098210000}"/>
    <cellStyle name="Note 3 2 5 2 2" xfId="7882" xr:uid="{00000000-0005-0000-0000-000099210000}"/>
    <cellStyle name="Note 3 2 5 2 2 2" xfId="16324" xr:uid="{3FCCF5F5-E683-4313-8468-DA795D95D29E}"/>
    <cellStyle name="Note 3 2 5 2 3" xfId="12106" xr:uid="{84F70F26-EA27-4304-A664-50EF0BDA5807}"/>
    <cellStyle name="Note 3 2 5 3" xfId="5737" xr:uid="{00000000-0005-0000-0000-00009A210000}"/>
    <cellStyle name="Note 3 2 5 3 2" xfId="14179" xr:uid="{2C2CA805-1825-4CD8-868D-42068FE879C8}"/>
    <cellStyle name="Note 3 2 5 4" xfId="9961" xr:uid="{7FDC39D4-A2A1-467B-A304-99B299AE7E46}"/>
    <cellStyle name="Note 3 2 6" xfId="1843" xr:uid="{00000000-0005-0000-0000-00009B210000}"/>
    <cellStyle name="Note 3 2 6 2" xfId="4072" xr:uid="{00000000-0005-0000-0000-00009C210000}"/>
    <cellStyle name="Note 3 2 6 2 2" xfId="8295" xr:uid="{00000000-0005-0000-0000-00009D210000}"/>
    <cellStyle name="Note 3 2 6 2 2 2" xfId="16737" xr:uid="{DA828F5E-64EC-4E4D-BD58-2792ADC6C866}"/>
    <cellStyle name="Note 3 2 6 2 3" xfId="12519" xr:uid="{52C1BD00-47C7-4E82-ABC2-6FC2949C0397}"/>
    <cellStyle name="Note 3 2 6 3" xfId="6150" xr:uid="{00000000-0005-0000-0000-00009E210000}"/>
    <cellStyle name="Note 3 2 6 3 2" xfId="14592" xr:uid="{7272ECF4-285C-4721-B59E-12CD8151692F}"/>
    <cellStyle name="Note 3 2 6 4" xfId="10374" xr:uid="{7F7FC1AA-082C-4CD7-A285-2CA419476868}"/>
    <cellStyle name="Note 3 2 7" xfId="2256" xr:uid="{00000000-0005-0000-0000-00009F210000}"/>
    <cellStyle name="Note 3 2 7 2" xfId="4485" xr:uid="{00000000-0005-0000-0000-0000A0210000}"/>
    <cellStyle name="Note 3 2 7 2 2" xfId="8708" xr:uid="{00000000-0005-0000-0000-0000A1210000}"/>
    <cellStyle name="Note 3 2 7 2 2 2" xfId="17150" xr:uid="{2E4385CF-9901-4271-948C-AE11E659C0DE}"/>
    <cellStyle name="Note 3 2 7 2 3" xfId="12932" xr:uid="{F8031D35-0CD2-496B-A5C2-38C79D626F62}"/>
    <cellStyle name="Note 3 2 7 3" xfId="6563" xr:uid="{00000000-0005-0000-0000-0000A2210000}"/>
    <cellStyle name="Note 3 2 7 3 2" xfId="15005" xr:uid="{0EF7CE82-688D-4C9C-A022-BE67B2237D0B}"/>
    <cellStyle name="Note 3 2 7 4" xfId="10787" xr:uid="{516F75FE-58C9-4802-A296-4B3CF31D808A}"/>
    <cellStyle name="Note 3 2 8" xfId="2692" xr:uid="{00000000-0005-0000-0000-0000A3210000}"/>
    <cellStyle name="Note 3 2 8 2" xfId="6976" xr:uid="{00000000-0005-0000-0000-0000A4210000}"/>
    <cellStyle name="Note 3 2 8 2 2" xfId="15418" xr:uid="{984468A1-8057-4337-B69F-C82CDF2AD53B}"/>
    <cellStyle name="Note 3 2 8 3" xfId="11200" xr:uid="{6253727C-E7ED-4F9C-81C0-5DED6B964B1B}"/>
    <cellStyle name="Note 3 2 9" xfId="2751" xr:uid="{00000000-0005-0000-0000-0000A5210000}"/>
    <cellStyle name="Note 3 3" xfId="558" xr:uid="{00000000-0005-0000-0000-0000A6210000}"/>
    <cellStyle name="Note 3 3 10" xfId="4915" xr:uid="{00000000-0005-0000-0000-0000A7210000}"/>
    <cellStyle name="Note 3 3 10 2" xfId="13357" xr:uid="{AC0FA19A-A7F9-429F-A2AA-838568687494}"/>
    <cellStyle name="Note 3 3 11" xfId="9139" xr:uid="{5DDD97A2-5AAF-4333-BCBE-DEFD217D236F}"/>
    <cellStyle name="Note 3 3 2" xfId="559" xr:uid="{00000000-0005-0000-0000-0000A8210000}"/>
    <cellStyle name="Note 3 3 2 10" xfId="9140" xr:uid="{5A02386E-11B7-46C2-A0FF-3F172509B3A3}"/>
    <cellStyle name="Note 3 3 2 2" xfId="1019" xr:uid="{00000000-0005-0000-0000-0000A9210000}"/>
    <cellStyle name="Note 3 3 2 2 2" xfId="3251" xr:uid="{00000000-0005-0000-0000-0000AA210000}"/>
    <cellStyle name="Note 3 3 2 2 2 2" xfId="7474" xr:uid="{00000000-0005-0000-0000-0000AB210000}"/>
    <cellStyle name="Note 3 3 2 2 2 2 2" xfId="15916" xr:uid="{26BA579E-F55B-4225-A6BF-E86211B51095}"/>
    <cellStyle name="Note 3 3 2 2 2 3" xfId="11698" xr:uid="{24EDB946-1E9B-4757-AF7B-110A9E5E5A1B}"/>
    <cellStyle name="Note 3 3 2 2 3" xfId="5329" xr:uid="{00000000-0005-0000-0000-0000AC210000}"/>
    <cellStyle name="Note 3 3 2 2 3 2" xfId="13771" xr:uid="{0F3F9A77-2710-466D-BF43-1E8A322C81E9}"/>
    <cellStyle name="Note 3 3 2 2 4" xfId="9553" xr:uid="{1A447957-A6EC-4491-9F00-6C03790F4E46}"/>
    <cellStyle name="Note 3 3 2 3" xfId="1434" xr:uid="{00000000-0005-0000-0000-0000AD210000}"/>
    <cellStyle name="Note 3 3 2 3 2" xfId="3664" xr:uid="{00000000-0005-0000-0000-0000AE210000}"/>
    <cellStyle name="Note 3 3 2 3 2 2" xfId="7887" xr:uid="{00000000-0005-0000-0000-0000AF210000}"/>
    <cellStyle name="Note 3 3 2 3 2 2 2" xfId="16329" xr:uid="{5252D77B-A0FA-418D-8919-C801F44E945D}"/>
    <cellStyle name="Note 3 3 2 3 2 3" xfId="12111" xr:uid="{243D5368-6CBB-4CE8-9F61-900D7D63B75E}"/>
    <cellStyle name="Note 3 3 2 3 3" xfId="5742" xr:uid="{00000000-0005-0000-0000-0000B0210000}"/>
    <cellStyle name="Note 3 3 2 3 3 2" xfId="14184" xr:uid="{F5F3032E-0A1D-47D1-8123-9FEE9B5C6C12}"/>
    <cellStyle name="Note 3 3 2 3 4" xfId="9966" xr:uid="{10FC4ABF-E1D4-4949-AD97-ED7607452DD7}"/>
    <cellStyle name="Note 3 3 2 4" xfId="1848" xr:uid="{00000000-0005-0000-0000-0000B1210000}"/>
    <cellStyle name="Note 3 3 2 4 2" xfId="4077" xr:uid="{00000000-0005-0000-0000-0000B2210000}"/>
    <cellStyle name="Note 3 3 2 4 2 2" xfId="8300" xr:uid="{00000000-0005-0000-0000-0000B3210000}"/>
    <cellStyle name="Note 3 3 2 4 2 2 2" xfId="16742" xr:uid="{ED7F045B-E04A-417C-A191-C950F960EF8F}"/>
    <cellStyle name="Note 3 3 2 4 2 3" xfId="12524" xr:uid="{43A8D4D7-2652-4533-8179-9E3ECE14DB1D}"/>
    <cellStyle name="Note 3 3 2 4 3" xfId="6155" xr:uid="{00000000-0005-0000-0000-0000B4210000}"/>
    <cellStyle name="Note 3 3 2 4 3 2" xfId="14597" xr:uid="{C0138D71-9C02-4A62-AF6E-8720B12EF59E}"/>
    <cellStyle name="Note 3 3 2 4 4" xfId="10379" xr:uid="{96D3422B-B9C7-4809-A0AC-90260EBAD7F2}"/>
    <cellStyle name="Note 3 3 2 5" xfId="2261" xr:uid="{00000000-0005-0000-0000-0000B5210000}"/>
    <cellStyle name="Note 3 3 2 5 2" xfId="4490" xr:uid="{00000000-0005-0000-0000-0000B6210000}"/>
    <cellStyle name="Note 3 3 2 5 2 2" xfId="8713" xr:uid="{00000000-0005-0000-0000-0000B7210000}"/>
    <cellStyle name="Note 3 3 2 5 2 2 2" xfId="17155" xr:uid="{D1DF5622-29DC-4F5C-8E49-19D428E952E5}"/>
    <cellStyle name="Note 3 3 2 5 2 3" xfId="12937" xr:uid="{E6EB3AD6-883E-4069-9E24-E6EFA1FD52B8}"/>
    <cellStyle name="Note 3 3 2 5 3" xfId="6568" xr:uid="{00000000-0005-0000-0000-0000B8210000}"/>
    <cellStyle name="Note 3 3 2 5 3 2" xfId="15010" xr:uid="{F726A5AA-E5CA-4FB0-9B47-FF24A73F077C}"/>
    <cellStyle name="Note 3 3 2 5 4" xfId="10792" xr:uid="{EBBD4BE1-C1E6-44C9-9264-ADA8DE29510C}"/>
    <cellStyle name="Note 3 3 2 6" xfId="2697" xr:uid="{00000000-0005-0000-0000-0000B9210000}"/>
    <cellStyle name="Note 3 3 2 6 2" xfId="6981" xr:uid="{00000000-0005-0000-0000-0000BA210000}"/>
    <cellStyle name="Note 3 3 2 6 2 2" xfId="15423" xr:uid="{463C36DF-3088-4FD3-8E01-723BA3A0F289}"/>
    <cellStyle name="Note 3 3 2 6 3" xfId="11205" xr:uid="{70C3082C-4FFF-41CA-905B-8ED7E24BBAF5}"/>
    <cellStyle name="Note 3 3 2 7" xfId="2756" xr:uid="{00000000-0005-0000-0000-0000BB210000}"/>
    <cellStyle name="Note 3 3 2 8" xfId="2837" xr:uid="{00000000-0005-0000-0000-0000BC210000}"/>
    <cellStyle name="Note 3 3 2 8 2" xfId="7061" xr:uid="{00000000-0005-0000-0000-0000BD210000}"/>
    <cellStyle name="Note 3 3 2 8 2 2" xfId="15503" xr:uid="{637BCDC8-CA8D-4967-B6FC-7B1CBFBB6EF8}"/>
    <cellStyle name="Note 3 3 2 8 3" xfId="11285" xr:uid="{FA8AA1CB-BF5B-4A99-948F-577CA39C72F7}"/>
    <cellStyle name="Note 3 3 2 9" xfId="4916" xr:uid="{00000000-0005-0000-0000-0000BE210000}"/>
    <cellStyle name="Note 3 3 2 9 2" xfId="13358" xr:uid="{7E7FE4DA-EB74-4F98-A3AA-B7E0048D2102}"/>
    <cellStyle name="Note 3 3 3" xfId="1018" xr:uid="{00000000-0005-0000-0000-0000BF210000}"/>
    <cellStyle name="Note 3 3 3 2" xfId="3250" xr:uid="{00000000-0005-0000-0000-0000C0210000}"/>
    <cellStyle name="Note 3 3 3 2 2" xfId="7473" xr:uid="{00000000-0005-0000-0000-0000C1210000}"/>
    <cellStyle name="Note 3 3 3 2 2 2" xfId="15915" xr:uid="{8D2D0C62-7BE0-4225-8BA8-3E2C5CA1A558}"/>
    <cellStyle name="Note 3 3 3 2 3" xfId="11697" xr:uid="{4B73C35D-071F-424B-84F2-AD40085BAA6E}"/>
    <cellStyle name="Note 3 3 3 3" xfId="5328" xr:uid="{00000000-0005-0000-0000-0000C2210000}"/>
    <cellStyle name="Note 3 3 3 3 2" xfId="13770" xr:uid="{15DEAB15-1478-42AB-A029-6E8564BD9D6C}"/>
    <cellStyle name="Note 3 3 3 4" xfId="9552" xr:uid="{67EEEED2-C62E-47A6-BEE6-874C031A253A}"/>
    <cellStyle name="Note 3 3 4" xfId="1433" xr:uid="{00000000-0005-0000-0000-0000C3210000}"/>
    <cellStyle name="Note 3 3 4 2" xfId="3663" xr:uid="{00000000-0005-0000-0000-0000C4210000}"/>
    <cellStyle name="Note 3 3 4 2 2" xfId="7886" xr:uid="{00000000-0005-0000-0000-0000C5210000}"/>
    <cellStyle name="Note 3 3 4 2 2 2" xfId="16328" xr:uid="{82BA010B-13FB-4D09-93D5-0A14E127E448}"/>
    <cellStyle name="Note 3 3 4 2 3" xfId="12110" xr:uid="{45DBD0DD-16A4-46DC-B8E6-DAED22199278}"/>
    <cellStyle name="Note 3 3 4 3" xfId="5741" xr:uid="{00000000-0005-0000-0000-0000C6210000}"/>
    <cellStyle name="Note 3 3 4 3 2" xfId="14183" xr:uid="{0A98EEAE-DAB1-4D6B-A937-BEDD355CC432}"/>
    <cellStyle name="Note 3 3 4 4" xfId="9965" xr:uid="{39EE81EA-D646-4EC6-ADC2-CAD133BE6D75}"/>
    <cellStyle name="Note 3 3 5" xfId="1847" xr:uid="{00000000-0005-0000-0000-0000C7210000}"/>
    <cellStyle name="Note 3 3 5 2" xfId="4076" xr:uid="{00000000-0005-0000-0000-0000C8210000}"/>
    <cellStyle name="Note 3 3 5 2 2" xfId="8299" xr:uid="{00000000-0005-0000-0000-0000C9210000}"/>
    <cellStyle name="Note 3 3 5 2 2 2" xfId="16741" xr:uid="{275CAD5A-F3BB-4017-AB5C-64DDB57AC33C}"/>
    <cellStyle name="Note 3 3 5 2 3" xfId="12523" xr:uid="{0C5A3BE3-67AD-4FFE-921C-B32D4EC130DA}"/>
    <cellStyle name="Note 3 3 5 3" xfId="6154" xr:uid="{00000000-0005-0000-0000-0000CA210000}"/>
    <cellStyle name="Note 3 3 5 3 2" xfId="14596" xr:uid="{EFF87C5F-6D3C-4605-BFBE-3F14D7A9B300}"/>
    <cellStyle name="Note 3 3 5 4" xfId="10378" xr:uid="{86855AD8-E69B-4BA8-9941-204845E3E475}"/>
    <cellStyle name="Note 3 3 6" xfId="2260" xr:uid="{00000000-0005-0000-0000-0000CB210000}"/>
    <cellStyle name="Note 3 3 6 2" xfId="4489" xr:uid="{00000000-0005-0000-0000-0000CC210000}"/>
    <cellStyle name="Note 3 3 6 2 2" xfId="8712" xr:uid="{00000000-0005-0000-0000-0000CD210000}"/>
    <cellStyle name="Note 3 3 6 2 2 2" xfId="17154" xr:uid="{C39E1DD2-1A45-41D8-A9DB-86DEC3BFDED6}"/>
    <cellStyle name="Note 3 3 6 2 3" xfId="12936" xr:uid="{E734C722-DD55-4B76-A292-23F54161A066}"/>
    <cellStyle name="Note 3 3 6 3" xfId="6567" xr:uid="{00000000-0005-0000-0000-0000CE210000}"/>
    <cellStyle name="Note 3 3 6 3 2" xfId="15009" xr:uid="{729949A8-0CD7-467D-AD92-ED8857D8AA5E}"/>
    <cellStyle name="Note 3 3 6 4" xfId="10791" xr:uid="{EB4ED6DF-E509-475F-8764-136B1CF5FED7}"/>
    <cellStyle name="Note 3 3 7" xfId="2696" xr:uid="{00000000-0005-0000-0000-0000CF210000}"/>
    <cellStyle name="Note 3 3 7 2" xfId="6980" xr:uid="{00000000-0005-0000-0000-0000D0210000}"/>
    <cellStyle name="Note 3 3 7 2 2" xfId="15422" xr:uid="{2FE87A9C-E8F2-4BB1-B20B-E1D6E8A716B6}"/>
    <cellStyle name="Note 3 3 7 3" xfId="11204" xr:uid="{CF87DAC9-164E-436E-A4F0-527EE6D6D26D}"/>
    <cellStyle name="Note 3 3 8" xfId="2755" xr:uid="{00000000-0005-0000-0000-0000D1210000}"/>
    <cellStyle name="Note 3 3 9" xfId="2836" xr:uid="{00000000-0005-0000-0000-0000D2210000}"/>
    <cellStyle name="Note 3 3 9 2" xfId="7060" xr:uid="{00000000-0005-0000-0000-0000D3210000}"/>
    <cellStyle name="Note 3 3 9 2 2" xfId="15502" xr:uid="{66C620D5-3B49-41A9-B9AA-A92DB2E4F240}"/>
    <cellStyle name="Note 3 3 9 3" xfId="11284" xr:uid="{07E76D52-E84C-4494-B9DF-7D6F50177826}"/>
    <cellStyle name="Note 3 4" xfId="560" xr:uid="{00000000-0005-0000-0000-0000D4210000}"/>
    <cellStyle name="Note 3 4 10" xfId="9141" xr:uid="{0A99DDC5-6391-48CF-9979-CE08D7C96170}"/>
    <cellStyle name="Note 3 4 2" xfId="1020" xr:uid="{00000000-0005-0000-0000-0000D5210000}"/>
    <cellStyle name="Note 3 4 2 2" xfId="3252" xr:uid="{00000000-0005-0000-0000-0000D6210000}"/>
    <cellStyle name="Note 3 4 2 2 2" xfId="7475" xr:uid="{00000000-0005-0000-0000-0000D7210000}"/>
    <cellStyle name="Note 3 4 2 2 2 2" xfId="15917" xr:uid="{60D3E7FE-ECCD-4A8C-A242-4A59CF5EA220}"/>
    <cellStyle name="Note 3 4 2 2 3" xfId="11699" xr:uid="{C68B3AFB-D78A-416F-8DDC-017654C59AAA}"/>
    <cellStyle name="Note 3 4 2 3" xfId="5330" xr:uid="{00000000-0005-0000-0000-0000D8210000}"/>
    <cellStyle name="Note 3 4 2 3 2" xfId="13772" xr:uid="{1BF7BAE9-2284-4EFC-9CE0-076414535229}"/>
    <cellStyle name="Note 3 4 2 4" xfId="9554" xr:uid="{3E084D52-EBC4-4632-ADCB-030584FDD0DC}"/>
    <cellStyle name="Note 3 4 3" xfId="1435" xr:uid="{00000000-0005-0000-0000-0000D9210000}"/>
    <cellStyle name="Note 3 4 3 2" xfId="3665" xr:uid="{00000000-0005-0000-0000-0000DA210000}"/>
    <cellStyle name="Note 3 4 3 2 2" xfId="7888" xr:uid="{00000000-0005-0000-0000-0000DB210000}"/>
    <cellStyle name="Note 3 4 3 2 2 2" xfId="16330" xr:uid="{7ACB4AC5-AE6E-4A99-A7E8-73AFA407C392}"/>
    <cellStyle name="Note 3 4 3 2 3" xfId="12112" xr:uid="{85CF0332-1578-452F-A467-857DA6439F17}"/>
    <cellStyle name="Note 3 4 3 3" xfId="5743" xr:uid="{00000000-0005-0000-0000-0000DC210000}"/>
    <cellStyle name="Note 3 4 3 3 2" xfId="14185" xr:uid="{10C5CD57-06F9-43DF-AB0F-F812BE95D318}"/>
    <cellStyle name="Note 3 4 3 4" xfId="9967" xr:uid="{882456F0-DD06-4599-BD1B-ED6EC3997CA3}"/>
    <cellStyle name="Note 3 4 4" xfId="1849" xr:uid="{00000000-0005-0000-0000-0000DD210000}"/>
    <cellStyle name="Note 3 4 4 2" xfId="4078" xr:uid="{00000000-0005-0000-0000-0000DE210000}"/>
    <cellStyle name="Note 3 4 4 2 2" xfId="8301" xr:uid="{00000000-0005-0000-0000-0000DF210000}"/>
    <cellStyle name="Note 3 4 4 2 2 2" xfId="16743" xr:uid="{8D7213C4-8C90-4B6C-B827-16590BB7113C}"/>
    <cellStyle name="Note 3 4 4 2 3" xfId="12525" xr:uid="{F289E09D-1FA8-49DB-973A-0228D88833F1}"/>
    <cellStyle name="Note 3 4 4 3" xfId="6156" xr:uid="{00000000-0005-0000-0000-0000E0210000}"/>
    <cellStyle name="Note 3 4 4 3 2" xfId="14598" xr:uid="{3B4A5C6E-854C-4FD1-BDDD-3368A85F41E6}"/>
    <cellStyle name="Note 3 4 4 4" xfId="10380" xr:uid="{56A129D3-E885-4493-B825-9EBF9166E288}"/>
    <cellStyle name="Note 3 4 5" xfId="2262" xr:uid="{00000000-0005-0000-0000-0000E1210000}"/>
    <cellStyle name="Note 3 4 5 2" xfId="4491" xr:uid="{00000000-0005-0000-0000-0000E2210000}"/>
    <cellStyle name="Note 3 4 5 2 2" xfId="8714" xr:uid="{00000000-0005-0000-0000-0000E3210000}"/>
    <cellStyle name="Note 3 4 5 2 2 2" xfId="17156" xr:uid="{84D26617-5D34-45D2-9436-A41DCB2C84E5}"/>
    <cellStyle name="Note 3 4 5 2 3" xfId="12938" xr:uid="{73D79675-BA11-46DB-8C40-E12900A87197}"/>
    <cellStyle name="Note 3 4 5 3" xfId="6569" xr:uid="{00000000-0005-0000-0000-0000E4210000}"/>
    <cellStyle name="Note 3 4 5 3 2" xfId="15011" xr:uid="{D7623283-7043-44A1-AC41-365B1737ACC2}"/>
    <cellStyle name="Note 3 4 5 4" xfId="10793" xr:uid="{B8D09547-672B-4070-BE70-90B5E91622E2}"/>
    <cellStyle name="Note 3 4 6" xfId="2698" xr:uid="{00000000-0005-0000-0000-0000E5210000}"/>
    <cellStyle name="Note 3 4 6 2" xfId="6982" xr:uid="{00000000-0005-0000-0000-0000E6210000}"/>
    <cellStyle name="Note 3 4 6 2 2" xfId="15424" xr:uid="{5EDA90DC-5953-4901-BB16-E0765AB3D6A0}"/>
    <cellStyle name="Note 3 4 6 3" xfId="11206" xr:uid="{3D081E6B-0BA1-40AA-9029-AD0B8DBD8735}"/>
    <cellStyle name="Note 3 4 7" xfId="2757" xr:uid="{00000000-0005-0000-0000-0000E7210000}"/>
    <cellStyle name="Note 3 4 8" xfId="2838" xr:uid="{00000000-0005-0000-0000-0000E8210000}"/>
    <cellStyle name="Note 3 4 8 2" xfId="7062" xr:uid="{00000000-0005-0000-0000-0000E9210000}"/>
    <cellStyle name="Note 3 4 8 2 2" xfId="15504" xr:uid="{13C8BF9A-8C24-4553-8847-27D4239D04E0}"/>
    <cellStyle name="Note 3 4 8 3" xfId="11286" xr:uid="{FC6EBC65-9700-4B3E-890F-FC07E6AEBFE7}"/>
    <cellStyle name="Note 3 4 9" xfId="4917" xr:uid="{00000000-0005-0000-0000-0000EA210000}"/>
    <cellStyle name="Note 3 4 9 2" xfId="13359" xr:uid="{F6744444-E8AF-4D42-A01D-8FC34A65167F}"/>
    <cellStyle name="Note 3 5" xfId="561" xr:uid="{00000000-0005-0000-0000-0000EB210000}"/>
    <cellStyle name="Note 3 5 10" xfId="9142" xr:uid="{159DB1D7-34E2-4649-A4F1-CF4F43381B9C}"/>
    <cellStyle name="Note 3 5 2" xfId="1021" xr:uid="{00000000-0005-0000-0000-0000EC210000}"/>
    <cellStyle name="Note 3 5 2 2" xfId="3253" xr:uid="{00000000-0005-0000-0000-0000ED210000}"/>
    <cellStyle name="Note 3 5 2 2 2" xfId="7476" xr:uid="{00000000-0005-0000-0000-0000EE210000}"/>
    <cellStyle name="Note 3 5 2 2 2 2" xfId="15918" xr:uid="{1C48C443-B07F-4F51-86AB-8E52A683BD75}"/>
    <cellStyle name="Note 3 5 2 2 3" xfId="11700" xr:uid="{FE24F6A6-67EC-4BCE-B4C2-BD7680CD54C4}"/>
    <cellStyle name="Note 3 5 2 3" xfId="5331" xr:uid="{00000000-0005-0000-0000-0000EF210000}"/>
    <cellStyle name="Note 3 5 2 3 2" xfId="13773" xr:uid="{2698E611-CAEF-429D-96E2-245720F89F19}"/>
    <cellStyle name="Note 3 5 2 4" xfId="9555" xr:uid="{4E7CB526-7843-4CEC-A042-9C17A2F33741}"/>
    <cellStyle name="Note 3 5 3" xfId="1436" xr:uid="{00000000-0005-0000-0000-0000F0210000}"/>
    <cellStyle name="Note 3 5 3 2" xfId="3666" xr:uid="{00000000-0005-0000-0000-0000F1210000}"/>
    <cellStyle name="Note 3 5 3 2 2" xfId="7889" xr:uid="{00000000-0005-0000-0000-0000F2210000}"/>
    <cellStyle name="Note 3 5 3 2 2 2" xfId="16331" xr:uid="{B7432D43-CF54-466D-9B81-FCA6C7AABEB5}"/>
    <cellStyle name="Note 3 5 3 2 3" xfId="12113" xr:uid="{1439AC2A-6269-4571-9E56-A1B558A97D4A}"/>
    <cellStyle name="Note 3 5 3 3" xfId="5744" xr:uid="{00000000-0005-0000-0000-0000F3210000}"/>
    <cellStyle name="Note 3 5 3 3 2" xfId="14186" xr:uid="{715811E1-97B2-4DAA-9E50-B387B8D1D675}"/>
    <cellStyle name="Note 3 5 3 4" xfId="9968" xr:uid="{8AD46340-948D-429D-995C-1FF5F335A5C2}"/>
    <cellStyle name="Note 3 5 4" xfId="1850" xr:uid="{00000000-0005-0000-0000-0000F4210000}"/>
    <cellStyle name="Note 3 5 4 2" xfId="4079" xr:uid="{00000000-0005-0000-0000-0000F5210000}"/>
    <cellStyle name="Note 3 5 4 2 2" xfId="8302" xr:uid="{00000000-0005-0000-0000-0000F6210000}"/>
    <cellStyle name="Note 3 5 4 2 2 2" xfId="16744" xr:uid="{55476802-7857-431A-BE61-666F1612729F}"/>
    <cellStyle name="Note 3 5 4 2 3" xfId="12526" xr:uid="{F29A262D-BA50-4412-8A14-786CEBE23652}"/>
    <cellStyle name="Note 3 5 4 3" xfId="6157" xr:uid="{00000000-0005-0000-0000-0000F7210000}"/>
    <cellStyle name="Note 3 5 4 3 2" xfId="14599" xr:uid="{B740589B-9CAF-47D0-B56D-3B1845A94D9F}"/>
    <cellStyle name="Note 3 5 4 4" xfId="10381" xr:uid="{4AB886FF-8A80-41D7-969B-BF13C7CD06A6}"/>
    <cellStyle name="Note 3 5 5" xfId="2263" xr:uid="{00000000-0005-0000-0000-0000F8210000}"/>
    <cellStyle name="Note 3 5 5 2" xfId="4492" xr:uid="{00000000-0005-0000-0000-0000F9210000}"/>
    <cellStyle name="Note 3 5 5 2 2" xfId="8715" xr:uid="{00000000-0005-0000-0000-0000FA210000}"/>
    <cellStyle name="Note 3 5 5 2 2 2" xfId="17157" xr:uid="{BF5AF165-50DD-4FC9-89C7-37A58B212BBE}"/>
    <cellStyle name="Note 3 5 5 2 3" xfId="12939" xr:uid="{1A3F7FC7-7A2F-498F-8A72-FD23A06148E4}"/>
    <cellStyle name="Note 3 5 5 3" xfId="6570" xr:uid="{00000000-0005-0000-0000-0000FB210000}"/>
    <cellStyle name="Note 3 5 5 3 2" xfId="15012" xr:uid="{61E4528C-667E-405A-8646-1D4215124EDC}"/>
    <cellStyle name="Note 3 5 5 4" xfId="10794" xr:uid="{50B8B4C7-C55E-4440-B014-A7B4FC783ED4}"/>
    <cellStyle name="Note 3 5 6" xfId="2699" xr:uid="{00000000-0005-0000-0000-0000FC210000}"/>
    <cellStyle name="Note 3 5 6 2" xfId="6983" xr:uid="{00000000-0005-0000-0000-0000FD210000}"/>
    <cellStyle name="Note 3 5 6 2 2" xfId="15425" xr:uid="{1AB8E1BC-AD78-4BB4-B43F-32CD2E4846F7}"/>
    <cellStyle name="Note 3 5 6 3" xfId="11207" xr:uid="{A9F32EC4-8B41-4C72-B2AC-DA1E3ABCCBE7}"/>
    <cellStyle name="Note 3 5 7" xfId="2758" xr:uid="{00000000-0005-0000-0000-0000FE210000}"/>
    <cellStyle name="Note 3 5 8" xfId="2839" xr:uid="{00000000-0005-0000-0000-0000FF210000}"/>
    <cellStyle name="Note 3 5 8 2" xfId="7063" xr:uid="{00000000-0005-0000-0000-000000220000}"/>
    <cellStyle name="Note 3 5 8 2 2" xfId="15505" xr:uid="{2140010F-EB54-47EC-B766-C59861AF972A}"/>
    <cellStyle name="Note 3 5 8 3" xfId="11287" xr:uid="{4A6F89F4-0547-4BD6-963B-7BE53E50F7D8}"/>
    <cellStyle name="Note 3 5 9" xfId="4918" xr:uid="{00000000-0005-0000-0000-000001220000}"/>
    <cellStyle name="Note 3 5 9 2" xfId="13360" xr:uid="{3817DF04-6435-4EF8-8F6C-E3965C8C040E}"/>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06ABFCDC-BE0D-4D1E-91BA-C0B294EED3AB}"/>
    <cellStyle name="Percent 4" xfId="4502" xr:uid="{00000000-0005-0000-0000-000007220000}"/>
    <cellStyle name="Percent 4 2" xfId="8718" xr:uid="{00000000-0005-0000-0000-000008220000}"/>
    <cellStyle name="Percent 4 2 2" xfId="17160" xr:uid="{BB022896-29D7-49DD-AFE3-A2A9DB380ED4}"/>
    <cellStyle name="Percent 4 3" xfId="8721" xr:uid="{D09CD3FC-D632-4B66-A68A-5CC92F993799}"/>
    <cellStyle name="Percent 4 3 2" xfId="8725" xr:uid="{D57AE941-8E59-43F0-AB73-09B3BCCFA234}"/>
    <cellStyle name="Percent 4 3 2 2" xfId="8728" xr:uid="{D24D76A7-D076-4554-9944-551B122393DE}"/>
    <cellStyle name="Percent 4 3 3" xfId="17163" xr:uid="{6994D086-360A-4B76-ACB8-F9B26A014510}"/>
    <cellStyle name="Percent 4 4" xfId="12946" xr:uid="{5CAEA30D-B58A-4E31-8F31-7DEC534EC06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7">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16" dataDxfId="115" headerRowCellStyle="Normal 16 3" dataCellStyle="Normal 16 3">
  <autoFilter ref="BM8:BM13" xr:uid="{EC5E3245-E94C-4732-9264-A1FF7840F5A2}"/>
  <tableColumns count="1">
    <tableColumn id="1" xr3:uid="{65240E69-32D4-48CF-98F7-C12A61079F3B}" name="Construction Type" dataDxfId="114"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3" dataDxfId="112"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1" dataCellStyle="Normal 15">
      <calculatedColumnFormula>IFERROR(MIN(4,MATCH(Application!B718,UnitSizes,0)-1),"")</calculatedColumnFormula>
    </tableColumn>
    <tableColumn id="3" xr3:uid="{3C170205-C158-4CBB-8CF5-9AF725351349}" name="Quantity" dataDxfId="110" dataCellStyle="Normal 15">
      <calculatedColumnFormula>Application!G718</calculatedColumnFormula>
    </tableColumn>
    <tableColumn id="6" xr3:uid="{7C05B4DE-3AC1-47F3-9C25-D16553367CFA}" name="iAMI" dataDxfId="109" dataCellStyle="Percent">
      <calculatedColumnFormula>Application!AC718</calculatedColumnFormula>
    </tableColumn>
    <tableColumn id="7" xr3:uid="{2B6706B4-1A54-4104-A649-2FE0A4FF8E92}" name="AMI" dataDxfId="108" dataCellStyle="Percent">
      <calculatedColumnFormula>IF(Cdlac[[#This Row],[Quantity]]&gt;0,IF(Cdlac[[#This Row],[Federal]],30%,IF($G$36,40%,Cdlac[[#This Row],[iAMI]])),"")</calculatedColumnFormula>
    </tableColumn>
    <tableColumn id="8" xr3:uid="{A8EB42BE-4789-45EE-A11C-67C20CB0D91B}" name="Restricted Rent" dataDxfId="107" dataCellStyle="Normal 15">
      <calculatedColumnFormula array="1">IF(Cdlac[[#This Row],[Quantity]]&gt;0,INDEX(TcacRents,$P$18,Cdlac[[#This Row],[Bedrooms]]+1)*Cdlac[[#This Row],[AMI]],"")</calculatedColumnFormula>
    </tableColumn>
    <tableColumn id="9" xr3:uid="{E7AC364D-B07B-4A38-B74E-DAE64921E290}" name="Fair Market Rent" dataDxfId="106" dataCellStyle="Normal 15">
      <calculatedColumnFormula array="1">IF(Cdlac[[#This Row],[Quantity]]&gt;0,INDEX(HudFmrs,$P$18,Cdlac[[#This Row],[Bedrooms]]+1),"")</calculatedColumnFormula>
    </tableColumn>
    <tableColumn id="10" xr3:uid="{630C504C-0251-4207-88FB-451973BE380A}" name="Delta" dataDxfId="105" dataCellStyle="Normal 15">
      <calculatedColumnFormula>IF(Cdlac[[#This Row],[Quantity]]&gt;0,MAX(0,Cdlac[[#This Row],[Fair Market Rent]]-Cdlac[[#This Row],[Restricted Rent]]),"")</calculatedColumnFormula>
    </tableColumn>
    <tableColumn id="11" xr3:uid="{9C619E83-105C-4EED-A831-1DAB5BB5AC88}" name="Population" dataDxfId="104" dataCellStyle="Normal 15">
      <calculatedColumnFormula>IF(Cdlac[[#This Row],[Quantity]]&gt;0,AND(Application!AK718&lt;&gt;"N/A",Application!AK718&lt;&gt;"")*Cdlac[[#This Row],[Quantity]],"")</calculatedColumnFormula>
    </tableColumn>
    <tableColumn id="4" xr3:uid="{5D52F6BE-992B-4621-8785-ED1E8B62A78F}" name="Federal" dataDxfId="103"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3" t="s">
        <v>559</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5"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5" t="s">
        <v>2350</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89"/>
    </row>
    <row r="8" spans="1:38">
      <c r="A8" s="218"/>
      <c r="B8" s="218"/>
      <c r="C8" s="219"/>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89"/>
    </row>
    <row r="9" spans="1:38">
      <c r="A9" s="218"/>
      <c r="B9" s="218"/>
      <c r="C9" s="219"/>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5" t="s">
        <v>2351</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89"/>
    </row>
    <row r="12" spans="1:38">
      <c r="A12" s="218"/>
      <c r="B12" s="218"/>
      <c r="C12" s="219"/>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89"/>
    </row>
    <row r="13" spans="1:38">
      <c r="A13" s="218"/>
      <c r="B13" s="218"/>
      <c r="C13" s="219"/>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89"/>
    </row>
    <row r="14" spans="1:38" ht="13.15" customHeight="1">
      <c r="A14" s="218"/>
      <c r="B14" s="218"/>
      <c r="C14" s="219"/>
      <c r="E14" s="1275" t="s">
        <v>2580</v>
      </c>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489"/>
    </row>
    <row r="15" spans="1:38" ht="13.15" customHeight="1">
      <c r="A15" s="218"/>
      <c r="B15" s="218"/>
      <c r="C15" s="219"/>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89"/>
    </row>
    <row r="16" spans="1:38">
      <c r="A16" s="218"/>
      <c r="B16" s="218"/>
      <c r="C16" s="219"/>
      <c r="D16" s="489"/>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5" t="s">
        <v>2352</v>
      </c>
      <c r="E18" s="1275"/>
      <c r="F18" s="1275"/>
      <c r="G18" s="1275"/>
      <c r="H18" s="1275"/>
      <c r="I18" s="1275"/>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218"/>
    </row>
    <row r="19" spans="1:38">
      <c r="A19" s="218"/>
      <c r="B19" s="218"/>
      <c r="C19" s="219"/>
      <c r="D19" s="1275"/>
      <c r="E19" s="1275"/>
      <c r="F19" s="1275"/>
      <c r="G19" s="1275"/>
      <c r="H19" s="1275"/>
      <c r="I19" s="1275"/>
      <c r="J19" s="1275"/>
      <c r="K19" s="1275"/>
      <c r="L19" s="1275"/>
      <c r="M19" s="1275"/>
      <c r="N19" s="1275"/>
      <c r="O19" s="1275"/>
      <c r="P19" s="1275"/>
      <c r="Q19" s="1275"/>
      <c r="R19" s="1275"/>
      <c r="S19" s="1275"/>
      <c r="T19" s="1275"/>
      <c r="U19" s="1275"/>
      <c r="V19" s="1275"/>
      <c r="W19" s="1275"/>
      <c r="X19" s="1275"/>
      <c r="Y19" s="1275"/>
      <c r="Z19" s="1275"/>
      <c r="AA19" s="1275"/>
      <c r="AB19" s="1275"/>
      <c r="AC19" s="1275"/>
      <c r="AD19" s="1275"/>
      <c r="AE19" s="1275"/>
      <c r="AF19" s="1275"/>
      <c r="AG19" s="1275"/>
      <c r="AH19" s="1275"/>
      <c r="AI19" s="1275"/>
      <c r="AJ19" s="1275"/>
      <c r="AK19" s="1275"/>
      <c r="AL19" s="218"/>
    </row>
    <row r="20" spans="1:38">
      <c r="A20" s="218"/>
      <c r="B20" s="218"/>
      <c r="C20" s="219"/>
      <c r="D20" s="1275"/>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18"/>
    </row>
    <row r="21" spans="1:38" ht="13.15" customHeight="1">
      <c r="A21" s="218"/>
      <c r="B21" s="218"/>
      <c r="C21" s="219"/>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18"/>
    </row>
    <row r="22" spans="1:38">
      <c r="A22" s="218"/>
      <c r="B22" s="218"/>
      <c r="C22" s="219"/>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18"/>
    </row>
    <row r="23" spans="1:38">
      <c r="A23" s="218"/>
      <c r="B23" s="218"/>
      <c r="C23" s="219"/>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18"/>
    </row>
    <row r="24" spans="1:38">
      <c r="A24" s="218"/>
      <c r="B24" s="218"/>
      <c r="C24" s="219"/>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18"/>
    </row>
    <row r="25" spans="1:38">
      <c r="A25" s="218"/>
      <c r="B25" s="218"/>
      <c r="C25" s="219"/>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18"/>
    </row>
    <row r="26" spans="1:38">
      <c r="A26" s="218"/>
      <c r="B26" s="218"/>
      <c r="C26" s="219"/>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18"/>
    </row>
    <row r="27" spans="1:38" ht="11.85" customHeight="1">
      <c r="A27" s="218"/>
      <c r="B27" s="218"/>
      <c r="C27" s="219"/>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18"/>
    </row>
    <row r="28" spans="1:38" ht="13.15" hidden="1" customHeight="1">
      <c r="A28" s="218"/>
      <c r="B28" s="218"/>
      <c r="C28" s="219"/>
      <c r="E28" s="1275" t="s">
        <v>2507</v>
      </c>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18"/>
    </row>
    <row r="29" spans="1:38" ht="13.15" hidden="1" customHeight="1">
      <c r="A29" s="218"/>
      <c r="B29" s="218"/>
      <c r="C29" s="219"/>
      <c r="E29" s="1275"/>
      <c r="F29" s="1275"/>
      <c r="G29" s="1275"/>
      <c r="H29" s="1275"/>
      <c r="I29" s="1275"/>
      <c r="J29" s="1275"/>
      <c r="K29" s="1275"/>
      <c r="L29" s="1275"/>
      <c r="M29" s="1275"/>
      <c r="N29" s="1275"/>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218"/>
    </row>
    <row r="30" spans="1:38" hidden="1">
      <c r="A30" s="218"/>
      <c r="B30" s="218"/>
      <c r="C30" s="219"/>
      <c r="D30" s="489"/>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5" t="s">
        <v>2353</v>
      </c>
      <c r="E32" s="1275"/>
      <c r="F32" s="1275"/>
      <c r="G32" s="1275"/>
      <c r="H32" s="1275"/>
      <c r="I32" s="1275"/>
      <c r="J32" s="1275"/>
      <c r="K32" s="1275"/>
      <c r="L32" s="1275"/>
      <c r="M32" s="1275"/>
      <c r="N32" s="1275"/>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218"/>
    </row>
    <row r="33" spans="1:38">
      <c r="A33" s="218"/>
      <c r="B33" s="218"/>
      <c r="C33" s="219"/>
      <c r="D33" s="489"/>
      <c r="E33" s="1282" t="s">
        <v>2586</v>
      </c>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218"/>
    </row>
    <row r="34" spans="1:38">
      <c r="A34" s="4"/>
      <c r="C34" s="2"/>
    </row>
    <row r="35" spans="1:38">
      <c r="A35" s="4"/>
      <c r="D35" s="1276" t="s">
        <v>2502</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81" t="s">
        <v>2360</v>
      </c>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row>
    <row r="38" spans="1:38">
      <c r="A38" s="4"/>
      <c r="D38" s="120"/>
      <c r="E38" s="1281" t="s">
        <v>2361</v>
      </c>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75" customFormat="1" ht="13.15" customHeight="1">
      <c r="A42" s="4"/>
      <c r="B42"/>
      <c r="C42" s="2"/>
      <c r="D42" s="4"/>
      <c r="E42" s="4" t="s">
        <v>662</v>
      </c>
      <c r="F42" s="1275" t="s">
        <v>1271</v>
      </c>
    </row>
    <row r="43" spans="1:38" s="1275"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9" t="s">
        <v>1355</v>
      </c>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row>
    <row r="46" spans="1:38" s="118" customFormat="1">
      <c r="A46" s="4"/>
      <c r="B46"/>
      <c r="C46" s="2"/>
      <c r="D46" s="4"/>
      <c r="E46" s="4"/>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79"/>
      <c r="AK46" s="1279"/>
      <c r="AL46" s="1279"/>
    </row>
    <row r="47" spans="1:38" s="118" customFormat="1" ht="13.15" customHeight="1">
      <c r="A47" s="4"/>
      <c r="B47"/>
      <c r="C47" s="2"/>
      <c r="D47" s="4"/>
      <c r="E47" s="4"/>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79"/>
      <c r="AK47" s="1279"/>
      <c r="AL47" s="1279"/>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75" t="s">
        <v>2355</v>
      </c>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c r="A51" s="4"/>
      <c r="C51" s="2"/>
      <c r="D51" s="4"/>
      <c r="E51" s="4"/>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row>
    <row r="52" spans="1:38">
      <c r="A52" s="4"/>
      <c r="C52" s="2"/>
      <c r="D52" s="4"/>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7" t="s">
        <v>1298</v>
      </c>
      <c r="H56" s="1277"/>
      <c r="I56" s="1277"/>
      <c r="J56" s="1277"/>
      <c r="K56" s="1277"/>
      <c r="L56" s="1277"/>
      <c r="M56" s="1277"/>
      <c r="N56" s="1277"/>
      <c r="O56" s="1277"/>
      <c r="P56" s="1277"/>
      <c r="Q56" s="1277"/>
      <c r="R56" s="1277"/>
      <c r="S56" s="1277"/>
      <c r="T56" s="1277"/>
      <c r="U56" s="1277"/>
      <c r="V56" s="1277"/>
      <c r="W56" s="1277"/>
      <c r="X56" s="1277"/>
      <c r="Y56" s="1277"/>
      <c r="Z56" s="1277"/>
      <c r="AA56" s="1277"/>
      <c r="AB56" s="1277"/>
      <c r="AC56" s="1277"/>
      <c r="AD56" s="1277"/>
      <c r="AE56" s="1277"/>
      <c r="AF56" s="1277"/>
      <c r="AG56" s="1277"/>
      <c r="AH56" s="1277"/>
      <c r="AI56" s="1277"/>
      <c r="AJ56" s="1277"/>
      <c r="AK56" s="1277"/>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7" t="s">
        <v>584</v>
      </c>
      <c r="H58" s="1277"/>
      <c r="I58" s="127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7" t="s">
        <v>2356</v>
      </c>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1277"/>
      <c r="AG59" s="1277"/>
      <c r="AH59" s="1277"/>
      <c r="AI59" s="1277"/>
      <c r="AJ59" s="1277"/>
      <c r="AK59" s="1277"/>
      <c r="AL59" s="1277"/>
    </row>
    <row r="60" spans="1:38">
      <c r="A60" s="218"/>
      <c r="B60" s="218"/>
      <c r="C60" s="219"/>
      <c r="D60" s="219"/>
      <c r="E60" s="218"/>
      <c r="F60" s="220"/>
      <c r="G60" s="1277"/>
      <c r="H60" s="1277"/>
      <c r="I60" s="1277"/>
      <c r="J60" s="1277"/>
      <c r="K60" s="1277"/>
      <c r="L60" s="1277"/>
      <c r="M60" s="1277"/>
      <c r="N60" s="1277"/>
      <c r="O60" s="1277"/>
      <c r="P60" s="1277"/>
      <c r="Q60" s="1277"/>
      <c r="R60" s="1277"/>
      <c r="S60" s="1277"/>
      <c r="T60" s="1277"/>
      <c r="U60" s="1277"/>
      <c r="V60" s="1277"/>
      <c r="W60" s="1277"/>
      <c r="X60" s="1277"/>
      <c r="Y60" s="1277"/>
      <c r="Z60" s="1277"/>
      <c r="AA60" s="1277"/>
      <c r="AB60" s="1277"/>
      <c r="AC60" s="1277"/>
      <c r="AD60" s="1277"/>
      <c r="AE60" s="1277"/>
      <c r="AF60" s="1277"/>
      <c r="AG60" s="1277"/>
      <c r="AH60" s="1277"/>
      <c r="AI60" s="1277"/>
      <c r="AJ60" s="1277"/>
      <c r="AK60" s="1277"/>
      <c r="AL60" s="1277"/>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75" t="s">
        <v>1273</v>
      </c>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c r="A67" s="4"/>
      <c r="C67" s="2"/>
      <c r="D67" s="4"/>
      <c r="E67" s="4"/>
      <c r="G67" s="1275"/>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c r="A68" s="4"/>
      <c r="C68" s="2"/>
      <c r="D68" s="4"/>
      <c r="E68" s="4"/>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ht="13.15" customHeight="1">
      <c r="A69" s="4"/>
      <c r="C69" s="2"/>
      <c r="D69" s="4"/>
      <c r="E69" s="4"/>
      <c r="F69" t="s">
        <v>518</v>
      </c>
      <c r="G69" s="1275" t="s">
        <v>1274</v>
      </c>
      <c r="H69" s="1275"/>
      <c r="I69" s="1275"/>
      <c r="J69" s="1275"/>
      <c r="K69" s="1275"/>
      <c r="L69" s="1275"/>
      <c r="M69" s="1275"/>
      <c r="N69" s="1275"/>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row>
    <row r="70" spans="1:37">
      <c r="A70" s="4"/>
      <c r="C70" s="2"/>
      <c r="D70" s="4"/>
      <c r="E70" s="4"/>
      <c r="F70" s="27"/>
      <c r="G70" s="1275"/>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75" t="s">
        <v>1275</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c r="A74" s="4"/>
      <c r="C74" s="2"/>
      <c r="D74" s="4"/>
      <c r="E74" s="4"/>
      <c r="F74" s="8" t="s">
        <v>518</v>
      </c>
      <c r="G74" s="1275" t="s">
        <v>1276</v>
      </c>
      <c r="H74" s="1275"/>
      <c r="I74" s="1275"/>
      <c r="J74" s="1275"/>
      <c r="K74" s="1275"/>
      <c r="L74" s="1275"/>
      <c r="M74" s="1275"/>
      <c r="N74" s="1275"/>
      <c r="O74" s="1275"/>
      <c r="P74" s="1275"/>
      <c r="Q74" s="1275"/>
      <c r="R74" s="1275"/>
      <c r="S74" s="1275"/>
      <c r="T74" s="1275"/>
      <c r="U74" s="1275"/>
      <c r="V74" s="1275"/>
      <c r="W74" s="1275"/>
      <c r="X74" s="1275"/>
      <c r="Y74" s="1275"/>
      <c r="Z74" s="1275"/>
      <c r="AA74" s="1275"/>
      <c r="AB74" s="1275"/>
      <c r="AC74" s="1275"/>
      <c r="AD74" s="1275"/>
      <c r="AE74" s="1275"/>
      <c r="AF74" s="1275"/>
      <c r="AG74" s="1275"/>
      <c r="AH74" s="1275"/>
      <c r="AI74" s="1275"/>
      <c r="AJ74" s="1275"/>
      <c r="AK74" s="1275"/>
    </row>
    <row r="75" spans="1:37">
      <c r="A75" s="4"/>
      <c r="C75" s="2"/>
      <c r="D75" s="4"/>
      <c r="E75" s="4"/>
      <c r="F75" s="8"/>
      <c r="G75" s="1275"/>
      <c r="H75" s="1275"/>
      <c r="I75" s="1275"/>
      <c r="J75" s="1275"/>
      <c r="K75" s="1275"/>
      <c r="L75" s="1275"/>
      <c r="M75" s="1275"/>
      <c r="N75" s="1275"/>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5" t="s">
        <v>1277</v>
      </c>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c r="A83" s="4"/>
      <c r="C83" s="2"/>
      <c r="D83" s="4"/>
      <c r="E83" s="4"/>
      <c r="F83" s="4"/>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row>
    <row r="84" spans="1:37">
      <c r="A84" s="4"/>
      <c r="C84" s="2"/>
      <c r="D84" s="4"/>
      <c r="E84" s="4"/>
      <c r="F84" s="4"/>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5" t="s">
        <v>1278</v>
      </c>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c r="A87" s="4"/>
      <c r="C87" s="2"/>
      <c r="D87" s="4"/>
      <c r="E87" s="4"/>
      <c r="F87" s="4"/>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row>
    <row r="88" spans="1:37">
      <c r="A88" s="4"/>
      <c r="C88" s="2"/>
      <c r="D88" s="4"/>
      <c r="E88" s="4"/>
      <c r="G88" s="1275"/>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84" t="s">
        <v>1279</v>
      </c>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c r="AK90" s="1284"/>
    </row>
    <row r="91" spans="1:37">
      <c r="A91" s="4"/>
      <c r="C91" s="2"/>
      <c r="D91" s="4"/>
      <c r="E91" s="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J91" s="1284"/>
      <c r="AK91" s="1284"/>
    </row>
    <row r="92" spans="1:37">
      <c r="A92" s="4"/>
      <c r="C92" s="2"/>
      <c r="D92" s="4"/>
      <c r="E92" s="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J92" s="1284"/>
      <c r="AK92" s="1284"/>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5" t="s">
        <v>1280</v>
      </c>
      <c r="H94" s="1275"/>
      <c r="I94" s="1275"/>
      <c r="J94" s="1275"/>
      <c r="K94" s="1275"/>
      <c r="L94" s="1275"/>
      <c r="M94" s="1275"/>
      <c r="N94" s="1275"/>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row>
    <row r="95" spans="1:37">
      <c r="A95" s="4"/>
      <c r="C95" s="2"/>
      <c r="D95" s="4"/>
      <c r="E95" s="4"/>
      <c r="G95" s="1275"/>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75" t="s">
        <v>1281</v>
      </c>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c r="A98" s="4"/>
      <c r="C98" s="2"/>
      <c r="D98" s="4"/>
      <c r="E98" s="4"/>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C99" s="2"/>
      <c r="D99" s="4"/>
      <c r="E99" s="4"/>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D100" s="99"/>
      <c r="E100" s="1285" t="s">
        <v>1282</v>
      </c>
      <c r="F100" s="1285"/>
      <c r="G100" s="1285"/>
      <c r="H100" s="1285"/>
      <c r="I100" s="1285"/>
      <c r="J100" s="1285"/>
      <c r="K100" s="1285"/>
      <c r="L100" s="1285"/>
      <c r="M100" s="1285"/>
      <c r="N100" s="1285"/>
      <c r="O100" s="1285"/>
      <c r="P100" s="1285"/>
      <c r="Q100" s="1285"/>
      <c r="R100" s="1285"/>
      <c r="S100" s="1285"/>
      <c r="T100" s="1285"/>
      <c r="U100" s="1285"/>
      <c r="V100" s="1285"/>
      <c r="W100" s="1285"/>
      <c r="X100" s="1285"/>
      <c r="Y100" s="1285"/>
      <c r="Z100" s="1285"/>
      <c r="AA100" s="1285"/>
      <c r="AB100" s="1285"/>
      <c r="AC100" s="1285"/>
      <c r="AD100" s="1285"/>
      <c r="AE100" s="1285"/>
      <c r="AF100" s="1285"/>
      <c r="AG100" s="1285"/>
      <c r="AH100" s="1285"/>
      <c r="AI100" s="1285"/>
      <c r="AJ100" s="1285"/>
      <c r="AK100" s="1285"/>
    </row>
    <row r="101" spans="1:38">
      <c r="A101" s="4"/>
      <c r="D101" s="99"/>
      <c r="E101" s="1285"/>
      <c r="F101" s="1285"/>
      <c r="G101" s="1285"/>
      <c r="H101" s="1285"/>
      <c r="I101" s="1285"/>
      <c r="J101" s="1285"/>
      <c r="K101" s="1285"/>
      <c r="L101" s="1285"/>
      <c r="M101" s="1285"/>
      <c r="N101" s="1285"/>
      <c r="O101" s="1285"/>
      <c r="P101" s="1285"/>
      <c r="Q101" s="1285"/>
      <c r="R101" s="1285"/>
      <c r="S101" s="1285"/>
      <c r="T101" s="1285"/>
      <c r="U101" s="1285"/>
      <c r="V101" s="1285"/>
      <c r="W101" s="1285"/>
      <c r="X101" s="1285"/>
      <c r="Y101" s="1285"/>
      <c r="Z101" s="1285"/>
      <c r="AA101" s="1285"/>
      <c r="AB101" s="1285"/>
      <c r="AC101" s="1285"/>
      <c r="AD101" s="1285"/>
      <c r="AE101" s="1285"/>
      <c r="AF101" s="1285"/>
      <c r="AG101" s="1285"/>
      <c r="AH101" s="1285"/>
      <c r="AI101" s="1285"/>
      <c r="AJ101" s="1285"/>
      <c r="AK101" s="128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75" t="s">
        <v>1283</v>
      </c>
      <c r="H207" s="1275"/>
      <c r="I207" s="1275"/>
      <c r="J207" s="1275"/>
      <c r="K207" s="1275"/>
      <c r="L207" s="1275"/>
      <c r="M207" s="1275"/>
      <c r="N207" s="1275"/>
      <c r="O207" s="1275"/>
      <c r="P207" s="1275"/>
      <c r="Q207" s="1275"/>
      <c r="R207" s="1275"/>
      <c r="S207" s="1275"/>
      <c r="T207" s="1275"/>
      <c r="U207" s="1275"/>
      <c r="V207" s="1275"/>
      <c r="W207" s="1275"/>
      <c r="X207" s="1275"/>
      <c r="Y207" s="1275"/>
      <c r="Z207" s="1275"/>
      <c r="AA207" s="1275"/>
      <c r="AB207" s="1275"/>
      <c r="AC207" s="1275"/>
      <c r="AD207" s="1275"/>
      <c r="AE207" s="1275"/>
      <c r="AF207" s="1275"/>
      <c r="AG207" s="1275"/>
      <c r="AH207" s="1275"/>
      <c r="AI207" s="1275"/>
      <c r="AJ207" s="1275"/>
      <c r="AK207" s="1275"/>
    </row>
    <row r="208" spans="2:37">
      <c r="B208" s="4"/>
      <c r="C208" s="4"/>
      <c r="D208" s="2"/>
      <c r="G208" s="1275"/>
      <c r="H208" s="1275"/>
      <c r="I208" s="1275"/>
      <c r="J208" s="1275"/>
      <c r="K208" s="1275"/>
      <c r="L208" s="1275"/>
      <c r="M208" s="1275"/>
      <c r="N208" s="1275"/>
      <c r="O208" s="1275"/>
      <c r="P208" s="1275"/>
      <c r="Q208" s="1275"/>
      <c r="R208" s="1275"/>
      <c r="S208" s="1275"/>
      <c r="T208" s="1275"/>
      <c r="U208" s="1275"/>
      <c r="V208" s="1275"/>
      <c r="W208" s="1275"/>
      <c r="X208" s="1275"/>
      <c r="Y208" s="1275"/>
      <c r="Z208" s="1275"/>
      <c r="AA208" s="1275"/>
      <c r="AB208" s="1275"/>
      <c r="AC208" s="1275"/>
      <c r="AD208" s="1275"/>
      <c r="AE208" s="1275"/>
      <c r="AF208" s="1275"/>
      <c r="AG208" s="1275"/>
      <c r="AH208" s="1275"/>
      <c r="AI208" s="1275"/>
      <c r="AJ208" s="1275"/>
      <c r="AK208" s="1275"/>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75" t="s">
        <v>1258</v>
      </c>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c r="B339" s="2"/>
      <c r="E339" s="4"/>
      <c r="F339" s="1275"/>
      <c r="G339" s="1275"/>
      <c r="H339" s="1275"/>
      <c r="I339" s="1275"/>
      <c r="J339" s="1275"/>
      <c r="K339" s="1275"/>
      <c r="L339" s="1275"/>
      <c r="M339" s="1275"/>
      <c r="N339" s="1275"/>
      <c r="O339" s="1275"/>
      <c r="P339" s="1275"/>
      <c r="Q339" s="1275"/>
      <c r="R339" s="1275"/>
      <c r="S339" s="1275"/>
      <c r="T339" s="1275"/>
      <c r="U339" s="1275"/>
      <c r="V339" s="1275"/>
      <c r="W339" s="1275"/>
      <c r="X339" s="1275"/>
      <c r="Y339" s="1275"/>
      <c r="Z339" s="1275"/>
      <c r="AA339" s="1275"/>
      <c r="AB339" s="1275"/>
      <c r="AC339" s="1275"/>
      <c r="AD339" s="1275"/>
      <c r="AE339" s="1275"/>
      <c r="AF339" s="1275"/>
      <c r="AG339" s="1275"/>
      <c r="AH339" s="1275"/>
      <c r="AI339" s="1275"/>
      <c r="AJ339" s="1275"/>
      <c r="AK339" s="1275"/>
    </row>
    <row r="340" spans="2:37">
      <c r="B340" s="2"/>
      <c r="E340" s="4"/>
      <c r="F340" s="1275"/>
      <c r="G340" s="1275"/>
      <c r="H340" s="1275"/>
      <c r="I340" s="1275"/>
      <c r="J340" s="1275"/>
      <c r="K340" s="1275"/>
      <c r="L340" s="1275"/>
      <c r="M340" s="1275"/>
      <c r="N340" s="1275"/>
      <c r="O340" s="1275"/>
      <c r="P340" s="1275"/>
      <c r="Q340" s="1275"/>
      <c r="R340" s="1275"/>
      <c r="S340" s="1275"/>
      <c r="T340" s="1275"/>
      <c r="U340" s="1275"/>
      <c r="V340" s="1275"/>
      <c r="W340" s="1275"/>
      <c r="X340" s="1275"/>
      <c r="Y340" s="1275"/>
      <c r="Z340" s="1275"/>
      <c r="AA340" s="1275"/>
      <c r="AB340" s="1275"/>
      <c r="AC340" s="1275"/>
      <c r="AD340" s="1275"/>
      <c r="AE340" s="1275"/>
      <c r="AF340" s="1275"/>
      <c r="AG340" s="1275"/>
      <c r="AH340" s="1275"/>
      <c r="AI340" s="1275"/>
      <c r="AJ340" s="1275"/>
      <c r="AK340" s="1275"/>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7" t="s">
        <v>1343</v>
      </c>
      <c r="F343" s="1277"/>
      <c r="G343" s="1277"/>
      <c r="H343" s="1277"/>
      <c r="I343" s="1277"/>
      <c r="J343" s="1277"/>
      <c r="K343" s="1277"/>
      <c r="L343" s="1277"/>
      <c r="M343" s="1277"/>
      <c r="N343" s="1277"/>
      <c r="O343" s="1277"/>
      <c r="P343" s="1277"/>
      <c r="Q343" s="1277"/>
      <c r="R343" s="1277"/>
      <c r="S343" s="1277"/>
      <c r="T343" s="1277"/>
      <c r="U343" s="1277"/>
      <c r="V343" s="1277"/>
      <c r="W343" s="1277"/>
      <c r="X343" s="1277"/>
      <c r="Y343" s="1277"/>
      <c r="Z343" s="1277"/>
      <c r="AA343" s="1277"/>
      <c r="AB343" s="1277"/>
      <c r="AC343" s="1277"/>
      <c r="AD343" s="1277"/>
      <c r="AE343" s="1277"/>
      <c r="AF343" s="1277"/>
      <c r="AG343" s="1277"/>
      <c r="AH343" s="1277"/>
      <c r="AI343" s="1277"/>
      <c r="AJ343" s="1277"/>
      <c r="AK343" s="1277"/>
    </row>
    <row r="344" spans="2:37">
      <c r="B344" s="2"/>
      <c r="E344" s="1277"/>
      <c r="F344" s="1277"/>
      <c r="G344" s="1277"/>
      <c r="H344" s="1277"/>
      <c r="I344" s="1277"/>
      <c r="J344" s="1277"/>
      <c r="K344" s="1277"/>
      <c r="L344" s="1277"/>
      <c r="M344" s="1277"/>
      <c r="N344" s="1277"/>
      <c r="O344" s="1277"/>
      <c r="P344" s="1277"/>
      <c r="Q344" s="1277"/>
      <c r="R344" s="1277"/>
      <c r="S344" s="1277"/>
      <c r="T344" s="1277"/>
      <c r="U344" s="1277"/>
      <c r="V344" s="1277"/>
      <c r="W344" s="1277"/>
      <c r="X344" s="1277"/>
      <c r="Y344" s="1277"/>
      <c r="Z344" s="1277"/>
      <c r="AA344" s="1277"/>
      <c r="AB344" s="1277"/>
      <c r="AC344" s="1277"/>
      <c r="AD344" s="1277"/>
      <c r="AE344" s="1277"/>
      <c r="AF344" s="1277"/>
      <c r="AG344" s="1277"/>
      <c r="AH344" s="1277"/>
      <c r="AI344" s="1277"/>
      <c r="AJ344" s="1277"/>
      <c r="AK344" s="1277"/>
    </row>
    <row r="345" spans="2:37">
      <c r="B345" s="2"/>
      <c r="E345" s="1277"/>
      <c r="F345" s="1277"/>
      <c r="G345" s="1277"/>
      <c r="H345" s="1277"/>
      <c r="I345" s="1277"/>
      <c r="J345" s="1277"/>
      <c r="K345" s="1277"/>
      <c r="L345" s="1277"/>
      <c r="M345" s="1277"/>
      <c r="N345" s="1277"/>
      <c r="O345" s="1277"/>
      <c r="P345" s="1277"/>
      <c r="Q345" s="1277"/>
      <c r="R345" s="1277"/>
      <c r="S345" s="1277"/>
      <c r="T345" s="1277"/>
      <c r="U345" s="1277"/>
      <c r="V345" s="1277"/>
      <c r="W345" s="1277"/>
      <c r="X345" s="1277"/>
      <c r="Y345" s="1277"/>
      <c r="Z345" s="1277"/>
      <c r="AA345" s="1277"/>
      <c r="AB345" s="1277"/>
      <c r="AC345" s="1277"/>
      <c r="AD345" s="1277"/>
      <c r="AE345" s="1277"/>
      <c r="AF345" s="1277"/>
      <c r="AG345" s="1277"/>
      <c r="AH345" s="1277"/>
      <c r="AI345" s="1277"/>
      <c r="AJ345" s="1277"/>
      <c r="AK345" s="1277"/>
    </row>
    <row r="346" spans="2:37">
      <c r="B346" s="2"/>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row>
    <row r="347" spans="2:37">
      <c r="B347" s="2"/>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row>
    <row r="348" spans="2:37">
      <c r="B348" s="2"/>
      <c r="E348" s="3" t="s">
        <v>112</v>
      </c>
      <c r="F348" s="1275" t="s">
        <v>1345</v>
      </c>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c r="B350" s="2"/>
      <c r="E350" s="3"/>
      <c r="F350" s="1275"/>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c r="B351" s="2"/>
      <c r="E351" s="3"/>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c r="B352" s="2"/>
      <c r="E352" s="3" t="s">
        <v>113</v>
      </c>
      <c r="F352" s="1275" t="s">
        <v>1344</v>
      </c>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c r="B353" s="2"/>
      <c r="F353" s="1275"/>
      <c r="G353" s="1275"/>
      <c r="H353" s="1275"/>
      <c r="I353" s="1275"/>
      <c r="J353" s="1275"/>
      <c r="K353" s="1275"/>
      <c r="L353" s="1275"/>
      <c r="M353" s="1275"/>
      <c r="N353" s="1275"/>
      <c r="O353" s="1275"/>
      <c r="P353" s="1275"/>
      <c r="Q353" s="1275"/>
      <c r="R353" s="1275"/>
      <c r="S353" s="1275"/>
      <c r="T353" s="1275"/>
      <c r="U353" s="1275"/>
      <c r="V353" s="1275"/>
      <c r="W353" s="1275"/>
      <c r="X353" s="1275"/>
      <c r="Y353" s="1275"/>
      <c r="Z353" s="1275"/>
      <c r="AA353" s="1275"/>
      <c r="AB353" s="1275"/>
      <c r="AC353" s="1275"/>
      <c r="AD353" s="1275"/>
      <c r="AE353" s="1275"/>
      <c r="AF353" s="1275"/>
      <c r="AG353" s="1275"/>
      <c r="AH353" s="1275"/>
      <c r="AI353" s="1275"/>
      <c r="AJ353" s="1275"/>
      <c r="AK353" s="1275"/>
    </row>
    <row r="354" spans="1:38">
      <c r="B354" s="2"/>
      <c r="F354" s="1275"/>
      <c r="G354" s="1275"/>
      <c r="H354" s="1275"/>
      <c r="I354" s="1275"/>
      <c r="J354" s="1275"/>
      <c r="K354" s="1275"/>
      <c r="L354" s="1275"/>
      <c r="M354" s="1275"/>
      <c r="N354" s="1275"/>
      <c r="O354" s="1275"/>
      <c r="P354" s="1275"/>
      <c r="Q354" s="1275"/>
      <c r="R354" s="1275"/>
      <c r="S354" s="1275"/>
      <c r="T354" s="1275"/>
      <c r="U354" s="1275"/>
      <c r="V354" s="1275"/>
      <c r="W354" s="1275"/>
      <c r="X354" s="1275"/>
      <c r="Y354" s="1275"/>
      <c r="Z354" s="1275"/>
      <c r="AA354" s="1275"/>
      <c r="AB354" s="1275"/>
      <c r="AC354" s="1275"/>
      <c r="AD354" s="1275"/>
      <c r="AE354" s="1275"/>
      <c r="AF354" s="1275"/>
      <c r="AG354" s="1275"/>
      <c r="AH354" s="1275"/>
      <c r="AI354" s="1275"/>
      <c r="AJ354" s="1275"/>
      <c r="AK354" s="1275"/>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8" t="s">
        <v>1334</v>
      </c>
      <c r="F367" s="1278"/>
      <c r="G367" s="1278"/>
      <c r="H367" s="1278"/>
      <c r="I367" s="1278"/>
      <c r="J367" s="1278"/>
      <c r="K367" s="1278"/>
      <c r="L367" s="1278"/>
      <c r="M367" s="1278"/>
      <c r="N367" s="1278"/>
      <c r="O367" s="1278"/>
      <c r="P367" s="1278"/>
      <c r="Q367" s="1278"/>
      <c r="R367" s="1278"/>
      <c r="S367" s="1278"/>
      <c r="T367" s="1278"/>
      <c r="U367" s="1278"/>
      <c r="V367" s="1278"/>
      <c r="W367" s="1278"/>
      <c r="X367" s="1278"/>
      <c r="Y367" s="1278"/>
      <c r="Z367" s="1278"/>
      <c r="AA367" s="1278"/>
      <c r="AB367" s="1278"/>
      <c r="AC367" s="1278"/>
      <c r="AD367" s="1278"/>
      <c r="AE367" s="1278"/>
      <c r="AF367" s="1278"/>
      <c r="AG367" s="1278"/>
      <c r="AH367" s="1278"/>
      <c r="AI367" s="1278"/>
      <c r="AJ367" s="1278"/>
      <c r="AK367" s="1278"/>
      <c r="AL367" s="1278"/>
    </row>
    <row r="368" spans="1:38">
      <c r="B368" s="2"/>
      <c r="E368" s="1278"/>
      <c r="F368" s="1278"/>
      <c r="G368" s="1278"/>
      <c r="H368" s="1278"/>
      <c r="I368" s="1278"/>
      <c r="J368" s="1278"/>
      <c r="K368" s="1278"/>
      <c r="L368" s="1278"/>
      <c r="M368" s="1278"/>
      <c r="N368" s="1278"/>
      <c r="O368" s="1278"/>
      <c r="P368" s="1278"/>
      <c r="Q368" s="1278"/>
      <c r="R368" s="1278"/>
      <c r="S368" s="1278"/>
      <c r="T368" s="1278"/>
      <c r="U368" s="1278"/>
      <c r="V368" s="1278"/>
      <c r="W368" s="1278"/>
      <c r="X368" s="1278"/>
      <c r="Y368" s="1278"/>
      <c r="Z368" s="1278"/>
      <c r="AA368" s="1278"/>
      <c r="AB368" s="1278"/>
      <c r="AC368" s="1278"/>
      <c r="AD368" s="1278"/>
      <c r="AE368" s="1278"/>
      <c r="AF368" s="1278"/>
      <c r="AG368" s="1278"/>
      <c r="AH368" s="1278"/>
      <c r="AI368" s="1278"/>
      <c r="AJ368" s="1278"/>
      <c r="AK368" s="1278"/>
      <c r="AL368" s="1278"/>
    </row>
    <row r="369" spans="1:37" s="1280" customFormat="1">
      <c r="A369"/>
      <c r="B369" s="2"/>
      <c r="C369"/>
      <c r="D369"/>
      <c r="E369" s="1279" t="s">
        <v>1369</v>
      </c>
    </row>
    <row r="370" spans="1:37" s="1280"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5" t="s">
        <v>1380</v>
      </c>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c r="B389" s="2"/>
      <c r="E389" s="3"/>
      <c r="F389" s="1275"/>
      <c r="G389" s="1275"/>
      <c r="H389" s="1275"/>
      <c r="I389" s="1275"/>
      <c r="J389" s="1275"/>
      <c r="K389" s="1275"/>
      <c r="L389" s="1275"/>
      <c r="M389" s="1275"/>
      <c r="N389" s="1275"/>
      <c r="O389" s="1275"/>
      <c r="P389" s="1275"/>
      <c r="Q389" s="1275"/>
      <c r="R389" s="1275"/>
      <c r="S389" s="1275"/>
      <c r="T389" s="1275"/>
      <c r="U389" s="1275"/>
      <c r="V389" s="1275"/>
      <c r="W389" s="1275"/>
      <c r="X389" s="1275"/>
      <c r="Y389" s="1275"/>
      <c r="Z389" s="1275"/>
      <c r="AA389" s="1275"/>
      <c r="AB389" s="1275"/>
      <c r="AC389" s="1275"/>
      <c r="AD389" s="1275"/>
      <c r="AE389" s="1275"/>
      <c r="AF389" s="1275"/>
      <c r="AG389" s="1275"/>
      <c r="AH389" s="1275"/>
      <c r="AI389" s="1275"/>
      <c r="AJ389" s="1275"/>
      <c r="AK389" s="1275"/>
    </row>
    <row r="390" spans="1:38">
      <c r="B390" s="2"/>
      <c r="E390" s="3"/>
      <c r="F390" s="1275"/>
      <c r="G390" s="1275"/>
      <c r="H390" s="1275"/>
      <c r="I390" s="1275"/>
      <c r="J390" s="1275"/>
      <c r="K390" s="1275"/>
      <c r="L390" s="1275"/>
      <c r="M390" s="1275"/>
      <c r="N390" s="1275"/>
      <c r="O390" s="1275"/>
      <c r="P390" s="1275"/>
      <c r="Q390" s="1275"/>
      <c r="R390" s="1275"/>
      <c r="S390" s="1275"/>
      <c r="T390" s="1275"/>
      <c r="U390" s="1275"/>
      <c r="V390" s="1275"/>
      <c r="W390" s="1275"/>
      <c r="X390" s="1275"/>
      <c r="Y390" s="1275"/>
      <c r="Z390" s="1275"/>
      <c r="AA390" s="1275"/>
      <c r="AB390" s="1275"/>
      <c r="AC390" s="1275"/>
      <c r="AD390" s="1275"/>
      <c r="AE390" s="1275"/>
      <c r="AF390" s="1275"/>
      <c r="AG390" s="1275"/>
      <c r="AH390" s="1275"/>
      <c r="AI390" s="1275"/>
      <c r="AJ390" s="1275"/>
      <c r="AK390" s="1275"/>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I64" sqref="I64"/>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600" t="s">
        <v>1698</v>
      </c>
      <c r="B1" s="2600"/>
      <c r="C1" s="2600"/>
      <c r="D1" s="2600"/>
      <c r="E1" s="2600"/>
      <c r="F1" s="2600"/>
      <c r="G1" s="2600"/>
      <c r="H1" s="2600"/>
      <c r="I1" s="2600"/>
      <c r="J1" s="2600"/>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65001025.999999993</v>
      </c>
      <c r="I3" s="1145"/>
    </row>
    <row r="4" spans="1:13" s="1086" customFormat="1" ht="20.100000000000001" customHeight="1">
      <c r="B4" s="1134"/>
      <c r="D4" s="1148"/>
      <c r="F4" s="1132" t="s">
        <v>2303</v>
      </c>
      <c r="G4" s="1131" t="s">
        <v>2302</v>
      </c>
      <c r="H4" s="1133">
        <f>I16</f>
        <v>41865770.553513072</v>
      </c>
      <c r="I4" s="1135"/>
      <c r="K4" s="1090"/>
    </row>
    <row r="5" spans="1:13" s="1086" customFormat="1" ht="20.100000000000001" customHeight="1" thickBot="1">
      <c r="B5" s="1136"/>
      <c r="C5" s="1137"/>
      <c r="D5" s="1149"/>
      <c r="E5" s="1138"/>
      <c r="F5" s="1149" t="s">
        <v>2243</v>
      </c>
      <c r="G5" s="1150"/>
      <c r="H5" s="1146">
        <f>H3/H4</f>
        <v>1.552605509002045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602" t="s">
        <v>2241</v>
      </c>
      <c r="C8" s="2603"/>
      <c r="D8" s="2603"/>
      <c r="E8" s="2604"/>
      <c r="G8" s="2605" t="s">
        <v>2242</v>
      </c>
      <c r="H8" s="2606"/>
      <c r="I8" s="2607"/>
      <c r="K8" s="1092"/>
    </row>
    <row r="9" spans="1:13" ht="15" customHeight="1">
      <c r="A9" s="1081"/>
      <c r="B9" s="2601" t="s">
        <v>2280</v>
      </c>
      <c r="C9" s="2601"/>
      <c r="D9" s="2601"/>
      <c r="E9" s="1094">
        <f>G31</f>
        <v>8937500</v>
      </c>
      <c r="G9" s="2610" t="s">
        <v>2278</v>
      </c>
      <c r="H9" s="2610"/>
      <c r="I9" s="1095">
        <f>Application!AM554</f>
        <v>48003469</v>
      </c>
      <c r="K9" s="1096"/>
      <c r="M9" s="1097"/>
    </row>
    <row r="10" spans="1:13" ht="15" customHeight="1" thickBot="1">
      <c r="A10" s="1081"/>
      <c r="B10" s="2601" t="s">
        <v>2281</v>
      </c>
      <c r="C10" s="2601"/>
      <c r="D10" s="2601"/>
      <c r="E10" s="1095">
        <f>G40</f>
        <v>46429775.999999993</v>
      </c>
      <c r="G10" s="2610" t="s">
        <v>2244</v>
      </c>
      <c r="H10" s="2610"/>
      <c r="I10" s="1182">
        <f>'Basis &amp; Credits'!AB77</f>
        <v>0</v>
      </c>
      <c r="M10" s="1097"/>
    </row>
    <row r="11" spans="1:13" ht="15" customHeight="1">
      <c r="A11" s="1098"/>
      <c r="B11" s="2601" t="s">
        <v>2282</v>
      </c>
      <c r="C11" s="2601"/>
      <c r="D11" s="2601"/>
      <c r="E11" s="1095">
        <f>G49</f>
        <v>0</v>
      </c>
      <c r="G11" s="2610" t="s">
        <v>2293</v>
      </c>
      <c r="H11" s="2610"/>
      <c r="I11" s="1181">
        <f>I9+I10</f>
        <v>48003469</v>
      </c>
      <c r="M11" s="1097"/>
    </row>
    <row r="12" spans="1:13" ht="15" customHeight="1">
      <c r="A12" s="1084"/>
      <c r="B12" s="2601" t="s">
        <v>2283</v>
      </c>
      <c r="C12" s="2601"/>
      <c r="D12" s="2601"/>
      <c r="E12" s="1095">
        <f>G58</f>
        <v>160000</v>
      </c>
      <c r="G12" s="1183" t="s">
        <v>2318</v>
      </c>
      <c r="H12" s="1184"/>
      <c r="M12" s="1097"/>
    </row>
    <row r="13" spans="1:13" ht="15" customHeight="1">
      <c r="A13" s="1081"/>
      <c r="B13" s="2601" t="s">
        <v>2284</v>
      </c>
      <c r="C13" s="2601"/>
      <c r="D13" s="2601"/>
      <c r="E13" s="1100">
        <f>G83</f>
        <v>9473750</v>
      </c>
      <c r="G13" s="2611" t="s">
        <v>139</v>
      </c>
      <c r="H13" s="2611"/>
      <c r="I13" s="1099">
        <f>15%*(Application!AJ993&gt;0)</f>
        <v>0</v>
      </c>
      <c r="M13" s="1097"/>
    </row>
    <row r="14" spans="1:13" ht="15" customHeight="1">
      <c r="A14" s="1081"/>
      <c r="B14" s="2601" t="s">
        <v>2285</v>
      </c>
      <c r="C14" s="2601"/>
      <c r="D14" s="2601"/>
      <c r="E14" s="1095">
        <f>IF(G96&gt;G106,G96,0)</f>
        <v>0</v>
      </c>
      <c r="G14" s="1179" t="s">
        <v>2294</v>
      </c>
      <c r="H14" s="1179"/>
      <c r="I14" s="1099">
        <f>IF(Application!AJ1031&gt;0,10%,IF(Application!AJ1035&gt;0,5%,0))</f>
        <v>0</v>
      </c>
      <c r="M14" s="1097"/>
    </row>
    <row r="15" spans="1:13" ht="15" customHeight="1" thickBot="1">
      <c r="A15" s="1081"/>
      <c r="B15" s="2608" t="s">
        <v>2304</v>
      </c>
      <c r="C15" s="2608"/>
      <c r="D15" s="2608"/>
      <c r="E15" s="1151">
        <f>IF(E14&gt;0,0,G106)</f>
        <v>0</v>
      </c>
      <c r="G15" s="2614" t="s">
        <v>2295</v>
      </c>
      <c r="H15" s="2615"/>
      <c r="I15" s="1153">
        <f>G114</f>
        <v>0.127859477124183</v>
      </c>
      <c r="M15" s="1097"/>
    </row>
    <row r="16" spans="1:13" ht="15" customHeight="1">
      <c r="A16" s="1081"/>
      <c r="B16" s="2609" t="s">
        <v>2240</v>
      </c>
      <c r="C16" s="2609"/>
      <c r="D16" s="2609"/>
      <c r="E16" s="1152">
        <f>SUM(E9:E15)</f>
        <v>65001025.999999993</v>
      </c>
      <c r="G16" s="1180" t="s">
        <v>2279</v>
      </c>
      <c r="H16" s="1180"/>
      <c r="I16" s="1154">
        <f>I11-((I11*I13)+(I11*I14)+(I11*I15))</f>
        <v>41865770.553513072</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159</v>
      </c>
      <c r="O18" s="1124" t="s">
        <v>591</v>
      </c>
      <c r="P18" s="1079">
        <f>MATCH(Application!T189,Application!BV490:BV547,0)</f>
        <v>43</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612" t="s">
        <v>2297</v>
      </c>
      <c r="D20" s="2612" t="s">
        <v>2298</v>
      </c>
      <c r="E20" s="2612" t="s">
        <v>2299</v>
      </c>
      <c r="F20" s="2612" t="s">
        <v>2300</v>
      </c>
      <c r="G20" s="2612" t="s">
        <v>2296</v>
      </c>
      <c r="H20" s="1108"/>
      <c r="I20" s="1107"/>
      <c r="L20" s="1079">
        <f>IFERROR(MIN(4,MATCH(Application!B718,UnitSizes,0)-1),"")</f>
        <v>1</v>
      </c>
      <c r="M20" s="1101">
        <f>Application!G718</f>
        <v>76</v>
      </c>
      <c r="N20" s="1109">
        <f>Application!AC718</f>
        <v>0.5</v>
      </c>
      <c r="O20" s="1109">
        <f>IF(Cdlac[[#This Row],[Quantity]]&gt;0,IF(Cdlac[[#This Row],[Federal]],30%,IF($G$36,40%,Cdlac[[#This Row],[iAMI]])),"")</f>
        <v>0.3</v>
      </c>
      <c r="P20" s="1101" cm="1">
        <f t="array" ref="P20">IF(Cdlac[[#This Row],[Quantity]]&gt;0,INDEX(TcacRents,$P$18,Cdlac[[#This Row],[Bedrooms]]+1)*Cdlac[[#This Row],[AMI]],"")</f>
        <v>1003.8</v>
      </c>
      <c r="Q20" s="1101" cm="1">
        <f t="array" ref="Q20">IF(Cdlac[[#This Row],[Quantity]]&gt;0,INDEX(HudFmrs,$P$18,Cdlac[[#This Row],[Bedrooms]]+1),"")</f>
        <v>2513</v>
      </c>
      <c r="R20" s="1101">
        <f>IF(Cdlac[[#This Row],[Quantity]]&gt;0,MAX(0,Cdlac[[#This Row],[Fair Market Rent]]-Cdlac[[#This Row],[Restricted Rent]]),"")</f>
        <v>1509.2</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613"/>
      <c r="D21" s="2613"/>
      <c r="E21" s="2613"/>
      <c r="F21" s="2613"/>
      <c r="G21" s="2613"/>
      <c r="H21" s="1108"/>
      <c r="I21" s="1107"/>
      <c r="L21" s="1079">
        <f>IFERROR(MIN(4,MATCH(Application!B719,UnitSizes,0)-1),"")</f>
        <v>2</v>
      </c>
      <c r="M21" s="1101">
        <f>Application!G719</f>
        <v>66</v>
      </c>
      <c r="N21" s="1109">
        <f>Application!AC719</f>
        <v>0.5</v>
      </c>
      <c r="O21" s="1109">
        <f>IF(Cdlac[[#This Row],[Quantity]]&gt;0,IF(Cdlac[[#This Row],[Federal]],30%,IF($G$36,40%,Cdlac[[#This Row],[iAMI]])),"")</f>
        <v>0.3</v>
      </c>
      <c r="P21" s="1101" cm="1">
        <f t="array" ref="P21">IF(Cdlac[[#This Row],[Quantity]]&gt;0,INDEX(TcacRents,$P$18,Cdlac[[#This Row],[Bedrooms]]+1)*Cdlac[[#This Row],[AMI]],"")</f>
        <v>1204.2</v>
      </c>
      <c r="Q21" s="1101" cm="1">
        <f t="array" ref="Q21">IF(Cdlac[[#This Row],[Quantity]]&gt;0,INDEX(HudFmrs,$P$18,Cdlac[[#This Row],[Bedrooms]]+1),"")</f>
        <v>2941</v>
      </c>
      <c r="R21" s="1101">
        <f>IF(Cdlac[[#This Row],[Quantity]]&gt;0,MAX(0,Cdlac[[#This Row],[Fair Market Rent]]-Cdlac[[#This Row],[Restricted Rent]]),"")</f>
        <v>1736.8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2</v>
      </c>
      <c r="N22" s="1109">
        <f>Application!AC720</f>
        <v>0.5</v>
      </c>
      <c r="O22" s="1109">
        <f>IF(Cdlac[[#This Row],[Quantity]]&gt;0,IF(Cdlac[[#This Row],[Federal]],30%,IF($G$36,40%,Cdlac[[#This Row],[iAMI]])),"")</f>
        <v>0.3</v>
      </c>
      <c r="P22" s="1101" cm="1">
        <f t="array" ref="P22">IF(Cdlac[[#This Row],[Quantity]]&gt;0,INDEX(TcacRents,$P$18,Cdlac[[#This Row],[Bedrooms]]+1)*Cdlac[[#This Row],[AMI]],"")</f>
        <v>1204.2</v>
      </c>
      <c r="Q22" s="1101" cm="1">
        <f t="array" ref="Q22">IF(Cdlac[[#This Row],[Quantity]]&gt;0,INDEX(HudFmrs,$P$18,Cdlac[[#This Row],[Bedrooms]]+1),"")</f>
        <v>2941</v>
      </c>
      <c r="R22" s="1101">
        <f>IF(Cdlac[[#This Row],[Quantity]]&gt;0,MAX(0,Cdlac[[#This Row],[Fair Market Rent]]-Cdlac[[#This Row],[Restricted Rent]]),"")</f>
        <v>1736.8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80</v>
      </c>
      <c r="F23" s="1110">
        <f>E23</f>
        <v>80</v>
      </c>
      <c r="G23" s="1110">
        <f>D23*F23</f>
        <v>80</v>
      </c>
      <c r="L23" s="1079">
        <f>IFERROR(MIN(4,MATCH(Application!B721,UnitSizes,0)-1),"")</f>
        <v>2</v>
      </c>
      <c r="M23" s="1101">
        <f>Application!G721</f>
        <v>5</v>
      </c>
      <c r="N23" s="1109">
        <f>Application!AC721</f>
        <v>0.5</v>
      </c>
      <c r="O23" s="1109">
        <f>IF(Cdlac[[#This Row],[Quantity]]&gt;0,IF(Cdlac[[#This Row],[Federal]],30%,IF($G$36,40%,Cdlac[[#This Row],[iAMI]])),"")</f>
        <v>0.3</v>
      </c>
      <c r="P23" s="1101" cm="1">
        <f t="array" ref="P23">IF(Cdlac[[#This Row],[Quantity]]&gt;0,INDEX(TcacRents,$P$18,Cdlac[[#This Row],[Bedrooms]]+1)*Cdlac[[#This Row],[AMI]],"")</f>
        <v>1204.2</v>
      </c>
      <c r="Q23" s="1101" cm="1">
        <f t="array" ref="Q23">IF(Cdlac[[#This Row],[Quantity]]&gt;0,INDEX(HudFmrs,$P$18,Cdlac[[#This Row],[Bedrooms]]+1),"")</f>
        <v>2941</v>
      </c>
      <c r="R23" s="1101">
        <f>IF(Cdlac[[#This Row],[Quantity]]&gt;0,MAX(0,Cdlac[[#This Row],[Fair Market Rent]]-Cdlac[[#This Row],[Restricted Rent]]),"")</f>
        <v>1736.8</v>
      </c>
      <c r="S23" s="1079">
        <f>IF(Cdlac[[#This Row],[Quantity]]&gt;0,AND(Application!AK721&lt;&gt;"N/A",Application!AK721&lt;&gt;"")*Cdlac[[#This Row],[Quantity]],"")</f>
        <v>0</v>
      </c>
      <c r="T23" s="1079" t="b">
        <f>AND('Subsidy Contract Calculation'!F7&gt;0,'Subsidy Contract Calculation'!C7="Federal",Cdlac[[#This Row],[Quantity]]&gt;0)</f>
        <v>1</v>
      </c>
    </row>
    <row r="24" spans="1:20" ht="15" customHeight="1">
      <c r="A24" s="1112"/>
      <c r="C24" s="1113">
        <v>2</v>
      </c>
      <c r="D24" s="1111">
        <v>1.25</v>
      </c>
      <c r="E24" s="1110">
        <f>SUMIFS(Cdlac[Quantity],Cdlac[Bedrooms],C24)</f>
        <v>79</v>
      </c>
      <c r="F24" s="1113">
        <f>SUM(E24:E26)-SUM(F25:F26)</f>
        <v>79</v>
      </c>
      <c r="G24" s="1110">
        <f>D24*F24</f>
        <v>98.75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4</v>
      </c>
      <c r="N25" s="1109">
        <f>Application!AC723</f>
        <v>0.3</v>
      </c>
      <c r="O25" s="1109">
        <f>IF(Cdlac[[#This Row],[Quantity]]&gt;0,IF(Cdlac[[#This Row],[Federal]],30%,IF($G$36,40%,Cdlac[[#This Row],[iAMI]])),"")</f>
        <v>0.3</v>
      </c>
      <c r="P25" s="1101" cm="1">
        <f t="array" ref="P25">IF(Cdlac[[#This Row],[Quantity]]&gt;0,INDEX(TcacRents,$P$18,Cdlac[[#This Row],[Bedrooms]]+1)*Cdlac[[#This Row],[AMI]],"")</f>
        <v>1003.8</v>
      </c>
      <c r="Q25" s="1101" cm="1">
        <f t="array" ref="Q25">IF(Cdlac[[#This Row],[Quantity]]&gt;0,INDEX(HudFmrs,$P$18,Cdlac[[#This Row],[Bedrooms]]+1),"")</f>
        <v>2513</v>
      </c>
      <c r="R25" s="1101">
        <f>IF(Cdlac[[#This Row],[Quantity]]&gt;0,MAX(0,Cdlac[[#This Row],[Fair Market Rent]]-Cdlac[[#This Row],[Restricted Rent]]),"")</f>
        <v>1509.2</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1204.2</v>
      </c>
      <c r="Q26" s="1101" cm="1">
        <f t="array" ref="Q26">IF(Cdlac[[#This Row],[Quantity]]&gt;0,INDEX(HudFmrs,$P$18,Cdlac[[#This Row],[Bedrooms]]+1),"")</f>
        <v>2941</v>
      </c>
      <c r="R26" s="1101">
        <f>IF(Cdlac[[#This Row],[Quantity]]&gt;0,MAX(0,Cdlac[[#This Row],[Fair Market Rent]]-Cdlac[[#This Row],[Restricted Rent]]),"")</f>
        <v>1736.8</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596" t="s">
        <v>1699</v>
      </c>
      <c r="D27" s="2597"/>
      <c r="E27" s="1129">
        <f>SUM(E22:E26)</f>
        <v>159</v>
      </c>
      <c r="F27" s="1129">
        <f>SUM(F22:F26)</f>
        <v>159</v>
      </c>
      <c r="G27" s="1130">
        <f>SUMPRODUCT(D22:D26,F22:F26)</f>
        <v>178.75</v>
      </c>
      <c r="H27" s="1112"/>
      <c r="I27" s="1112"/>
      <c r="L27" s="1079">
        <f>IFERROR(MIN(4,MATCH(Application!B725,UnitSizes,0)-1),"")</f>
        <v>2</v>
      </c>
      <c r="M27" s="1101">
        <f>Application!G725</f>
        <v>1</v>
      </c>
      <c r="N27" s="1109">
        <f>Application!AC725</f>
        <v>0.3</v>
      </c>
      <c r="O27" s="1109">
        <f>IF(Cdlac[[#This Row],[Quantity]]&gt;0,IF(Cdlac[[#This Row],[Federal]],30%,IF($G$36,40%,Cdlac[[#This Row],[iAMI]])),"")</f>
        <v>0.3</v>
      </c>
      <c r="P27" s="1101" cm="1">
        <f t="array" ref="P27">IF(Cdlac[[#This Row],[Quantity]]&gt;0,INDEX(TcacRents,$P$18,Cdlac[[#This Row],[Bedrooms]]+1)*Cdlac[[#This Row],[AMI]],"")</f>
        <v>1204.2</v>
      </c>
      <c r="Q27" s="1101" cm="1">
        <f t="array" ref="Q27">IF(Cdlac[[#This Row],[Quantity]]&gt;0,INDEX(HudFmrs,$P$18,Cdlac[[#This Row],[Bedrooms]]+1),"")</f>
        <v>2941</v>
      </c>
      <c r="R27" s="1101">
        <f>IF(Cdlac[[#This Row],[Quantity]]&gt;0,MAX(0,Cdlac[[#This Row],[Fair Market Rent]]-Cdlac[[#This Row],[Restricted Rent]]),"")</f>
        <v>1736.8</v>
      </c>
      <c r="S27" s="1079">
        <f>IF(Cdlac[[#This Row],[Quantity]]&gt;0,AND(Application!AK725&lt;&gt;"N/A",Application!AK725&lt;&gt;"")*Cdlac[[#This Row],[Quantity]],"")</f>
        <v>0</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178.75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2</v>
      </c>
      <c r="M30" s="1101">
        <f>Application!G728</f>
        <v>1</v>
      </c>
      <c r="N30" s="1109">
        <f>Application!AC728</f>
        <v>0.8</v>
      </c>
      <c r="O30" s="1109">
        <f>IF(Cdlac[[#This Row],[Quantity]]&gt;0,IF(Cdlac[[#This Row],[Federal]],30%,IF($G$36,40%,Cdlac[[#This Row],[iAMI]])),"")</f>
        <v>0.3</v>
      </c>
      <c r="P30" s="1101" cm="1">
        <f t="array" ref="P30">IF(Cdlac[[#This Row],[Quantity]]&gt;0,INDEX(TcacRents,$P$18,Cdlac[[#This Row],[Bedrooms]]+1)*Cdlac[[#This Row],[AMI]],"")</f>
        <v>1204.2</v>
      </c>
      <c r="Q30" s="1101" cm="1">
        <f t="array" ref="Q30">IF(Cdlac[[#This Row],[Quantity]]&gt;0,INDEX(HudFmrs,$P$18,Cdlac[[#This Row],[Bedrooms]]+1),"")</f>
        <v>2941</v>
      </c>
      <c r="R30" s="1101">
        <f>IF(Cdlac[[#This Row],[Quantity]]&gt;0,MAX(0,Cdlac[[#This Row],[Fair Market Rent]]-Cdlac[[#This Row],[Restricted Rent]]),"")</f>
        <v>1736.8</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2289</v>
      </c>
      <c r="F31" s="1081"/>
      <c r="G31" s="1161">
        <f>G30*G29</f>
        <v>8937500</v>
      </c>
      <c r="H31" s="1112"/>
      <c r="I31" s="1112"/>
      <c r="L31" s="1079">
        <f>IFERROR(MIN(4,MATCH(Application!B729,UnitSizes,0)-1),"")</f>
        <v>2</v>
      </c>
      <c r="M31" s="1101">
        <f>Application!G729</f>
        <v>1</v>
      </c>
      <c r="N31" s="1109">
        <f>Application!AC729</f>
        <v>0.8</v>
      </c>
      <c r="O31" s="1109">
        <f>IF(Cdlac[[#This Row],[Quantity]]&gt;0,IF(Cdlac[[#This Row],[Federal]],30%,IF($G$36,40%,Cdlac[[#This Row],[iAMI]])),"")</f>
        <v>0.3</v>
      </c>
      <c r="P31" s="1101" cm="1">
        <f t="array" ref="P31">IF(Cdlac[[#This Row],[Quantity]]&gt;0,INDEX(TcacRents,$P$18,Cdlac[[#This Row],[Bedrooms]]+1)*Cdlac[[#This Row],[AMI]],"")</f>
        <v>1204.2</v>
      </c>
      <c r="Q31" s="1101" cm="1">
        <f t="array" ref="Q31">IF(Cdlac[[#This Row],[Quantity]]&gt;0,INDEX(HudFmrs,$P$18,Cdlac[[#This Row],[Bedrooms]]+1),"")</f>
        <v>2941</v>
      </c>
      <c r="R31" s="1101">
        <f>IF(Cdlac[[#This Row],[Quantity]]&gt;0,MAX(0,Cdlac[[#This Row],[Fair Market Rent]]-Cdlac[[#This Row],[Restricted Rent]]),"")</f>
        <v>1736.8</v>
      </c>
      <c r="S31" s="1079">
        <f>IF(Cdlac[[#This Row],[Quantity]]&gt;0,AND(Application!AK729&lt;&gt;"N/A",Application!AK729&lt;&gt;"")*Cdlac[[#This Row],[Quantity]],"")</f>
        <v>0</v>
      </c>
      <c r="T31" s="1079" t="b">
        <f>AND('Subsidy Contract Calculation'!F15&gt;0,'Subsidy Contract Calculation'!C15="Federal",Cdlac[[#This Row],[Quantity]]&gt;0)</f>
        <v>1</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257943.19999999995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46429775.999999993</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79</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8</v>
      </c>
    </row>
    <row r="54" spans="2:14" ht="15" customHeight="1">
      <c r="E54" s="1159" t="s">
        <v>2307</v>
      </c>
      <c r="G54" s="1117">
        <f>ROUNDDOWN(E27*50%,0)</f>
        <v>79</v>
      </c>
    </row>
    <row r="55" spans="2:14" ht="15" customHeight="1">
      <c r="E55" s="1159"/>
      <c r="G55" s="1117"/>
    </row>
    <row r="56" spans="2:14" ht="15" customHeight="1">
      <c r="E56" s="1159" t="s">
        <v>2258</v>
      </c>
      <c r="G56" s="1156">
        <f>MIN(G53:G54)</f>
        <v>8</v>
      </c>
    </row>
    <row r="57" spans="2:14" ht="15" customHeight="1">
      <c r="E57" s="1159" t="s">
        <v>2248</v>
      </c>
      <c r="F57" s="1155" t="s">
        <v>2305</v>
      </c>
      <c r="G57" s="1166">
        <v>20000</v>
      </c>
    </row>
    <row r="58" spans="2:14" ht="15" customHeight="1">
      <c r="E58" s="1160" t="s">
        <v>2287</v>
      </c>
      <c r="F58" s="1081"/>
      <c r="G58" s="1165">
        <f>G56*G57</f>
        <v>160000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4</v>
      </c>
      <c r="L62" s="1169" t="str">
        <f>'Points System'!H627</f>
        <v>(i)</v>
      </c>
      <c r="M62" s="2598" t="s">
        <v>1517</v>
      </c>
      <c r="N62" s="2599"/>
    </row>
    <row r="63" spans="2:14" ht="15" customHeight="1">
      <c r="E63" s="1124" t="s">
        <v>2248</v>
      </c>
      <c r="F63" s="1155" t="s">
        <v>2305</v>
      </c>
      <c r="G63" s="1114">
        <v>4000</v>
      </c>
      <c r="L63" s="1170" t="str">
        <f>'Points System'!H639</f>
        <v>(i)</v>
      </c>
      <c r="M63" s="2590" t="s">
        <v>2262</v>
      </c>
      <c r="N63" s="2591"/>
    </row>
    <row r="64" spans="2:14" ht="15" customHeight="1">
      <c r="E64" s="1124" t="s">
        <v>2309</v>
      </c>
      <c r="F64" s="1155" t="s">
        <v>2305</v>
      </c>
      <c r="G64" s="1168">
        <f>G27</f>
        <v>178.75</v>
      </c>
      <c r="L64" s="1170" t="str">
        <f>'Points System'!H674</f>
        <v>N/A</v>
      </c>
      <c r="M64" s="2590" t="s">
        <v>2263</v>
      </c>
      <c r="N64" s="2591"/>
    </row>
    <row r="65" spans="2:14" ht="15" customHeight="1">
      <c r="E65" s="1160" t="s">
        <v>2267</v>
      </c>
      <c r="F65" s="1081"/>
      <c r="G65" s="1165">
        <f>G62*G63*G64</f>
        <v>2860000</v>
      </c>
      <c r="L65" s="1170" t="str">
        <f>IF(OR('Points System'!H698="(ii)",'Points System'!H698="(i)"),"(i)","N/A")</f>
        <v>N/A</v>
      </c>
      <c r="M65" s="2590" t="s">
        <v>2264</v>
      </c>
      <c r="N65" s="2591"/>
    </row>
    <row r="66" spans="2:14" ht="15" customHeight="1">
      <c r="C66" s="1115"/>
      <c r="G66" s="1156"/>
      <c r="L66" s="1171" t="str">
        <f>'Points System'!H712</f>
        <v>N/A</v>
      </c>
      <c r="M66" s="2590" t="s">
        <v>1543</v>
      </c>
      <c r="N66" s="2591"/>
    </row>
    <row r="67" spans="2:14" ht="15" customHeight="1">
      <c r="E67" s="1124" t="s">
        <v>2310</v>
      </c>
      <c r="G67" s="1168">
        <f>COUNTIFS(L62:L69,"(i)")</f>
        <v>3</v>
      </c>
      <c r="L67" s="1170" t="str">
        <f>'Points System'!H724</f>
        <v>N/A</v>
      </c>
      <c r="M67" s="2590" t="s">
        <v>2265</v>
      </c>
      <c r="N67" s="2591"/>
    </row>
    <row r="68" spans="2:14" ht="15" customHeight="1">
      <c r="E68" s="1124" t="s">
        <v>2248</v>
      </c>
      <c r="F68" s="1155" t="s">
        <v>2305</v>
      </c>
      <c r="G68" s="1166">
        <v>4000</v>
      </c>
      <c r="L68" s="1170" t="str">
        <f>'Points System'!H740</f>
        <v>(ii)</v>
      </c>
      <c r="M68" s="2590" t="s">
        <v>2266</v>
      </c>
      <c r="N68" s="2591"/>
    </row>
    <row r="69" spans="2:14" ht="15" customHeight="1" thickBot="1">
      <c r="E69" s="1160" t="s">
        <v>2268</v>
      </c>
      <c r="F69" s="1081"/>
      <c r="G69" s="1165">
        <f>G64*G67*G68</f>
        <v>2145000</v>
      </c>
      <c r="L69" s="1172" t="str">
        <f>'Points System'!H752</f>
        <v>(i)</v>
      </c>
      <c r="M69" s="2592" t="s">
        <v>1546</v>
      </c>
      <c r="N69" s="2593"/>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178.75</v>
      </c>
    </row>
    <row r="80" spans="2:14" ht="15" customHeight="1">
      <c r="E80" s="1124" t="s">
        <v>2248</v>
      </c>
      <c r="F80" s="1155" t="s">
        <v>2305</v>
      </c>
      <c r="G80" s="1166">
        <v>25000</v>
      </c>
    </row>
    <row r="81" spans="2:14" ht="15" customHeight="1">
      <c r="E81" s="1160" t="s">
        <v>2269</v>
      </c>
      <c r="F81" s="1081"/>
      <c r="G81" s="1165">
        <f>G77*G80*G64</f>
        <v>4468750</v>
      </c>
    </row>
    <row r="82" spans="2:14" ht="15" customHeight="1">
      <c r="C82" s="1115"/>
      <c r="E82" s="1115"/>
    </row>
    <row r="83" spans="2:14" ht="15" customHeight="1">
      <c r="E83" s="1160" t="s">
        <v>2246</v>
      </c>
      <c r="G83" s="1165">
        <f>G81+G69+G65</f>
        <v>9473750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594" t="s">
        <v>2275</v>
      </c>
      <c r="M87" s="2595"/>
      <c r="N87" s="1173">
        <v>30000</v>
      </c>
    </row>
    <row r="88" spans="2:14" ht="15" customHeight="1">
      <c r="C88" s="1115" t="s">
        <v>2292</v>
      </c>
      <c r="G88" s="1119" t="str">
        <f>IF(Application!D211="Large Family","Yes","No")</f>
        <v>No</v>
      </c>
      <c r="L88" s="2586" t="s">
        <v>2239</v>
      </c>
      <c r="M88" s="2587"/>
      <c r="N88" s="1174">
        <v>20000</v>
      </c>
    </row>
    <row r="89" spans="2:14" ht="15" customHeight="1" thickBot="1">
      <c r="C89" s="1115" t="s">
        <v>2273</v>
      </c>
      <c r="G89" s="1078"/>
      <c r="L89" s="2588" t="s">
        <v>2276</v>
      </c>
      <c r="M89" s="2589"/>
      <c r="N89" s="1175">
        <v>10000</v>
      </c>
    </row>
    <row r="90" spans="2:14" ht="15" customHeight="1">
      <c r="C90" s="1115" t="s">
        <v>2274</v>
      </c>
      <c r="G90" s="1079" t="str">
        <f>Application!T193</f>
        <v>High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20000</v>
      </c>
    </row>
    <row r="95" spans="2:14" ht="15" customHeight="1">
      <c r="E95" s="1124" t="str">
        <f>E64</f>
        <v>Bedroom-Adjusted Low-Income Units</v>
      </c>
      <c r="F95" s="1155" t="s">
        <v>2305</v>
      </c>
      <c r="G95" s="1156">
        <f>G27</f>
        <v>178.75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178.75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Santa Clara</v>
      </c>
    </row>
    <row r="111" spans="2:9" ht="15" customHeight="1">
      <c r="E111" s="1124"/>
      <c r="G111" s="1116"/>
    </row>
    <row r="112" spans="2:9" ht="15" customHeight="1">
      <c r="E112" s="1124" t="str">
        <f>"2-Bedroom "&amp;G110&amp;" County Basis Limit"</f>
        <v>2-Bedroom Santa Clara County Basis Limit</v>
      </c>
      <c r="G112" s="1116">
        <f>Application!R987</f>
        <v>740000</v>
      </c>
    </row>
    <row r="113" spans="4:9" ht="15" customHeight="1">
      <c r="E113" s="1124" t="s">
        <v>2313</v>
      </c>
      <c r="G113" s="1116">
        <f>MEDIAN((Application!BR806:BR863))</f>
        <v>489600</v>
      </c>
    </row>
    <row r="114" spans="4:9" ht="15" customHeight="1">
      <c r="D114" s="1081"/>
      <c r="E114" s="1160" t="s">
        <v>2315</v>
      </c>
      <c r="F114" s="1176"/>
      <c r="G114" s="1177">
        <f>((G112-G113)/G113)*0.25</f>
        <v>0.127859477124183</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55" sqref="A55:XFD55"/>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6" t="s">
        <v>1391</v>
      </c>
      <c r="B1" s="2666"/>
      <c r="C1" s="2666"/>
      <c r="D1" s="2666"/>
      <c r="E1" s="2666"/>
      <c r="F1" s="2666"/>
      <c r="G1" s="2666"/>
      <c r="H1" s="2666"/>
      <c r="I1" s="2666"/>
      <c r="J1" s="2666"/>
      <c r="K1" s="2666"/>
      <c r="L1" s="2666"/>
      <c r="M1" s="2666"/>
      <c r="N1" s="2666"/>
      <c r="O1" s="2666"/>
      <c r="P1" s="2666"/>
      <c r="Q1" s="2666"/>
      <c r="R1" s="2666"/>
      <c r="S1" s="2666"/>
      <c r="T1" s="2666"/>
      <c r="U1" s="2666"/>
      <c r="V1" s="2666"/>
      <c r="W1" s="2666"/>
      <c r="X1" s="2666"/>
      <c r="Y1" s="2666"/>
      <c r="Z1" s="2666"/>
      <c r="AA1" s="2666"/>
      <c r="AB1" s="2666"/>
      <c r="AC1" s="2666"/>
      <c r="AD1" s="2666"/>
      <c r="AE1" s="2666"/>
      <c r="AF1" s="2666"/>
      <c r="AG1" s="2666"/>
      <c r="AH1" s="2666"/>
      <c r="AI1" s="2666"/>
      <c r="AJ1" s="2666"/>
      <c r="AK1" s="2666"/>
      <c r="AL1" s="2666"/>
      <c r="AM1" s="2666"/>
      <c r="AN1" s="2666"/>
    </row>
    <row r="2" spans="1:40" ht="12.95" customHeight="1" thickBot="1">
      <c r="A2" s="2667"/>
      <c r="B2" s="2667"/>
      <c r="C2" s="2667"/>
      <c r="D2" s="2667"/>
      <c r="E2" s="2667"/>
      <c r="F2" s="2667"/>
      <c r="G2" s="2667"/>
      <c r="H2" s="2667"/>
      <c r="I2" s="2667"/>
      <c r="J2" s="2667"/>
      <c r="K2" s="2667"/>
      <c r="L2" s="2667"/>
      <c r="M2" s="2667"/>
      <c r="N2" s="2667"/>
      <c r="O2" s="2667"/>
      <c r="P2" s="2667"/>
      <c r="Q2" s="2667"/>
      <c r="R2" s="2667"/>
      <c r="S2" s="2667"/>
      <c r="T2" s="2667"/>
      <c r="U2" s="2667"/>
      <c r="V2" s="2667"/>
      <c r="W2" s="2667"/>
      <c r="X2" s="2667"/>
      <c r="Y2" s="2667"/>
      <c r="Z2" s="2667"/>
      <c r="AA2" s="2667"/>
      <c r="AB2" s="2667"/>
      <c r="AC2" s="2667"/>
      <c r="AD2" s="2667"/>
      <c r="AE2" s="2667"/>
      <c r="AF2" s="2667"/>
      <c r="AG2" s="2667"/>
      <c r="AH2" s="2667"/>
      <c r="AI2" s="2667"/>
      <c r="AJ2" s="2667"/>
      <c r="AK2" s="2667"/>
      <c r="AL2" s="2667"/>
      <c r="AM2" s="2667"/>
      <c r="AN2" s="266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6" t="str">
        <f xml:space="preserve"> IF(T25=100%,'Sources and Basis Breakdown'!G2,'Sources and Basis Breakdown'!F2)</f>
        <v>30% PVC for New Const/
Rehabilitation
DDA/QCT
Building(s)</v>
      </c>
      <c r="U7" s="2646"/>
      <c r="V7" s="2646"/>
      <c r="W7" s="2646"/>
      <c r="X7" s="2646"/>
      <c r="Y7" s="2646" t="str">
        <f>IF(T25=100%,"",'Sources and Basis Breakdown'!G2)</f>
        <v>30% PVC for New Const/
Rehabilitation
NON-DDA/
NON-QCT Building(s)</v>
      </c>
      <c r="Z7" s="2646"/>
      <c r="AA7" s="2646"/>
      <c r="AB7" s="2646"/>
      <c r="AC7" s="2646"/>
      <c r="AD7" s="2646" t="str">
        <f xml:space="preserve"> IF(T25=100%, 'Sources and Basis Breakdown'!J2,'Sources and Basis Breakdown'!I2)</f>
        <v>30% PVC for Acquisition
DDA/QCT Building(s)</v>
      </c>
      <c r="AE7" s="2646"/>
      <c r="AF7" s="2646"/>
      <c r="AG7" s="2646"/>
      <c r="AH7" s="2646"/>
      <c r="AI7" s="2646" t="str">
        <f>IF(T25=100%,"",'Sources and Basis Breakdown'!J2)</f>
        <v>30% PVC for Acquisition
NON-DDA/
NON-QCT Building(s)</v>
      </c>
      <c r="AJ7" s="2646"/>
      <c r="AK7" s="2646"/>
      <c r="AL7" s="2646"/>
      <c r="AM7" s="2646"/>
    </row>
    <row r="8" spans="1:40" ht="12.95" customHeight="1">
      <c r="B8" s="438"/>
      <c r="T8" s="2646"/>
      <c r="U8" s="2646"/>
      <c r="V8" s="2646"/>
      <c r="W8" s="2646"/>
      <c r="X8" s="2646"/>
      <c r="Y8" s="2646"/>
      <c r="Z8" s="2646"/>
      <c r="AA8" s="2646"/>
      <c r="AB8" s="2646"/>
      <c r="AC8" s="2646"/>
      <c r="AD8" s="2646"/>
      <c r="AE8" s="2646"/>
      <c r="AF8" s="2646"/>
      <c r="AG8" s="2646"/>
      <c r="AH8" s="2646"/>
      <c r="AI8" s="2646"/>
      <c r="AJ8" s="2646"/>
      <c r="AK8" s="2646"/>
      <c r="AL8" s="2646"/>
      <c r="AM8" s="2646"/>
    </row>
    <row r="9" spans="1:40" ht="12.95" customHeight="1">
      <c r="B9" s="438"/>
      <c r="T9" s="2646"/>
      <c r="U9" s="2646"/>
      <c r="V9" s="2646"/>
      <c r="W9" s="2646"/>
      <c r="X9" s="2646"/>
      <c r="Y9" s="2646"/>
      <c r="Z9" s="2646"/>
      <c r="AA9" s="2646"/>
      <c r="AB9" s="2646"/>
      <c r="AC9" s="2646"/>
      <c r="AD9" s="2646"/>
      <c r="AE9" s="2646"/>
      <c r="AF9" s="2646"/>
      <c r="AG9" s="2646"/>
      <c r="AH9" s="2646"/>
      <c r="AI9" s="2646"/>
      <c r="AJ9" s="2646"/>
      <c r="AK9" s="2646"/>
      <c r="AL9" s="2646"/>
      <c r="AM9" s="2646"/>
    </row>
    <row r="10" spans="1:40" ht="12.95" customHeight="1">
      <c r="B10" s="439"/>
      <c r="C10" s="440"/>
      <c r="D10" s="440"/>
      <c r="E10" s="440"/>
      <c r="F10" s="440"/>
      <c r="G10" s="440"/>
      <c r="H10" s="440"/>
      <c r="I10" s="440"/>
      <c r="J10" s="440"/>
      <c r="K10" s="440"/>
      <c r="L10" s="440"/>
      <c r="M10" s="440"/>
      <c r="N10" s="440"/>
      <c r="O10" s="440"/>
      <c r="P10" s="440"/>
      <c r="Q10" s="440"/>
      <c r="R10" s="440"/>
      <c r="S10" s="440"/>
      <c r="T10" s="2646"/>
      <c r="U10" s="2646"/>
      <c r="V10" s="2646"/>
      <c r="W10" s="2646"/>
      <c r="X10" s="2646"/>
      <c r="Y10" s="2646"/>
      <c r="Z10" s="2646"/>
      <c r="AA10" s="2646"/>
      <c r="AB10" s="2646"/>
      <c r="AC10" s="2646"/>
      <c r="AD10" s="2646"/>
      <c r="AE10" s="2646"/>
      <c r="AF10" s="2646"/>
      <c r="AG10" s="2646"/>
      <c r="AH10" s="2646"/>
      <c r="AI10" s="2646"/>
      <c r="AJ10" s="2646"/>
      <c r="AK10" s="2646"/>
      <c r="AL10" s="2646"/>
      <c r="AM10" s="2646"/>
    </row>
    <row r="11" spans="1:40" ht="12.95" customHeight="1">
      <c r="B11" s="2629" t="s">
        <v>376</v>
      </c>
      <c r="C11" s="2630"/>
      <c r="D11" s="2630"/>
      <c r="E11" s="2630"/>
      <c r="F11" s="2630"/>
      <c r="G11" s="2630"/>
      <c r="H11" s="2630"/>
      <c r="I11" s="2630"/>
      <c r="J11" s="2630"/>
      <c r="K11" s="2630"/>
      <c r="L11" s="2630"/>
      <c r="M11" s="2630"/>
      <c r="N11" s="2630"/>
      <c r="O11" s="2630"/>
      <c r="P11" s="2630"/>
      <c r="Q11" s="2630"/>
      <c r="R11" s="2630"/>
      <c r="S11" s="2631"/>
      <c r="T11" s="2668">
        <f>IF('Sources and Basis Breakdown'!F107=0,'Sources and Basis Breakdown'!E107,'Sources and Basis Breakdown'!F107)</f>
        <v>25262867</v>
      </c>
      <c r="U11" s="2669"/>
      <c r="V11" s="2669"/>
      <c r="W11" s="2669"/>
      <c r="X11" s="2669"/>
      <c r="Y11" s="2668">
        <f>IF(Y7="",0,IF('Sources and Basis Breakdown'!G107+'Sources and Basis Breakdown'!F107='Sources and Basis Breakdown'!E107,'Sources and Basis Breakdown'!G107,0))</f>
        <v>0</v>
      </c>
      <c r="Z11" s="2669"/>
      <c r="AA11" s="2669"/>
      <c r="AB11" s="2669"/>
      <c r="AC11" s="2669"/>
      <c r="AD11" s="2669">
        <f>IF('Sources and Basis Breakdown'!I107=0,'Sources and Basis Breakdown'!H107,'Sources and Basis Breakdown'!I107)</f>
        <v>70456561</v>
      </c>
      <c r="AE11" s="2669"/>
      <c r="AF11" s="2669"/>
      <c r="AG11" s="2669"/>
      <c r="AH11" s="2669"/>
      <c r="AI11" s="2669">
        <f>IF(Y7="",0,IF('Sources and Basis Breakdown'!I107+'Sources and Basis Breakdown'!J107='Sources and Basis Breakdown'!H107,'Sources and Basis Breakdown'!J107,0))</f>
        <v>0</v>
      </c>
      <c r="AJ11" s="2669"/>
      <c r="AK11" s="2669"/>
      <c r="AL11" s="2669"/>
      <c r="AM11" s="2669"/>
    </row>
    <row r="12" spans="1:40" ht="12.95" customHeight="1">
      <c r="B12" s="2670" t="s">
        <v>506</v>
      </c>
      <c r="C12" s="1290"/>
      <c r="D12" s="1290"/>
      <c r="E12" s="1290"/>
      <c r="F12" s="1290"/>
      <c r="G12" s="1290"/>
      <c r="H12" s="1290"/>
      <c r="I12" s="1290"/>
      <c r="J12" s="1290"/>
      <c r="K12" s="1290"/>
      <c r="L12" s="1290"/>
      <c r="M12" s="1290"/>
      <c r="N12" s="1290"/>
      <c r="O12" s="1290"/>
      <c r="P12" s="1290"/>
      <c r="Q12" s="1290"/>
      <c r="R12" s="1290"/>
      <c r="S12" s="2671"/>
      <c r="T12" s="2661"/>
      <c r="U12" s="2662"/>
      <c r="V12" s="2662"/>
      <c r="W12" s="2662"/>
      <c r="X12" s="2663"/>
      <c r="Y12" s="2661"/>
      <c r="Z12" s="2662"/>
      <c r="AA12" s="2662"/>
      <c r="AB12" s="2662"/>
      <c r="AC12" s="2663"/>
      <c r="AD12" s="2661"/>
      <c r="AE12" s="2662"/>
      <c r="AF12" s="2662"/>
      <c r="AG12" s="2662"/>
      <c r="AH12" s="2663"/>
      <c r="AI12" s="2661"/>
      <c r="AJ12" s="2662"/>
      <c r="AK12" s="2662"/>
      <c r="AL12" s="2662"/>
      <c r="AM12" s="2663"/>
    </row>
    <row r="13" spans="1:40" ht="12.95" customHeight="1">
      <c r="B13" s="467"/>
      <c r="C13" s="2672" t="s">
        <v>507</v>
      </c>
      <c r="D13" s="2672"/>
      <c r="E13" s="2672"/>
      <c r="F13" s="2672"/>
      <c r="G13" s="2672"/>
      <c r="H13" s="2672"/>
      <c r="I13" s="2672"/>
      <c r="J13" s="2672"/>
      <c r="K13" s="2672"/>
      <c r="L13" s="2672"/>
      <c r="M13" s="2672"/>
      <c r="N13" s="2672"/>
      <c r="O13" s="2672"/>
      <c r="P13" s="2672"/>
      <c r="Q13" s="2672"/>
      <c r="R13" s="2672"/>
      <c r="S13" s="2673"/>
      <c r="T13" s="2664"/>
      <c r="U13" s="2665"/>
      <c r="V13" s="2665"/>
      <c r="W13" s="2665"/>
      <c r="X13" s="2665"/>
      <c r="Y13" s="2664"/>
      <c r="Z13" s="2665"/>
      <c r="AA13" s="2665"/>
      <c r="AB13" s="2665"/>
      <c r="AC13" s="2665"/>
      <c r="AD13" s="2665"/>
      <c r="AE13" s="2665"/>
      <c r="AF13" s="2665"/>
      <c r="AG13" s="2665"/>
      <c r="AH13" s="2665"/>
      <c r="AI13" s="2665"/>
      <c r="AJ13" s="2665"/>
      <c r="AK13" s="2665"/>
      <c r="AL13" s="2665"/>
      <c r="AM13" s="2665"/>
    </row>
    <row r="14" spans="1:40" ht="12.95" customHeight="1">
      <c r="B14" s="467"/>
      <c r="C14" s="2672" t="s">
        <v>508</v>
      </c>
      <c r="D14" s="2672"/>
      <c r="E14" s="2672"/>
      <c r="F14" s="2672"/>
      <c r="G14" s="2672"/>
      <c r="H14" s="2672"/>
      <c r="I14" s="2672"/>
      <c r="J14" s="2672"/>
      <c r="K14" s="2672"/>
      <c r="L14" s="2672"/>
      <c r="M14" s="2672"/>
      <c r="N14" s="2672"/>
      <c r="O14" s="2672"/>
      <c r="P14" s="2672"/>
      <c r="Q14" s="2672"/>
      <c r="R14" s="2672"/>
      <c r="S14" s="2673"/>
      <c r="T14" s="2654"/>
      <c r="U14" s="2655"/>
      <c r="V14" s="2655"/>
      <c r="W14" s="2655"/>
      <c r="X14" s="2655"/>
      <c r="Y14" s="2654"/>
      <c r="Z14" s="2655"/>
      <c r="AA14" s="2655"/>
      <c r="AB14" s="2655"/>
      <c r="AC14" s="2655"/>
      <c r="AD14" s="2655"/>
      <c r="AE14" s="2655"/>
      <c r="AF14" s="2655"/>
      <c r="AG14" s="2655"/>
      <c r="AH14" s="2655"/>
      <c r="AI14" s="2655"/>
      <c r="AJ14" s="2655"/>
      <c r="AK14" s="2655"/>
      <c r="AL14" s="2655"/>
      <c r="AM14" s="2655"/>
    </row>
    <row r="15" spans="1:40" ht="12.95" customHeight="1">
      <c r="B15" s="467"/>
      <c r="C15" s="2672" t="s">
        <v>509</v>
      </c>
      <c r="D15" s="2672"/>
      <c r="E15" s="2672"/>
      <c r="F15" s="2672"/>
      <c r="G15" s="2672"/>
      <c r="H15" s="2672"/>
      <c r="I15" s="2672"/>
      <c r="J15" s="2672"/>
      <c r="K15" s="2672"/>
      <c r="L15" s="2672"/>
      <c r="M15" s="2672"/>
      <c r="N15" s="2672"/>
      <c r="O15" s="2672"/>
      <c r="P15" s="2672"/>
      <c r="Q15" s="2672"/>
      <c r="R15" s="2672"/>
      <c r="S15" s="2673"/>
      <c r="T15" s="2654"/>
      <c r="U15" s="2655"/>
      <c r="V15" s="2655"/>
      <c r="W15" s="2655"/>
      <c r="X15" s="2655"/>
      <c r="Y15" s="2654"/>
      <c r="Z15" s="2655"/>
      <c r="AA15" s="2655"/>
      <c r="AB15" s="2655"/>
      <c r="AC15" s="2655"/>
      <c r="AD15" s="2655"/>
      <c r="AE15" s="2655"/>
      <c r="AF15" s="2655"/>
      <c r="AG15" s="2655"/>
      <c r="AH15" s="2655"/>
      <c r="AI15" s="2655"/>
      <c r="AJ15" s="2655"/>
      <c r="AK15" s="2655"/>
      <c r="AL15" s="2655"/>
      <c r="AM15" s="2655"/>
    </row>
    <row r="16" spans="1:40" ht="12.95" customHeight="1">
      <c r="B16" s="467"/>
      <c r="C16" s="2672" t="s">
        <v>815</v>
      </c>
      <c r="D16" s="2672"/>
      <c r="E16" s="2672"/>
      <c r="F16" s="2672"/>
      <c r="G16" s="2672"/>
      <c r="H16" s="2672"/>
      <c r="I16" s="2672"/>
      <c r="J16" s="2672"/>
      <c r="K16" s="2672"/>
      <c r="L16" s="2672"/>
      <c r="M16" s="2672"/>
      <c r="N16" s="2672"/>
      <c r="O16" s="2672"/>
      <c r="P16" s="2672"/>
      <c r="Q16" s="2672"/>
      <c r="R16" s="2672"/>
      <c r="S16" s="2673"/>
      <c r="T16" s="2654"/>
      <c r="U16" s="2655"/>
      <c r="V16" s="2655"/>
      <c r="W16" s="2655"/>
      <c r="X16" s="2655"/>
      <c r="Y16" s="2654"/>
      <c r="Z16" s="2655"/>
      <c r="AA16" s="2655"/>
      <c r="AB16" s="2655"/>
      <c r="AC16" s="2655"/>
      <c r="AD16" s="2655"/>
      <c r="AE16" s="2655"/>
      <c r="AF16" s="2655"/>
      <c r="AG16" s="2655"/>
      <c r="AH16" s="2655"/>
      <c r="AI16" s="2655"/>
      <c r="AJ16" s="2655"/>
      <c r="AK16" s="2655"/>
      <c r="AL16" s="2655"/>
      <c r="AM16" s="2655"/>
    </row>
    <row r="17" spans="1:40" ht="12.95" customHeight="1">
      <c r="B17" s="467"/>
      <c r="C17" s="2672" t="s">
        <v>510</v>
      </c>
      <c r="D17" s="2672"/>
      <c r="E17" s="2672"/>
      <c r="F17" s="2672"/>
      <c r="G17" s="2672"/>
      <c r="H17" s="2672"/>
      <c r="I17" s="2672"/>
      <c r="J17" s="2672"/>
      <c r="K17" s="2672"/>
      <c r="L17" s="2672"/>
      <c r="M17" s="2672"/>
      <c r="N17" s="2672"/>
      <c r="O17" s="2672"/>
      <c r="P17" s="2672"/>
      <c r="Q17" s="2672"/>
      <c r="R17" s="2672"/>
      <c r="S17" s="2673"/>
      <c r="T17" s="2654"/>
      <c r="U17" s="2655"/>
      <c r="V17" s="2655"/>
      <c r="W17" s="2655"/>
      <c r="X17" s="2655"/>
      <c r="Y17" s="2654"/>
      <c r="Z17" s="2655"/>
      <c r="AA17" s="2655"/>
      <c r="AB17" s="2655"/>
      <c r="AC17" s="2655"/>
      <c r="AD17" s="2655"/>
      <c r="AE17" s="2655"/>
      <c r="AF17" s="2655"/>
      <c r="AG17" s="2655"/>
      <c r="AH17" s="2655"/>
      <c r="AI17" s="2655"/>
      <c r="AJ17" s="2655"/>
      <c r="AK17" s="2655"/>
      <c r="AL17" s="2655"/>
      <c r="AM17" s="2655"/>
    </row>
    <row r="18" spans="1:40" ht="12.95" customHeight="1">
      <c r="A18"/>
      <c r="B18" s="1194"/>
      <c r="C18" s="1669" t="s">
        <v>980</v>
      </c>
      <c r="D18" s="1669"/>
      <c r="E18" s="1669"/>
      <c r="F18" s="1669"/>
      <c r="G18" s="1669"/>
      <c r="H18" s="1669"/>
      <c r="I18" s="1669"/>
      <c r="J18" s="1669"/>
      <c r="K18" s="1669"/>
      <c r="L18" s="1669"/>
      <c r="M18" s="1669"/>
      <c r="N18" s="1669"/>
      <c r="O18" s="1669"/>
      <c r="P18" s="1669"/>
      <c r="Q18" s="1669"/>
      <c r="R18" s="1669"/>
      <c r="S18" s="1670"/>
      <c r="T18" s="2654"/>
      <c r="U18" s="2655"/>
      <c r="V18" s="2655"/>
      <c r="W18" s="2655"/>
      <c r="X18" s="2655"/>
      <c r="Y18" s="2654"/>
      <c r="Z18" s="2655"/>
      <c r="AA18" s="2655"/>
      <c r="AB18" s="2655"/>
      <c r="AC18" s="2655"/>
      <c r="AD18" s="2655"/>
      <c r="AE18" s="2655"/>
      <c r="AF18" s="2655"/>
      <c r="AG18" s="2655"/>
      <c r="AH18" s="2655"/>
      <c r="AI18" s="2655"/>
      <c r="AJ18" s="2655"/>
      <c r="AK18" s="2655"/>
      <c r="AL18" s="2655"/>
      <c r="AM18" s="2655"/>
    </row>
    <row r="19" spans="1:40" ht="12.95" customHeight="1">
      <c r="B19" s="1194"/>
      <c r="C19" s="1669" t="s">
        <v>980</v>
      </c>
      <c r="D19" s="1669"/>
      <c r="E19" s="1669"/>
      <c r="F19" s="1669"/>
      <c r="G19" s="1669"/>
      <c r="H19" s="1669"/>
      <c r="I19" s="1669"/>
      <c r="J19" s="1669"/>
      <c r="K19" s="1669"/>
      <c r="L19" s="1669"/>
      <c r="M19" s="1669"/>
      <c r="N19" s="1669"/>
      <c r="O19" s="1669"/>
      <c r="P19" s="1669"/>
      <c r="Q19" s="1669"/>
      <c r="R19" s="1669"/>
      <c r="S19" s="1670"/>
      <c r="T19" s="2654"/>
      <c r="U19" s="2655"/>
      <c r="V19" s="2655"/>
      <c r="W19" s="2655"/>
      <c r="X19" s="2655"/>
      <c r="Y19" s="2654"/>
      <c r="Z19" s="2655"/>
      <c r="AA19" s="2655"/>
      <c r="AB19" s="2655"/>
      <c r="AC19" s="2655"/>
      <c r="AD19" s="2655"/>
      <c r="AE19" s="2655"/>
      <c r="AF19" s="2655"/>
      <c r="AG19" s="2655"/>
      <c r="AH19" s="2655"/>
      <c r="AI19" s="2655"/>
      <c r="AJ19" s="2655"/>
      <c r="AK19" s="2655"/>
      <c r="AL19" s="2655"/>
      <c r="AM19" s="2655"/>
    </row>
    <row r="20" spans="1:40" ht="12.95" customHeight="1">
      <c r="B20" s="2629" t="s">
        <v>511</v>
      </c>
      <c r="C20" s="2630"/>
      <c r="D20" s="2630"/>
      <c r="E20" s="2630"/>
      <c r="F20" s="2630"/>
      <c r="G20" s="2630"/>
      <c r="H20" s="2630"/>
      <c r="I20" s="2630"/>
      <c r="J20" s="2630"/>
      <c r="K20" s="2630"/>
      <c r="L20" s="2630"/>
      <c r="M20" s="2630"/>
      <c r="N20" s="2630"/>
      <c r="O20" s="2630"/>
      <c r="P20" s="2630"/>
      <c r="Q20" s="2630"/>
      <c r="R20" s="2630"/>
      <c r="S20" s="2631"/>
      <c r="T20" s="2645">
        <f>SUM(T13:X19)</f>
        <v>0</v>
      </c>
      <c r="U20" s="2623"/>
      <c r="V20" s="2623"/>
      <c r="W20" s="2623"/>
      <c r="X20" s="2623"/>
      <c r="Y20" s="2645">
        <f>SUM(Y13:AC19)</f>
        <v>0</v>
      </c>
      <c r="Z20" s="2623"/>
      <c r="AA20" s="2623"/>
      <c r="AB20" s="2623"/>
      <c r="AC20" s="2623"/>
      <c r="AD20" s="2633">
        <f>SUM(AD13:AH19)</f>
        <v>0</v>
      </c>
      <c r="AE20" s="2644"/>
      <c r="AF20" s="2644"/>
      <c r="AG20" s="2644"/>
      <c r="AH20" s="2645"/>
      <c r="AI20" s="2633">
        <f>SUM(AI13:AM19)</f>
        <v>0</v>
      </c>
      <c r="AJ20" s="2644"/>
      <c r="AK20" s="2644"/>
      <c r="AL20" s="2644"/>
      <c r="AM20" s="2645"/>
    </row>
    <row r="21" spans="1:40" ht="12.95" customHeight="1">
      <c r="B21" s="2629" t="s">
        <v>1374</v>
      </c>
      <c r="C21" s="2630"/>
      <c r="D21" s="2630"/>
      <c r="E21" s="2630"/>
      <c r="F21" s="2630"/>
      <c r="G21" s="2630"/>
      <c r="H21" s="2630"/>
      <c r="I21" s="2630"/>
      <c r="J21" s="2630"/>
      <c r="K21" s="2630"/>
      <c r="L21" s="2630"/>
      <c r="M21" s="2630"/>
      <c r="N21" s="2630"/>
      <c r="O21" s="2630"/>
      <c r="P21" s="2630"/>
      <c r="Q21" s="2630"/>
      <c r="R21" s="2630"/>
      <c r="S21" s="2631"/>
      <c r="T21" s="2654"/>
      <c r="U21" s="2655"/>
      <c r="V21" s="2655"/>
      <c r="W21" s="2655"/>
      <c r="X21" s="2655"/>
      <c r="Y21" s="2654"/>
      <c r="Z21" s="2655"/>
      <c r="AA21" s="2655"/>
      <c r="AB21" s="2655"/>
      <c r="AC21" s="2655"/>
      <c r="AD21" s="2661"/>
      <c r="AE21" s="2662"/>
      <c r="AF21" s="2662"/>
      <c r="AG21" s="2662"/>
      <c r="AH21" s="2663"/>
      <c r="AI21" s="2661"/>
      <c r="AJ21" s="2662"/>
      <c r="AK21" s="2662"/>
      <c r="AL21" s="2662"/>
      <c r="AM21" s="2663"/>
    </row>
    <row r="22" spans="1:40" ht="12.95" customHeight="1">
      <c r="B22" s="2629" t="s">
        <v>512</v>
      </c>
      <c r="C22" s="2630"/>
      <c r="D22" s="2630"/>
      <c r="E22" s="2630"/>
      <c r="F22" s="2630"/>
      <c r="G22" s="2630"/>
      <c r="H22" s="2630"/>
      <c r="I22" s="2630"/>
      <c r="J22" s="2630"/>
      <c r="K22" s="2630"/>
      <c r="L22" s="2630"/>
      <c r="M22" s="2630"/>
      <c r="N22" s="2630"/>
      <c r="O22" s="2630"/>
      <c r="P22" s="2630"/>
      <c r="Q22" s="2630"/>
      <c r="R22" s="2630"/>
      <c r="S22" s="2631"/>
      <c r="T22" s="2650">
        <f>(ABS(T20)+ABS(T21))*-1</f>
        <v>0</v>
      </c>
      <c r="U22" s="2651"/>
      <c r="V22" s="2651"/>
      <c r="W22" s="2651"/>
      <c r="X22" s="2651"/>
      <c r="Y22" s="2650">
        <f>(Y20+Y21)*-1</f>
        <v>0</v>
      </c>
      <c r="Z22" s="2651"/>
      <c r="AA22" s="2651"/>
      <c r="AB22" s="2651"/>
      <c r="AC22" s="2651"/>
      <c r="AD22" s="2652">
        <f>(AD20)*-1</f>
        <v>0</v>
      </c>
      <c r="AE22" s="2653"/>
      <c r="AF22" s="2653"/>
      <c r="AG22" s="2653"/>
      <c r="AH22" s="2650"/>
      <c r="AI22" s="2652">
        <f>(AI20)*-1</f>
        <v>0</v>
      </c>
      <c r="AJ22" s="2653"/>
      <c r="AK22" s="2653"/>
      <c r="AL22" s="2653"/>
      <c r="AM22" s="2650"/>
    </row>
    <row r="23" spans="1:40" ht="12.95" customHeight="1">
      <c r="B23" s="2629" t="s">
        <v>513</v>
      </c>
      <c r="C23" s="2630"/>
      <c r="D23" s="2630"/>
      <c r="E23" s="2630"/>
      <c r="F23" s="2630"/>
      <c r="G23" s="2630"/>
      <c r="H23" s="2630"/>
      <c r="I23" s="2630"/>
      <c r="J23" s="2630"/>
      <c r="K23" s="2630"/>
      <c r="L23" s="2630"/>
      <c r="M23" s="2630"/>
      <c r="N23" s="2630"/>
      <c r="O23" s="2630"/>
      <c r="P23" s="2630"/>
      <c r="Q23" s="2630"/>
      <c r="R23" s="2630"/>
      <c r="S23" s="2631"/>
      <c r="T23" s="2645">
        <f>T11+T22</f>
        <v>25262867</v>
      </c>
      <c r="U23" s="2623"/>
      <c r="V23" s="2623"/>
      <c r="W23" s="2623"/>
      <c r="X23" s="2623"/>
      <c r="Y23" s="2645">
        <f>Y11+Y22</f>
        <v>0</v>
      </c>
      <c r="Z23" s="2623"/>
      <c r="AA23" s="2623"/>
      <c r="AB23" s="2623"/>
      <c r="AC23" s="2623"/>
      <c r="AD23" s="2645">
        <f>AD11+AD22</f>
        <v>70456561</v>
      </c>
      <c r="AE23" s="2623"/>
      <c r="AF23" s="2623"/>
      <c r="AG23" s="2623"/>
      <c r="AH23" s="2623"/>
      <c r="AI23" s="2645">
        <f>AI11+AI22</f>
        <v>0</v>
      </c>
      <c r="AJ23" s="2623"/>
      <c r="AK23" s="2623"/>
      <c r="AL23" s="2623"/>
      <c r="AM23" s="2623"/>
    </row>
    <row r="24" spans="1:40" ht="12.95" customHeight="1">
      <c r="B24" s="2629" t="s">
        <v>981</v>
      </c>
      <c r="C24" s="2630"/>
      <c r="D24" s="2630"/>
      <c r="E24" s="2630"/>
      <c r="F24" s="2630"/>
      <c r="G24" s="2630"/>
      <c r="H24" s="2630"/>
      <c r="I24" s="2630"/>
      <c r="J24" s="2630"/>
      <c r="K24" s="2630"/>
      <c r="L24" s="2630"/>
      <c r="M24" s="2630"/>
      <c r="N24" s="2630"/>
      <c r="O24" s="2630"/>
      <c r="P24" s="2630"/>
      <c r="Q24" s="2630"/>
      <c r="R24" s="2630"/>
      <c r="S24" s="2631"/>
      <c r="T24" s="2633">
        <f>Application!AJ1052</f>
        <v>219801904</v>
      </c>
      <c r="U24" s="2644"/>
      <c r="V24" s="2644"/>
      <c r="W24" s="2644"/>
      <c r="X24" s="2644"/>
      <c r="Y24" s="2644"/>
      <c r="Z24" s="2644"/>
      <c r="AA24" s="2644"/>
      <c r="AB24" s="2644"/>
      <c r="AC24" s="2644"/>
      <c r="AD24" s="2644"/>
      <c r="AE24" s="2644"/>
      <c r="AF24" s="2644"/>
      <c r="AG24" s="2644"/>
      <c r="AH24" s="2644"/>
      <c r="AI24" s="2644"/>
      <c r="AJ24" s="2644"/>
      <c r="AK24" s="2644"/>
      <c r="AL24" s="2644"/>
      <c r="AM24" s="2645"/>
    </row>
    <row r="25" spans="1:40" ht="12.95" customHeight="1">
      <c r="B25" s="2676" t="s">
        <v>1375</v>
      </c>
      <c r="C25" s="2677"/>
      <c r="D25" s="2677"/>
      <c r="E25" s="2677"/>
      <c r="F25" s="2677"/>
      <c r="G25" s="2677"/>
      <c r="H25" s="2677"/>
      <c r="I25" s="2677"/>
      <c r="J25" s="2677"/>
      <c r="K25" s="2677"/>
      <c r="L25" s="2677"/>
      <c r="M25" s="2677"/>
      <c r="N25" s="2677"/>
      <c r="O25" s="2677"/>
      <c r="P25" s="2677"/>
      <c r="Q25" s="2677"/>
      <c r="R25" s="2677"/>
      <c r="S25" s="2678"/>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2.95" customHeight="1">
      <c r="B26" s="2629" t="s">
        <v>514</v>
      </c>
      <c r="C26" s="2630"/>
      <c r="D26" s="2630"/>
      <c r="E26" s="2630"/>
      <c r="F26" s="2630"/>
      <c r="G26" s="2630"/>
      <c r="H26" s="2630"/>
      <c r="I26" s="2630"/>
      <c r="J26" s="2630"/>
      <c r="K26" s="2630"/>
      <c r="L26" s="2630"/>
      <c r="M26" s="2630"/>
      <c r="N26" s="2630"/>
      <c r="O26" s="2630"/>
      <c r="P26" s="2630"/>
      <c r="Q26" s="2630"/>
      <c r="R26" s="2630"/>
      <c r="S26" s="2631"/>
      <c r="T26" s="2645">
        <f>T23*T25</f>
        <v>32841727.100000001</v>
      </c>
      <c r="U26" s="2623"/>
      <c r="V26" s="2623"/>
      <c r="W26" s="2623"/>
      <c r="X26" s="2623"/>
      <c r="Y26" s="2645">
        <f>Y23*Y25</f>
        <v>0</v>
      </c>
      <c r="Z26" s="2623"/>
      <c r="AA26" s="2623"/>
      <c r="AB26" s="2623"/>
      <c r="AC26" s="2623"/>
      <c r="AD26" s="2645">
        <f>AD23*AD25</f>
        <v>70456561</v>
      </c>
      <c r="AE26" s="2623"/>
      <c r="AF26" s="2623"/>
      <c r="AG26" s="2623"/>
      <c r="AH26" s="2623"/>
      <c r="AI26" s="2645">
        <f>AI23*AI25</f>
        <v>0</v>
      </c>
      <c r="AJ26" s="2623"/>
      <c r="AK26" s="2623"/>
      <c r="AL26" s="2623"/>
      <c r="AM26" s="2623"/>
    </row>
    <row r="27" spans="1:40" ht="12.95" customHeight="1">
      <c r="A27" s="441"/>
      <c r="B27" s="2679" t="s">
        <v>427</v>
      </c>
      <c r="C27" s="2680"/>
      <c r="D27" s="2680"/>
      <c r="E27" s="2680"/>
      <c r="F27" s="2680"/>
      <c r="G27" s="2680"/>
      <c r="H27" s="2680"/>
      <c r="I27" s="2680"/>
      <c r="J27" s="2680"/>
      <c r="K27" s="2680"/>
      <c r="L27" s="2680"/>
      <c r="M27" s="2680"/>
      <c r="N27" s="2680"/>
      <c r="O27" s="2680"/>
      <c r="P27" s="2680"/>
      <c r="Q27" s="2680"/>
      <c r="R27" s="2680"/>
      <c r="S27" s="2681"/>
      <c r="T27" s="2656">
        <f>Application!$AG$445</f>
        <v>1</v>
      </c>
      <c r="U27" s="2657"/>
      <c r="V27" s="2657"/>
      <c r="W27" s="2657"/>
      <c r="X27" s="2657"/>
      <c r="Y27" s="2656">
        <f>Application!$AG$445</f>
        <v>1</v>
      </c>
      <c r="Z27" s="2657"/>
      <c r="AA27" s="2657"/>
      <c r="AB27" s="2657"/>
      <c r="AC27" s="2657"/>
      <c r="AD27" s="2656">
        <f>Application!$AG$445</f>
        <v>1</v>
      </c>
      <c r="AE27" s="2657"/>
      <c r="AF27" s="2657"/>
      <c r="AG27" s="2657"/>
      <c r="AH27" s="2657"/>
      <c r="AI27" s="2656">
        <f>Application!$AG$445</f>
        <v>1</v>
      </c>
      <c r="AJ27" s="2657"/>
      <c r="AK27" s="2657"/>
      <c r="AL27" s="2657"/>
      <c r="AM27" s="2657"/>
    </row>
    <row r="28" spans="1:40" ht="12.95" customHeight="1">
      <c r="A28" s="435"/>
      <c r="B28" s="2629" t="s">
        <v>515</v>
      </c>
      <c r="C28" s="2630"/>
      <c r="D28" s="2630"/>
      <c r="E28" s="2630"/>
      <c r="F28" s="2630"/>
      <c r="G28" s="2630"/>
      <c r="H28" s="2630"/>
      <c r="I28" s="2630"/>
      <c r="J28" s="2630"/>
      <c r="K28" s="2630"/>
      <c r="L28" s="2630"/>
      <c r="M28" s="2630"/>
      <c r="N28" s="2630"/>
      <c r="O28" s="2630"/>
      <c r="P28" s="2630"/>
      <c r="Q28" s="2630"/>
      <c r="R28" s="2630"/>
      <c r="S28" s="2631"/>
      <c r="T28" s="2645">
        <f>IF(ISERROR((T26*T27)),0,(T26*T27))</f>
        <v>32841727.100000001</v>
      </c>
      <c r="U28" s="2623"/>
      <c r="V28" s="2623"/>
      <c r="W28" s="2623"/>
      <c r="X28" s="2623"/>
      <c r="Y28" s="2645">
        <f>IF(ISERROR((Y26*Y27)),0,(Y26*Y27))</f>
        <v>0</v>
      </c>
      <c r="Z28" s="2623"/>
      <c r="AA28" s="2623"/>
      <c r="AB28" s="2623"/>
      <c r="AC28" s="2623"/>
      <c r="AD28" s="2645">
        <f>IF(ISERROR((AD26*AD27)),0,(AD26*AD27))</f>
        <v>70456561</v>
      </c>
      <c r="AE28" s="2623"/>
      <c r="AF28" s="2623"/>
      <c r="AG28" s="2623"/>
      <c r="AH28" s="2623"/>
      <c r="AI28" s="2645">
        <f>IF(ISERROR((AI26*AI27)),0,(AI26*AI27))</f>
        <v>0</v>
      </c>
      <c r="AJ28" s="2623"/>
      <c r="AK28" s="2623"/>
      <c r="AL28" s="2623"/>
      <c r="AM28" s="2623"/>
    </row>
    <row r="29" spans="1:40" ht="12.95" customHeight="1">
      <c r="B29" s="2629" t="s">
        <v>532</v>
      </c>
      <c r="C29" s="2630"/>
      <c r="D29" s="2630"/>
      <c r="E29" s="2630"/>
      <c r="F29" s="2630"/>
      <c r="G29" s="2630"/>
      <c r="H29" s="2630"/>
      <c r="I29" s="2630"/>
      <c r="J29" s="2630"/>
      <c r="K29" s="2630"/>
      <c r="L29" s="2630"/>
      <c r="M29" s="2630"/>
      <c r="N29" s="2630"/>
      <c r="O29" s="2630"/>
      <c r="P29" s="2630"/>
      <c r="Q29" s="2630"/>
      <c r="R29" s="2630"/>
      <c r="S29" s="2631"/>
      <c r="T29" s="2633">
        <f>T28+Y28+AD28+AI28</f>
        <v>103298288.09999999</v>
      </c>
      <c r="U29" s="2644"/>
      <c r="V29" s="2644"/>
      <c r="W29" s="2644"/>
      <c r="X29" s="2644"/>
      <c r="Y29" s="2644"/>
      <c r="Z29" s="2644"/>
      <c r="AA29" s="2644"/>
      <c r="AB29" s="2644"/>
      <c r="AC29" s="2644"/>
      <c r="AD29" s="2644"/>
      <c r="AE29" s="2644"/>
      <c r="AF29" s="2644"/>
      <c r="AG29" s="2644"/>
      <c r="AH29" s="2644"/>
      <c r="AI29" s="2644"/>
      <c r="AJ29" s="2644"/>
      <c r="AK29" s="2644"/>
      <c r="AL29" s="2644"/>
      <c r="AM29" s="2645"/>
    </row>
    <row r="30" spans="1:40" ht="12.95" customHeight="1">
      <c r="B30" s="2649" t="s">
        <v>1377</v>
      </c>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40" ht="12.95" customHeight="1">
      <c r="B31" s="2649" t="s">
        <v>1376</v>
      </c>
      <c r="C31" s="2649"/>
      <c r="D31" s="2649"/>
      <c r="E31" s="2649"/>
      <c r="F31" s="2649"/>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9"/>
      <c r="AH31" s="2649"/>
      <c r="AI31" s="2649"/>
      <c r="AJ31" s="2649"/>
      <c r="AK31" s="2649"/>
      <c r="AL31" s="2649"/>
      <c r="AM31" s="2649"/>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6" t="s">
        <v>1257</v>
      </c>
      <c r="Z35" s="2646"/>
      <c r="AA35" s="2646"/>
      <c r="AB35" s="2646"/>
      <c r="AC35" s="2646"/>
      <c r="AD35" s="2647" t="s">
        <v>370</v>
      </c>
      <c r="AE35" s="2647"/>
      <c r="AF35" s="2647"/>
      <c r="AG35" s="2647"/>
      <c r="AH35" s="2647"/>
    </row>
    <row r="36" spans="1:76" ht="12.95" customHeight="1">
      <c r="B36" s="438"/>
      <c r="X36" s="443"/>
      <c r="Y36" s="2646"/>
      <c r="Z36" s="2646"/>
      <c r="AA36" s="2646"/>
      <c r="AB36" s="2646"/>
      <c r="AC36" s="2646"/>
      <c r="AD36" s="2647"/>
      <c r="AE36" s="2647"/>
      <c r="AF36" s="2647"/>
      <c r="AG36" s="2647"/>
      <c r="AH36" s="2647"/>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6"/>
      <c r="Z37" s="2646"/>
      <c r="AA37" s="2646"/>
      <c r="AB37" s="2646"/>
      <c r="AC37" s="2646"/>
      <c r="AD37" s="2647"/>
      <c r="AE37" s="2647"/>
      <c r="AF37" s="2647"/>
      <c r="AG37" s="2647"/>
      <c r="AH37" s="2647"/>
    </row>
    <row r="38" spans="1:76" ht="12.95" customHeight="1">
      <c r="A38" s="435"/>
      <c r="B38" s="2629" t="s">
        <v>515</v>
      </c>
      <c r="C38" s="2630"/>
      <c r="D38" s="2630"/>
      <c r="E38" s="2630"/>
      <c r="F38" s="2630"/>
      <c r="G38" s="2630"/>
      <c r="H38" s="2630"/>
      <c r="I38" s="2630"/>
      <c r="J38" s="2630"/>
      <c r="K38" s="2630"/>
      <c r="L38" s="2630"/>
      <c r="M38" s="2630"/>
      <c r="N38" s="2630"/>
      <c r="O38" s="2630"/>
      <c r="P38" s="2630"/>
      <c r="Q38" s="2630"/>
      <c r="R38" s="2630"/>
      <c r="S38" s="2630"/>
      <c r="T38" s="2630"/>
      <c r="U38" s="2630"/>
      <c r="V38" s="2630"/>
      <c r="W38" s="2630"/>
      <c r="X38" s="2631"/>
      <c r="Y38" s="2623">
        <f>IF(T24&gt;=(T23+Y23+AD23+AI23),T28+Y28,0)</f>
        <v>32841727.100000001</v>
      </c>
      <c r="Z38" s="2623"/>
      <c r="AA38" s="2623"/>
      <c r="AB38" s="2623"/>
      <c r="AC38" s="2623"/>
      <c r="AD38" s="2623">
        <f>IF(T24&gt;=(T23+Y23+AD23+AI23),AD28+AI28,0)</f>
        <v>70456561</v>
      </c>
      <c r="AE38" s="2623"/>
      <c r="AF38" s="2623"/>
      <c r="AG38" s="2623"/>
      <c r="AH38" s="2623"/>
    </row>
    <row r="39" spans="1:76" ht="12.95" customHeight="1">
      <c r="B39" s="2629" t="s">
        <v>1882</v>
      </c>
      <c r="C39" s="2630"/>
      <c r="D39" s="2630"/>
      <c r="E39" s="2630"/>
      <c r="F39" s="2630"/>
      <c r="G39" s="2630"/>
      <c r="H39" s="2630"/>
      <c r="I39" s="2630"/>
      <c r="J39" s="2630"/>
      <c r="K39" s="2630"/>
      <c r="L39" s="2630"/>
      <c r="M39" s="2630"/>
      <c r="N39" s="2630"/>
      <c r="O39" s="2630"/>
      <c r="P39" s="2630"/>
      <c r="Q39" s="2630"/>
      <c r="R39" s="2630"/>
      <c r="S39" s="2630"/>
      <c r="T39" s="2630"/>
      <c r="U39" s="2630"/>
      <c r="V39" s="2630"/>
      <c r="W39" s="2630"/>
      <c r="X39" s="2631"/>
      <c r="Y39" s="2648">
        <v>0.04</v>
      </c>
      <c r="Z39" s="2648"/>
      <c r="AA39" s="2648"/>
      <c r="AB39" s="2648"/>
      <c r="AC39" s="2648"/>
      <c r="AD39" s="2648">
        <v>0.04</v>
      </c>
      <c r="AE39" s="2648"/>
      <c r="AF39" s="2648"/>
      <c r="AG39" s="2648"/>
      <c r="AH39" s="2648"/>
    </row>
    <row r="40" spans="1:76" ht="12.95" customHeight="1">
      <c r="A40" s="435"/>
      <c r="B40" s="2629" t="s">
        <v>651</v>
      </c>
      <c r="C40" s="2630"/>
      <c r="D40" s="2630"/>
      <c r="E40" s="2630"/>
      <c r="F40" s="2630"/>
      <c r="G40" s="2630"/>
      <c r="H40" s="2630"/>
      <c r="I40" s="2630"/>
      <c r="J40" s="2630"/>
      <c r="K40" s="2630"/>
      <c r="L40" s="2630"/>
      <c r="M40" s="2630"/>
      <c r="N40" s="2630"/>
      <c r="O40" s="2630"/>
      <c r="P40" s="2630"/>
      <c r="Q40" s="2630"/>
      <c r="R40" s="2630"/>
      <c r="S40" s="2630"/>
      <c r="T40" s="2630"/>
      <c r="U40" s="2630"/>
      <c r="V40" s="2630"/>
      <c r="W40" s="2630"/>
      <c r="X40" s="2631"/>
      <c r="Y40" s="2623">
        <f>ROUND(Y38*Y39,0)</f>
        <v>1313669</v>
      </c>
      <c r="Z40" s="2623"/>
      <c r="AA40" s="2623"/>
      <c r="AB40" s="2623"/>
      <c r="AC40" s="2623"/>
      <c r="AD40" s="2645">
        <f>ROUND(AD38*AD39,0)</f>
        <v>2818262</v>
      </c>
      <c r="AE40" s="2623"/>
      <c r="AF40" s="2623"/>
      <c r="AG40" s="2623"/>
      <c r="AH40" s="2623"/>
    </row>
    <row r="41" spans="1:76" ht="12.95" customHeight="1">
      <c r="B41" s="2629" t="s">
        <v>652</v>
      </c>
      <c r="C41" s="2630"/>
      <c r="D41" s="2630"/>
      <c r="E41" s="2630"/>
      <c r="F41" s="2630"/>
      <c r="G41" s="2630"/>
      <c r="H41" s="2630"/>
      <c r="I41" s="2630"/>
      <c r="J41" s="2630"/>
      <c r="K41" s="2630"/>
      <c r="L41" s="2630"/>
      <c r="M41" s="2630"/>
      <c r="N41" s="2630"/>
      <c r="O41" s="2630"/>
      <c r="P41" s="2630"/>
      <c r="Q41" s="2630"/>
      <c r="R41" s="2630"/>
      <c r="S41" s="2630"/>
      <c r="T41" s="2630"/>
      <c r="U41" s="2630"/>
      <c r="V41" s="2630"/>
      <c r="W41" s="2630"/>
      <c r="X41" s="2631"/>
      <c r="Y41" s="2633">
        <f>Y40+AD40</f>
        <v>4131931</v>
      </c>
      <c r="Z41" s="2644"/>
      <c r="AA41" s="2644"/>
      <c r="AB41" s="2644"/>
      <c r="AC41" s="2644"/>
      <c r="AD41" s="2644"/>
      <c r="AE41" s="2644"/>
      <c r="AF41" s="2644"/>
      <c r="AG41" s="2644"/>
      <c r="AH41" s="2645"/>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43" t="s">
        <v>1387</v>
      </c>
      <c r="B44" s="2643"/>
      <c r="C44" s="2643"/>
      <c r="D44" s="2643"/>
      <c r="E44" s="2643"/>
      <c r="F44" s="2643"/>
      <c r="G44" s="2643"/>
      <c r="H44" s="2643"/>
      <c r="I44" s="2643"/>
      <c r="J44" s="2643"/>
      <c r="K44" s="2643"/>
      <c r="L44" s="2643"/>
      <c r="M44" s="2643"/>
      <c r="N44" s="2643"/>
      <c r="O44" s="2643"/>
      <c r="P44" s="2643"/>
      <c r="Q44" s="2643"/>
      <c r="R44" s="2643"/>
      <c r="S44" s="2643"/>
      <c r="T44" s="2643"/>
      <c r="U44" s="2643"/>
      <c r="V44" s="2643"/>
      <c r="W44" s="2643"/>
      <c r="X44" s="2643"/>
      <c r="Y44" s="2643"/>
      <c r="Z44" s="2643"/>
      <c r="AA44" s="2643"/>
      <c r="AB44" s="2643"/>
      <c r="AC44" s="2643"/>
      <c r="AD44" s="2643"/>
      <c r="AE44" s="2643"/>
      <c r="AF44" s="2643"/>
      <c r="AG44" s="2643"/>
      <c r="AH44" s="2643"/>
      <c r="AI44" s="2643"/>
      <c r="AJ44" s="2643"/>
      <c r="AK44" s="2643"/>
      <c r="AL44" s="2643"/>
      <c r="AM44" s="2643"/>
      <c r="AN44" s="2643"/>
      <c r="AO44" s="2643"/>
      <c r="AP44" s="2643"/>
      <c r="AQ44" s="2643"/>
      <c r="AR44" s="2643"/>
      <c r="AS44" s="2643"/>
      <c r="AT44" s="2643"/>
      <c r="AU44" s="2643"/>
      <c r="AV44" s="2643"/>
      <c r="AW44" s="2643"/>
      <c r="AX44" s="2643"/>
      <c r="AY44" s="2643"/>
      <c r="AZ44" s="2643"/>
      <c r="BA44" s="2643"/>
      <c r="BB44" s="2643"/>
      <c r="BC44" s="2643"/>
      <c r="BD44" s="2643"/>
      <c r="BE44" s="2643"/>
      <c r="BF44" s="2643"/>
      <c r="BG44" s="2643"/>
      <c r="BH44" s="2643"/>
      <c r="BI44" s="2643"/>
      <c r="BJ44" s="2643"/>
      <c r="BK44" s="2643"/>
      <c r="BL44" s="2643"/>
      <c r="BM44" s="2643"/>
      <c r="BN44" s="2643"/>
      <c r="BO44" s="2643"/>
      <c r="BP44" s="2643"/>
      <c r="BQ44" s="2643"/>
      <c r="BR44" s="2643"/>
      <c r="BS44" s="2643"/>
      <c r="BT44" s="2643"/>
      <c r="BU44" s="2643"/>
      <c r="BV44" s="2643"/>
      <c r="BW44" s="2643"/>
      <c r="BX44" s="2643"/>
    </row>
    <row r="45" spans="1:76" s="218" customFormat="1" ht="12.95" customHeight="1" thickTop="1"/>
    <row r="46" spans="1:76" ht="12.95" customHeight="1">
      <c r="A46" s="435" t="s">
        <v>595</v>
      </c>
      <c r="C46" s="435" t="s">
        <v>283</v>
      </c>
    </row>
    <row r="47" spans="1:76" ht="12.95" customHeight="1">
      <c r="D47" s="435" t="s">
        <v>284</v>
      </c>
      <c r="AB47" s="2637">
        <f>'Sources and Uses Budget'!B105-MAX(IF('Sources and Uses Budget'!B15="",0,'Sources and Uses Budget'!B15),IF(Application!AG394="",0,Application!AG394))</f>
        <v>118630126</v>
      </c>
      <c r="AC47" s="2638"/>
      <c r="AD47" s="2638"/>
      <c r="AE47" s="2638"/>
      <c r="AF47" s="2639"/>
    </row>
    <row r="48" spans="1:76" ht="12.95" customHeight="1">
      <c r="D48" s="435" t="s">
        <v>21</v>
      </c>
      <c r="AB48" s="2637">
        <f>Application!AO639-MAX(IF('Sources and Uses Budget'!B15="",0,'Sources and Uses Budget'!B15),IF(Application!AG394="",0,Application!AG394))</f>
        <v>81863290</v>
      </c>
      <c r="AC48" s="2638"/>
      <c r="AD48" s="2638"/>
      <c r="AE48" s="2638"/>
      <c r="AF48" s="2639"/>
    </row>
    <row r="49" spans="1:76" ht="12.95" customHeight="1">
      <c r="D49" s="435" t="s">
        <v>91</v>
      </c>
      <c r="AB49" s="2637">
        <f>AB47-AB48</f>
        <v>36766836</v>
      </c>
      <c r="AC49" s="2638"/>
      <c r="AD49" s="2638"/>
      <c r="AE49" s="2638"/>
      <c r="AF49" s="2639"/>
    </row>
    <row r="50" spans="1:76" ht="12.95" customHeight="1">
      <c r="D50" s="435" t="s">
        <v>690</v>
      </c>
      <c r="AA50" s="446"/>
      <c r="AB50" s="2625">
        <f>36766836/(10*Y41)</f>
        <v>0.88982211948844259</v>
      </c>
      <c r="AC50" s="2626"/>
      <c r="AD50" s="2626"/>
      <c r="AE50" s="2626"/>
      <c r="AF50" s="2627"/>
    </row>
    <row r="51" spans="1:76" s="448" customFormat="1" ht="12.95" customHeight="1">
      <c r="A51" s="433"/>
      <c r="B51" s="433"/>
      <c r="C51" s="433"/>
      <c r="D51" s="433"/>
      <c r="E51" s="2636" t="s">
        <v>2042</v>
      </c>
      <c r="F51" s="2636"/>
      <c r="G51" s="2636"/>
      <c r="H51" s="2636"/>
      <c r="I51" s="2636"/>
      <c r="J51" s="2636"/>
      <c r="K51" s="2636"/>
      <c r="L51" s="2636"/>
      <c r="M51" s="2636"/>
      <c r="N51" s="2636"/>
      <c r="O51" s="2636"/>
      <c r="P51" s="2636"/>
      <c r="Q51" s="2636"/>
      <c r="R51" s="2636"/>
      <c r="S51" s="2636"/>
      <c r="T51" s="2636"/>
      <c r="U51" s="2636"/>
      <c r="V51" s="2636"/>
      <c r="W51" s="2636"/>
      <c r="X51" s="2636"/>
      <c r="Y51" s="2636"/>
      <c r="Z51" s="2636"/>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6"/>
      <c r="F52" s="2636"/>
      <c r="G52" s="2636"/>
      <c r="H52" s="2636"/>
      <c r="I52" s="2636"/>
      <c r="J52" s="2636"/>
      <c r="K52" s="2636"/>
      <c r="L52" s="2636"/>
      <c r="M52" s="2636"/>
      <c r="N52" s="2636"/>
      <c r="O52" s="2636"/>
      <c r="P52" s="2636"/>
      <c r="Q52" s="2636"/>
      <c r="R52" s="2636"/>
      <c r="S52" s="2636"/>
      <c r="T52" s="2636"/>
      <c r="U52" s="2636"/>
      <c r="V52" s="2636"/>
      <c r="W52" s="2636"/>
      <c r="X52" s="2636"/>
      <c r="Y52" s="2636"/>
      <c r="Z52" s="2636"/>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7">
        <f>ROUND(IF(ISERROR((AB49/AB50)),0,(AB49/AB50)),0)</f>
        <v>41319310</v>
      </c>
      <c r="AC54" s="2638"/>
      <c r="AD54" s="2638"/>
      <c r="AE54" s="2638"/>
      <c r="AF54" s="2639"/>
    </row>
    <row r="55" spans="1:76" ht="12.95" customHeight="1">
      <c r="D55" s="435" t="s">
        <v>334</v>
      </c>
      <c r="AB55" s="2637">
        <f>(AB54/10)</f>
        <v>4131931</v>
      </c>
      <c r="AC55" s="2638"/>
      <c r="AD55" s="2638"/>
      <c r="AE55" s="2638"/>
      <c r="AF55" s="2639"/>
    </row>
    <row r="56" spans="1:76" ht="12.95" customHeight="1">
      <c r="D56" s="435" t="s">
        <v>766</v>
      </c>
      <c r="AB56" s="2640">
        <f>(IF((Y41&lt;AB55),Y41,AB55))</f>
        <v>4131931</v>
      </c>
      <c r="AC56" s="2641"/>
      <c r="AD56" s="2641"/>
      <c r="AE56" s="2641"/>
      <c r="AF56" s="2642"/>
    </row>
    <row r="57" spans="1:76" ht="12.95" customHeight="1">
      <c r="D57" s="435" t="s">
        <v>765</v>
      </c>
      <c r="AB57" s="2637">
        <f>ROUND((10*AB56*AB50),0)</f>
        <v>36766836</v>
      </c>
      <c r="AC57" s="2638"/>
      <c r="AD57" s="2638"/>
      <c r="AE57" s="2638"/>
      <c r="AF57" s="2639"/>
    </row>
    <row r="58" spans="1:76" ht="12.95" customHeight="1">
      <c r="D58" s="435"/>
      <c r="AB58" s="454"/>
      <c r="AC58" s="454"/>
      <c r="AD58" s="454"/>
      <c r="AE58" s="454"/>
      <c r="AF58" s="454"/>
    </row>
    <row r="59" spans="1:76" ht="12.95" customHeight="1">
      <c r="D59" s="435" t="s">
        <v>764</v>
      </c>
      <c r="AB59" s="2621">
        <f>AB49-AB57</f>
        <v>0</v>
      </c>
      <c r="AC59" s="2621"/>
      <c r="AD59" s="2621"/>
      <c r="AE59" s="2621"/>
      <c r="AF59" s="2621"/>
    </row>
    <row r="60" spans="1:76" ht="12.95" customHeight="1">
      <c r="D60" s="435"/>
      <c r="AB60" s="454"/>
      <c r="AC60" s="454"/>
      <c r="AD60" s="454"/>
      <c r="AE60" s="454"/>
      <c r="AF60" s="454"/>
    </row>
    <row r="61" spans="1:76" s="218" customFormat="1" ht="12.95" customHeight="1" thickBot="1">
      <c r="A61" s="2643" t="str">
        <f>IF(Application!AP205="yes","Farmworker State Credit", "State Credit" )</f>
        <v>State Credit</v>
      </c>
      <c r="B61" s="2643"/>
      <c r="C61" s="2643"/>
      <c r="D61" s="2643"/>
      <c r="E61" s="2643"/>
      <c r="F61" s="2643"/>
      <c r="G61" s="2643"/>
      <c r="H61" s="2643"/>
      <c r="I61" s="2643"/>
      <c r="J61" s="2643"/>
      <c r="K61" s="2643"/>
      <c r="L61" s="2643"/>
      <c r="M61" s="2643"/>
      <c r="N61" s="2643"/>
      <c r="O61" s="2643"/>
      <c r="P61" s="2643"/>
      <c r="Q61" s="2643"/>
      <c r="R61" s="2643"/>
      <c r="S61" s="2643"/>
      <c r="T61" s="2643"/>
      <c r="U61" s="2643"/>
      <c r="V61" s="2643"/>
      <c r="W61" s="2643"/>
      <c r="X61" s="264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43"/>
      <c r="AW61" s="2643"/>
      <c r="AX61" s="2643"/>
      <c r="AY61" s="2643"/>
      <c r="AZ61" s="2643"/>
      <c r="BA61" s="2643"/>
      <c r="BB61" s="2643"/>
      <c r="BC61" s="2643"/>
      <c r="BD61" s="2643"/>
      <c r="BE61" s="2643"/>
      <c r="BF61" s="2643"/>
      <c r="BG61" s="2643"/>
      <c r="BH61" s="2643"/>
      <c r="BI61" s="2643"/>
      <c r="BJ61" s="2643"/>
      <c r="BK61" s="2643"/>
      <c r="BL61" s="2643"/>
      <c r="BM61" s="2643"/>
      <c r="BN61" s="2643"/>
      <c r="BO61" s="2643"/>
      <c r="BP61" s="2643"/>
      <c r="BQ61" s="2643"/>
      <c r="BR61" s="2643"/>
      <c r="BS61" s="2643"/>
      <c r="BT61" s="2643"/>
      <c r="BU61" s="2643"/>
      <c r="BV61" s="2643"/>
      <c r="BW61" s="2643"/>
      <c r="BX61" s="2643"/>
    </row>
    <row r="62" spans="1:76" s="218" customFormat="1" ht="12.95" customHeight="1" thickTop="1"/>
    <row r="63" spans="1:76" ht="12.95" customHeight="1">
      <c r="A63" s="435" t="s">
        <v>598</v>
      </c>
      <c r="C63" s="219" t="s">
        <v>1358</v>
      </c>
      <c r="Y63" s="2632" t="s">
        <v>1004</v>
      </c>
      <c r="Z63" s="2632"/>
      <c r="AA63" s="2632"/>
      <c r="AB63" s="2632"/>
      <c r="AC63" s="2632"/>
      <c r="AD63" s="2632" t="s">
        <v>370</v>
      </c>
      <c r="AE63" s="2632"/>
      <c r="AF63" s="2632"/>
      <c r="AG63" s="2632"/>
      <c r="AH63" s="2632"/>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33">
        <f>IF(Application!Z205="(select)",0,((T23*T27)+Y28))</f>
        <v>25262867</v>
      </c>
      <c r="Z64" s="2634"/>
      <c r="AA64" s="2634"/>
      <c r="AB64" s="2634"/>
      <c r="AC64" s="2635"/>
      <c r="AD64" s="2633">
        <f>IF(AND(OR(Application!D211="At-Risk",Application!D211="At-Risk and Special Needs"),Application!M358="yes"),AD28+AI28,0)</f>
        <v>0</v>
      </c>
      <c r="AE64" s="2634"/>
      <c r="AF64" s="2634"/>
      <c r="AG64" s="2634"/>
      <c r="AH64" s="2635"/>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22">
        <f>IF(Application!AP205="yes",0.75,IF(Application!Z204="15% set-aside",0.13,IF(Application!Z204="15% set-aside with qualifying low value rehab",0.95,0.3)))</f>
        <v>0.3</v>
      </c>
      <c r="Z67" s="2622"/>
      <c r="AA67" s="2622"/>
      <c r="AB67" s="2622"/>
      <c r="AC67" s="2622"/>
      <c r="AD67" s="2622">
        <f>IF(Application!Z204="15% set-aside with qualifying low value rehab", 0.95,0.13)</f>
        <v>0.13</v>
      </c>
      <c r="AE67" s="2622"/>
      <c r="AF67" s="2622"/>
      <c r="AG67" s="2622"/>
      <c r="AH67" s="2622"/>
    </row>
    <row r="68" spans="1:36" ht="12.95" customHeight="1">
      <c r="C68" s="435"/>
      <c r="D68" s="219" t="s">
        <v>1360</v>
      </c>
      <c r="Y68" s="2623">
        <f>ROUND(Y64*Y67,0)</f>
        <v>7578860</v>
      </c>
      <c r="Z68" s="2624"/>
      <c r="AA68" s="2624"/>
      <c r="AB68" s="2624"/>
      <c r="AC68" s="2624"/>
      <c r="AD68" s="2623">
        <f>ROUND(AD64*AD67,0)</f>
        <v>0</v>
      </c>
      <c r="AE68" s="2624"/>
      <c r="AF68" s="2624"/>
      <c r="AG68" s="2624"/>
      <c r="AH68" s="2624"/>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25"/>
      <c r="AC71" s="2626"/>
      <c r="AD71" s="2626"/>
      <c r="AE71" s="2626"/>
      <c r="AF71" s="2627"/>
    </row>
    <row r="72" spans="1:36" ht="12.95" customHeight="1">
      <c r="A72" s="435"/>
      <c r="C72" s="435"/>
      <c r="D72" s="435"/>
      <c r="E72" s="2628" t="s">
        <v>1362</v>
      </c>
      <c r="F72" s="2628"/>
      <c r="G72" s="2628"/>
      <c r="H72" s="2628"/>
      <c r="I72" s="2628"/>
      <c r="J72" s="2628"/>
      <c r="K72" s="2628"/>
      <c r="L72" s="2628"/>
      <c r="M72" s="2628"/>
      <c r="N72" s="2628"/>
      <c r="O72" s="2628"/>
      <c r="P72" s="2628"/>
      <c r="Q72" s="2628"/>
      <c r="R72" s="2628"/>
      <c r="S72" s="2628"/>
      <c r="T72" s="2628"/>
      <c r="U72" s="2628"/>
      <c r="V72" s="2628"/>
      <c r="W72" s="2628"/>
      <c r="X72" s="2628"/>
      <c r="Y72" s="2628"/>
      <c r="Z72" s="2628"/>
      <c r="AA72" s="2628"/>
      <c r="AB72" s="471"/>
      <c r="AC72" s="471"/>
    </row>
    <row r="73" spans="1:36" ht="12.95" customHeight="1">
      <c r="A73" s="435"/>
      <c r="C73" s="435"/>
      <c r="D73" s="435"/>
      <c r="E73" s="2628"/>
      <c r="F73" s="2628"/>
      <c r="G73" s="2628"/>
      <c r="H73" s="2628"/>
      <c r="I73" s="2628"/>
      <c r="J73" s="2628"/>
      <c r="K73" s="2628"/>
      <c r="L73" s="2628"/>
      <c r="M73" s="2628"/>
      <c r="N73" s="2628"/>
      <c r="O73" s="2628"/>
      <c r="P73" s="2628"/>
      <c r="Q73" s="2628"/>
      <c r="R73" s="2628"/>
      <c r="S73" s="2628"/>
      <c r="T73" s="2628"/>
      <c r="U73" s="2628"/>
      <c r="V73" s="2628"/>
      <c r="W73" s="2628"/>
      <c r="X73" s="2628"/>
      <c r="Y73" s="2628"/>
      <c r="Z73" s="2628"/>
      <c r="AA73" s="2628"/>
      <c r="AB73" s="471"/>
      <c r="AC73" s="471"/>
    </row>
    <row r="74" spans="1:36" ht="12.95" customHeight="1">
      <c r="A74" s="435"/>
      <c r="C74" s="435"/>
      <c r="D74" s="435"/>
      <c r="E74" s="2628"/>
      <c r="F74" s="2628"/>
      <c r="G74" s="2628"/>
      <c r="H74" s="2628"/>
      <c r="I74" s="2628"/>
      <c r="J74" s="2628"/>
      <c r="K74" s="2628"/>
      <c r="L74" s="2628"/>
      <c r="M74" s="2628"/>
      <c r="N74" s="2628"/>
      <c r="O74" s="2628"/>
      <c r="P74" s="2628"/>
      <c r="Q74" s="2628"/>
      <c r="R74" s="2628"/>
      <c r="S74" s="2628"/>
      <c r="T74" s="2628"/>
      <c r="U74" s="2628"/>
      <c r="V74" s="2628"/>
      <c r="W74" s="2628"/>
      <c r="X74" s="2628"/>
      <c r="Y74" s="2628"/>
      <c r="Z74" s="2628"/>
      <c r="AA74" s="2628"/>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6">
        <f>ROUND(IF(ISERROR((AB59/AB71)),0,(AB59/AB71)),0)</f>
        <v>0</v>
      </c>
      <c r="AC76" s="2616"/>
      <c r="AD76" s="2616"/>
      <c r="AE76" s="2616"/>
      <c r="AF76" s="2616"/>
    </row>
    <row r="77" spans="1:36" ht="12.95" customHeight="1">
      <c r="C77" s="435"/>
      <c r="D77" s="219" t="s">
        <v>1364</v>
      </c>
      <c r="AB77" s="2617">
        <f>IF((Y68+AD68&lt;AB76),Y68+AD68,AB76)</f>
        <v>0</v>
      </c>
      <c r="AC77" s="2618"/>
      <c r="AD77" s="2618"/>
      <c r="AE77" s="2618"/>
      <c r="AF77" s="2619"/>
    </row>
    <row r="78" spans="1:36" ht="12.95" customHeight="1">
      <c r="C78" s="435"/>
      <c r="D78" s="219" t="s">
        <v>1365</v>
      </c>
      <c r="AB78" s="2620">
        <f>AB77*AB71</f>
        <v>0</v>
      </c>
      <c r="AC78" s="2620"/>
      <c r="AD78" s="2620"/>
      <c r="AE78" s="2620"/>
      <c r="AF78" s="2620"/>
    </row>
    <row r="79" spans="1:36" ht="12.95" customHeight="1">
      <c r="C79" s="435"/>
      <c r="D79" s="435"/>
      <c r="AB79" s="456"/>
      <c r="AC79" s="456"/>
      <c r="AD79" s="456"/>
      <c r="AE79" s="456"/>
      <c r="AF79" s="456"/>
    </row>
    <row r="80" spans="1:36" ht="12.95" customHeight="1">
      <c r="D80" s="435" t="s">
        <v>764</v>
      </c>
      <c r="AB80" s="2621">
        <f>AB49-(AB57+AB78)</f>
        <v>0</v>
      </c>
      <c r="AC80" s="2621"/>
      <c r="AD80" s="2621"/>
      <c r="AE80" s="2621"/>
      <c r="AF80" s="2621"/>
    </row>
    <row r="81" spans="1:78" ht="12.95" customHeight="1">
      <c r="F81" s="556"/>
      <c r="J81" s="556" t="str">
        <f>IF(AB80&gt;0,"FUNDING GAP MUST NOT EXCEED ZERO","")</f>
        <v/>
      </c>
    </row>
    <row r="82" spans="1:78" ht="12.95" customHeight="1">
      <c r="D82" s="557"/>
    </row>
    <row r="83" spans="1:78" ht="12.95" customHeight="1" thickBot="1">
      <c r="A83" s="2643"/>
      <c r="B83" s="2643"/>
      <c r="C83" s="2643"/>
      <c r="D83" s="2643"/>
      <c r="E83" s="2643"/>
      <c r="F83" s="2643"/>
      <c r="G83" s="2643"/>
      <c r="H83" s="2643"/>
      <c r="I83" s="2643"/>
      <c r="J83" s="2643"/>
      <c r="K83" s="2643"/>
      <c r="L83" s="2643"/>
      <c r="M83" s="2643"/>
      <c r="N83" s="2643"/>
      <c r="O83" s="2643"/>
      <c r="P83" s="2643"/>
      <c r="Q83" s="2643"/>
      <c r="R83" s="2643"/>
      <c r="S83" s="2643"/>
      <c r="T83" s="2643"/>
      <c r="U83" s="2643"/>
      <c r="V83" s="2643"/>
      <c r="W83" s="2643"/>
      <c r="X83" s="2643"/>
      <c r="Y83" s="2643"/>
      <c r="Z83" s="2643"/>
      <c r="AA83" s="2643"/>
      <c r="AB83" s="2643"/>
      <c r="AC83" s="2643"/>
      <c r="AD83" s="2643"/>
      <c r="AE83" s="2643"/>
      <c r="AF83" s="2643"/>
      <c r="AG83" s="2643"/>
      <c r="AH83" s="2643"/>
      <c r="AI83" s="2643"/>
      <c r="AJ83" s="2643"/>
      <c r="AK83" s="2643"/>
      <c r="AL83" s="2643"/>
      <c r="AM83" s="2643"/>
      <c r="AN83" s="2643"/>
      <c r="AO83" s="2643"/>
      <c r="AP83" s="2643"/>
      <c r="AQ83" s="2643"/>
      <c r="AR83" s="2643"/>
      <c r="AS83" s="2643"/>
      <c r="AT83" s="2643"/>
      <c r="AU83" s="2643"/>
      <c r="AV83" s="2643"/>
      <c r="AW83" s="2643"/>
      <c r="AX83" s="2643"/>
      <c r="AY83" s="2643"/>
      <c r="AZ83" s="2643"/>
      <c r="BA83" s="2643"/>
      <c r="BB83" s="2643"/>
      <c r="BC83" s="2643"/>
      <c r="BD83" s="2643"/>
      <c r="BE83" s="2643"/>
      <c r="BF83" s="2643"/>
      <c r="BG83" s="2643"/>
      <c r="BH83" s="2643"/>
      <c r="BI83" s="2643"/>
      <c r="BJ83" s="2643"/>
      <c r="BK83" s="2643"/>
      <c r="BL83" s="2643"/>
      <c r="BM83" s="2643"/>
      <c r="BN83" s="2643"/>
      <c r="BO83" s="2643"/>
      <c r="BP83" s="2643"/>
      <c r="BQ83" s="2643"/>
      <c r="BR83" s="2643"/>
      <c r="BS83" s="2643"/>
      <c r="BT83" s="2643"/>
      <c r="BU83" s="2643"/>
      <c r="BV83" s="2643"/>
      <c r="BW83" s="2643"/>
      <c r="BX83" s="2643"/>
    </row>
    <row r="84" spans="1:78" ht="12.95" customHeight="1" thickTop="1"/>
    <row r="85" spans="1:78" ht="12.95" customHeight="1">
      <c r="A85" s="435"/>
      <c r="C85" s="219"/>
    </row>
    <row r="86" spans="1:78" ht="12.95" customHeight="1">
      <c r="D86" s="219"/>
      <c r="AB86" s="2675"/>
      <c r="AC86" s="2675"/>
      <c r="AD86" s="2675"/>
      <c r="AE86" s="2675"/>
      <c r="AF86" s="2675"/>
    </row>
    <row r="87" spans="1:78" ht="12.95" customHeight="1" thickBot="1">
      <c r="D87" s="219"/>
      <c r="AB87" s="2674"/>
      <c r="AC87" s="2674"/>
      <c r="AD87" s="2674"/>
      <c r="AE87" s="2674"/>
      <c r="AF87" s="2674"/>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115" zoomScaleNormal="115" workbookViewId="0">
      <selection activeCell="J9" sqref="J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82" t="s">
        <v>925</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76</v>
      </c>
      <c r="C4" s="1122" t="s">
        <v>386</v>
      </c>
      <c r="D4" s="459">
        <f>Application!O718</f>
        <v>1600</v>
      </c>
      <c r="E4" s="460"/>
      <c r="F4" s="1123">
        <v>2876</v>
      </c>
      <c r="G4" s="459">
        <f>F4*B4</f>
        <v>218576</v>
      </c>
      <c r="H4" s="460"/>
      <c r="I4" s="459">
        <f t="shared" ref="I4:I27" si="0">IF(F4=0,"",(F4-D4))</f>
        <v>1276</v>
      </c>
      <c r="J4" s="459">
        <f t="shared" ref="J4:J27" si="1">IF(F4=0,"",(I4*B4))</f>
        <v>96976</v>
      </c>
      <c r="K4" s="218"/>
      <c r="L4" s="328"/>
    </row>
    <row r="5" spans="1:12">
      <c r="A5" s="459" t="str">
        <f>Application!B719</f>
        <v>2 Bedrooms</v>
      </c>
      <c r="B5" s="1121">
        <f>Application!G719</f>
        <v>66</v>
      </c>
      <c r="C5" s="1122" t="s">
        <v>386</v>
      </c>
      <c r="D5" s="459">
        <f>Application!O719</f>
        <v>1914</v>
      </c>
      <c r="E5" s="460"/>
      <c r="F5" s="1123">
        <v>3380</v>
      </c>
      <c r="G5" s="459">
        <f t="shared" ref="G5:G38" si="2">F5*B5</f>
        <v>223080</v>
      </c>
      <c r="H5" s="460"/>
      <c r="I5" s="459">
        <f t="shared" si="0"/>
        <v>1466</v>
      </c>
      <c r="J5" s="459">
        <f t="shared" si="1"/>
        <v>96756</v>
      </c>
      <c r="K5" s="218"/>
      <c r="L5" s="328"/>
    </row>
    <row r="6" spans="1:12">
      <c r="A6" s="459" t="str">
        <f>Application!B720</f>
        <v>2 Bedrooms</v>
      </c>
      <c r="B6" s="1121">
        <f>Application!G720</f>
        <v>2</v>
      </c>
      <c r="C6" s="1122" t="s">
        <v>386</v>
      </c>
      <c r="D6" s="459">
        <f>Application!O720</f>
        <v>1915</v>
      </c>
      <c r="E6" s="460"/>
      <c r="F6" s="1123">
        <v>3380</v>
      </c>
      <c r="G6" s="459">
        <f t="shared" si="2"/>
        <v>6760</v>
      </c>
      <c r="H6" s="460"/>
      <c r="I6" s="459">
        <f t="shared" si="0"/>
        <v>1465</v>
      </c>
      <c r="J6" s="459">
        <f t="shared" si="1"/>
        <v>2930</v>
      </c>
      <c r="K6" s="218"/>
      <c r="L6" s="328"/>
    </row>
    <row r="7" spans="1:12">
      <c r="A7" s="459" t="str">
        <f>Application!B721</f>
        <v>2 Bedrooms</v>
      </c>
      <c r="B7" s="1121">
        <f>Application!G721</f>
        <v>5</v>
      </c>
      <c r="C7" s="1122" t="s">
        <v>386</v>
      </c>
      <c r="D7" s="459">
        <f>Application!O721</f>
        <v>1880</v>
      </c>
      <c r="E7" s="460"/>
      <c r="F7" s="1123">
        <v>4120</v>
      </c>
      <c r="G7" s="459">
        <f t="shared" si="2"/>
        <v>20600</v>
      </c>
      <c r="H7" s="460"/>
      <c r="I7" s="459">
        <f t="shared" si="0"/>
        <v>2240</v>
      </c>
      <c r="J7" s="459">
        <f t="shared" si="1"/>
        <v>11200</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1 Bedroom</v>
      </c>
      <c r="B9" s="1121">
        <f>Application!G723</f>
        <v>4</v>
      </c>
      <c r="C9" s="1122" t="s">
        <v>386</v>
      </c>
      <c r="D9" s="459">
        <f>Application!O723</f>
        <v>930</v>
      </c>
      <c r="E9" s="460"/>
      <c r="F9" s="1123">
        <f>F4</f>
        <v>2876</v>
      </c>
      <c r="G9" s="459">
        <f t="shared" si="2"/>
        <v>11504</v>
      </c>
      <c r="H9" s="460"/>
      <c r="I9" s="459">
        <f t="shared" si="0"/>
        <v>1946</v>
      </c>
      <c r="J9" s="459">
        <f t="shared" si="1"/>
        <v>7784</v>
      </c>
      <c r="K9" s="218"/>
      <c r="L9" s="328"/>
    </row>
    <row r="10" spans="1:12">
      <c r="A10" s="459" t="str">
        <f>Application!B724</f>
        <v>2 Bedrooms</v>
      </c>
      <c r="B10" s="1121">
        <f>Application!G724</f>
        <v>3</v>
      </c>
      <c r="C10" s="1122" t="s">
        <v>386</v>
      </c>
      <c r="D10" s="459">
        <f>Application!O724</f>
        <v>1111</v>
      </c>
      <c r="E10" s="460"/>
      <c r="F10" s="1123">
        <f>F5</f>
        <v>3380</v>
      </c>
      <c r="G10" s="459">
        <f t="shared" si="2"/>
        <v>10140</v>
      </c>
      <c r="H10" s="460"/>
      <c r="I10" s="459">
        <f t="shared" si="0"/>
        <v>2269</v>
      </c>
      <c r="J10" s="459">
        <f t="shared" si="1"/>
        <v>6807</v>
      </c>
      <c r="K10" s="218"/>
      <c r="L10" s="328"/>
    </row>
    <row r="11" spans="1:12">
      <c r="A11" s="459" t="str">
        <f>Application!B725</f>
        <v>2 Bedrooms</v>
      </c>
      <c r="B11" s="1121">
        <f>Application!G725</f>
        <v>1</v>
      </c>
      <c r="C11" s="1122" t="s">
        <v>386</v>
      </c>
      <c r="D11" s="459">
        <f>Application!O725</f>
        <v>1077</v>
      </c>
      <c r="E11" s="460"/>
      <c r="F11" s="1123">
        <f>F7</f>
        <v>4120</v>
      </c>
      <c r="G11" s="459">
        <f t="shared" si="2"/>
        <v>4120</v>
      </c>
      <c r="H11" s="460"/>
      <c r="I11" s="459">
        <f t="shared" si="0"/>
        <v>3043</v>
      </c>
      <c r="J11" s="459">
        <f t="shared" si="1"/>
        <v>3043</v>
      </c>
      <c r="K11" s="218"/>
      <c r="L11" s="328"/>
    </row>
    <row r="12" spans="1:12">
      <c r="A12" s="459">
        <f>Application!B726</f>
        <v>0</v>
      </c>
      <c r="B12" s="1121">
        <f>Application!G726</f>
        <v>0</v>
      </c>
      <c r="C12" s="1122"/>
      <c r="D12" s="459">
        <f>Application!O726</f>
        <v>0</v>
      </c>
      <c r="E12" s="460"/>
      <c r="F12" s="1123">
        <v>0</v>
      </c>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v>0</v>
      </c>
      <c r="G13" s="459">
        <f t="shared" si="2"/>
        <v>0</v>
      </c>
      <c r="H13" s="460"/>
      <c r="I13" s="459" t="str">
        <f t="shared" si="0"/>
        <v/>
      </c>
      <c r="J13" s="459" t="str">
        <f t="shared" si="1"/>
        <v/>
      </c>
      <c r="K13" s="218"/>
      <c r="L13" s="328"/>
    </row>
    <row r="14" spans="1:12">
      <c r="A14" s="459" t="str">
        <f>Application!B728</f>
        <v>2 Bedrooms</v>
      </c>
      <c r="B14" s="1121">
        <f>Application!G728</f>
        <v>1</v>
      </c>
      <c r="C14" s="1122" t="s">
        <v>386</v>
      </c>
      <c r="D14" s="459">
        <f>Application!O728</f>
        <v>2339</v>
      </c>
      <c r="E14" s="460"/>
      <c r="F14" s="1123">
        <v>3380</v>
      </c>
      <c r="G14" s="459">
        <f t="shared" si="2"/>
        <v>3380</v>
      </c>
      <c r="H14" s="460"/>
      <c r="I14" s="459">
        <f t="shared" si="0"/>
        <v>1041</v>
      </c>
      <c r="J14" s="459">
        <f t="shared" si="1"/>
        <v>1041</v>
      </c>
      <c r="K14" s="218"/>
      <c r="L14" s="328"/>
    </row>
    <row r="15" spans="1:12">
      <c r="A15" s="459" t="str">
        <f>Application!B729</f>
        <v>2 Bedrooms</v>
      </c>
      <c r="B15" s="1121">
        <f>Application!G729</f>
        <v>1</v>
      </c>
      <c r="C15" s="1122" t="s">
        <v>386</v>
      </c>
      <c r="D15" s="459">
        <f>Application!O729</f>
        <v>2305</v>
      </c>
      <c r="E15" s="460"/>
      <c r="F15" s="1123">
        <f>F11</f>
        <v>4120</v>
      </c>
      <c r="G15" s="459">
        <f t="shared" si="2"/>
        <v>4120</v>
      </c>
      <c r="H15" s="460"/>
      <c r="I15" s="459">
        <f t="shared" si="0"/>
        <v>1815</v>
      </c>
      <c r="J15" s="459">
        <f t="shared" si="1"/>
        <v>1815</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273928</v>
      </c>
      <c r="E40" s="460"/>
      <c r="F40" s="460"/>
      <c r="G40" s="463">
        <f>SUM(G4:G38)*12</f>
        <v>6027360</v>
      </c>
      <c r="H40" s="464"/>
      <c r="I40" s="462"/>
      <c r="J40" s="463">
        <f>SUM(J4:J38)*12</f>
        <v>2740224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85" zoomScaleNormal="85" workbookViewId="0">
      <selection activeCell="K45" sqref="K45"/>
    </sheetView>
  </sheetViews>
  <sheetFormatPr defaultColWidth="0" defaultRowHeight="12.75" zeroHeight="1"/>
  <cols>
    <col min="1" max="1" width="3.7109375" customWidth="1"/>
    <col min="2" max="2" width="30.5703125" customWidth="1"/>
    <col min="3" max="3" width="13.85546875" style="229" bestFit="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3287136</v>
      </c>
      <c r="G4" s="235">
        <f>E4*$C$4</f>
        <v>3369314.4</v>
      </c>
      <c r="I4" s="235">
        <f>G4*$C$4</f>
        <v>3453547.26</v>
      </c>
      <c r="K4" s="235">
        <f>I4*$C$4</f>
        <v>3539885.9414999993</v>
      </c>
      <c r="M4" s="235">
        <f>K4*$C$4</f>
        <v>3628383.0900374991</v>
      </c>
      <c r="O4" s="235">
        <f>M4*$C$4</f>
        <v>3719092.6672884361</v>
      </c>
      <c r="Q4" s="235">
        <f>O4*$C$4</f>
        <v>3812069.9839706467</v>
      </c>
      <c r="S4" s="235">
        <f>Q4*$C$4</f>
        <v>3907371.7335699126</v>
      </c>
      <c r="U4" s="235">
        <f>S4*$C$4</f>
        <v>4005056.02690916</v>
      </c>
      <c r="W4" s="235">
        <f>U4*$C$4</f>
        <v>4105182.4275818886</v>
      </c>
      <c r="Y4" s="235">
        <f>W4*$C$4</f>
        <v>4207811.9882714357</v>
      </c>
      <c r="AA4" s="235">
        <f>Y4*$C$4</f>
        <v>4313007.2879782217</v>
      </c>
      <c r="AC4" s="235">
        <f>AA4*$C$4</f>
        <v>4420832.4701776765</v>
      </c>
      <c r="AE4" s="235">
        <f>AC4*$C$4</f>
        <v>4531353.2819321183</v>
      </c>
      <c r="AG4" s="235">
        <f>AE4*$C$4</f>
        <v>4644637.1139804209</v>
      </c>
    </row>
    <row r="5" spans="1:34" s="225" customFormat="1" ht="14.25">
      <c r="B5" s="225" t="s">
        <v>850</v>
      </c>
      <c r="C5" s="254">
        <f>IF(Application!$D$211="Special Needs",0.1,0.05)</f>
        <v>0.05</v>
      </c>
      <c r="E5" s="237">
        <f>-E4*$C$5</f>
        <v>-164356.80000000002</v>
      </c>
      <c r="F5" s="237"/>
      <c r="G5" s="237">
        <f>-G4*$C$5</f>
        <v>-168465.72</v>
      </c>
      <c r="H5" s="237"/>
      <c r="I5" s="237">
        <f>-I4*$C$5</f>
        <v>-172677.36300000001</v>
      </c>
      <c r="J5" s="237"/>
      <c r="K5" s="237">
        <f>-K4*$C$5</f>
        <v>-176994.29707499998</v>
      </c>
      <c r="L5" s="237"/>
      <c r="M5" s="237">
        <f>-M4*$C$5</f>
        <v>-181419.15450187496</v>
      </c>
      <c r="N5" s="237"/>
      <c r="O5" s="237">
        <f>-O4*$C$5</f>
        <v>-185954.63336442181</v>
      </c>
      <c r="P5" s="237"/>
      <c r="Q5" s="237">
        <f>-Q4*$C$5</f>
        <v>-190603.49919853234</v>
      </c>
      <c r="R5" s="237"/>
      <c r="S5" s="237">
        <f>-S4*$C$5</f>
        <v>-195368.58667849563</v>
      </c>
      <c r="T5" s="237"/>
      <c r="U5" s="237">
        <f>-U4*$C$5</f>
        <v>-200252.80134545802</v>
      </c>
      <c r="V5" s="237"/>
      <c r="W5" s="237">
        <f>-W4*$C$5</f>
        <v>-205259.12137909443</v>
      </c>
      <c r="X5" s="237"/>
      <c r="Y5" s="237">
        <f>-Y4*$C$5</f>
        <v>-210390.59941357179</v>
      </c>
      <c r="Z5" s="237"/>
      <c r="AA5" s="237">
        <f>-AA4*$C$5</f>
        <v>-215650.3643989111</v>
      </c>
      <c r="AB5" s="237"/>
      <c r="AC5" s="237">
        <f>-AC4*$C$5</f>
        <v>-221041.62350888384</v>
      </c>
      <c r="AD5" s="237"/>
      <c r="AE5" s="237">
        <f>-AE4*$C$5</f>
        <v>-226567.66409660593</v>
      </c>
      <c r="AF5" s="237"/>
      <c r="AG5" s="237">
        <f>-AG4*$C$5</f>
        <v>-232231.85569902105</v>
      </c>
    </row>
    <row r="6" spans="1:34" s="225" customFormat="1" ht="14.25">
      <c r="A6" s="225" t="s">
        <v>848</v>
      </c>
      <c r="C6" s="253">
        <v>1.0249999999999999</v>
      </c>
      <c r="E6" s="238">
        <f>Application!Z809</f>
        <v>2740224</v>
      </c>
      <c r="F6" s="238"/>
      <c r="G6" s="238">
        <f>E6*$C$6</f>
        <v>2808729.5999999996</v>
      </c>
      <c r="H6" s="238"/>
      <c r="I6" s="238">
        <f>G6*$C$6</f>
        <v>2878947.8399999994</v>
      </c>
      <c r="J6" s="238"/>
      <c r="K6" s="238">
        <f>I6*$C$6</f>
        <v>2950921.5359999989</v>
      </c>
      <c r="L6" s="238"/>
      <c r="M6" s="238">
        <f>K6*$C$6</f>
        <v>3024694.5743999984</v>
      </c>
      <c r="N6" s="238"/>
      <c r="O6" s="238">
        <f>M6*$C$6</f>
        <v>3100311.938759998</v>
      </c>
      <c r="P6" s="238"/>
      <c r="Q6" s="238">
        <f>O6*$C$6</f>
        <v>3177819.7372289975</v>
      </c>
      <c r="R6" s="238"/>
      <c r="S6" s="238">
        <f>Q6*$C$6</f>
        <v>3257265.2306597224</v>
      </c>
      <c r="T6" s="238"/>
      <c r="U6" s="238">
        <f>S6*$C$6</f>
        <v>3338696.8614262152</v>
      </c>
      <c r="V6" s="238"/>
      <c r="W6" s="238">
        <f>U6*$C$6</f>
        <v>3422164.2829618701</v>
      </c>
      <c r="X6" s="238"/>
      <c r="Y6" s="238">
        <f>W6*$C$6</f>
        <v>3507718.3900359166</v>
      </c>
      <c r="Z6" s="238"/>
      <c r="AA6" s="238">
        <f>Y6*$C$6</f>
        <v>3595411.3497868143</v>
      </c>
      <c r="AB6" s="238"/>
      <c r="AC6" s="238">
        <f>AA6*$C$6</f>
        <v>3685296.6335314843</v>
      </c>
      <c r="AD6" s="238"/>
      <c r="AE6" s="238">
        <f>AC6*$C$6</f>
        <v>3777429.049369771</v>
      </c>
      <c r="AF6" s="238"/>
      <c r="AG6" s="238">
        <f>AE6*$C$6</f>
        <v>3871864.7756040148</v>
      </c>
    </row>
    <row r="7" spans="1:34" s="225" customFormat="1" ht="14.25">
      <c r="B7" s="225" t="s">
        <v>850</v>
      </c>
      <c r="C7" s="254">
        <f>IF(Application!$D$211="Special Needs",0.1,0.05)</f>
        <v>0.05</v>
      </c>
      <c r="E7" s="237">
        <f>-E6*$C$7</f>
        <v>-137011.20000000001</v>
      </c>
      <c r="F7" s="237"/>
      <c r="G7" s="237">
        <f>-G6*$C$7</f>
        <v>-140436.47999999998</v>
      </c>
      <c r="H7" s="237"/>
      <c r="I7" s="237">
        <f>-I6*$C$7</f>
        <v>-143947.39199999996</v>
      </c>
      <c r="J7" s="237"/>
      <c r="K7" s="237">
        <f>-K6*$C$7</f>
        <v>-147546.07679999995</v>
      </c>
      <c r="L7" s="237"/>
      <c r="M7" s="237">
        <f>-M6*$C$7</f>
        <v>-151234.72871999993</v>
      </c>
      <c r="N7" s="237"/>
      <c r="O7" s="237">
        <f>-O6*$C$7</f>
        <v>-155015.59693799992</v>
      </c>
      <c r="P7" s="237"/>
      <c r="Q7" s="237">
        <f>-Q6*$C$7</f>
        <v>-158890.9868614499</v>
      </c>
      <c r="R7" s="237"/>
      <c r="S7" s="237">
        <f>-S6*$C$7</f>
        <v>-162863.26153298613</v>
      </c>
      <c r="T7" s="237"/>
      <c r="U7" s="237">
        <f>-U6*$C$7</f>
        <v>-166934.84307131078</v>
      </c>
      <c r="V7" s="237"/>
      <c r="W7" s="237">
        <f>-W6*$C$7</f>
        <v>-171108.21414809351</v>
      </c>
      <c r="X7" s="237"/>
      <c r="Y7" s="237">
        <f>-Y6*$C$7</f>
        <v>-175385.91950179584</v>
      </c>
      <c r="Z7" s="237"/>
      <c r="AA7" s="237">
        <f>-AA6*$C$7</f>
        <v>-179770.56748934073</v>
      </c>
      <c r="AB7" s="237"/>
      <c r="AC7" s="237">
        <f>-AC6*$C$7</f>
        <v>-184264.83167657422</v>
      </c>
      <c r="AD7" s="237"/>
      <c r="AE7" s="237">
        <f>-AE6*$C$7</f>
        <v>-188871.45246848857</v>
      </c>
      <c r="AF7" s="237"/>
      <c r="AG7" s="237">
        <f>-AG6*$C$7</f>
        <v>-193593.23878020074</v>
      </c>
    </row>
    <row r="8" spans="1:34" s="225" customFormat="1" ht="14.25">
      <c r="A8" s="225" t="s">
        <v>289</v>
      </c>
      <c r="C8" s="253">
        <v>1.0249999999999999</v>
      </c>
      <c r="E8" s="238">
        <f>Application!Z817</f>
        <v>12481</v>
      </c>
      <c r="F8" s="238"/>
      <c r="G8" s="238">
        <f>E8*$C$8</f>
        <v>12793.025</v>
      </c>
      <c r="H8" s="238"/>
      <c r="I8" s="238">
        <f>G8*$C$8</f>
        <v>13112.850624999999</v>
      </c>
      <c r="J8" s="238"/>
      <c r="K8" s="238">
        <f>I8*$C$8</f>
        <v>13440.671890624997</v>
      </c>
      <c r="L8" s="238"/>
      <c r="M8" s="238">
        <f>K8*$C$8</f>
        <v>13776.688687890621</v>
      </c>
      <c r="N8" s="238"/>
      <c r="O8" s="238">
        <f>M8*$C$8</f>
        <v>14121.105905087885</v>
      </c>
      <c r="P8" s="238"/>
      <c r="Q8" s="238">
        <f>O8*$C$8</f>
        <v>14474.13355271508</v>
      </c>
      <c r="R8" s="238"/>
      <c r="S8" s="238">
        <f>Q8*$C$8</f>
        <v>14835.986891532955</v>
      </c>
      <c r="T8" s="238"/>
      <c r="U8" s="238">
        <f>S8*$C$8</f>
        <v>15206.886563821277</v>
      </c>
      <c r="V8" s="238"/>
      <c r="W8" s="238">
        <f>U8*$C$8</f>
        <v>15587.058727916808</v>
      </c>
      <c r="X8" s="238"/>
      <c r="Y8" s="238">
        <f>W8*$C$8</f>
        <v>15976.735196114727</v>
      </c>
      <c r="Z8" s="238"/>
      <c r="AA8" s="238">
        <f>Y8*$C$8</f>
        <v>16376.153576017594</v>
      </c>
      <c r="AB8" s="238"/>
      <c r="AC8" s="238">
        <f>AA8*$C$8</f>
        <v>16785.557415418032</v>
      </c>
      <c r="AD8" s="238"/>
      <c r="AE8" s="238">
        <f>AC8*$C$8</f>
        <v>17205.196350803482</v>
      </c>
      <c r="AF8" s="238"/>
      <c r="AG8" s="238">
        <f>AE8*$C$8</f>
        <v>17635.326259573569</v>
      </c>
    </row>
    <row r="9" spans="1:34" s="225" customFormat="1" ht="14.25">
      <c r="B9" s="225" t="s">
        <v>850</v>
      </c>
      <c r="C9" s="254">
        <f>IF(Application!$D$211="Special Needs",0.1,0.05)</f>
        <v>0.05</v>
      </c>
      <c r="E9" s="237">
        <f>-E8*$C$9</f>
        <v>-624.05000000000007</v>
      </c>
      <c r="F9" s="237"/>
      <c r="G9" s="237">
        <f>-G8*$C$9</f>
        <v>-639.65125</v>
      </c>
      <c r="H9" s="237"/>
      <c r="I9" s="237">
        <f>-I8*$C$9</f>
        <v>-655.64253125000005</v>
      </c>
      <c r="J9" s="237"/>
      <c r="K9" s="237">
        <f>-K8*$C$9</f>
        <v>-672.03359453124995</v>
      </c>
      <c r="L9" s="237"/>
      <c r="M9" s="237">
        <f>-M8*$C$9</f>
        <v>-688.83443439453106</v>
      </c>
      <c r="N9" s="237"/>
      <c r="O9" s="237">
        <f>-O8*$C$9</f>
        <v>-706.05529525439431</v>
      </c>
      <c r="P9" s="237"/>
      <c r="Q9" s="237">
        <f>-Q8*$C$9</f>
        <v>-723.70667763575409</v>
      </c>
      <c r="R9" s="237"/>
      <c r="S9" s="237">
        <f>-S8*$C$9</f>
        <v>-741.79934457664785</v>
      </c>
      <c r="T9" s="237"/>
      <c r="U9" s="237">
        <f>-U8*$C$9</f>
        <v>-760.34432819106394</v>
      </c>
      <c r="V9" s="237"/>
      <c r="W9" s="237">
        <f>-W8*$C$9</f>
        <v>-779.35293639584052</v>
      </c>
      <c r="X9" s="237"/>
      <c r="Y9" s="237">
        <f>-Y8*$C$9</f>
        <v>-798.83675980573639</v>
      </c>
      <c r="Z9" s="237"/>
      <c r="AA9" s="237">
        <f>-AA8*$C$9</f>
        <v>-818.80767880087978</v>
      </c>
      <c r="AB9" s="237"/>
      <c r="AC9" s="237">
        <f>-AC8*$C$9</f>
        <v>-839.2778707709017</v>
      </c>
      <c r="AD9" s="237"/>
      <c r="AE9" s="237">
        <f>-AE8*$C$9</f>
        <v>-860.25981754017414</v>
      </c>
      <c r="AF9" s="237"/>
      <c r="AG9" s="237">
        <f>-AG8*$C$9</f>
        <v>-881.76631297867846</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5737848.9500000002</v>
      </c>
      <c r="G11" s="239">
        <f>SUM(G4:G10)</f>
        <v>5881295.1737499991</v>
      </c>
      <c r="I11" s="239">
        <f>SUM(I4:I10)</f>
        <v>6028327.55309375</v>
      </c>
      <c r="K11" s="239">
        <f>SUM(K4:K10)</f>
        <v>6179035.7419210915</v>
      </c>
      <c r="M11" s="239">
        <f>SUM(M4:M10)</f>
        <v>6333511.6354691191</v>
      </c>
      <c r="O11" s="239">
        <f>SUM(O4:O10)</f>
        <v>6491849.4263558462</v>
      </c>
      <c r="Q11" s="239">
        <f>SUM(Q4:Q10)</f>
        <v>6654145.6620147415</v>
      </c>
      <c r="S11" s="239">
        <f>SUM(S4:S10)</f>
        <v>6820499.3035651091</v>
      </c>
      <c r="U11" s="239">
        <f>SUM(U4:U10)</f>
        <v>6991011.7861542366</v>
      </c>
      <c r="W11" s="239">
        <f>SUM(W4:W10)</f>
        <v>7165787.0808080928</v>
      </c>
      <c r="Y11" s="239">
        <f>SUM(Y4:Y10)</f>
        <v>7344931.7578282934</v>
      </c>
      <c r="AA11" s="239">
        <f>SUM(AA4:AA10)</f>
        <v>7528555.0517740007</v>
      </c>
      <c r="AC11" s="239">
        <f>SUM(AC4:AC10)</f>
        <v>7716768.928068351</v>
      </c>
      <c r="AE11" s="239">
        <f>SUM(AE4:AE10)</f>
        <v>7909688.1512700589</v>
      </c>
      <c r="AG11" s="239">
        <f>SUM(AG4:AG10)</f>
        <v>8107430.355051809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66998</v>
      </c>
      <c r="G15" s="235">
        <f>E15*$C$14</f>
        <v>69342.929999999993</v>
      </c>
      <c r="I15" s="235">
        <f>G15*$C$14</f>
        <v>71769.932549999983</v>
      </c>
      <c r="K15" s="235">
        <f>I15*$C$14</f>
        <v>74281.880189249976</v>
      </c>
      <c r="M15" s="235">
        <f>K15*$C$14</f>
        <v>76881.745995873716</v>
      </c>
      <c r="O15" s="235">
        <f>M15*$C$14</f>
        <v>79572.607105729287</v>
      </c>
      <c r="Q15" s="235">
        <f>O15*$C$14</f>
        <v>82357.64835442981</v>
      </c>
      <c r="S15" s="235">
        <f>Q15*$C$14</f>
        <v>85240.166046834842</v>
      </c>
      <c r="U15" s="235">
        <f>S15*$C$14</f>
        <v>88223.571858474053</v>
      </c>
      <c r="W15" s="235">
        <f>U15*$C$14</f>
        <v>91311.396873520644</v>
      </c>
      <c r="Y15" s="235">
        <f>W15*$C$14</f>
        <v>94507.295764093855</v>
      </c>
      <c r="AA15" s="235">
        <f>Y15*$C$14</f>
        <v>97815.051115837137</v>
      </c>
      <c r="AC15" s="235">
        <f>AA15*$C$14</f>
        <v>101238.57790489143</v>
      </c>
      <c r="AE15" s="235">
        <f>AC15*$C$14</f>
        <v>104781.92813156261</v>
      </c>
      <c r="AG15" s="235">
        <f>AE15*$C$14</f>
        <v>108449.29561616729</v>
      </c>
    </row>
    <row r="16" spans="1:34" s="225" customFormat="1" ht="14.25">
      <c r="A16" s="225" t="s">
        <v>345</v>
      </c>
      <c r="C16" s="249"/>
      <c r="E16" s="238">
        <f>Application!W849</f>
        <v>117978</v>
      </c>
      <c r="F16" s="238"/>
      <c r="G16" s="238">
        <f t="shared" ref="G16:AG21" si="0">E16*$C$14</f>
        <v>122107.23</v>
      </c>
      <c r="H16" s="238"/>
      <c r="I16" s="238">
        <f t="shared" si="0"/>
        <v>126380.98304999998</v>
      </c>
      <c r="J16" s="238"/>
      <c r="K16" s="238">
        <f t="shared" si="0"/>
        <v>130804.31745674997</v>
      </c>
      <c r="L16" s="238"/>
      <c r="M16" s="238">
        <f t="shared" si="0"/>
        <v>135382.46856773621</v>
      </c>
      <c r="N16" s="238"/>
      <c r="O16" s="238">
        <f t="shared" si="0"/>
        <v>140120.85496760698</v>
      </c>
      <c r="P16" s="238"/>
      <c r="Q16" s="238">
        <f t="shared" si="0"/>
        <v>145025.08489147321</v>
      </c>
      <c r="R16" s="238"/>
      <c r="S16" s="238">
        <f t="shared" si="0"/>
        <v>150100.96286267476</v>
      </c>
      <c r="T16" s="238"/>
      <c r="U16" s="238">
        <f t="shared" si="0"/>
        <v>155354.49656286836</v>
      </c>
      <c r="V16" s="238"/>
      <c r="W16" s="238">
        <f t="shared" si="0"/>
        <v>160791.90394256872</v>
      </c>
      <c r="X16" s="238"/>
      <c r="Y16" s="238">
        <f t="shared" si="0"/>
        <v>166419.62058055861</v>
      </c>
      <c r="Z16" s="238"/>
      <c r="AA16" s="238">
        <f t="shared" si="0"/>
        <v>172244.30730087814</v>
      </c>
      <c r="AB16" s="238"/>
      <c r="AC16" s="238">
        <f t="shared" si="0"/>
        <v>178272.85805640885</v>
      </c>
      <c r="AD16" s="238"/>
      <c r="AE16" s="238">
        <f t="shared" si="0"/>
        <v>184512.40808838315</v>
      </c>
      <c r="AF16" s="238"/>
      <c r="AG16" s="238">
        <f t="shared" si="0"/>
        <v>190970.34237147655</v>
      </c>
    </row>
    <row r="17" spans="1:33" s="225" customFormat="1" ht="14.25">
      <c r="A17" s="225" t="s">
        <v>570</v>
      </c>
      <c r="C17" s="249"/>
      <c r="E17" s="238">
        <f>Application!W855</f>
        <v>81500</v>
      </c>
      <c r="F17" s="238"/>
      <c r="G17" s="238">
        <f t="shared" si="0"/>
        <v>84352.5</v>
      </c>
      <c r="H17" s="238"/>
      <c r="I17" s="238">
        <f t="shared" si="0"/>
        <v>87304.837499999994</v>
      </c>
      <c r="J17" s="238"/>
      <c r="K17" s="238">
        <f t="shared" si="0"/>
        <v>90360.506812499982</v>
      </c>
      <c r="L17" s="238"/>
      <c r="M17" s="238">
        <f t="shared" si="0"/>
        <v>93523.124550937471</v>
      </c>
      <c r="N17" s="238"/>
      <c r="O17" s="238">
        <f t="shared" si="0"/>
        <v>96796.433910220279</v>
      </c>
      <c r="P17" s="238"/>
      <c r="Q17" s="238">
        <f t="shared" si="0"/>
        <v>100184.30909707799</v>
      </c>
      <c r="R17" s="238"/>
      <c r="S17" s="238">
        <f t="shared" si="0"/>
        <v>103690.7599154757</v>
      </c>
      <c r="T17" s="238"/>
      <c r="U17" s="238">
        <f t="shared" si="0"/>
        <v>107319.93651251735</v>
      </c>
      <c r="V17" s="238"/>
      <c r="W17" s="238">
        <f t="shared" si="0"/>
        <v>111076.13429045545</v>
      </c>
      <c r="X17" s="238"/>
      <c r="Y17" s="238">
        <f t="shared" si="0"/>
        <v>114963.79899062138</v>
      </c>
      <c r="Z17" s="238"/>
      <c r="AA17" s="238">
        <f t="shared" si="0"/>
        <v>118987.53195529312</v>
      </c>
      <c r="AB17" s="238"/>
      <c r="AC17" s="238">
        <f t="shared" si="0"/>
        <v>123152.09557372837</v>
      </c>
      <c r="AD17" s="238"/>
      <c r="AE17" s="238">
        <f t="shared" si="0"/>
        <v>127462.41891880885</v>
      </c>
      <c r="AF17" s="238"/>
      <c r="AG17" s="238">
        <f t="shared" si="0"/>
        <v>131923.60358096714</v>
      </c>
    </row>
    <row r="18" spans="1:33" s="225" customFormat="1" ht="14.25">
      <c r="A18" s="225" t="s">
        <v>854</v>
      </c>
      <c r="C18" s="249"/>
      <c r="E18" s="238">
        <f>Application!W862</f>
        <v>328000</v>
      </c>
      <c r="F18" s="238"/>
      <c r="G18" s="238">
        <f t="shared" si="0"/>
        <v>339480</v>
      </c>
      <c r="H18" s="238"/>
      <c r="I18" s="238">
        <f t="shared" si="0"/>
        <v>351361.8</v>
      </c>
      <c r="J18" s="238"/>
      <c r="K18" s="238">
        <f t="shared" si="0"/>
        <v>363659.46299999999</v>
      </c>
      <c r="L18" s="238"/>
      <c r="M18" s="238">
        <f t="shared" si="0"/>
        <v>376387.54420499998</v>
      </c>
      <c r="N18" s="238"/>
      <c r="O18" s="238">
        <f t="shared" si="0"/>
        <v>389561.10825217498</v>
      </c>
      <c r="P18" s="238"/>
      <c r="Q18" s="238">
        <f t="shared" si="0"/>
        <v>403195.74704100104</v>
      </c>
      <c r="R18" s="238"/>
      <c r="S18" s="238">
        <f t="shared" si="0"/>
        <v>417307.59818743606</v>
      </c>
      <c r="T18" s="238"/>
      <c r="U18" s="238">
        <f t="shared" si="0"/>
        <v>431913.36412399629</v>
      </c>
      <c r="V18" s="238"/>
      <c r="W18" s="238">
        <f t="shared" si="0"/>
        <v>447030.33186833613</v>
      </c>
      <c r="X18" s="238"/>
      <c r="Y18" s="238">
        <f t="shared" si="0"/>
        <v>462676.39348372788</v>
      </c>
      <c r="Z18" s="238"/>
      <c r="AA18" s="238">
        <f t="shared" si="0"/>
        <v>478870.06725565833</v>
      </c>
      <c r="AB18" s="238"/>
      <c r="AC18" s="238">
        <f t="shared" si="0"/>
        <v>495630.51960960636</v>
      </c>
      <c r="AD18" s="238"/>
      <c r="AE18" s="238">
        <f t="shared" si="0"/>
        <v>512977.58779594256</v>
      </c>
      <c r="AF18" s="238"/>
      <c r="AG18" s="238">
        <f t="shared" si="0"/>
        <v>530931.80336880055</v>
      </c>
    </row>
    <row r="19" spans="1:33" s="225" customFormat="1" ht="14.25">
      <c r="A19" s="225" t="s">
        <v>155</v>
      </c>
      <c r="C19" s="249"/>
      <c r="E19" s="238">
        <f>Application!W863</f>
        <v>140000</v>
      </c>
      <c r="F19" s="238"/>
      <c r="G19" s="238">
        <f t="shared" si="0"/>
        <v>144900</v>
      </c>
      <c r="H19" s="238"/>
      <c r="I19" s="238">
        <f t="shared" si="0"/>
        <v>149971.5</v>
      </c>
      <c r="J19" s="238"/>
      <c r="K19" s="238">
        <f t="shared" si="0"/>
        <v>155220.5025</v>
      </c>
      <c r="L19" s="238"/>
      <c r="M19" s="238">
        <f t="shared" si="0"/>
        <v>160653.2200875</v>
      </c>
      <c r="N19" s="238"/>
      <c r="O19" s="238">
        <f t="shared" si="0"/>
        <v>166276.08279056248</v>
      </c>
      <c r="P19" s="238"/>
      <c r="Q19" s="238">
        <f t="shared" si="0"/>
        <v>172095.74568823216</v>
      </c>
      <c r="R19" s="238"/>
      <c r="S19" s="238">
        <f t="shared" si="0"/>
        <v>178119.09678732028</v>
      </c>
      <c r="T19" s="238"/>
      <c r="U19" s="238">
        <f t="shared" si="0"/>
        <v>184353.26517487646</v>
      </c>
      <c r="V19" s="238"/>
      <c r="W19" s="238">
        <f t="shared" si="0"/>
        <v>190805.62945599711</v>
      </c>
      <c r="X19" s="238"/>
      <c r="Y19" s="238">
        <f t="shared" si="0"/>
        <v>197483.826486957</v>
      </c>
      <c r="Z19" s="238"/>
      <c r="AA19" s="238">
        <f t="shared" si="0"/>
        <v>204395.76041400048</v>
      </c>
      <c r="AB19" s="238"/>
      <c r="AC19" s="238">
        <f t="shared" si="0"/>
        <v>211549.61202849049</v>
      </c>
      <c r="AD19" s="238"/>
      <c r="AE19" s="238">
        <f t="shared" si="0"/>
        <v>218953.84844948765</v>
      </c>
      <c r="AF19" s="238"/>
      <c r="AG19" s="238">
        <f t="shared" si="0"/>
        <v>226617.23314521971</v>
      </c>
    </row>
    <row r="20" spans="1:33" s="225" customFormat="1" ht="14.25">
      <c r="A20" s="225" t="s">
        <v>391</v>
      </c>
      <c r="C20" s="249"/>
      <c r="E20" s="238">
        <f>Application!W872</f>
        <v>164670</v>
      </c>
      <c r="F20" s="238"/>
      <c r="G20" s="238">
        <f t="shared" si="0"/>
        <v>170433.44999999998</v>
      </c>
      <c r="H20" s="238"/>
      <c r="I20" s="238">
        <f t="shared" si="0"/>
        <v>176398.62074999997</v>
      </c>
      <c r="J20" s="238"/>
      <c r="K20" s="238">
        <f t="shared" si="0"/>
        <v>182572.57247624994</v>
      </c>
      <c r="L20" s="238"/>
      <c r="M20" s="238">
        <f t="shared" si="0"/>
        <v>188962.61251291868</v>
      </c>
      <c r="N20" s="238"/>
      <c r="O20" s="238">
        <f t="shared" si="0"/>
        <v>195576.30395087082</v>
      </c>
      <c r="P20" s="238"/>
      <c r="Q20" s="238">
        <f t="shared" si="0"/>
        <v>202421.47458915127</v>
      </c>
      <c r="R20" s="238"/>
      <c r="S20" s="238">
        <f t="shared" si="0"/>
        <v>209506.22619977154</v>
      </c>
      <c r="T20" s="238"/>
      <c r="U20" s="238">
        <f t="shared" si="0"/>
        <v>216838.94411676354</v>
      </c>
      <c r="V20" s="238"/>
      <c r="W20" s="238">
        <f t="shared" si="0"/>
        <v>224428.30716085024</v>
      </c>
      <c r="X20" s="238"/>
      <c r="Y20" s="238">
        <f t="shared" si="0"/>
        <v>232283.29791147998</v>
      </c>
      <c r="Z20" s="238"/>
      <c r="AA20" s="238">
        <f t="shared" si="0"/>
        <v>240413.21333838176</v>
      </c>
      <c r="AB20" s="238"/>
      <c r="AC20" s="238">
        <f t="shared" si="0"/>
        <v>248827.6758052251</v>
      </c>
      <c r="AD20" s="238"/>
      <c r="AE20" s="238">
        <f t="shared" si="0"/>
        <v>257536.64445840794</v>
      </c>
      <c r="AF20" s="238"/>
      <c r="AG20" s="238">
        <f t="shared" si="0"/>
        <v>266550.42701445217</v>
      </c>
    </row>
    <row r="21" spans="1:33" s="225" customFormat="1" ht="14.25">
      <c r="A21" s="242" t="s">
        <v>982</v>
      </c>
      <c r="B21" s="242"/>
      <c r="C21" s="1272"/>
      <c r="E21" s="248">
        <f>Application!W879</f>
        <v>178077</v>
      </c>
      <c r="F21" s="238"/>
      <c r="G21" s="248">
        <f t="shared" si="0"/>
        <v>184309.69499999998</v>
      </c>
      <c r="H21" s="238"/>
      <c r="I21" s="248">
        <f t="shared" si="0"/>
        <v>190760.53432499996</v>
      </c>
      <c r="J21" s="238"/>
      <c r="K21" s="248">
        <f t="shared" si="0"/>
        <v>197437.15302637493</v>
      </c>
      <c r="L21" s="238"/>
      <c r="M21" s="248">
        <f t="shared" si="0"/>
        <v>204347.45338229803</v>
      </c>
      <c r="N21" s="238"/>
      <c r="O21" s="248">
        <f t="shared" si="0"/>
        <v>211499.61425067845</v>
      </c>
      <c r="P21" s="238"/>
      <c r="Q21" s="248">
        <f t="shared" si="0"/>
        <v>218902.10074945219</v>
      </c>
      <c r="R21" s="238"/>
      <c r="S21" s="248">
        <f t="shared" si="0"/>
        <v>226563.67427568301</v>
      </c>
      <c r="T21" s="238"/>
      <c r="U21" s="248">
        <f t="shared" si="0"/>
        <v>234493.4028753319</v>
      </c>
      <c r="V21" s="238"/>
      <c r="W21" s="248">
        <f t="shared" si="0"/>
        <v>242700.67197596849</v>
      </c>
      <c r="X21" s="238"/>
      <c r="Y21" s="248">
        <f t="shared" si="0"/>
        <v>251195.19549512738</v>
      </c>
      <c r="Z21" s="238"/>
      <c r="AA21" s="248">
        <f t="shared" si="0"/>
        <v>259987.02733745682</v>
      </c>
      <c r="AB21" s="238"/>
      <c r="AC21" s="248">
        <f t="shared" si="0"/>
        <v>269086.57329426782</v>
      </c>
      <c r="AD21" s="238"/>
      <c r="AE21" s="248">
        <f t="shared" si="0"/>
        <v>278504.60335956718</v>
      </c>
      <c r="AF21" s="238"/>
      <c r="AG21" s="248">
        <f t="shared" si="0"/>
        <v>288252.26447715203</v>
      </c>
    </row>
    <row r="22" spans="1:33" s="239" customFormat="1" ht="15">
      <c r="A22" s="239" t="s">
        <v>855</v>
      </c>
      <c r="C22" s="1271"/>
      <c r="E22" s="239">
        <f>SUM(E15:E21)</f>
        <v>1077223</v>
      </c>
      <c r="G22" s="239">
        <f>SUM(G15:G21)</f>
        <v>1114925.8049999999</v>
      </c>
      <c r="I22" s="239">
        <f>SUM(I15:I21)</f>
        <v>1153948.2081749998</v>
      </c>
      <c r="K22" s="239">
        <f>SUM(K15:K21)</f>
        <v>1194336.3954611248</v>
      </c>
      <c r="M22" s="239">
        <f>SUM(M15:M21)</f>
        <v>1236138.1693022642</v>
      </c>
      <c r="O22" s="239">
        <f>SUM(O15:O21)</f>
        <v>1279403.0052278433</v>
      </c>
      <c r="Q22" s="239">
        <f>SUM(Q15:Q21)</f>
        <v>1324182.1104108177</v>
      </c>
      <c r="S22" s="239">
        <f>SUM(S15:S21)</f>
        <v>1370528.4842751962</v>
      </c>
      <c r="U22" s="239">
        <f>SUM(U15:U21)</f>
        <v>1418496.9812248279</v>
      </c>
      <c r="W22" s="239">
        <f>SUM(W15:W21)</f>
        <v>1468144.3755676968</v>
      </c>
      <c r="Y22" s="239">
        <f>SUM(Y15:Y21)</f>
        <v>1519529.4287125664</v>
      </c>
      <c r="AA22" s="239">
        <f>SUM(AA15:AA21)</f>
        <v>1572712.9587175059</v>
      </c>
      <c r="AC22" s="239">
        <f>SUM(AC15:AC21)</f>
        <v>1627757.9122726184</v>
      </c>
      <c r="AE22" s="239">
        <f>SUM(AE15:AE21)</f>
        <v>1684729.4392021601</v>
      </c>
      <c r="AG22" s="239">
        <f>SUM(AG15:AG21)</f>
        <v>1743694.9695742354</v>
      </c>
    </row>
    <row r="23" spans="1:33" s="225" customFormat="1" ht="14.25">
      <c r="C23" s="1271"/>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1271"/>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28800</v>
      </c>
      <c r="F27" s="238"/>
      <c r="G27" s="238">
        <f>E27*$C$27</f>
        <v>29807.999999999996</v>
      </c>
      <c r="H27" s="238"/>
      <c r="I27" s="238">
        <f>G27*$C$27</f>
        <v>30851.279999999995</v>
      </c>
      <c r="J27" s="238"/>
      <c r="K27" s="238">
        <f>I27*$C$27</f>
        <v>31931.074799999991</v>
      </c>
      <c r="L27" s="238"/>
      <c r="M27" s="238">
        <f>K27*$C$27</f>
        <v>33048.662417999985</v>
      </c>
      <c r="N27" s="238"/>
      <c r="O27" s="238">
        <f>M27*$C$27</f>
        <v>34205.36560262998</v>
      </c>
      <c r="P27" s="238"/>
      <c r="Q27" s="238">
        <f>O27*$C$27</f>
        <v>35402.553398722026</v>
      </c>
      <c r="R27" s="238"/>
      <c r="S27" s="238">
        <f>Q27*$C$27</f>
        <v>36641.642767677295</v>
      </c>
      <c r="T27" s="238"/>
      <c r="U27" s="238">
        <f>S27*$C$27</f>
        <v>37924.100264545996</v>
      </c>
      <c r="V27" s="238"/>
      <c r="W27" s="238">
        <f>U27*$C$27</f>
        <v>39251.443773805106</v>
      </c>
      <c r="X27" s="238"/>
      <c r="Y27" s="238">
        <f>W27*$C$27</f>
        <v>40625.244305888278</v>
      </c>
      <c r="Z27" s="238"/>
      <c r="AA27" s="238">
        <f>Y27*$C$27</f>
        <v>42047.127856594365</v>
      </c>
      <c r="AB27" s="238"/>
      <c r="AC27" s="238">
        <f>AA27*$C$27</f>
        <v>43518.777331575162</v>
      </c>
      <c r="AD27" s="238"/>
      <c r="AE27" s="238">
        <f>AC27*$C$27</f>
        <v>45041.934538180292</v>
      </c>
      <c r="AF27" s="238"/>
      <c r="AG27" s="238">
        <f>AE27*$C$27</f>
        <v>46618.402247016602</v>
      </c>
    </row>
    <row r="28" spans="1:33" s="225" customFormat="1" ht="14.25">
      <c r="A28" s="225" t="s">
        <v>858</v>
      </c>
      <c r="C28" s="253"/>
      <c r="E28" s="238">
        <f>Application!AC889</f>
        <v>48000</v>
      </c>
      <c r="F28" s="238"/>
      <c r="G28" s="238">
        <f>$E$28</f>
        <v>48000</v>
      </c>
      <c r="H28" s="238"/>
      <c r="I28" s="238">
        <f>$E$28</f>
        <v>48000</v>
      </c>
      <c r="J28" s="238"/>
      <c r="K28" s="238">
        <f>$E$28</f>
        <v>48000</v>
      </c>
      <c r="L28" s="238"/>
      <c r="M28" s="238">
        <f>$E$28</f>
        <v>48000</v>
      </c>
      <c r="N28" s="238"/>
      <c r="O28" s="238">
        <f>$E$28</f>
        <v>48000</v>
      </c>
      <c r="P28" s="238"/>
      <c r="Q28" s="238">
        <f>$E$28</f>
        <v>48000</v>
      </c>
      <c r="R28" s="238"/>
      <c r="S28" s="238">
        <f>$E$28</f>
        <v>48000</v>
      </c>
      <c r="T28" s="238"/>
      <c r="U28" s="238">
        <f>$E$28</f>
        <v>48000</v>
      </c>
      <c r="V28" s="238"/>
      <c r="W28" s="238">
        <f>$E$28</f>
        <v>48000</v>
      </c>
      <c r="X28" s="238"/>
      <c r="Y28" s="238">
        <f>$E$28</f>
        <v>48000</v>
      </c>
      <c r="Z28" s="238"/>
      <c r="AA28" s="238">
        <f>$E$28</f>
        <v>48000</v>
      </c>
      <c r="AB28" s="238"/>
      <c r="AC28" s="238">
        <f>$E$28</f>
        <v>48000</v>
      </c>
      <c r="AD28" s="238"/>
      <c r="AE28" s="238">
        <f>$E$28</f>
        <v>48000</v>
      </c>
      <c r="AF28" s="238"/>
      <c r="AG28" s="238">
        <f>$E$28</f>
        <v>48000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1154023</v>
      </c>
      <c r="G35" s="239">
        <f>SUM(G22:G33)</f>
        <v>1192733.8049999999</v>
      </c>
      <c r="I35" s="239">
        <f>SUM(I22:I33)</f>
        <v>1232799.4881749998</v>
      </c>
      <c r="K35" s="239">
        <f>SUM(K22:K33)</f>
        <v>1274267.4702611249</v>
      </c>
      <c r="M35" s="239">
        <f>SUM(M22:M33)</f>
        <v>1317186.8317202642</v>
      </c>
      <c r="O35" s="239">
        <f>SUM(O22:O33)</f>
        <v>1361608.3708304733</v>
      </c>
      <c r="Q35" s="239">
        <f>SUM(Q22:Q33)</f>
        <v>1407584.6638095398</v>
      </c>
      <c r="S35" s="239">
        <f>SUM(S22:S33)</f>
        <v>1455170.1270428735</v>
      </c>
      <c r="U35" s="239">
        <f>SUM(U22:U33)</f>
        <v>1504421.0814893739</v>
      </c>
      <c r="W35" s="239">
        <f>SUM(W22:W33)</f>
        <v>1555395.8193415019</v>
      </c>
      <c r="Y35" s="239">
        <f>SUM(Y22:Y33)</f>
        <v>1608154.6730184546</v>
      </c>
      <c r="AA35" s="239">
        <f>SUM(AA22:AA33)</f>
        <v>1662760.0865741002</v>
      </c>
      <c r="AC35" s="239">
        <f>SUM(AC22:AC33)</f>
        <v>1719276.6896041934</v>
      </c>
      <c r="AE35" s="239">
        <f>SUM(AE22:AE33)</f>
        <v>1777771.3737403404</v>
      </c>
      <c r="AG35" s="239">
        <f>SUM(AG22:AG33)</f>
        <v>1838313.3718212519</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4583825.95</v>
      </c>
      <c r="G37" s="239">
        <f>G11-G35</f>
        <v>4688561.3687499994</v>
      </c>
      <c r="I37" s="239">
        <f>I11-I35</f>
        <v>4795528.06491875</v>
      </c>
      <c r="K37" s="239">
        <f>K11-K35</f>
        <v>4904768.2716599666</v>
      </c>
      <c r="M37" s="239">
        <f>M11-M35</f>
        <v>5016324.8037488554</v>
      </c>
      <c r="O37" s="239">
        <f>O11-O35</f>
        <v>5130241.0555253727</v>
      </c>
      <c r="Q37" s="239">
        <f>Q11-Q35</f>
        <v>5246560.9982052017</v>
      </c>
      <c r="S37" s="239">
        <f>S11-S35</f>
        <v>5365329.1765222354</v>
      </c>
      <c r="U37" s="239">
        <f>U11-U35</f>
        <v>5486590.7046648627</v>
      </c>
      <c r="W37" s="239">
        <f>W11-W35</f>
        <v>5610391.2614665907</v>
      </c>
      <c r="Y37" s="239">
        <f>Y11-Y35</f>
        <v>5736777.0848098388</v>
      </c>
      <c r="AA37" s="239">
        <f>AA11-AA35</f>
        <v>5865794.9651999008</v>
      </c>
      <c r="AC37" s="239">
        <f>AC11-AC35</f>
        <v>5997492.238464158</v>
      </c>
      <c r="AE37" s="239">
        <f>AE11-AE35</f>
        <v>6131916.7775297184</v>
      </c>
      <c r="AG37" s="239">
        <f>AG11-AG35</f>
        <v>6269116.9832305573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Tax-Exempt Bonds</v>
      </c>
      <c r="B40" s="242"/>
      <c r="E40" s="238">
        <f>Application!AF627</f>
        <v>3360242.8300000005</v>
      </c>
      <c r="F40" s="238"/>
      <c r="G40" s="238">
        <f>$E$40</f>
        <v>3360242.8300000005</v>
      </c>
      <c r="H40" s="238"/>
      <c r="I40" s="238">
        <f>$E$40</f>
        <v>3360242.8300000005</v>
      </c>
      <c r="J40" s="238"/>
      <c r="K40" s="238">
        <f>$E$40</f>
        <v>3360242.8300000005</v>
      </c>
      <c r="L40" s="238"/>
      <c r="M40" s="238">
        <f>$E$40</f>
        <v>3360242.8300000005</v>
      </c>
      <c r="N40" s="238"/>
      <c r="O40" s="238">
        <f>$E$40</f>
        <v>3360242.8300000005</v>
      </c>
      <c r="P40" s="238"/>
      <c r="Q40" s="238">
        <f>$E$40</f>
        <v>3360242.8300000005</v>
      </c>
      <c r="R40" s="238"/>
      <c r="S40" s="238">
        <f>$E$40</f>
        <v>3360242.8300000005</v>
      </c>
      <c r="T40" s="238"/>
      <c r="U40" s="238">
        <f>$E$40</f>
        <v>3360242.8300000005</v>
      </c>
      <c r="V40" s="238"/>
      <c r="W40" s="238">
        <f>$E$40</f>
        <v>3360242.8300000005</v>
      </c>
      <c r="X40" s="238"/>
      <c r="Y40" s="238">
        <f>$E$40</f>
        <v>3360242.8300000005</v>
      </c>
      <c r="Z40" s="238"/>
      <c r="AA40" s="238">
        <f>$E$40</f>
        <v>3360242.8300000005</v>
      </c>
      <c r="AB40" s="238"/>
      <c r="AC40" s="238">
        <f>$E$40</f>
        <v>3360242.8300000005</v>
      </c>
      <c r="AD40" s="238"/>
      <c r="AE40" s="238">
        <f>$E$40</f>
        <v>3360242.8300000005</v>
      </c>
      <c r="AF40" s="238"/>
      <c r="AG40" s="238">
        <f>$E$40</f>
        <v>3360242.8300000005</v>
      </c>
    </row>
    <row r="41" spans="1:33" s="225" customFormat="1" ht="14.25">
      <c r="A41" s="241" t="str">
        <f>Application!C628</f>
        <v>CitiBank - Recycled TE bonds</v>
      </c>
      <c r="B41" s="242"/>
      <c r="C41" s="236"/>
      <c r="E41" s="238">
        <f>+Application!AF628</f>
        <v>864257.17</v>
      </c>
      <c r="F41" s="238"/>
      <c r="G41" s="238">
        <f>$E$41</f>
        <v>864257.17</v>
      </c>
      <c r="H41" s="238"/>
      <c r="I41" s="238">
        <f>$E$41</f>
        <v>864257.17</v>
      </c>
      <c r="J41" s="238"/>
      <c r="K41" s="238">
        <f>$E$41</f>
        <v>864257.17</v>
      </c>
      <c r="L41" s="238"/>
      <c r="M41" s="238">
        <f>$E$41</f>
        <v>864257.17</v>
      </c>
      <c r="N41" s="238"/>
      <c r="O41" s="238">
        <f>$E$41</f>
        <v>864257.17</v>
      </c>
      <c r="P41" s="238"/>
      <c r="Q41" s="238">
        <f>$E$41</f>
        <v>864257.17</v>
      </c>
      <c r="R41" s="238"/>
      <c r="S41" s="238">
        <f>$E$41</f>
        <v>864257.17</v>
      </c>
      <c r="T41" s="238"/>
      <c r="U41" s="238">
        <f>$E$41</f>
        <v>864257.17</v>
      </c>
      <c r="V41" s="238"/>
      <c r="W41" s="238">
        <f>$E$41</f>
        <v>864257.17</v>
      </c>
      <c r="X41" s="238"/>
      <c r="Y41" s="238">
        <f>$E$41</f>
        <v>864257.17</v>
      </c>
      <c r="Z41" s="238"/>
      <c r="AA41" s="238">
        <f>$E$41</f>
        <v>864257.17</v>
      </c>
      <c r="AB41" s="238"/>
      <c r="AC41" s="238">
        <f>$E$41</f>
        <v>864257.17</v>
      </c>
      <c r="AD41" s="238"/>
      <c r="AE41" s="238">
        <f>$E$41</f>
        <v>864257.17</v>
      </c>
      <c r="AF41" s="238"/>
      <c r="AG41" s="238">
        <f>$E$41</f>
        <v>864257.17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4224500.0000000009</v>
      </c>
      <c r="G43" s="239">
        <f>SUM(G40:G42)</f>
        <v>4224500.0000000009</v>
      </c>
      <c r="I43" s="239">
        <f>SUM(I40:I42)</f>
        <v>4224500.0000000009</v>
      </c>
      <c r="K43" s="239">
        <f>SUM(K40:K42)</f>
        <v>4224500.0000000009</v>
      </c>
      <c r="M43" s="239">
        <f>SUM(M40:M42)</f>
        <v>4224500.0000000009</v>
      </c>
      <c r="O43" s="239">
        <f>SUM(O40:O42)</f>
        <v>4224500.0000000009</v>
      </c>
      <c r="Q43" s="239">
        <f>SUM(Q40:Q42)</f>
        <v>4224500.0000000009</v>
      </c>
      <c r="S43" s="239">
        <f>SUM(S40:S42)</f>
        <v>4224500.0000000009</v>
      </c>
      <c r="U43" s="239">
        <f>SUM(U40:U42)</f>
        <v>4224500.0000000009</v>
      </c>
      <c r="W43" s="239">
        <f>SUM(W40:W42)</f>
        <v>4224500.0000000009</v>
      </c>
      <c r="Y43" s="239">
        <f>SUM(Y40:Y42)</f>
        <v>4224500.0000000009</v>
      </c>
      <c r="AA43" s="239">
        <f>SUM(AA40:AA42)</f>
        <v>4224500.0000000009</v>
      </c>
      <c r="AC43" s="239">
        <f>SUM(AC40:AC42)</f>
        <v>4224500.0000000009</v>
      </c>
      <c r="AE43" s="239">
        <f>SUM(AE40:AE42)</f>
        <v>4224500.0000000009</v>
      </c>
      <c r="AG43" s="239">
        <f>SUM(AG40:AG42)</f>
        <v>4224500.0000000009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359325.94999999925</v>
      </c>
      <c r="G45" s="239">
        <f>G37-G43</f>
        <v>464061.36874999851</v>
      </c>
      <c r="I45" s="239">
        <f>I37-I43</f>
        <v>571028.06491874903</v>
      </c>
      <c r="K45" s="239">
        <f>K37-K43</f>
        <v>680268.27165996563</v>
      </c>
      <c r="M45" s="239">
        <f>M37-M43</f>
        <v>791824.80374885444</v>
      </c>
      <c r="O45" s="239">
        <f>O37-O43</f>
        <v>905741.0555253718</v>
      </c>
      <c r="Q45" s="239">
        <f>Q37-Q43</f>
        <v>1022060.9982052008</v>
      </c>
      <c r="S45" s="239">
        <f>S37-S43</f>
        <v>1140829.1765222345</v>
      </c>
      <c r="U45" s="239">
        <f>U37-U43</f>
        <v>1262090.7046648618</v>
      </c>
      <c r="W45" s="239">
        <f>W37-W43</f>
        <v>1385891.2614665898</v>
      </c>
      <c r="Y45" s="239">
        <f>Y37-Y43</f>
        <v>1512277.0848098379</v>
      </c>
      <c r="AA45" s="239">
        <f>AA37-AA43</f>
        <v>1641294.9651998999</v>
      </c>
      <c r="AC45" s="239">
        <f>AC37-AC43</f>
        <v>1772992.2384641571</v>
      </c>
      <c r="AE45" s="239">
        <f>AE37-AE43</f>
        <v>1907416.7775297174</v>
      </c>
      <c r="AG45" s="239">
        <f>AG37-AG43</f>
        <v>2044616.9832305564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5.949261743810793E-2</v>
      </c>
      <c r="G47" s="243">
        <f>G45/(G4+G6+G8)</f>
        <v>7.4959390285354588E-2</v>
      </c>
      <c r="I47" s="243">
        <f>I45/(I4+I6+I8)</f>
        <v>8.9987920678665095E-2</v>
      </c>
      <c r="K47" s="243">
        <f>K45/(K4+K6+K8)</f>
        <v>0.10458830229650745</v>
      </c>
      <c r="M47" s="243">
        <f>M45/(M4+M6+M8)</f>
        <v>0.11877037682361412</v>
      </c>
      <c r="O47" s="243">
        <f>O45/(O4+O6+O8)</f>
        <v>0.13254374004051925</v>
      </c>
      <c r="Q47" s="243">
        <f>Q45/(Q4+Q6+Q8)</f>
        <v>0.14591774776402386</v>
      </c>
      <c r="S47" s="243">
        <f>S45/(S4+S6+S8)</f>
        <v>0.158901521642209</v>
      </c>
      <c r="U47" s="243">
        <f>U45/(U4+U6+U8)</f>
        <v>0.17150395480754616</v>
      </c>
      <c r="W47" s="243">
        <f>W45/(W4+W6+W8)</f>
        <v>0.18373371739155644</v>
      </c>
      <c r="Y47" s="243">
        <f>Y45/(Y4+Y6+Y8)</f>
        <v>0.19559926190439245</v>
      </c>
      <c r="AA47" s="243">
        <f>AA45/(AA4+AA6+AA8)</f>
        <v>0.20710882848263076</v>
      </c>
      <c r="AC47" s="243">
        <f>AC45/(AC4+AC6+AC8)</f>
        <v>0.21827045000848189</v>
      </c>
      <c r="AE47" s="243">
        <f>AE45/(AE4+AE6+AE8)</f>
        <v>0.22909195710355174</v>
      </c>
      <c r="AG47" s="243">
        <f>AG45/(AG4+AG6+AG8)</f>
        <v>0.23958098300020689</v>
      </c>
    </row>
    <row r="48" spans="1:33" s="243" customFormat="1" ht="14.25">
      <c r="A48" s="243" t="s">
        <v>864</v>
      </c>
      <c r="C48" s="236"/>
      <c r="E48" s="243">
        <f>E45/E43</f>
        <v>8.5057628121671003E-2</v>
      </c>
      <c r="G48" s="243">
        <f>G45/G43</f>
        <v>0.1098500103562548</v>
      </c>
      <c r="I48" s="243">
        <f>I45/I43</f>
        <v>0.13517056809533648</v>
      </c>
      <c r="K48" s="243">
        <f>K45/K43</f>
        <v>0.16102929853472966</v>
      </c>
      <c r="M48" s="243">
        <f>M45/M43</f>
        <v>0.18743633654843278</v>
      </c>
      <c r="O48" s="243">
        <f>O45/O43</f>
        <v>0.21440195420176864</v>
      </c>
      <c r="Q48" s="243">
        <f>Q45/Q43</f>
        <v>0.24193656011485395</v>
      </c>
      <c r="S48" s="243">
        <f>S45/S43</f>
        <v>0.27005069866782677</v>
      </c>
      <c r="U48" s="243">
        <f>U45/U43</f>
        <v>0.29875504903890676</v>
      </c>
      <c r="W48" s="243">
        <f>W45/W43</f>
        <v>0.32806042406594615</v>
      </c>
      <c r="Y48" s="243">
        <f>Y45/Y43</f>
        <v>0.35797776892172745</v>
      </c>
      <c r="AA48" s="243">
        <f>AA45/AA43</f>
        <v>0.38851815959282743</v>
      </c>
      <c r="AC48" s="243">
        <f>AC45/AC43</f>
        <v>0.41969280115141594</v>
      </c>
      <c r="AE48" s="243">
        <f>AE45/AE43</f>
        <v>0.45151302580890451</v>
      </c>
      <c r="AG48" s="243">
        <f>AG45/AG43</f>
        <v>0.4839902907398641</v>
      </c>
    </row>
    <row r="49" spans="1:35" s="244" customFormat="1" ht="14.25">
      <c r="A49" s="244" t="s">
        <v>862</v>
      </c>
      <c r="C49" s="245"/>
      <c r="E49" s="244">
        <f>E37/E43</f>
        <v>1.0850576281216711</v>
      </c>
      <c r="G49" s="244">
        <f>G37/G43</f>
        <v>1.1098500103562547</v>
      </c>
      <c r="I49" s="244">
        <f>I37/I43</f>
        <v>1.1351705680953366</v>
      </c>
      <c r="K49" s="244">
        <f>K37/K43</f>
        <v>1.1610292985347297</v>
      </c>
      <c r="M49" s="244">
        <f>M37/M43</f>
        <v>1.1874363365484328</v>
      </c>
      <c r="O49" s="244">
        <f>O37/O43</f>
        <v>1.2144019542017686</v>
      </c>
      <c r="Q49" s="244">
        <f>Q37/Q43</f>
        <v>1.241936560114854</v>
      </c>
      <c r="S49" s="244">
        <f>S37/S43</f>
        <v>1.2700506986678268</v>
      </c>
      <c r="U49" s="244">
        <f>U37/U43</f>
        <v>1.2987550490389068</v>
      </c>
      <c r="W49" s="244">
        <f>W37/W43</f>
        <v>1.3280604240659462</v>
      </c>
      <c r="Y49" s="244">
        <f>Y37/Y43</f>
        <v>1.3579777689217274</v>
      </c>
      <c r="AA49" s="244">
        <f>AA37/AA43</f>
        <v>1.3885181595928275</v>
      </c>
      <c r="AC49" s="244">
        <f>AC37/AC43</f>
        <v>1.4196928011514161</v>
      </c>
      <c r="AE49" s="244">
        <f>AE37/AE43</f>
        <v>1.4515130258089044</v>
      </c>
      <c r="AG49" s="244">
        <f>AG37/AG43</f>
        <v>1.4839902907398641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5" t="s">
        <v>1291</v>
      </c>
      <c r="B52" s="2685"/>
      <c r="C52" s="268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359325.94999999925</v>
      </c>
      <c r="G60" s="997">
        <f>G45-G58</f>
        <v>464061.36874999851</v>
      </c>
      <c r="I60" s="997">
        <f>I45-I58</f>
        <v>571028.06491874903</v>
      </c>
      <c r="K60" s="997">
        <f>K45-K58</f>
        <v>680268.27165996563</v>
      </c>
      <c r="M60" s="997">
        <f>M45-M58</f>
        <v>791824.80374885444</v>
      </c>
      <c r="O60" s="997">
        <f>O45-O58</f>
        <v>905741.0555253718</v>
      </c>
      <c r="Q60" s="997">
        <f>Q45-Q58</f>
        <v>1022060.9982052008</v>
      </c>
      <c r="S60" s="997">
        <f>S45-S58</f>
        <v>1140829.1765222345</v>
      </c>
      <c r="U60" s="997">
        <f>U45-U58</f>
        <v>1262090.7046648618</v>
      </c>
      <c r="W60" s="997">
        <f>W45-W58</f>
        <v>1385891.2614665898</v>
      </c>
      <c r="Y60" s="997">
        <f>Y45-Y58</f>
        <v>1512277.0848098379</v>
      </c>
      <c r="AA60" s="997">
        <f>AA45-AA58</f>
        <v>1641294.9651998999</v>
      </c>
      <c r="AC60" s="997">
        <f>AC45-AC58</f>
        <v>1772992.2384641571</v>
      </c>
      <c r="AE60" s="997">
        <f>AE45-AE58</f>
        <v>1907416.7775297174</v>
      </c>
      <c r="AG60" s="997">
        <f>AG45-AG58</f>
        <v>2044616.9832305564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179662.97499999963</v>
      </c>
      <c r="G62" s="997">
        <f>G60*$C$62</f>
        <v>232030.68437499925</v>
      </c>
      <c r="I62" s="997">
        <f>I60*$C$62</f>
        <v>285514.03245937452</v>
      </c>
      <c r="K62" s="997">
        <f>K60*$C$62</f>
        <v>340134.13582998281</v>
      </c>
      <c r="M62" s="997">
        <f>M60*$C$62</f>
        <v>395912.40187442722</v>
      </c>
      <c r="O62" s="997">
        <f>O60*$C$62</f>
        <v>452870.5277626859</v>
      </c>
      <c r="Q62" s="997">
        <f>Q60*$C$62</f>
        <v>511030.49910260038</v>
      </c>
      <c r="S62" s="997">
        <f>S60*$C$62</f>
        <v>570414.58826111723</v>
      </c>
      <c r="U62" s="997">
        <f>U60*$C$62</f>
        <v>631045.35233243089</v>
      </c>
      <c r="W62" s="997">
        <f>W60*$C$62</f>
        <v>692945.63073329488</v>
      </c>
      <c r="Y62" s="997">
        <f>Y60*$C$62</f>
        <v>756138.54240491893</v>
      </c>
      <c r="AA62" s="997">
        <f>AA60*$C$62</f>
        <v>820647.48259994993</v>
      </c>
      <c r="AC62" s="997">
        <f>AC60*$C$62</f>
        <v>886496.11923207855</v>
      </c>
      <c r="AE62" s="997">
        <f>AE60*$C$62</f>
        <v>953708.38876485871</v>
      </c>
      <c r="AG62" s="997">
        <f>AG60*$C$62</f>
        <v>1022308.4916152782</v>
      </c>
    </row>
    <row r="63" spans="1:35" s="997" customFormat="1">
      <c r="A63" s="2685" t="s">
        <v>1291</v>
      </c>
      <c r="B63" s="2685"/>
      <c r="C63" s="268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179662.97499999963</v>
      </c>
      <c r="G72" s="997">
        <f>G60-G62-G70</f>
        <v>232030.68437499925</v>
      </c>
      <c r="I72" s="997">
        <f>I60-I62-I70</f>
        <v>285514.03245937452</v>
      </c>
      <c r="K72" s="997">
        <f>K60-K62-K70</f>
        <v>340134.13582998281</v>
      </c>
      <c r="M72" s="997">
        <f>M60-M62-M70</f>
        <v>395912.40187442722</v>
      </c>
      <c r="O72" s="997">
        <f>O60-O62-O70</f>
        <v>452870.5277626859</v>
      </c>
      <c r="Q72" s="997">
        <f>Q60-Q62-Q70</f>
        <v>511030.49910260038</v>
      </c>
      <c r="S72" s="997">
        <f>S60-S62-S70</f>
        <v>570414.58826111723</v>
      </c>
      <c r="U72" s="997">
        <f>U60-U62-U70</f>
        <v>631045.35233243089</v>
      </c>
      <c r="W72" s="997">
        <f>W60-W62-W70</f>
        <v>692945.63073329488</v>
      </c>
      <c r="Y72" s="997">
        <f>Y60-Y62-Y70</f>
        <v>756138.54240491893</v>
      </c>
      <c r="AA72" s="997">
        <f>AA60-AA62-AA70</f>
        <v>820647.48259994993</v>
      </c>
      <c r="AC72" s="997">
        <f>AC60-AC62-AC70</f>
        <v>886496.11923207855</v>
      </c>
      <c r="AE72" s="997">
        <f>AE60-AE62-AE70</f>
        <v>953708.38876485871</v>
      </c>
      <c r="AG72" s="997">
        <f>AG60-AG62-AG70</f>
        <v>1022308.4916152782</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83" t="s">
        <v>1912</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9741425</v>
      </c>
      <c r="C5" s="286">
        <f>'Sources and Uses Budget'!$C4</f>
        <v>9741425</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9741425</v>
      </c>
      <c r="C9" s="290">
        <f>SUM(C5:C8)</f>
        <v>9741425</v>
      </c>
      <c r="D9" s="290">
        <f t="shared" si="0"/>
        <v>0</v>
      </c>
      <c r="E9" s="288"/>
      <c r="F9" s="287"/>
      <c r="G9" s="383"/>
    </row>
    <row r="10" spans="1:7" s="380" customFormat="1">
      <c r="A10" s="395" t="s">
        <v>603</v>
      </c>
      <c r="B10" s="286">
        <f>'Sources and Uses Budget'!$C9</f>
        <v>61258575</v>
      </c>
      <c r="C10" s="286">
        <f>'Sources and Uses Budget'!$C9</f>
        <v>61258575</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61258575</v>
      </c>
      <c r="C12" s="290">
        <f>SUM(C10:C11)</f>
        <v>61258575</v>
      </c>
      <c r="D12" s="290">
        <f t="shared" si="0"/>
        <v>0</v>
      </c>
      <c r="E12" s="288"/>
      <c r="F12" s="287"/>
      <c r="G12" s="383"/>
    </row>
    <row r="13" spans="1:7" s="380" customFormat="1">
      <c r="A13" s="396" t="s">
        <v>84</v>
      </c>
      <c r="B13" s="290">
        <f>SUM(B9+B12)</f>
        <v>71000000</v>
      </c>
      <c r="C13" s="290">
        <f>SUM(C9+C12)</f>
        <v>71000000</v>
      </c>
      <c r="D13" s="290">
        <f t="shared" si="0"/>
        <v>0</v>
      </c>
      <c r="E13" s="288"/>
      <c r="F13" s="287"/>
      <c r="G13" s="383"/>
    </row>
    <row r="14" spans="1:7" s="380" customFormat="1">
      <c r="A14" s="397" t="s">
        <v>918</v>
      </c>
      <c r="B14" s="286">
        <f>'Sources and Uses Budget'!$C13</f>
        <v>2411883</v>
      </c>
      <c r="C14" s="286">
        <f>'Sources and Uses Budget'!$C13</f>
        <v>2411883</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14509545</v>
      </c>
      <c r="C19" s="286">
        <f>'Sources and Uses Budget'!$C18</f>
        <v>14509545</v>
      </c>
      <c r="D19" s="290">
        <f t="shared" si="0"/>
        <v>0</v>
      </c>
      <c r="E19" s="288"/>
      <c r="F19" s="287"/>
      <c r="G19" s="383"/>
    </row>
    <row r="20" spans="1:7" s="380" customFormat="1">
      <c r="A20" s="145" t="s">
        <v>609</v>
      </c>
      <c r="B20" s="286">
        <f>'Sources and Uses Budget'!$C19</f>
        <v>870573</v>
      </c>
      <c r="C20" s="286">
        <f>'Sources and Uses Budget'!$C19</f>
        <v>870573</v>
      </c>
      <c r="D20" s="290">
        <f t="shared" si="0"/>
        <v>0</v>
      </c>
      <c r="E20" s="288"/>
      <c r="F20" s="287"/>
      <c r="G20" s="383"/>
    </row>
    <row r="21" spans="1:7" s="380" customFormat="1">
      <c r="A21" s="145" t="s">
        <v>137</v>
      </c>
      <c r="B21" s="286">
        <f>'Sources and Uses Budget'!$C20</f>
        <v>307602</v>
      </c>
      <c r="C21" s="286">
        <f>'Sources and Uses Budget'!$C20</f>
        <v>307602</v>
      </c>
      <c r="D21" s="290">
        <f t="shared" si="0"/>
        <v>0</v>
      </c>
      <c r="E21" s="288"/>
      <c r="F21" s="287"/>
      <c r="G21" s="383"/>
    </row>
    <row r="22" spans="1:7" s="380" customFormat="1">
      <c r="A22" s="145" t="s">
        <v>138</v>
      </c>
      <c r="B22" s="286">
        <f>'Sources and Uses Budget'!$C21</f>
        <v>922807</v>
      </c>
      <c r="C22" s="286">
        <f>'Sources and Uses Budget'!$C21</f>
        <v>922807</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176871</v>
      </c>
      <c r="C24" s="286">
        <f>'Sources and Uses Budget'!$C23</f>
        <v>176871</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(Performance Bond - GC)</v>
      </c>
      <c r="B26" s="286">
        <f>'Sources and Uses Budget'!$C25</f>
        <v>207632</v>
      </c>
      <c r="C26" s="286">
        <f>'Sources and Uses Budget'!$C25</f>
        <v>207632</v>
      </c>
      <c r="D26" s="290">
        <f t="shared" si="0"/>
        <v>0</v>
      </c>
      <c r="E26" s="288"/>
      <c r="F26" s="287"/>
      <c r="G26" s="383"/>
    </row>
    <row r="27" spans="1:7" s="380" customFormat="1">
      <c r="A27" s="1053" t="s">
        <v>133</v>
      </c>
      <c r="B27" s="290">
        <f>SUM(B18:B26)</f>
        <v>16995030</v>
      </c>
      <c r="C27" s="290">
        <f>SUM(C18:C26)</f>
        <v>16995030</v>
      </c>
      <c r="D27" s="290">
        <f>SUM(D18:D26)</f>
        <v>0</v>
      </c>
      <c r="E27" s="288"/>
      <c r="F27" s="287"/>
      <c r="G27" s="383"/>
    </row>
    <row r="28" spans="1:7" s="380" customFormat="1">
      <c r="A28" s="291" t="s">
        <v>141</v>
      </c>
      <c r="B28" s="286">
        <f>'Sources and Uses Budget'!$C$27</f>
        <v>383460</v>
      </c>
      <c r="C28" s="286">
        <f>'Sources and Uses Budget'!$C$27</f>
        <v>383460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0</v>
      </c>
      <c r="C41" s="286">
        <f>'Sources and Uses Budget'!$C40</f>
        <v>0</v>
      </c>
      <c r="D41" s="290">
        <f t="shared" si="0"/>
        <v>0</v>
      </c>
      <c r="E41" s="288"/>
      <c r="F41" s="287"/>
      <c r="G41" s="383"/>
    </row>
    <row r="42" spans="1:7" s="380" customFormat="1">
      <c r="A42" s="289" t="s">
        <v>146</v>
      </c>
      <c r="B42" s="286">
        <f>'Sources and Uses Budget'!$C41</f>
        <v>250000</v>
      </c>
      <c r="C42" s="286">
        <f>'Sources and Uses Budget'!$C41</f>
        <v>250000</v>
      </c>
      <c r="D42" s="290">
        <f t="shared" si="0"/>
        <v>0</v>
      </c>
      <c r="E42" s="288"/>
      <c r="F42" s="287"/>
      <c r="G42" s="383"/>
    </row>
    <row r="43" spans="1:7" s="380" customFormat="1">
      <c r="A43" s="291" t="s">
        <v>147</v>
      </c>
      <c r="B43" s="290">
        <f>SUM(B41:B42)</f>
        <v>250000</v>
      </c>
      <c r="C43" s="290">
        <f>SUM(C41:C42)</f>
        <v>250000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8612753</v>
      </c>
      <c r="C46" s="286">
        <f>'Sources and Uses Budget'!$C45</f>
        <v>8612753</v>
      </c>
      <c r="D46" s="290">
        <f t="shared" si="0"/>
        <v>0</v>
      </c>
      <c r="E46" s="288"/>
      <c r="F46" s="287"/>
      <c r="G46" s="383"/>
    </row>
    <row r="47" spans="1:7" s="380" customFormat="1">
      <c r="A47" s="145" t="s">
        <v>151</v>
      </c>
      <c r="B47" s="286">
        <f>'Sources and Uses Budget'!$C46</f>
        <v>887159</v>
      </c>
      <c r="C47" s="286">
        <f>'Sources and Uses Budget'!$C46</f>
        <v>887159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36335</v>
      </c>
      <c r="C52" s="286">
        <f>'Sources and Uses Budget'!$C51</f>
        <v>36335</v>
      </c>
      <c r="D52" s="290">
        <f t="shared" si="0"/>
        <v>0</v>
      </c>
      <c r="E52" s="288"/>
      <c r="F52" s="287"/>
      <c r="G52" s="383"/>
    </row>
    <row r="53" spans="1:7" s="380" customFormat="1">
      <c r="A53" s="145" t="s">
        <v>155</v>
      </c>
      <c r="B53" s="286">
        <f>'Sources and Uses Budget'!$C52</f>
        <v>104000</v>
      </c>
      <c r="C53" s="286">
        <f>'Sources and Uses Budget'!$C52</f>
        <v>104000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9640247</v>
      </c>
      <c r="C55" s="293">
        <f>SUM(C46:C54)</f>
        <v>9640247</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38500</v>
      </c>
      <c r="C59" s="286">
        <f>'Sources and Uses Budget'!$C58</f>
        <v>38500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 Issuance Costs</v>
      </c>
      <c r="B62" s="286">
        <f>'Sources and Uses Budget'!$C61</f>
        <v>235690</v>
      </c>
      <c r="C62" s="286">
        <f>'Sources and Uses Budget'!$C61</f>
        <v>235690</v>
      </c>
      <c r="D62" s="290">
        <f t="shared" si="0"/>
        <v>0</v>
      </c>
      <c r="E62" s="288"/>
      <c r="F62" s="287"/>
      <c r="G62" s="383"/>
    </row>
    <row r="63" spans="1:7" s="380" customFormat="1" ht="13.7" customHeight="1">
      <c r="A63" s="291" t="s">
        <v>302</v>
      </c>
      <c r="B63" s="290">
        <f>SUM(B57:B62)</f>
        <v>274190</v>
      </c>
      <c r="C63" s="290">
        <f>SUM(C57:C62)</f>
        <v>274190</v>
      </c>
      <c r="D63" s="290">
        <f t="shared" si="0"/>
        <v>0</v>
      </c>
      <c r="E63" s="288"/>
      <c r="F63" s="287"/>
      <c r="G63" s="383"/>
    </row>
    <row r="64" spans="1:7" s="380" customFormat="1">
      <c r="A64" s="294" t="s">
        <v>303</v>
      </c>
      <c r="B64" s="290">
        <f>SUM(B9+B12+B14+B15+B17+B26+B28+B39+B43+B44+B55+B63)</f>
        <v>84167412</v>
      </c>
      <c r="C64" s="290">
        <f>SUM(C9+C12+C14+C15+C17+C26+C28+C39+C43+C44+C55+C63)</f>
        <v>84167412</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236500</v>
      </c>
      <c r="C66" s="286">
        <f>'Sources and Uses Budget'!$C65</f>
        <v>236500</v>
      </c>
      <c r="D66" s="290">
        <f t="shared" si="0"/>
        <v>0</v>
      </c>
      <c r="E66" s="288"/>
      <c r="F66" s="287"/>
      <c r="G66" s="383"/>
    </row>
    <row r="67" spans="1:7" s="380" customFormat="1" ht="24">
      <c r="A67" s="304" t="s">
        <v>1755</v>
      </c>
      <c r="B67" s="286">
        <f>'Sources and Uses Budget'!$C66</f>
        <v>52500</v>
      </c>
      <c r="C67" s="286">
        <f>'Sources and Uses Budget'!$C66</f>
        <v>52500</v>
      </c>
      <c r="D67" s="290"/>
      <c r="E67" s="288"/>
      <c r="F67" s="287"/>
      <c r="G67" s="383"/>
    </row>
    <row r="68" spans="1:7" s="380" customFormat="1" ht="24">
      <c r="A68" s="304" t="s">
        <v>1756</v>
      </c>
      <c r="B68" s="286">
        <f>'Sources and Uses Budget'!$C67</f>
        <v>40000</v>
      </c>
      <c r="C68" s="286">
        <f>'Sources and Uses Budget'!$C67</f>
        <v>40000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inspections, reports, and surveys</v>
      </c>
      <c r="B70" s="286">
        <f>'Sources and Uses Budget'!$C69</f>
        <v>104181</v>
      </c>
      <c r="C70" s="286">
        <f>'Sources and Uses Budget'!$C69</f>
        <v>104181</v>
      </c>
      <c r="D70" s="290">
        <f t="shared" si="0"/>
        <v>0</v>
      </c>
      <c r="E70" s="288"/>
      <c r="F70" s="287"/>
      <c r="G70" s="383"/>
    </row>
    <row r="71" spans="1:7" s="380" customFormat="1">
      <c r="A71" s="149" t="s">
        <v>1759</v>
      </c>
      <c r="B71" s="290">
        <f>SUM(B66:B70)</f>
        <v>433181</v>
      </c>
      <c r="C71" s="290">
        <f>SUM(C66:C70)</f>
        <v>433181</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1333301</v>
      </c>
      <c r="C76" s="286">
        <f>'Sources and Uses Budget'!$C75</f>
        <v>1333301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1333301</v>
      </c>
      <c r="C78" s="290">
        <f>SUM(C73:C77)</f>
        <v>1333301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1699503</v>
      </c>
      <c r="C80" s="286">
        <f>'Sources and Uses Budget'!$C79</f>
        <v>1699503</v>
      </c>
      <c r="D80" s="290">
        <f t="shared" si="1"/>
        <v>0</v>
      </c>
      <c r="E80" s="288"/>
      <c r="F80" s="287"/>
      <c r="G80" s="383"/>
    </row>
    <row r="81" spans="1:7" s="380" customFormat="1">
      <c r="A81" s="544" t="s">
        <v>58</v>
      </c>
      <c r="B81" s="286">
        <f>'Sources and Uses Budget'!$C80</f>
        <v>450000</v>
      </c>
      <c r="C81" s="286">
        <f>'Sources and Uses Budget'!$C80</f>
        <v>450000</v>
      </c>
      <c r="D81" s="290">
        <f>C81-B81</f>
        <v>0</v>
      </c>
      <c r="E81" s="288"/>
      <c r="F81" s="287"/>
      <c r="G81" s="383"/>
    </row>
    <row r="82" spans="1:7" s="380" customFormat="1">
      <c r="A82" s="291" t="s">
        <v>1316</v>
      </c>
      <c r="B82" s="290">
        <f>SUM(B80:B81)</f>
        <v>2149503</v>
      </c>
      <c r="C82" s="290">
        <f>SUM(C80:C81)</f>
        <v>2149503</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155319</v>
      </c>
      <c r="C84" s="286">
        <f>'Sources and Uses Budget'!$C83</f>
        <v>155319</v>
      </c>
      <c r="D84" s="290">
        <f t="shared" si="1"/>
        <v>0</v>
      </c>
      <c r="E84" s="288"/>
      <c r="F84" s="287"/>
      <c r="G84" s="383"/>
    </row>
    <row r="85" spans="1:7" s="380" customFormat="1">
      <c r="A85" s="289" t="s">
        <v>777</v>
      </c>
      <c r="B85" s="286">
        <f>'Sources and Uses Budget'!$C84</f>
        <v>35190</v>
      </c>
      <c r="C85" s="286">
        <f>'Sources and Uses Budget'!$C84</f>
        <v>35190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80000</v>
      </c>
      <c r="C87" s="286">
        <f>'Sources and Uses Budget'!$C86</f>
        <v>80000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200000</v>
      </c>
      <c r="C90" s="286">
        <f>'Sources and Uses Budget'!$C89</f>
        <v>200000</v>
      </c>
      <c r="D90" s="290">
        <f t="shared" si="1"/>
        <v>0</v>
      </c>
      <c r="E90" s="288"/>
      <c r="F90" s="287"/>
      <c r="G90" s="383"/>
    </row>
    <row r="91" spans="1:7" s="380" customFormat="1">
      <c r="A91" s="289" t="s">
        <v>783</v>
      </c>
      <c r="B91" s="286">
        <f>'Sources and Uses Budget'!$C90</f>
        <v>12500</v>
      </c>
      <c r="C91" s="286">
        <f>'Sources and Uses Budget'!$C90</f>
        <v>12500</v>
      </c>
      <c r="D91" s="290">
        <f t="shared" si="1"/>
        <v>0</v>
      </c>
      <c r="E91" s="288"/>
      <c r="F91" s="287"/>
      <c r="G91" s="383"/>
    </row>
    <row r="92" spans="1:7" s="380" customFormat="1">
      <c r="A92" s="289" t="s">
        <v>373</v>
      </c>
      <c r="B92" s="286">
        <f>'Sources and Uses Budget'!$C91</f>
        <v>40000</v>
      </c>
      <c r="C92" s="286">
        <f>'Sources and Uses Budget'!$C91</f>
        <v>40000</v>
      </c>
      <c r="D92" s="290">
        <f t="shared" si="1"/>
        <v>0</v>
      </c>
      <c r="E92" s="288"/>
      <c r="F92" s="287"/>
      <c r="G92" s="383"/>
    </row>
    <row r="93" spans="1:7" s="380" customFormat="1">
      <c r="A93" s="544" t="s">
        <v>1318</v>
      </c>
      <c r="B93" s="286">
        <f>'Sources and Uses Budget'!$C92</f>
        <v>0</v>
      </c>
      <c r="C93" s="286">
        <f>'Sources and Uses Budget'!$C92</f>
        <v>0</v>
      </c>
      <c r="D93" s="290">
        <f t="shared" si="1"/>
        <v>0</v>
      </c>
      <c r="E93" s="288"/>
      <c r="F93" s="287"/>
      <c r="G93" s="383"/>
    </row>
    <row r="94" spans="1:7" s="380" customFormat="1">
      <c r="A94" s="292" t="s">
        <v>34</v>
      </c>
      <c r="B94" s="286">
        <f>'Sources and Uses Budget'!$C93</f>
        <v>500000</v>
      </c>
      <c r="C94" s="286">
        <f>'Sources and Uses Budget'!$C93</f>
        <v>500000</v>
      </c>
      <c r="D94" s="290">
        <f t="shared" si="1"/>
        <v>0</v>
      </c>
      <c r="E94" s="288"/>
      <c r="F94" s="287"/>
      <c r="G94" s="383"/>
    </row>
    <row r="95" spans="1:7" s="380" customFormat="1">
      <c r="A95" s="292" t="s">
        <v>34</v>
      </c>
      <c r="B95" s="286">
        <f>'Sources and Uses Budget'!$C94</f>
        <v>251179</v>
      </c>
      <c r="C95" s="286">
        <f>'Sources and Uses Budget'!$C94</f>
        <v>251179</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1274188</v>
      </c>
      <c r="C97" s="290">
        <f>SUM(C84:C96)</f>
        <v>1274188</v>
      </c>
      <c r="D97" s="290">
        <f t="shared" si="1"/>
        <v>0</v>
      </c>
      <c r="E97" s="288"/>
      <c r="F97" s="287"/>
      <c r="G97" s="383"/>
    </row>
    <row r="98" spans="1:7" s="380" customFormat="1">
      <c r="A98" s="291" t="s">
        <v>785</v>
      </c>
      <c r="B98" s="290">
        <f>SUM(B64+B71+B78+B82+B97)</f>
        <v>89357585</v>
      </c>
      <c r="C98" s="290">
        <f>SUM(C64+C71+C78+C82+C97)</f>
        <v>89357585</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12485143</v>
      </c>
      <c r="C100" s="286">
        <f>'Sources and Uses Budget'!$C99</f>
        <v>12485143</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12485143</v>
      </c>
      <c r="C105" s="290">
        <f>SUM(C100:C104)</f>
        <v>12485143</v>
      </c>
      <c r="D105" s="290">
        <f t="shared" si="1"/>
        <v>0</v>
      </c>
      <c r="E105" s="288"/>
      <c r="F105" s="287"/>
      <c r="G105" s="383"/>
    </row>
    <row r="106" spans="1:7" s="380" customFormat="1">
      <c r="A106" s="291" t="s">
        <v>790</v>
      </c>
      <c r="B106" s="293">
        <f>SUM(B98+B105)</f>
        <v>101842728</v>
      </c>
      <c r="C106" s="293">
        <f>SUM(C98+C105)</f>
        <v>101842728</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9" t="s">
        <v>1069</v>
      </c>
      <c r="B2" s="1309"/>
      <c r="C2" s="1283"/>
      <c r="D2" s="1283"/>
      <c r="E2" s="1283"/>
      <c r="F2" s="1283"/>
      <c r="G2" s="1283"/>
    </row>
    <row r="3" spans="1:9" s="173" customFormat="1">
      <c r="A3" s="1309" t="s">
        <v>1010</v>
      </c>
      <c r="B3" s="1309"/>
      <c r="C3" s="1283"/>
      <c r="D3" s="1283"/>
      <c r="E3" s="1283"/>
      <c r="F3" s="1283"/>
      <c r="G3" s="1283"/>
      <c r="I3" t="s">
        <v>308</v>
      </c>
    </row>
    <row r="4" spans="1:9">
      <c r="I4" s="3" t="s">
        <v>1070</v>
      </c>
    </row>
    <row r="5" spans="1:9">
      <c r="A5" s="1311" t="s">
        <v>1011</v>
      </c>
      <c r="B5" s="1311"/>
      <c r="C5" s="1283"/>
      <c r="D5" s="1283"/>
      <c r="E5" s="1283"/>
      <c r="F5" s="1283"/>
      <c r="G5" s="1283"/>
      <c r="I5" s="3" t="s">
        <v>1071</v>
      </c>
    </row>
    <row r="6" spans="1:9">
      <c r="A6" s="1311" t="s">
        <v>829</v>
      </c>
      <c r="B6" s="1311"/>
      <c r="C6" s="1283"/>
      <c r="D6" s="1283"/>
      <c r="E6" s="1283"/>
      <c r="F6" s="1283"/>
      <c r="G6" s="1283"/>
      <c r="I6" t="s">
        <v>600</v>
      </c>
    </row>
    <row r="7" spans="1:9" ht="11.85" customHeight="1"/>
    <row r="8" spans="1:9">
      <c r="A8" s="1309" t="s">
        <v>1166</v>
      </c>
      <c r="B8" s="1309"/>
      <c r="C8" s="1310"/>
      <c r="D8" s="1310"/>
      <c r="E8" s="1310"/>
      <c r="F8" s="1310"/>
      <c r="G8" s="1310"/>
    </row>
    <row r="9" spans="1:9">
      <c r="A9" s="1309" t="s">
        <v>1167</v>
      </c>
      <c r="B9" s="1309"/>
      <c r="C9" s="1310"/>
      <c r="D9" s="1310"/>
      <c r="E9" s="1310"/>
      <c r="F9" s="1310"/>
      <c r="G9" s="1310"/>
    </row>
    <row r="10" spans="1:9">
      <c r="A10" s="174"/>
      <c r="B10" s="174"/>
      <c r="C10" s="172"/>
      <c r="D10" s="172"/>
      <c r="E10" s="172"/>
      <c r="F10" s="172"/>
    </row>
    <row r="11" spans="1:9">
      <c r="A11" s="1290" t="s">
        <v>1169</v>
      </c>
      <c r="B11" s="1290"/>
      <c r="C11" s="1290"/>
      <c r="D11" s="1290"/>
      <c r="E11" s="1290"/>
      <c r="F11" s="1290"/>
      <c r="G11" s="1290"/>
    </row>
    <row r="12" spans="1:9">
      <c r="A12" s="172"/>
      <c r="B12" s="172"/>
      <c r="E12" s="2"/>
    </row>
    <row r="13" spans="1:9" ht="13.15" customHeight="1">
      <c r="C13" s="172"/>
      <c r="D13" s="1323" t="s">
        <v>1168</v>
      </c>
      <c r="E13" s="1323"/>
      <c r="F13" s="1323"/>
    </row>
    <row r="14" spans="1:9">
      <c r="C14" s="172"/>
      <c r="D14" s="1323"/>
      <c r="E14" s="1323"/>
      <c r="F14" s="1323"/>
    </row>
    <row r="15" spans="1:9">
      <c r="A15" s="175"/>
      <c r="B15" s="175"/>
      <c r="C15" s="175"/>
      <c r="D15" s="1286" t="s">
        <v>1151</v>
      </c>
      <c r="E15" s="1286"/>
      <c r="F15" s="1286"/>
    </row>
    <row r="16" spans="1:9">
      <c r="A16" s="175"/>
      <c r="B16" s="175"/>
      <c r="C16" s="175"/>
      <c r="D16" s="218"/>
    </row>
    <row r="17" spans="1:6" ht="14.25">
      <c r="A17" s="176"/>
      <c r="B17" s="468" t="s">
        <v>308</v>
      </c>
      <c r="C17" s="175"/>
      <c r="D17" s="1275" t="s">
        <v>1152</v>
      </c>
      <c r="E17" s="1275"/>
      <c r="F17" s="1275"/>
    </row>
    <row r="18" spans="1:6">
      <c r="A18" s="175"/>
      <c r="B18" s="175"/>
      <c r="C18" s="175"/>
      <c r="D18" s="1275"/>
      <c r="E18" s="1275"/>
      <c r="F18" s="1275"/>
    </row>
    <row r="19" spans="1:6">
      <c r="A19" s="175"/>
      <c r="B19" s="175"/>
      <c r="C19" s="175"/>
      <c r="D19" s="1275"/>
      <c r="E19" s="1275"/>
      <c r="F19" s="1275"/>
    </row>
    <row r="20" spans="1:6">
      <c r="A20" s="175"/>
      <c r="B20" s="175"/>
      <c r="C20" s="175"/>
    </row>
    <row r="21" spans="1:6" ht="14.25">
      <c r="A21" s="176"/>
      <c r="B21" s="468" t="s">
        <v>308</v>
      </c>
      <c r="D21" s="1318" t="s">
        <v>1153</v>
      </c>
      <c r="E21" s="1318"/>
      <c r="F21" s="1318"/>
    </row>
    <row r="22" spans="1:6" ht="14.25">
      <c r="A22" s="176"/>
      <c r="B22" s="176"/>
      <c r="D22" s="35"/>
    </row>
    <row r="23" spans="1:6" ht="14.25">
      <c r="A23" s="176"/>
      <c r="B23" s="468" t="s">
        <v>308</v>
      </c>
      <c r="D23" s="1275" t="s">
        <v>1154</v>
      </c>
      <c r="E23" s="1275"/>
      <c r="F23" s="1275"/>
    </row>
    <row r="24" spans="1:6" ht="14.25">
      <c r="A24" s="176"/>
      <c r="B24" s="176"/>
      <c r="D24" s="1275"/>
      <c r="E24" s="1275"/>
      <c r="F24" s="1275"/>
    </row>
    <row r="25" spans="1:6"/>
    <row r="26" spans="1:6" ht="14.25">
      <c r="A26" s="176"/>
      <c r="B26" s="468" t="s">
        <v>308</v>
      </c>
      <c r="D26" s="1275" t="s">
        <v>1155</v>
      </c>
      <c r="E26" s="1275"/>
      <c r="F26" s="1275"/>
    </row>
    <row r="27" spans="1:6">
      <c r="D27" s="1275"/>
      <c r="E27" s="1275"/>
      <c r="F27" s="1275"/>
    </row>
    <row r="28" spans="1:6">
      <c r="D28" s="1275"/>
      <c r="E28" s="1275"/>
      <c r="F28" s="1275"/>
    </row>
    <row r="29" spans="1:6">
      <c r="D29" s="1275"/>
      <c r="E29" s="1275"/>
      <c r="F29" s="1275"/>
    </row>
    <row r="30" spans="1:6">
      <c r="D30" s="1275"/>
      <c r="E30" s="1275"/>
      <c r="F30" s="1275"/>
    </row>
    <row r="31" spans="1:6">
      <c r="D31" s="220"/>
    </row>
    <row r="32" spans="1:6">
      <c r="B32" s="468" t="s">
        <v>308</v>
      </c>
      <c r="D32" s="1275" t="s">
        <v>1156</v>
      </c>
      <c r="E32" s="1275"/>
      <c r="F32" s="1275"/>
    </row>
    <row r="33" spans="1:6">
      <c r="D33" s="1275"/>
      <c r="E33" s="1275"/>
      <c r="F33" s="1275"/>
    </row>
    <row r="34" spans="1:6" ht="14.25">
      <c r="A34" s="176"/>
      <c r="B34" s="176"/>
      <c r="D34" s="220"/>
    </row>
    <row r="35" spans="1:6" ht="14.45" customHeight="1">
      <c r="A35" s="176"/>
      <c r="B35" s="468" t="s">
        <v>308</v>
      </c>
      <c r="D35" s="1275" t="s">
        <v>1157</v>
      </c>
      <c r="E35" s="1275"/>
      <c r="F35" s="1275"/>
    </row>
    <row r="36" spans="1:6" ht="14.25">
      <c r="A36" s="176"/>
      <c r="B36" s="176"/>
      <c r="D36" s="1275"/>
      <c r="E36" s="1275"/>
      <c r="F36" s="1275"/>
    </row>
    <row r="37" spans="1:6" ht="14.25">
      <c r="A37" s="176"/>
      <c r="B37" s="176"/>
      <c r="D37" s="1275"/>
      <c r="E37" s="1275"/>
      <c r="F37" s="1275"/>
    </row>
    <row r="38" spans="1:6" ht="14.25">
      <c r="A38" s="176"/>
      <c r="B38" s="176"/>
      <c r="D38"/>
    </row>
    <row r="39" spans="1:6" ht="14.25">
      <c r="A39" s="176"/>
      <c r="B39" s="468" t="s">
        <v>308</v>
      </c>
      <c r="D39" s="1275" t="s">
        <v>1158</v>
      </c>
      <c r="E39" s="1275"/>
      <c r="F39" s="1275"/>
    </row>
    <row r="40" spans="1:6" ht="14.25">
      <c r="A40" s="176"/>
      <c r="B40" s="176"/>
      <c r="D40" s="1275"/>
      <c r="E40" s="1275"/>
      <c r="F40" s="1275"/>
    </row>
    <row r="41" spans="1:6" ht="14.25">
      <c r="A41" s="176"/>
      <c r="B41" s="176"/>
      <c r="D41" s="1275"/>
      <c r="E41" s="1275"/>
      <c r="F41" s="1275"/>
    </row>
    <row r="42" spans="1:6" ht="14.25">
      <c r="A42" s="176"/>
      <c r="B42" s="176"/>
      <c r="D42" s="1275"/>
      <c r="E42" s="1275"/>
      <c r="F42" s="1275"/>
    </row>
    <row r="43" spans="1:6" ht="14.25">
      <c r="A43" s="176"/>
      <c r="B43" s="176"/>
      <c r="D43" s="1275"/>
      <c r="E43" s="1275"/>
      <c r="F43" s="1275"/>
    </row>
    <row r="44" spans="1:6" ht="14.25">
      <c r="A44" s="176"/>
      <c r="B44" s="176"/>
      <c r="D44" s="474"/>
      <c r="E44" s="474"/>
      <c r="F44" s="474"/>
    </row>
    <row r="45" spans="1:6" ht="14.25">
      <c r="A45" s="176"/>
      <c r="B45" s="468" t="s">
        <v>308</v>
      </c>
      <c r="D45" s="1275" t="s">
        <v>1159</v>
      </c>
      <c r="E45" s="1275"/>
      <c r="F45" s="1275"/>
    </row>
    <row r="46" spans="1:6" ht="14.25">
      <c r="A46" s="176"/>
      <c r="B46" s="176"/>
      <c r="D46" s="1275"/>
      <c r="E46" s="1275"/>
      <c r="F46" s="1275"/>
    </row>
    <row r="47" spans="1:6" ht="14.25">
      <c r="A47" s="176"/>
      <c r="B47" s="176"/>
      <c r="D47" s="1275"/>
      <c r="E47" s="1275"/>
      <c r="F47" s="1275"/>
    </row>
    <row r="48" spans="1:6" ht="23.25" customHeight="1">
      <c r="A48" s="176"/>
      <c r="B48" s="176"/>
      <c r="D48" s="1275"/>
      <c r="E48" s="1275"/>
      <c r="F48" s="1275"/>
    </row>
    <row r="49" spans="1:7" ht="14.25">
      <c r="A49" s="176"/>
      <c r="B49" s="176"/>
      <c r="D49" s="35"/>
    </row>
    <row r="50" spans="1:7" ht="14.45" customHeight="1">
      <c r="A50" s="176"/>
      <c r="B50" s="468" t="s">
        <v>308</v>
      </c>
      <c r="D50" s="1275" t="s">
        <v>1160</v>
      </c>
      <c r="E50" s="1275"/>
      <c r="F50" s="1275"/>
    </row>
    <row r="51" spans="1:7" ht="14.25">
      <c r="A51" s="176"/>
      <c r="B51" s="176"/>
      <c r="D51" s="1275"/>
      <c r="E51" s="1275"/>
      <c r="F51" s="1275"/>
    </row>
    <row r="52" spans="1:7" ht="14.25">
      <c r="A52" s="176"/>
      <c r="B52" s="176"/>
      <c r="D52" s="1275"/>
      <c r="E52" s="1275"/>
      <c r="F52" s="1275"/>
    </row>
    <row r="53" spans="1:7" ht="14.25">
      <c r="A53" s="176"/>
      <c r="B53" s="176"/>
      <c r="C53" s="385"/>
      <c r="D53" s="3"/>
      <c r="E53" s="3"/>
      <c r="F53" s="3"/>
      <c r="G53" s="3"/>
    </row>
    <row r="54" spans="1:7" ht="14.25">
      <c r="A54" s="176"/>
      <c r="B54" s="468" t="s">
        <v>308</v>
      </c>
      <c r="C54" s="385"/>
      <c r="D54" s="1275" t="s">
        <v>1161</v>
      </c>
      <c r="E54" s="1275"/>
      <c r="F54" s="1275"/>
      <c r="G54" s="3"/>
    </row>
    <row r="55" spans="1:7" ht="14.25">
      <c r="A55" s="176"/>
      <c r="B55" s="176"/>
      <c r="C55" s="385"/>
      <c r="D55" s="1275"/>
      <c r="E55" s="1275"/>
      <c r="F55" s="1275"/>
      <c r="G55" s="3"/>
    </row>
    <row r="56" spans="1:7">
      <c r="D56" s="220"/>
    </row>
    <row r="57" spans="1:7" ht="14.25">
      <c r="A57" s="176"/>
      <c r="B57" s="468" t="s">
        <v>308</v>
      </c>
      <c r="D57" s="1275" t="s">
        <v>1162</v>
      </c>
      <c r="E57" s="1275"/>
      <c r="F57" s="1275"/>
    </row>
    <row r="58" spans="1:7">
      <c r="D58" s="1275"/>
      <c r="E58" s="1275"/>
      <c r="F58" s="1275"/>
    </row>
    <row r="59" spans="1:7">
      <c r="D59" s="1275"/>
      <c r="E59" s="1275"/>
      <c r="F59" s="1275"/>
    </row>
    <row r="60" spans="1:7">
      <c r="D60" s="3"/>
    </row>
    <row r="61" spans="1:7" ht="14.25">
      <c r="A61" s="176"/>
      <c r="B61" s="468" t="s">
        <v>308</v>
      </c>
      <c r="D61" s="1275" t="s">
        <v>1163</v>
      </c>
      <c r="E61" s="1275"/>
      <c r="F61" s="1275"/>
    </row>
    <row r="62" spans="1:7">
      <c r="D62" s="1275"/>
      <c r="E62" s="1275"/>
      <c r="F62" s="1275"/>
    </row>
    <row r="63" spans="1:7"/>
    <row r="64" spans="1:7" ht="14.25">
      <c r="A64" s="176"/>
      <c r="B64" s="468" t="s">
        <v>308</v>
      </c>
      <c r="D64" s="1275" t="s">
        <v>1164</v>
      </c>
      <c r="E64" s="1275"/>
      <c r="F64" s="1275"/>
    </row>
    <row r="65" spans="1:7">
      <c r="D65" s="1275"/>
      <c r="E65" s="1275"/>
      <c r="F65" s="1275"/>
    </row>
    <row r="66" spans="1:7">
      <c r="D66" s="1275"/>
      <c r="E66" s="1275"/>
      <c r="F66" s="1275"/>
    </row>
    <row r="67" spans="1:7">
      <c r="D67"/>
    </row>
    <row r="68" spans="1:7" ht="14.25">
      <c r="A68" s="176"/>
      <c r="B68" s="468" t="s">
        <v>308</v>
      </c>
      <c r="D68" s="1275" t="s">
        <v>1165</v>
      </c>
      <c r="E68" s="1275"/>
      <c r="F68" s="1275"/>
    </row>
    <row r="69" spans="1:7">
      <c r="D69" s="1275"/>
      <c r="E69" s="1275"/>
      <c r="F69" s="1275"/>
    </row>
    <row r="70" spans="1:7" ht="14.25">
      <c r="A70" s="176"/>
      <c r="B70" s="176"/>
      <c r="D70" s="35"/>
    </row>
    <row r="71" spans="1:7">
      <c r="A71" s="1290" t="s">
        <v>1072</v>
      </c>
      <c r="B71" s="1290"/>
      <c r="C71" s="1290"/>
      <c r="D71" s="1290"/>
      <c r="E71" s="1290"/>
      <c r="F71" s="1290"/>
      <c r="G71" s="1290"/>
    </row>
    <row r="72" spans="1:7"/>
    <row r="73" spans="1:7">
      <c r="C73" s="177"/>
      <c r="D73" s="1308" t="s">
        <v>1170</v>
      </c>
      <c r="E73" s="1308"/>
      <c r="F73" s="1308"/>
    </row>
    <row r="74" spans="1:7">
      <c r="A74" s="35"/>
      <c r="B74" s="35"/>
      <c r="D74" s="1275" t="s">
        <v>1197</v>
      </c>
      <c r="E74" s="1275"/>
      <c r="F74" s="1275"/>
    </row>
    <row r="75" spans="1:7">
      <c r="A75" s="35"/>
      <c r="B75" s="35"/>
    </row>
    <row r="76" spans="1:7" ht="14.25">
      <c r="A76" s="176"/>
      <c r="B76" s="468" t="s">
        <v>308</v>
      </c>
      <c r="D76" s="1275" t="s">
        <v>1171</v>
      </c>
      <c r="E76" s="1275"/>
      <c r="F76" s="1275"/>
    </row>
    <row r="77" spans="1:7" ht="14.25">
      <c r="A77" s="176"/>
      <c r="B77" s="176"/>
      <c r="D77" s="1275"/>
      <c r="E77" s="1275"/>
      <c r="F77" s="1275"/>
    </row>
    <row r="78" spans="1:7" ht="14.25">
      <c r="A78" s="176"/>
      <c r="B78" s="176"/>
      <c r="D78" s="1275"/>
      <c r="E78" s="1275"/>
      <c r="F78" s="1275"/>
    </row>
    <row r="79" spans="1:7" ht="14.25">
      <c r="A79" s="176"/>
      <c r="B79" s="176"/>
      <c r="D79" s="1275"/>
      <c r="E79" s="1275"/>
      <c r="F79" s="1275"/>
    </row>
    <row r="80" spans="1:7" ht="14.25">
      <c r="A80" s="176"/>
      <c r="B80" s="176"/>
      <c r="D80" s="1275"/>
      <c r="E80" s="1275"/>
      <c r="F80" s="1275"/>
    </row>
    <row r="81" spans="1:6" ht="14.25">
      <c r="A81" s="176"/>
      <c r="B81" s="176"/>
      <c r="D81" s="1275"/>
      <c r="E81" s="1275"/>
      <c r="F81" s="1275"/>
    </row>
    <row r="82" spans="1:6" ht="14.25">
      <c r="A82" s="176"/>
      <c r="B82" s="176"/>
      <c r="D82" s="474"/>
      <c r="E82" s="474"/>
      <c r="F82" s="474"/>
    </row>
    <row r="83" spans="1:6" ht="14.45" customHeight="1">
      <c r="A83" s="176"/>
      <c r="B83" s="468" t="s">
        <v>308</v>
      </c>
      <c r="D83" s="1284" t="s">
        <v>1270</v>
      </c>
      <c r="E83" s="1284"/>
      <c r="F83" s="1284"/>
    </row>
    <row r="84" spans="1:6" ht="14.25">
      <c r="A84" s="176"/>
      <c r="B84" s="176"/>
      <c r="D84" s="1284"/>
      <c r="E84" s="1284"/>
      <c r="F84" s="1284"/>
    </row>
    <row r="85" spans="1:6" ht="14.25">
      <c r="A85" s="176"/>
      <c r="B85" s="176"/>
      <c r="D85" s="1284"/>
      <c r="E85" s="1284"/>
      <c r="F85" s="1284"/>
    </row>
    <row r="86" spans="1:6" ht="14.25">
      <c r="A86" s="176"/>
      <c r="B86" s="176"/>
      <c r="D86" s="1284"/>
      <c r="E86" s="1284"/>
      <c r="F86" s="1284"/>
    </row>
    <row r="87" spans="1:6" ht="14.25">
      <c r="A87" s="176"/>
      <c r="B87" s="176"/>
      <c r="D87" s="1284"/>
      <c r="E87" s="1284"/>
      <c r="F87" s="1284"/>
    </row>
    <row r="88" spans="1:6" ht="14.25">
      <c r="A88" s="176"/>
      <c r="B88" s="176"/>
      <c r="D88" s="1284"/>
      <c r="E88" s="1284"/>
      <c r="F88" s="1284"/>
    </row>
    <row r="89" spans="1:6" ht="14.25">
      <c r="A89" s="176"/>
      <c r="B89" s="176"/>
      <c r="D89" s="1284"/>
      <c r="E89" s="1284"/>
      <c r="F89" s="1284"/>
    </row>
    <row r="90" spans="1:6" ht="14.25">
      <c r="A90" s="176"/>
      <c r="B90" s="176"/>
      <c r="D90" s="1284"/>
      <c r="E90" s="1284"/>
      <c r="F90" s="1284"/>
    </row>
    <row r="91" spans="1:6" ht="14.25">
      <c r="A91" s="176"/>
      <c r="B91" s="176"/>
      <c r="D91" s="1284"/>
      <c r="E91" s="1284"/>
      <c r="F91" s="1284"/>
    </row>
    <row r="92" spans="1:6" ht="14.25">
      <c r="A92" s="176"/>
      <c r="B92" s="176"/>
      <c r="D92" s="1284"/>
      <c r="E92" s="1284"/>
      <c r="F92" s="1284"/>
    </row>
    <row r="93" spans="1:6" ht="14.25">
      <c r="A93" s="176"/>
      <c r="B93" s="176"/>
      <c r="D93" s="1284"/>
      <c r="E93" s="1284"/>
      <c r="F93" s="1284"/>
    </row>
    <row r="94" spans="1:6" ht="14.25">
      <c r="A94" s="176"/>
      <c r="B94" s="176"/>
      <c r="D94" s="1284"/>
      <c r="E94" s="1284"/>
      <c r="F94" s="1284"/>
    </row>
    <row r="95" spans="1:6" ht="14.25">
      <c r="A95" s="176"/>
      <c r="B95" s="176"/>
      <c r="D95" s="1284"/>
      <c r="E95" s="1284"/>
      <c r="F95" s="1284"/>
    </row>
    <row r="96" spans="1:6" ht="14.25">
      <c r="A96" s="176"/>
      <c r="B96" s="176"/>
      <c r="D96" s="1284"/>
      <c r="E96" s="1284"/>
      <c r="F96" s="1284"/>
    </row>
    <row r="97" spans="1:11" ht="14.25">
      <c r="A97" s="176"/>
      <c r="B97" s="468" t="s">
        <v>308</v>
      </c>
      <c r="D97" s="1275" t="s">
        <v>1172</v>
      </c>
      <c r="E97" s="1275"/>
      <c r="F97" s="1275"/>
    </row>
    <row r="98" spans="1:11" ht="14.25">
      <c r="A98" s="176"/>
      <c r="B98" s="176"/>
      <c r="D98" s="1275"/>
      <c r="E98" s="1275"/>
      <c r="F98" s="1275"/>
    </row>
    <row r="99" spans="1:11" ht="14.25">
      <c r="A99" s="176"/>
      <c r="B99" s="176"/>
      <c r="D99" s="1275"/>
      <c r="E99" s="1275"/>
      <c r="F99" s="1275"/>
    </row>
    <row r="100" spans="1:11" ht="14.25">
      <c r="A100" s="176"/>
      <c r="B100" s="176"/>
      <c r="D100" s="1275"/>
      <c r="E100" s="1275"/>
      <c r="F100" s="1275"/>
    </row>
    <row r="101" spans="1:11" ht="14.25">
      <c r="A101" s="176"/>
      <c r="B101" s="176"/>
      <c r="D101" s="1275"/>
      <c r="E101" s="1275"/>
      <c r="F101" s="1275"/>
    </row>
    <row r="102" spans="1:11" ht="14.25">
      <c r="A102" s="176"/>
      <c r="B102" s="176"/>
      <c r="D102" s="1275"/>
      <c r="E102" s="1275"/>
      <c r="F102" s="1275"/>
    </row>
    <row r="103" spans="1:11" ht="14.25">
      <c r="A103" s="176"/>
      <c r="B103" s="176"/>
      <c r="D103" s="1275"/>
      <c r="E103" s="1275"/>
      <c r="F103" s="1275"/>
    </row>
    <row r="104" spans="1:11" ht="14.25">
      <c r="A104" s="176"/>
      <c r="B104" s="176"/>
      <c r="D104" s="1275"/>
      <c r="E104" s="1275"/>
      <c r="F104" s="1275"/>
    </row>
    <row r="105" spans="1:11" ht="14.25">
      <c r="A105" s="176"/>
      <c r="B105" s="176"/>
      <c r="D105" s="474"/>
      <c r="E105" s="474"/>
      <c r="F105" s="474"/>
    </row>
    <row r="106" spans="1:11" ht="14.25">
      <c r="A106" s="176"/>
      <c r="B106" s="468" t="s">
        <v>308</v>
      </c>
      <c r="C106" s="179"/>
      <c r="D106" s="1312" t="s">
        <v>1173</v>
      </c>
      <c r="E106" s="1312"/>
      <c r="F106" s="1312"/>
      <c r="G106" s="183"/>
      <c r="H106" s="181"/>
      <c r="I106" s="181"/>
      <c r="J106" s="181"/>
      <c r="K106" s="181"/>
    </row>
    <row r="107" spans="1:11" ht="14.25">
      <c r="A107" s="176"/>
      <c r="B107" s="176"/>
      <c r="C107" s="179"/>
      <c r="D107" s="1312"/>
      <c r="E107" s="1312"/>
      <c r="F107" s="1312"/>
      <c r="G107" s="183"/>
      <c r="H107" s="181"/>
      <c r="I107" s="181"/>
      <c r="J107" s="181"/>
      <c r="K107" s="181"/>
    </row>
    <row r="108" spans="1:11" ht="14.25">
      <c r="A108" s="176"/>
      <c r="B108" s="176"/>
      <c r="C108" s="179"/>
      <c r="D108" s="1312"/>
      <c r="E108" s="1312"/>
      <c r="F108" s="1312"/>
      <c r="G108" s="183"/>
      <c r="H108" s="181"/>
      <c r="I108" s="181"/>
      <c r="J108" s="181"/>
      <c r="K108" s="181"/>
    </row>
    <row r="109" spans="1:11" ht="14.25">
      <c r="A109" s="176"/>
      <c r="B109" s="176"/>
      <c r="C109" s="179"/>
      <c r="D109" s="1312"/>
      <c r="E109" s="1312"/>
      <c r="F109" s="1312"/>
      <c r="G109" s="183"/>
      <c r="H109" s="181"/>
      <c r="I109" s="181"/>
      <c r="J109" s="181"/>
      <c r="K109" s="181"/>
    </row>
    <row r="110" spans="1:11" ht="14.25">
      <c r="A110" s="176"/>
      <c r="B110" s="176"/>
      <c r="C110" s="179"/>
      <c r="D110" s="1312"/>
      <c r="E110" s="1312"/>
      <c r="F110" s="1312"/>
      <c r="G110" s="183"/>
      <c r="H110" s="181"/>
      <c r="I110" s="181"/>
      <c r="J110" s="181"/>
      <c r="K110" s="181"/>
    </row>
    <row r="111" spans="1:11">
      <c r="C111"/>
      <c r="D111" s="1312"/>
      <c r="E111" s="1312"/>
      <c r="F111" s="1312"/>
      <c r="G111"/>
    </row>
    <row r="112" spans="1:11">
      <c r="C112"/>
      <c r="D112" s="1312"/>
      <c r="E112" s="1312"/>
      <c r="F112" s="1312"/>
      <c r="G112"/>
    </row>
    <row r="113" spans="1:7">
      <c r="C113"/>
      <c r="D113" s="330"/>
      <c r="E113"/>
      <c r="F113"/>
      <c r="G113"/>
    </row>
    <row r="114" spans="1:7" ht="14.25">
      <c r="A114" s="176"/>
      <c r="B114" s="468" t="s">
        <v>308</v>
      </c>
      <c r="C114"/>
      <c r="D114" s="1313" t="s">
        <v>1174</v>
      </c>
      <c r="E114" s="1313"/>
      <c r="F114" s="1313"/>
      <c r="G114"/>
    </row>
    <row r="115" spans="1:7" ht="14.25">
      <c r="A115" s="176"/>
      <c r="B115" s="176"/>
      <c r="C115"/>
      <c r="D115" s="1313"/>
      <c r="E115" s="1313"/>
      <c r="F115" s="1313"/>
      <c r="G115"/>
    </row>
    <row r="116" spans="1:7"/>
    <row r="117" spans="1:7" ht="14.25">
      <c r="A117" s="176"/>
      <c r="B117" s="468" t="s">
        <v>308</v>
      </c>
      <c r="D117" s="1275" t="s">
        <v>1175</v>
      </c>
      <c r="E117" s="1275"/>
      <c r="F117" s="1275"/>
    </row>
    <row r="118" spans="1:7">
      <c r="D118" s="1275"/>
      <c r="E118" s="1275"/>
      <c r="F118" s="1275"/>
    </row>
    <row r="119" spans="1:7">
      <c r="D119" s="1275"/>
      <c r="E119" s="1275"/>
      <c r="F119" s="1275"/>
    </row>
    <row r="120" spans="1:7">
      <c r="D120" s="1275"/>
      <c r="E120" s="1275"/>
      <c r="F120" s="1275"/>
    </row>
    <row r="121" spans="1:7">
      <c r="D121" s="1275"/>
      <c r="E121" s="1275"/>
      <c r="F121" s="1275"/>
    </row>
    <row r="122" spans="1:7"/>
    <row r="123" spans="1:7" ht="14.25">
      <c r="A123" s="176"/>
      <c r="B123" s="468" t="s">
        <v>308</v>
      </c>
      <c r="D123" s="1275" t="s">
        <v>1176</v>
      </c>
      <c r="E123" s="1275"/>
      <c r="F123" s="1275"/>
    </row>
    <row r="124" spans="1:7" s="197" customFormat="1" ht="13.7" customHeight="1">
      <c r="A124" s="195"/>
      <c r="B124" s="195"/>
      <c r="C124" s="195"/>
      <c r="D124" s="1275"/>
      <c r="E124" s="1275"/>
      <c r="F124" s="1275"/>
      <c r="G124" s="196"/>
    </row>
    <row r="125" spans="1:7" ht="13.7" customHeight="1">
      <c r="D125" s="1275"/>
      <c r="E125" s="1275"/>
      <c r="F125" s="1275"/>
    </row>
    <row r="126" spans="1:7" ht="13.7" customHeight="1">
      <c r="D126" s="1275"/>
      <c r="E126" s="1275"/>
      <c r="F126" s="1275"/>
    </row>
    <row r="127" spans="1:7" ht="13.7" customHeight="1">
      <c r="D127" s="1275"/>
      <c r="E127" s="1275"/>
      <c r="F127" s="1275"/>
    </row>
    <row r="128" spans="1:7" ht="13.7" customHeight="1">
      <c r="A128" s="256"/>
      <c r="B128" s="256"/>
      <c r="D128" s="1275"/>
      <c r="E128" s="1275"/>
      <c r="F128" s="1275"/>
    </row>
    <row r="129" spans="2:6" ht="13.7" customHeight="1">
      <c r="D129" s="1275"/>
      <c r="E129" s="1275"/>
      <c r="F129" s="1275"/>
    </row>
    <row r="130" spans="2:6" ht="13.7" customHeight="1">
      <c r="D130" s="1275"/>
      <c r="E130" s="1275"/>
      <c r="F130" s="1275"/>
    </row>
    <row r="131" spans="2:6" ht="13.7" customHeight="1">
      <c r="D131" s="1275"/>
      <c r="E131" s="1275"/>
      <c r="F131" s="1275"/>
    </row>
    <row r="132" spans="2:6" ht="13.7" customHeight="1">
      <c r="D132" s="1275"/>
      <c r="E132" s="1275"/>
      <c r="F132" s="1275"/>
    </row>
    <row r="133" spans="2:6" ht="13.7" customHeight="1">
      <c r="D133" s="1275"/>
      <c r="E133" s="1275"/>
      <c r="F133" s="1275"/>
    </row>
    <row r="134" spans="2:6" ht="13.7" customHeight="1">
      <c r="D134" s="1275"/>
      <c r="E134" s="1275"/>
      <c r="F134" s="1275"/>
    </row>
    <row r="135" spans="2:6" ht="13.7" customHeight="1">
      <c r="D135" s="218"/>
      <c r="E135" s="35"/>
      <c r="F135" s="35"/>
    </row>
    <row r="136" spans="2:6" ht="13.7" customHeight="1">
      <c r="B136" s="468" t="s">
        <v>308</v>
      </c>
      <c r="D136" s="1275" t="s">
        <v>1284</v>
      </c>
      <c r="E136" s="1275"/>
      <c r="F136" s="1275"/>
    </row>
    <row r="137" spans="2:6" ht="13.7" customHeight="1">
      <c r="D137" s="1275"/>
      <c r="E137" s="1275"/>
      <c r="F137" s="1275"/>
    </row>
    <row r="138" spans="2:6" ht="13.7" customHeight="1">
      <c r="D138" s="1275"/>
      <c r="E138" s="1275"/>
      <c r="F138" s="1275"/>
    </row>
    <row r="139" spans="2:6" ht="13.7" customHeight="1">
      <c r="D139" s="1275"/>
      <c r="E139" s="1275"/>
      <c r="F139" s="1275"/>
    </row>
    <row r="140" spans="2:6" ht="13.7" customHeight="1">
      <c r="D140" s="1275"/>
      <c r="E140" s="1275"/>
      <c r="F140" s="1275"/>
    </row>
    <row r="141" spans="2:6" ht="13.7" customHeight="1">
      <c r="D141" s="1275"/>
      <c r="E141" s="1275"/>
      <c r="F141" s="1275"/>
    </row>
    <row r="142" spans="2:6" ht="13.7" customHeight="1">
      <c r="D142" s="1275"/>
      <c r="E142" s="1275"/>
      <c r="F142" s="1275"/>
    </row>
    <row r="143" spans="2:6" ht="13.7" customHeight="1">
      <c r="D143" s="1275"/>
      <c r="E143" s="1275"/>
      <c r="F143" s="1275"/>
    </row>
    <row r="144" spans="2:6" ht="13.7" customHeight="1">
      <c r="D144" s="1275"/>
      <c r="E144" s="1275"/>
      <c r="F144" s="1275"/>
    </row>
    <row r="145" spans="1:7" ht="13.7" customHeight="1">
      <c r="D145" s="1275"/>
      <c r="E145" s="1275"/>
      <c r="F145" s="1275"/>
    </row>
    <row r="146" spans="1:7" ht="13.7" customHeight="1">
      <c r="D146" s="1275"/>
      <c r="E146" s="1275"/>
      <c r="F146" s="1275"/>
    </row>
    <row r="147" spans="1:7" ht="13.7" customHeight="1">
      <c r="D147" s="1275"/>
      <c r="E147" s="1275"/>
      <c r="F147" s="1275"/>
    </row>
    <row r="148" spans="1:7" ht="13.7" customHeight="1">
      <c r="D148" s="1275"/>
      <c r="E148" s="1275"/>
      <c r="F148" s="1275"/>
    </row>
    <row r="149" spans="1:7" ht="13.7" customHeight="1">
      <c r="D149" s="1275"/>
      <c r="E149" s="1275"/>
      <c r="F149" s="1275"/>
    </row>
    <row r="150" spans="1:7" ht="13.7" customHeight="1">
      <c r="D150" s="1275"/>
      <c r="E150" s="1275"/>
      <c r="F150" s="1275"/>
    </row>
    <row r="151" spans="1:7" ht="13.7" customHeight="1">
      <c r="D151" s="1275"/>
      <c r="E151" s="1275"/>
      <c r="F151" s="1275"/>
    </row>
    <row r="152" spans="1:7" ht="13.7" customHeight="1">
      <c r="D152" s="1275"/>
      <c r="E152" s="1275"/>
      <c r="F152" s="1275"/>
    </row>
    <row r="153" spans="1:7" ht="13.7" customHeight="1">
      <c r="D153" s="1275"/>
      <c r="E153" s="1275"/>
      <c r="F153" s="1275"/>
    </row>
    <row r="154" spans="1:7" ht="13.7" customHeight="1">
      <c r="D154" s="1275"/>
      <c r="E154" s="1275"/>
      <c r="F154" s="1275"/>
    </row>
    <row r="155" spans="1:7" ht="13.7" customHeight="1">
      <c r="D155" s="218"/>
      <c r="E155" s="35"/>
      <c r="F155" s="35"/>
    </row>
    <row r="156" spans="1:7" ht="13.7" customHeight="1">
      <c r="A156" s="256"/>
      <c r="B156" s="468" t="s">
        <v>308</v>
      </c>
      <c r="C156" s="218"/>
      <c r="D156" s="1284" t="s">
        <v>1177</v>
      </c>
      <c r="E156" s="1284"/>
      <c r="F156" s="1284"/>
      <c r="G156" s="218"/>
    </row>
    <row r="157" spans="1:7" ht="13.7" customHeight="1">
      <c r="A157" s="256"/>
      <c r="B157" s="256"/>
      <c r="C157" s="218"/>
      <c r="D157" s="1284"/>
      <c r="E157" s="1284"/>
      <c r="F157" s="1284"/>
      <c r="G157" s="218"/>
    </row>
    <row r="158" spans="1:7" ht="13.7" customHeight="1">
      <c r="A158" s="256"/>
      <c r="B158" s="256"/>
      <c r="C158" s="218"/>
      <c r="D158" s="218"/>
      <c r="E158" s="218"/>
      <c r="F158" s="218"/>
      <c r="G158" s="218"/>
    </row>
    <row r="159" spans="1:7" ht="13.7" customHeight="1">
      <c r="A159" s="256"/>
      <c r="B159" s="468" t="s">
        <v>308</v>
      </c>
      <c r="C159" s="218"/>
      <c r="D159" s="1284" t="s">
        <v>1178</v>
      </c>
      <c r="E159" s="1284"/>
      <c r="F159" s="1284"/>
      <c r="G159" s="218"/>
    </row>
    <row r="160" spans="1:7" ht="13.7" customHeight="1">
      <c r="A160" s="256"/>
      <c r="B160" s="256"/>
      <c r="C160" s="218"/>
      <c r="D160" s="1284"/>
      <c r="E160" s="1284"/>
      <c r="F160" s="1284"/>
      <c r="G160" s="218"/>
    </row>
    <row r="161" spans="1:7" ht="13.7" customHeight="1">
      <c r="A161" s="256"/>
      <c r="B161" s="256"/>
      <c r="C161" s="218"/>
      <c r="D161" s="1284"/>
      <c r="E161" s="1284"/>
      <c r="F161" s="1284"/>
      <c r="G161" s="218"/>
    </row>
    <row r="162" spans="1:7" ht="13.7" customHeight="1">
      <c r="A162" s="256"/>
      <c r="B162" s="256"/>
      <c r="C162" s="218"/>
      <c r="D162" s="1284"/>
      <c r="E162" s="1284"/>
      <c r="F162" s="1284"/>
      <c r="G162" s="218"/>
    </row>
    <row r="163" spans="1:7" ht="13.7" customHeight="1">
      <c r="D163" s="35"/>
      <c r="E163" s="35"/>
      <c r="F163" s="35"/>
    </row>
    <row r="164" spans="1:7" ht="13.7" customHeight="1">
      <c r="B164" s="468" t="s">
        <v>308</v>
      </c>
      <c r="D164" s="1289" t="s">
        <v>1179</v>
      </c>
      <c r="E164" s="1289"/>
      <c r="F164" s="1289"/>
    </row>
    <row r="165" spans="1:7" ht="13.7" customHeight="1">
      <c r="D165" s="1289"/>
      <c r="E165" s="1289"/>
      <c r="F165" s="1289"/>
    </row>
    <row r="166" spans="1:7" ht="13.7" customHeight="1">
      <c r="D166" s="1289"/>
      <c r="E166" s="1289"/>
      <c r="F166" s="1289"/>
    </row>
    <row r="167" spans="1:7" ht="13.7" customHeight="1">
      <c r="A167" s="13"/>
      <c r="B167" s="13"/>
      <c r="E167" s="35"/>
      <c r="F167" s="35"/>
    </row>
    <row r="168" spans="1:7">
      <c r="A168" s="1290" t="s">
        <v>1073</v>
      </c>
      <c r="B168" s="1290"/>
      <c r="C168" s="1290"/>
      <c r="D168" s="1290"/>
      <c r="E168" s="1290"/>
      <c r="F168" s="1290"/>
      <c r="G168" s="1290"/>
    </row>
    <row r="169" spans="1:7" ht="12" customHeight="1">
      <c r="D169" s="35"/>
      <c r="E169" s="35"/>
      <c r="F169" s="35"/>
    </row>
    <row r="170" spans="1:7">
      <c r="B170" s="1307" t="s">
        <v>449</v>
      </c>
      <c r="C170" s="1307"/>
      <c r="D170" s="1307"/>
      <c r="E170" s="1307"/>
      <c r="F170" s="1307"/>
    </row>
    <row r="171" spans="1:7" ht="12" customHeight="1">
      <c r="A171" s="172"/>
      <c r="B171" s="172"/>
      <c r="C171" s="172"/>
    </row>
    <row r="172" spans="1:7">
      <c r="A172" s="1290" t="s">
        <v>1074</v>
      </c>
      <c r="B172" s="1290"/>
      <c r="C172" s="1290"/>
      <c r="D172" s="1290"/>
      <c r="E172" s="1290"/>
      <c r="F172" s="1290"/>
      <c r="G172" s="1290"/>
    </row>
    <row r="173" spans="1:7" ht="12" customHeight="1">
      <c r="A173" s="2"/>
      <c r="B173" s="2"/>
      <c r="E173" s="2"/>
    </row>
    <row r="174" spans="1:7" ht="13.15" customHeight="1">
      <c r="A174" s="2"/>
      <c r="B174" s="2"/>
      <c r="D174" s="1304" t="s">
        <v>1182</v>
      </c>
      <c r="E174" s="1304"/>
      <c r="F174" s="1304"/>
    </row>
    <row r="175" spans="1:7">
      <c r="A175" s="2"/>
      <c r="B175" s="2"/>
      <c r="D175" s="1304"/>
      <c r="E175" s="1304"/>
      <c r="F175" s="1304"/>
    </row>
    <row r="176" spans="1:7">
      <c r="A176" s="2"/>
      <c r="B176" s="2"/>
      <c r="D176" s="1305" t="s">
        <v>1183</v>
      </c>
      <c r="E176" s="1305"/>
      <c r="F176" s="1305"/>
    </row>
    <row r="177" spans="1:7" ht="12" customHeight="1">
      <c r="A177" s="2"/>
      <c r="B177" s="2"/>
      <c r="E177" s="2"/>
    </row>
    <row r="178" spans="1:7" ht="14.25">
      <c r="A178" s="176"/>
      <c r="B178" s="468" t="s">
        <v>308</v>
      </c>
      <c r="D178" s="1302" t="s">
        <v>1181</v>
      </c>
      <c r="E178" s="1302"/>
      <c r="F178" s="1302"/>
    </row>
    <row r="179" spans="1:7" ht="14.25">
      <c r="A179" s="176"/>
      <c r="B179" s="176"/>
      <c r="D179" s="1302"/>
      <c r="E179" s="1302"/>
      <c r="F179" s="1302"/>
    </row>
    <row r="180" spans="1:7" ht="14.25">
      <c r="A180" s="176"/>
      <c r="B180" s="176"/>
      <c r="D180" s="1302"/>
      <c r="E180" s="1302"/>
      <c r="F180" s="1302"/>
    </row>
    <row r="181" spans="1:7">
      <c r="D181" s="1302"/>
      <c r="E181" s="1302"/>
      <c r="F181" s="1302"/>
    </row>
    <row r="182" spans="1:7">
      <c r="D182" s="220"/>
    </row>
    <row r="183" spans="1:7">
      <c r="D183" s="1306" t="s">
        <v>1090</v>
      </c>
      <c r="E183" s="1306"/>
      <c r="F183" s="1306"/>
    </row>
    <row r="184" spans="1:7">
      <c r="D184" s="1306"/>
      <c r="E184" s="1306"/>
      <c r="F184" s="1306"/>
    </row>
    <row r="185" spans="1:7">
      <c r="D185" s="475"/>
      <c r="E185" s="475"/>
      <c r="F185" s="475"/>
    </row>
    <row r="186" spans="1:7" ht="14.25">
      <c r="A186" s="176"/>
      <c r="B186" s="468" t="s">
        <v>308</v>
      </c>
      <c r="C186" s="385"/>
      <c r="D186" s="1275" t="s">
        <v>1180</v>
      </c>
      <c r="E186" s="1275"/>
      <c r="F186" s="1275"/>
      <c r="G186" s="3"/>
    </row>
    <row r="187" spans="1:7" ht="14.45" customHeight="1">
      <c r="A187" s="176"/>
      <c r="B187"/>
      <c r="C187" s="385"/>
      <c r="D187" s="1275"/>
      <c r="E187" s="1275"/>
      <c r="F187" s="1275"/>
      <c r="G187" s="3"/>
    </row>
    <row r="188" spans="1:7" ht="14.25">
      <c r="A188" s="176"/>
      <c r="B188" s="385"/>
      <c r="C188" s="385"/>
      <c r="D188" s="1275"/>
      <c r="E188" s="1275"/>
      <c r="F188" s="1275"/>
      <c r="G188" s="3"/>
    </row>
    <row r="189" spans="1:7" ht="14.25">
      <c r="A189" s="176"/>
      <c r="B189" s="385"/>
      <c r="C189" s="385"/>
      <c r="D189" s="1275"/>
      <c r="E189" s="1275"/>
      <c r="F189" s="1275"/>
      <c r="G189" s="3"/>
    </row>
    <row r="190" spans="1:7">
      <c r="D190" s="475"/>
      <c r="E190" s="475"/>
      <c r="F190" s="475"/>
    </row>
    <row r="191" spans="1:7">
      <c r="A191" s="1290" t="s">
        <v>1075</v>
      </c>
      <c r="B191" s="1290"/>
      <c r="C191" s="1290"/>
      <c r="D191" s="1290"/>
      <c r="E191" s="1290"/>
      <c r="F191" s="1290"/>
      <c r="G191" s="1290"/>
    </row>
    <row r="192" spans="1:7" ht="12" customHeight="1">
      <c r="D192" s="35"/>
      <c r="E192" s="35"/>
      <c r="F192" s="35"/>
    </row>
    <row r="193" spans="1:6">
      <c r="C193" s="177"/>
      <c r="D193" s="1291" t="s">
        <v>209</v>
      </c>
      <c r="E193" s="1291"/>
      <c r="F193" s="1291"/>
    </row>
    <row r="194" spans="1:6">
      <c r="A194" s="172"/>
      <c r="B194" s="172"/>
      <c r="C194" s="172"/>
      <c r="D194" s="1286" t="s">
        <v>1204</v>
      </c>
      <c r="E194" s="1294"/>
      <c r="F194" s="1294"/>
    </row>
    <row r="195" spans="1:6" ht="12" customHeight="1">
      <c r="A195" s="13"/>
      <c r="B195" s="13"/>
      <c r="C195" s="13"/>
    </row>
    <row r="196" spans="1:6" ht="13.15" customHeight="1">
      <c r="A196" s="13"/>
      <c r="C196" s="13"/>
      <c r="D196" s="1291" t="s">
        <v>555</v>
      </c>
      <c r="E196" s="1291"/>
      <c r="F196" s="1291"/>
    </row>
    <row r="197" spans="1:6" ht="14.25">
      <c r="A197" s="176"/>
      <c r="B197" s="468" t="s">
        <v>308</v>
      </c>
      <c r="D197" s="1275" t="s">
        <v>1198</v>
      </c>
      <c r="E197" s="1275"/>
      <c r="F197" s="1275"/>
    </row>
    <row r="198" spans="1:6" ht="14.25">
      <c r="A198" s="176"/>
      <c r="B198" s="176"/>
      <c r="D198" s="1275"/>
      <c r="E198" s="1275"/>
      <c r="F198" s="1275"/>
    </row>
    <row r="199" spans="1:6"/>
    <row r="200" spans="1:6" ht="14.25">
      <c r="A200" s="176"/>
      <c r="B200" s="468" t="s">
        <v>308</v>
      </c>
      <c r="D200" s="1275" t="s">
        <v>1199</v>
      </c>
      <c r="E200" s="1275"/>
      <c r="F200" s="1275"/>
    </row>
    <row r="201" spans="1:6" ht="14.25">
      <c r="A201" s="176"/>
      <c r="B201" s="176"/>
      <c r="D201" s="1275"/>
      <c r="E201" s="1275"/>
      <c r="F201" s="1275"/>
    </row>
    <row r="202" spans="1:6" ht="14.25">
      <c r="A202" s="176"/>
      <c r="B202" s="176"/>
      <c r="D202" s="1275"/>
      <c r="E202" s="1275"/>
      <c r="F202" s="1275"/>
    </row>
    <row r="203" spans="1:6" ht="5.0999999999999996" customHeight="1">
      <c r="A203" s="176"/>
      <c r="B203" s="176"/>
      <c r="D203" s="35"/>
      <c r="E203" s="35"/>
      <c r="F203" s="35"/>
    </row>
    <row r="204" spans="1:6" ht="14.25">
      <c r="A204" s="176"/>
      <c r="B204" s="176"/>
      <c r="D204" s="1275" t="s">
        <v>1200</v>
      </c>
      <c r="E204" s="1275"/>
      <c r="F204" s="1275"/>
    </row>
    <row r="205" spans="1:6" ht="14.25">
      <c r="A205" s="176"/>
      <c r="B205" s="176"/>
      <c r="D205" s="1275"/>
      <c r="E205" s="1275"/>
      <c r="F205" s="1275"/>
    </row>
    <row r="206" spans="1:6" ht="14.25">
      <c r="A206" s="176"/>
      <c r="B206" s="176"/>
      <c r="D206" s="1275"/>
      <c r="E206" s="1275"/>
      <c r="F206" s="1275"/>
    </row>
    <row r="207" spans="1:6" ht="14.25">
      <c r="A207" s="176"/>
      <c r="B207" s="176"/>
      <c r="D207" s="1275"/>
      <c r="E207" s="1275"/>
      <c r="F207" s="1275"/>
    </row>
    <row r="208" spans="1:6" ht="14.25">
      <c r="A208" s="176"/>
      <c r="B208" s="176"/>
      <c r="D208" s="1275"/>
      <c r="E208" s="1275"/>
      <c r="F208" s="1275"/>
    </row>
    <row r="209" spans="1:7" ht="14.25">
      <c r="A209" s="176"/>
      <c r="B209" s="176"/>
      <c r="D209" s="35"/>
      <c r="E209" s="35"/>
      <c r="F209" s="35"/>
    </row>
    <row r="210" spans="1:7" ht="14.25">
      <c r="A210" s="176"/>
      <c r="B210" s="468" t="s">
        <v>308</v>
      </c>
      <c r="D210" s="1275" t="s">
        <v>1201</v>
      </c>
      <c r="E210" s="1275"/>
      <c r="F210" s="1275"/>
    </row>
    <row r="211" spans="1:7" ht="14.25">
      <c r="A211" s="176"/>
      <c r="B211" s="176"/>
      <c r="D211" s="1275"/>
      <c r="E211" s="1275"/>
      <c r="F211" s="1275"/>
    </row>
    <row r="212" spans="1:7" ht="14.25">
      <c r="A212" s="176"/>
      <c r="B212" s="176"/>
      <c r="D212" s="1307" t="s">
        <v>910</v>
      </c>
      <c r="E212" s="1307"/>
      <c r="F212" s="1307"/>
    </row>
    <row r="213" spans="1:7" ht="14.25">
      <c r="A213" s="176"/>
      <c r="B213" s="176"/>
      <c r="D213" s="35"/>
      <c r="E213" s="35"/>
      <c r="F213" s="35"/>
    </row>
    <row r="214" spans="1:7" ht="14.45" customHeight="1">
      <c r="A214" s="176"/>
      <c r="B214" s="468" t="s">
        <v>308</v>
      </c>
      <c r="D214" s="1275" t="s">
        <v>1203</v>
      </c>
      <c r="E214" s="1275"/>
      <c r="F214" s="1275"/>
    </row>
    <row r="215" spans="1:7" ht="14.25">
      <c r="A215" s="176"/>
      <c r="B215" s="176"/>
      <c r="D215" s="1275"/>
      <c r="E215" s="1275"/>
      <c r="F215" s="1275"/>
    </row>
    <row r="216" spans="1:7" ht="14.25">
      <c r="A216" s="176"/>
      <c r="B216" s="176"/>
      <c r="D216" s="1275"/>
      <c r="E216" s="1275"/>
      <c r="F216" s="1275"/>
    </row>
    <row r="217" spans="1:7" ht="14.25">
      <c r="A217" s="176"/>
      <c r="B217" s="176"/>
      <c r="D217" s="1275"/>
      <c r="E217" s="1275"/>
      <c r="F217" s="1275"/>
    </row>
    <row r="218" spans="1:7" ht="14.25">
      <c r="A218" s="176"/>
      <c r="B218" s="176"/>
      <c r="D218" s="1275"/>
      <c r="E218" s="1275"/>
      <c r="F218" s="1275"/>
    </row>
    <row r="219" spans="1:7">
      <c r="D219" s="35"/>
      <c r="E219" s="35"/>
      <c r="F219" s="35"/>
    </row>
    <row r="220" spans="1:7" ht="14.25">
      <c r="A220" s="176"/>
      <c r="B220" s="468" t="s">
        <v>308</v>
      </c>
      <c r="D220" s="1275" t="s">
        <v>1202</v>
      </c>
      <c r="E220" s="1275"/>
      <c r="F220" s="1275"/>
    </row>
    <row r="221" spans="1:7" ht="14.25">
      <c r="A221" s="176"/>
      <c r="B221" s="176"/>
      <c r="D221" s="1275"/>
      <c r="E221" s="1275"/>
      <c r="F221" s="1275"/>
    </row>
    <row r="222" spans="1:7">
      <c r="D222" s="19"/>
    </row>
    <row r="223" spans="1:7">
      <c r="A223" s="1290" t="s">
        <v>1076</v>
      </c>
      <c r="B223" s="1290"/>
      <c r="C223" s="1290"/>
      <c r="D223" s="1290"/>
      <c r="E223" s="1290"/>
      <c r="F223" s="1290"/>
      <c r="G223" s="1290"/>
    </row>
    <row r="224" spans="1:7">
      <c r="D224" s="19"/>
    </row>
    <row r="225" spans="1:6">
      <c r="C225" s="177"/>
      <c r="D225" s="1291" t="s">
        <v>1205</v>
      </c>
      <c r="E225" s="1291"/>
      <c r="F225" s="1291"/>
    </row>
    <row r="226" spans="1:6">
      <c r="A226" s="172"/>
      <c r="B226" s="172"/>
      <c r="C226" s="172"/>
      <c r="D226" s="35"/>
      <c r="E226" s="35"/>
      <c r="F226" s="35"/>
    </row>
    <row r="227" spans="1:6">
      <c r="A227" s="175"/>
      <c r="B227" s="175"/>
      <c r="C227" s="175"/>
      <c r="D227" s="1291" t="s">
        <v>270</v>
      </c>
      <c r="E227" s="1291"/>
      <c r="F227" s="1291"/>
    </row>
    <row r="228" spans="1:6" ht="14.25">
      <c r="A228" s="176"/>
      <c r="B228" s="468" t="s">
        <v>308</v>
      </c>
      <c r="D228" s="1293" t="s">
        <v>1206</v>
      </c>
      <c r="E228" s="1293"/>
      <c r="F228" s="1293"/>
    </row>
    <row r="229" spans="1:6" ht="14.25">
      <c r="A229" s="176"/>
      <c r="B229" s="176"/>
      <c r="D229" s="1293"/>
      <c r="E229" s="1293"/>
      <c r="F229" s="1293"/>
    </row>
    <row r="230" spans="1:6">
      <c r="D230" s="35"/>
      <c r="E230" s="35"/>
      <c r="F230" s="35"/>
    </row>
    <row r="231" spans="1:6" ht="14.45" customHeight="1">
      <c r="A231" s="176"/>
      <c r="B231" s="468" t="s">
        <v>308</v>
      </c>
      <c r="D231" s="1275" t="s">
        <v>1207</v>
      </c>
      <c r="E231" s="1275"/>
      <c r="F231" s="1275"/>
    </row>
    <row r="232" spans="1:6">
      <c r="D232" s="1275"/>
      <c r="E232" s="1275"/>
      <c r="F232" s="1275"/>
    </row>
    <row r="233" spans="1:6">
      <c r="D233" s="1294" t="s">
        <v>902</v>
      </c>
      <c r="E233" s="1294"/>
      <c r="F233" s="1294"/>
    </row>
    <row r="234" spans="1:6">
      <c r="D234" s="35"/>
      <c r="E234" s="35"/>
      <c r="F234" s="35"/>
    </row>
    <row r="235" spans="1:6" ht="14.45" customHeight="1">
      <c r="A235" s="176"/>
      <c r="B235" s="468" t="s">
        <v>308</v>
      </c>
      <c r="D235" s="1275" t="s">
        <v>1209</v>
      </c>
      <c r="E235" s="1275"/>
      <c r="F235" s="1275"/>
    </row>
    <row r="236" spans="1:6">
      <c r="D236" s="1275"/>
      <c r="E236" s="1275"/>
      <c r="F236" s="1275"/>
    </row>
    <row r="237" spans="1:6">
      <c r="D237" s="1275"/>
      <c r="E237" s="1275"/>
      <c r="F237" s="1275"/>
    </row>
    <row r="238" spans="1:6">
      <c r="D238" s="1275"/>
      <c r="E238" s="1275"/>
      <c r="F238" s="1275"/>
    </row>
    <row r="239" spans="1:6">
      <c r="D239" s="1275"/>
      <c r="E239" s="1275"/>
      <c r="F239" s="1275"/>
    </row>
    <row r="240" spans="1:6">
      <c r="D240" s="35"/>
      <c r="E240" s="35"/>
      <c r="F240" s="35"/>
    </row>
    <row r="241" spans="1:7" ht="14.25">
      <c r="A241" s="176"/>
      <c r="B241" s="468" t="s">
        <v>308</v>
      </c>
      <c r="D241" s="1275" t="s">
        <v>1208</v>
      </c>
      <c r="E241" s="1275"/>
      <c r="F241" s="1275"/>
    </row>
    <row r="242" spans="1:7">
      <c r="D242" s="1275"/>
      <c r="E242" s="1275"/>
      <c r="F242" s="1275"/>
    </row>
    <row r="243" spans="1:7">
      <c r="D243" s="1275"/>
      <c r="E243" s="1275"/>
      <c r="F243" s="1275"/>
    </row>
    <row r="244" spans="1:7">
      <c r="D244" s="178"/>
      <c r="E244" s="35"/>
      <c r="F244" s="35"/>
    </row>
    <row r="245" spans="1:7">
      <c r="A245" s="1290" t="s">
        <v>1077</v>
      </c>
      <c r="B245" s="1290"/>
      <c r="C245" s="1290"/>
      <c r="D245" s="1290"/>
      <c r="E245" s="1290"/>
      <c r="F245" s="1290"/>
      <c r="G245" s="1290"/>
    </row>
    <row r="246" spans="1:7">
      <c r="D246" s="178"/>
      <c r="E246" s="35"/>
      <c r="F246" s="35"/>
    </row>
    <row r="247" spans="1:7">
      <c r="C247" s="172"/>
      <c r="D247" s="1308" t="s">
        <v>1210</v>
      </c>
      <c r="E247" s="1308"/>
      <c r="F247" s="1308"/>
    </row>
    <row r="248" spans="1:7">
      <c r="C248" s="172"/>
      <c r="D248" s="1308"/>
      <c r="E248" s="1308"/>
      <c r="F248" s="1308"/>
    </row>
    <row r="249" spans="1:7">
      <c r="A249" s="175"/>
      <c r="B249" s="175"/>
      <c r="C249" s="175"/>
      <c r="D249" s="2"/>
      <c r="E249" s="3"/>
      <c r="F249" s="3"/>
    </row>
    <row r="250" spans="1:7">
      <c r="C250" s="175"/>
      <c r="D250" s="1291" t="s">
        <v>210</v>
      </c>
      <c r="E250" s="1291"/>
      <c r="F250" s="1291"/>
    </row>
    <row r="251" spans="1:7" ht="15.75" customHeight="1">
      <c r="A251" s="176"/>
      <c r="B251" s="176"/>
      <c r="D251" s="1297" t="s">
        <v>1211</v>
      </c>
      <c r="E251" s="1297"/>
      <c r="F251" s="1297"/>
    </row>
    <row r="252" spans="1:7">
      <c r="E252" s="35"/>
      <c r="F252" s="35"/>
    </row>
    <row r="253" spans="1:7" ht="14.25">
      <c r="A253" s="176"/>
      <c r="B253" s="468" t="s">
        <v>308</v>
      </c>
      <c r="D253" s="1275" t="s">
        <v>1212</v>
      </c>
      <c r="E253" s="1275"/>
      <c r="F253" s="1275"/>
    </row>
    <row r="254" spans="1:7" ht="14.25">
      <c r="A254" s="176"/>
      <c r="B254" s="176"/>
      <c r="D254" s="1275"/>
      <c r="E254" s="1275"/>
      <c r="F254" s="1275"/>
    </row>
    <row r="255" spans="1:7">
      <c r="D255" s="35"/>
      <c r="E255" s="35"/>
      <c r="F255" s="35"/>
    </row>
    <row r="256" spans="1:7" ht="14.25">
      <c r="A256" s="176"/>
      <c r="B256" s="468" t="s">
        <v>308</v>
      </c>
      <c r="D256" s="1275" t="s">
        <v>1213</v>
      </c>
      <c r="E256" s="1275"/>
      <c r="F256" s="1275"/>
    </row>
    <row r="257" spans="1:7" ht="14.25">
      <c r="A257" s="176"/>
      <c r="B257" s="176"/>
      <c r="D257" s="1275"/>
      <c r="E257" s="1275"/>
      <c r="F257" s="1275"/>
    </row>
    <row r="258" spans="1:7" ht="14.25">
      <c r="A258" s="176"/>
      <c r="B258" s="176"/>
      <c r="D258" s="1275"/>
      <c r="E258" s="1275"/>
      <c r="F258" s="1275"/>
    </row>
    <row r="259" spans="1:7">
      <c r="D259" s="35"/>
      <c r="E259" s="35"/>
      <c r="F259" s="35"/>
    </row>
    <row r="260" spans="1:7" ht="14.25">
      <c r="A260" s="176"/>
      <c r="B260" s="468" t="s">
        <v>308</v>
      </c>
      <c r="D260" s="1275" t="s">
        <v>1214</v>
      </c>
      <c r="E260" s="1275"/>
      <c r="F260" s="1275"/>
    </row>
    <row r="261" spans="1:7" ht="14.25">
      <c r="A261" s="176"/>
      <c r="B261" s="176"/>
      <c r="D261" s="1275"/>
      <c r="E261" s="1275"/>
      <c r="F261" s="1275"/>
    </row>
    <row r="262" spans="1:7">
      <c r="A262" s="13"/>
      <c r="B262" s="13"/>
      <c r="E262" s="35"/>
      <c r="F262" s="35"/>
    </row>
    <row r="263" spans="1:7">
      <c r="A263" s="1290" t="s">
        <v>1078</v>
      </c>
      <c r="B263" s="1290"/>
      <c r="C263" s="1290"/>
      <c r="D263" s="1290"/>
      <c r="E263" s="1290"/>
      <c r="F263" s="1290"/>
      <c r="G263" s="1290"/>
    </row>
    <row r="264" spans="1:7">
      <c r="A264" s="13"/>
      <c r="B264" s="13"/>
      <c r="D264" s="35"/>
      <c r="E264" s="35"/>
      <c r="F264" s="35"/>
    </row>
    <row r="265" spans="1:7">
      <c r="C265" s="13"/>
      <c r="D265" s="1291" t="s">
        <v>691</v>
      </c>
      <c r="E265" s="1291"/>
      <c r="F265" s="1291"/>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295" t="s">
        <v>1217</v>
      </c>
      <c r="E270" s="1295"/>
      <c r="F270" s="1295"/>
    </row>
    <row r="271" spans="1:7" ht="14.25">
      <c r="A271" s="176"/>
      <c r="B271" s="176"/>
      <c r="D271" s="1295"/>
      <c r="E271" s="1295"/>
      <c r="F271" s="1295"/>
    </row>
    <row r="272" spans="1:7" ht="14.25">
      <c r="A272" s="176"/>
      <c r="B272" s="176"/>
      <c r="D272" s="1295"/>
      <c r="E272" s="1295"/>
      <c r="F272" s="1295"/>
    </row>
    <row r="273" spans="1:6" ht="14.25">
      <c r="A273" s="176"/>
      <c r="B273" s="176"/>
      <c r="D273" s="1295"/>
      <c r="E273" s="1295"/>
      <c r="F273" s="1295"/>
    </row>
    <row r="274" spans="1:6" ht="14.25">
      <c r="A274" s="176"/>
      <c r="B274" s="176"/>
      <c r="D274" s="1295"/>
      <c r="E274" s="1295"/>
      <c r="F274" s="1295"/>
    </row>
    <row r="275" spans="1:6" ht="14.25">
      <c r="A275" s="176"/>
      <c r="B275" s="176"/>
      <c r="D275" s="341"/>
      <c r="E275" s="342"/>
      <c r="F275" s="342"/>
    </row>
    <row r="276" spans="1:6" ht="13.15" customHeight="1">
      <c r="B276" s="468" t="s">
        <v>308</v>
      </c>
      <c r="D276" s="1295" t="s">
        <v>1218</v>
      </c>
      <c r="E276" s="1295"/>
      <c r="F276" s="1295"/>
    </row>
    <row r="277" spans="1:6">
      <c r="D277" s="1295"/>
      <c r="E277" s="1295"/>
      <c r="F277" s="1295"/>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75" t="s">
        <v>1220</v>
      </c>
      <c r="E281" s="1275"/>
      <c r="F281" s="1275"/>
    </row>
    <row r="282" spans="1:6" ht="14.25">
      <c r="A282" s="176"/>
      <c r="B282" s="176"/>
      <c r="D282" s="1275"/>
      <c r="E282" s="1275"/>
      <c r="F282" s="1275"/>
    </row>
    <row r="283" spans="1:6" ht="14.25">
      <c r="A283" s="176"/>
      <c r="B283" s="176"/>
      <c r="D283" s="1275"/>
      <c r="E283" s="1275"/>
      <c r="F283" s="1275"/>
    </row>
    <row r="284" spans="1:6" ht="14.25">
      <c r="A284" s="176"/>
      <c r="B284" s="176"/>
      <c r="D284" s="1275"/>
      <c r="E284" s="1275"/>
      <c r="F284" s="1275"/>
    </row>
    <row r="285" spans="1:6" ht="14.25">
      <c r="A285" s="176"/>
      <c r="B285" s="176"/>
      <c r="D285" s="1275"/>
      <c r="E285" s="1275"/>
      <c r="F285" s="1275"/>
    </row>
    <row r="286" spans="1:6" ht="14.25">
      <c r="A286" s="176"/>
      <c r="B286" s="176"/>
      <c r="D286" s="1275"/>
      <c r="E286" s="1275"/>
      <c r="F286" s="1275"/>
    </row>
    <row r="287" spans="1:6" ht="14.25">
      <c r="A287" s="176"/>
      <c r="B287" s="176"/>
      <c r="D287" s="1275"/>
      <c r="E287" s="1275"/>
      <c r="F287" s="1275"/>
    </row>
    <row r="288" spans="1:6" ht="14.25">
      <c r="A288" s="176"/>
      <c r="B288" s="176"/>
      <c r="D288" s="1275"/>
      <c r="E288" s="1275"/>
      <c r="F288" s="1275"/>
    </row>
    <row r="289" spans="1:6" ht="14.25">
      <c r="A289" s="176"/>
      <c r="B289" s="176"/>
      <c r="D289" s="1275"/>
      <c r="E289" s="1275"/>
      <c r="F289" s="1275"/>
    </row>
    <row r="290" spans="1:6" ht="14.25">
      <c r="A290" s="176"/>
      <c r="B290" s="176"/>
      <c r="D290" s="1275"/>
      <c r="E290" s="1275"/>
      <c r="F290" s="1275"/>
    </row>
    <row r="291" spans="1:6" ht="14.25">
      <c r="A291" s="176"/>
      <c r="B291" s="176"/>
      <c r="D291" s="1275"/>
      <c r="E291" s="1275"/>
      <c r="F291" s="1275"/>
    </row>
    <row r="292" spans="1:6" ht="14.25">
      <c r="A292" s="176"/>
      <c r="B292" s="176"/>
      <c r="D292" s="1275"/>
      <c r="E292" s="1275"/>
      <c r="F292" s="1275"/>
    </row>
    <row r="293" spans="1:6" ht="14.25">
      <c r="A293" s="176"/>
      <c r="B293" s="176"/>
      <c r="D293" s="1275"/>
      <c r="E293" s="1275"/>
      <c r="F293" s="1275"/>
    </row>
    <row r="294" spans="1:6" ht="14.25">
      <c r="A294" s="176"/>
      <c r="B294" s="176"/>
      <c r="D294" s="1275"/>
      <c r="E294" s="1275"/>
      <c r="F294" s="1275"/>
    </row>
    <row r="295" spans="1:6" ht="14.25">
      <c r="A295" s="176"/>
      <c r="B295" s="176"/>
      <c r="D295" s="1275"/>
      <c r="E295" s="1275"/>
      <c r="F295" s="1275"/>
    </row>
    <row r="296" spans="1:6">
      <c r="D296" s="35"/>
      <c r="E296" s="35"/>
      <c r="F296" s="35"/>
    </row>
    <row r="297" spans="1:6" ht="14.25">
      <c r="A297" s="176"/>
      <c r="B297" s="468" t="s">
        <v>308</v>
      </c>
      <c r="D297" s="1275" t="s">
        <v>1221</v>
      </c>
      <c r="E297" s="1275"/>
      <c r="F297" s="1275"/>
    </row>
    <row r="298" spans="1:6">
      <c r="D298" s="1275"/>
      <c r="E298" s="1275"/>
      <c r="F298" s="1275"/>
    </row>
    <row r="299" spans="1:6">
      <c r="D299" s="1275"/>
      <c r="E299" s="1275"/>
      <c r="F299" s="1275"/>
    </row>
    <row r="300" spans="1:6">
      <c r="D300" s="1275"/>
      <c r="E300" s="1275"/>
      <c r="F300" s="1275"/>
    </row>
    <row r="301" spans="1:6">
      <c r="D301" s="1275"/>
      <c r="E301" s="1275"/>
      <c r="F301" s="1275"/>
    </row>
    <row r="302" spans="1:6">
      <c r="D302" s="1275"/>
      <c r="E302" s="1275"/>
      <c r="F302" s="1275"/>
    </row>
    <row r="303" spans="1:6">
      <c r="D303" s="1275"/>
      <c r="E303" s="1275"/>
      <c r="F303" s="1275"/>
    </row>
    <row r="304" spans="1:6">
      <c r="D304" s="1275"/>
      <c r="E304" s="1275"/>
      <c r="F304" s="1275"/>
    </row>
    <row r="305" spans="1:7">
      <c r="D305" s="1275"/>
      <c r="E305" s="1275"/>
      <c r="F305" s="1275"/>
    </row>
    <row r="306" spans="1:7">
      <c r="D306" s="35"/>
      <c r="E306" s="35"/>
      <c r="F306" s="35"/>
    </row>
    <row r="307" spans="1:7" ht="14.25">
      <c r="A307" s="176"/>
      <c r="B307" s="468" t="s">
        <v>308</v>
      </c>
      <c r="D307" s="1275" t="s">
        <v>1222</v>
      </c>
      <c r="E307" s="1275"/>
      <c r="F307" s="1275"/>
    </row>
    <row r="308" spans="1:7">
      <c r="D308" s="1275"/>
      <c r="E308" s="1275"/>
      <c r="F308" s="1275"/>
      <c r="G308"/>
    </row>
    <row r="309" spans="1:7">
      <c r="D309" s="1275"/>
      <c r="E309" s="1275"/>
      <c r="F309" s="1275"/>
      <c r="G309"/>
    </row>
    <row r="310" spans="1:7">
      <c r="D310" s="1275"/>
      <c r="E310" s="1275"/>
      <c r="F310" s="1275"/>
      <c r="G310"/>
    </row>
    <row r="311" spans="1:7">
      <c r="D311" s="1275"/>
      <c r="E311" s="1275"/>
      <c r="F311" s="1275"/>
      <c r="G311"/>
    </row>
    <row r="312" spans="1:7">
      <c r="D312" s="1275"/>
      <c r="E312" s="1275"/>
      <c r="F312" s="1275"/>
      <c r="G312"/>
    </row>
    <row r="313" spans="1:7">
      <c r="D313" s="474"/>
      <c r="E313" s="474"/>
      <c r="F313" s="474"/>
      <c r="G313"/>
    </row>
    <row r="314" spans="1:7" ht="13.5" thickBot="1">
      <c r="D314" s="1298" t="s">
        <v>999</v>
      </c>
      <c r="E314" s="1298"/>
      <c r="F314" s="1298"/>
      <c r="G314"/>
    </row>
    <row r="315" spans="1:7" ht="13.5" thickTop="1">
      <c r="D315" s="1299" t="s">
        <v>1223</v>
      </c>
      <c r="E315" s="1299"/>
      <c r="F315" s="1299"/>
      <c r="G315"/>
    </row>
    <row r="316" spans="1:7">
      <c r="A316" s="218"/>
      <c r="B316" s="218"/>
      <c r="C316" s="218"/>
      <c r="D316" s="220"/>
      <c r="E316" s="220"/>
      <c r="F316" s="35"/>
      <c r="G316"/>
    </row>
    <row r="317" spans="1:7" ht="14.25">
      <c r="A317" s="176"/>
      <c r="B317" s="468" t="s">
        <v>308</v>
      </c>
      <c r="C317" s="218"/>
      <c r="D317" s="1288" t="s">
        <v>1224</v>
      </c>
      <c r="E317" s="1288"/>
      <c r="F317" s="1288"/>
      <c r="G317"/>
    </row>
    <row r="318" spans="1:7">
      <c r="A318" s="218"/>
      <c r="B318" s="218"/>
      <c r="C318" s="218"/>
      <c r="D318" s="220"/>
      <c r="E318" s="220"/>
      <c r="F318" s="35"/>
      <c r="G318"/>
    </row>
    <row r="319" spans="1:7">
      <c r="A319" s="218"/>
      <c r="B319" s="468" t="s">
        <v>308</v>
      </c>
      <c r="C319" s="218"/>
      <c r="D319" s="1284" t="s">
        <v>1225</v>
      </c>
      <c r="E319" s="1284"/>
      <c r="F319" s="1284"/>
      <c r="G319"/>
    </row>
    <row r="320" spans="1:7">
      <c r="A320" s="218"/>
      <c r="B320" s="218"/>
      <c r="C320" s="218"/>
      <c r="D320" s="1284"/>
      <c r="E320" s="1284"/>
      <c r="F320" s="1284"/>
      <c r="G320"/>
    </row>
    <row r="321" spans="1:7">
      <c r="A321" s="218"/>
      <c r="B321" s="218"/>
      <c r="C321" s="218"/>
      <c r="D321" s="1284"/>
      <c r="E321" s="1284"/>
      <c r="F321" s="1284"/>
      <c r="G321"/>
    </row>
    <row r="322" spans="1:7">
      <c r="A322" s="218"/>
      <c r="B322" s="218"/>
      <c r="C322" s="218"/>
      <c r="D322" s="1284"/>
      <c r="E322" s="1284"/>
      <c r="F322" s="1284"/>
      <c r="G322"/>
    </row>
    <row r="323" spans="1:7">
      <c r="A323" s="218"/>
      <c r="B323" s="218"/>
      <c r="C323" s="218"/>
      <c r="D323" s="1284"/>
      <c r="E323" s="1284"/>
      <c r="F323" s="1284"/>
      <c r="G323"/>
    </row>
    <row r="324" spans="1:7">
      <c r="A324" s="218"/>
      <c r="B324" s="218"/>
      <c r="C324" s="218"/>
      <c r="D324" s="1284"/>
      <c r="E324" s="1284"/>
      <c r="F324" s="1284"/>
      <c r="G324"/>
    </row>
    <row r="325" spans="1:7">
      <c r="A325" s="218"/>
      <c r="B325" s="218"/>
      <c r="C325" s="218"/>
      <c r="D325" s="1284"/>
      <c r="E325" s="1284"/>
      <c r="F325" s="1284"/>
      <c r="G325"/>
    </row>
    <row r="326" spans="1:7">
      <c r="A326" s="218"/>
      <c r="B326" s="218"/>
      <c r="C326" s="218"/>
      <c r="D326" s="1284"/>
      <c r="E326" s="1284"/>
      <c r="F326" s="1284"/>
      <c r="G326"/>
    </row>
    <row r="327" spans="1:7">
      <c r="A327" s="218"/>
      <c r="B327" s="218"/>
      <c r="C327" s="218"/>
      <c r="D327" s="1284"/>
      <c r="E327" s="1284"/>
      <c r="F327" s="1284"/>
      <c r="G327"/>
    </row>
    <row r="328" spans="1:7">
      <c r="A328" s="218"/>
      <c r="B328" s="218"/>
      <c r="C328" s="218"/>
      <c r="D328" s="1284"/>
      <c r="E328" s="1284"/>
      <c r="F328" s="1284"/>
      <c r="G328"/>
    </row>
    <row r="329" spans="1:7">
      <c r="A329" s="218"/>
      <c r="B329" s="218"/>
      <c r="C329" s="218"/>
      <c r="D329" s="1284"/>
      <c r="E329" s="1284"/>
      <c r="F329" s="1284"/>
      <c r="G329"/>
    </row>
    <row r="330" spans="1:7">
      <c r="A330" s="218"/>
      <c r="B330" s="218"/>
      <c r="C330" s="218"/>
      <c r="D330"/>
      <c r="E330" s="220"/>
      <c r="F330" s="35"/>
      <c r="G330"/>
    </row>
    <row r="331" spans="1:7" ht="14.25">
      <c r="A331" s="176"/>
      <c r="B331" s="468" t="s">
        <v>308</v>
      </c>
      <c r="C331" s="218"/>
      <c r="D331" s="1284" t="s">
        <v>1226</v>
      </c>
      <c r="E331" s="1284"/>
      <c r="F331" s="1284"/>
      <c r="G331"/>
    </row>
    <row r="332" spans="1:7">
      <c r="A332" s="218"/>
      <c r="B332" s="218"/>
      <c r="C332" s="218"/>
      <c r="D332" s="1284"/>
      <c r="E332" s="1284"/>
      <c r="F332" s="1284"/>
      <c r="G332"/>
    </row>
    <row r="333" spans="1:7">
      <c r="A333" s="218"/>
      <c r="B333" s="218"/>
      <c r="C333" s="218"/>
      <c r="D333" s="1284"/>
      <c r="E333" s="1284"/>
      <c r="F333" s="1284"/>
      <c r="G333"/>
    </row>
    <row r="334" spans="1:7">
      <c r="A334" s="218"/>
      <c r="B334" s="218"/>
      <c r="C334" s="218"/>
      <c r="D334" s="1284"/>
      <c r="E334" s="1284"/>
      <c r="F334" s="1284"/>
      <c r="G334"/>
    </row>
    <row r="335" spans="1:7">
      <c r="A335" s="218"/>
      <c r="B335" s="218"/>
      <c r="C335" s="218"/>
      <c r="D335" s="220"/>
      <c r="E335" s="220"/>
      <c r="F335" s="35"/>
      <c r="G335"/>
    </row>
    <row r="336" spans="1:7">
      <c r="A336" s="218"/>
      <c r="B336" s="218"/>
      <c r="C336" s="218"/>
      <c r="D336" s="1284" t="s">
        <v>1227</v>
      </c>
      <c r="E336" s="1284"/>
      <c r="F336" s="1284"/>
      <c r="G336"/>
    </row>
    <row r="337" spans="1:7">
      <c r="A337" s="218"/>
      <c r="B337" s="218"/>
      <c r="C337" s="218"/>
      <c r="D337" s="1284"/>
      <c r="E337" s="1284"/>
      <c r="F337" s="1284"/>
      <c r="G337"/>
    </row>
    <row r="338" spans="1:7">
      <c r="A338" s="218"/>
      <c r="B338" s="218"/>
      <c r="C338" s="218"/>
      <c r="D338" s="1284"/>
      <c r="E338" s="1284"/>
      <c r="F338" s="1284"/>
      <c r="G338"/>
    </row>
    <row r="339" spans="1:7">
      <c r="A339" s="218"/>
      <c r="B339" s="218"/>
      <c r="C339" s="218"/>
      <c r="D339" s="1284"/>
      <c r="E339" s="1284"/>
      <c r="F339" s="1284"/>
      <c r="G339"/>
    </row>
    <row r="340" spans="1:7" ht="18" customHeight="1">
      <c r="A340" s="218"/>
      <c r="B340" s="218"/>
      <c r="C340" s="218"/>
      <c r="D340" s="1284"/>
      <c r="E340" s="1284"/>
      <c r="F340" s="1284"/>
      <c r="G340"/>
    </row>
    <row r="341" spans="1:7">
      <c r="A341" s="218"/>
      <c r="B341" s="218"/>
      <c r="C341" s="218"/>
      <c r="D341" s="1284"/>
      <c r="E341" s="1284"/>
      <c r="F341" s="1284"/>
      <c r="G341"/>
    </row>
    <row r="342" spans="1:7">
      <c r="A342" s="218"/>
      <c r="B342" s="218"/>
      <c r="C342" s="218"/>
      <c r="D342" s="1284"/>
      <c r="E342" s="1284"/>
      <c r="F342" s="1284"/>
      <c r="G342"/>
    </row>
    <row r="343" spans="1:7">
      <c r="A343" s="218"/>
      <c r="B343" s="218"/>
      <c r="C343" s="218"/>
      <c r="D343" s="1284"/>
      <c r="E343" s="1284"/>
      <c r="F343" s="1284"/>
      <c r="G343"/>
    </row>
    <row r="344" spans="1:7" ht="8.25" customHeight="1">
      <c r="A344" s="218"/>
      <c r="B344" s="218"/>
      <c r="C344" s="218"/>
      <c r="D344" s="1284"/>
      <c r="E344" s="1284"/>
      <c r="F344" s="1284"/>
      <c r="G344"/>
    </row>
    <row r="345" spans="1:7" ht="13.15" customHeight="1">
      <c r="A345" s="218"/>
      <c r="B345" s="218"/>
      <c r="C345" s="218"/>
      <c r="D345" s="1284" t="s">
        <v>1228</v>
      </c>
      <c r="E345" s="1284"/>
      <c r="F345" s="1284"/>
      <c r="G345"/>
    </row>
    <row r="346" spans="1:7">
      <c r="A346" s="218"/>
      <c r="B346" s="218"/>
      <c r="C346" s="218"/>
      <c r="D346" s="1284"/>
      <c r="E346" s="1284"/>
      <c r="F346" s="1284"/>
      <c r="G346"/>
    </row>
    <row r="347" spans="1:7">
      <c r="A347" s="218"/>
      <c r="B347" s="218"/>
      <c r="C347" s="218"/>
      <c r="D347" s="1284"/>
      <c r="E347" s="1284"/>
      <c r="F347" s="1284"/>
      <c r="G347"/>
    </row>
    <row r="348" spans="1:7">
      <c r="A348" s="218"/>
      <c r="B348" s="218"/>
      <c r="C348" s="218"/>
      <c r="D348" s="1284"/>
      <c r="E348" s="1284"/>
      <c r="F348" s="1284"/>
      <c r="G348"/>
    </row>
    <row r="349" spans="1:7">
      <c r="A349" s="218"/>
      <c r="B349" s="218"/>
      <c r="C349" s="218"/>
      <c r="D349" s="1284"/>
      <c r="E349" s="1284"/>
      <c r="F349" s="1284"/>
      <c r="G349"/>
    </row>
    <row r="350" spans="1:7">
      <c r="A350" s="218"/>
      <c r="B350" s="218"/>
      <c r="C350" s="218"/>
      <c r="D350" s="1284"/>
      <c r="E350" s="1284"/>
      <c r="F350" s="1284"/>
      <c r="G350"/>
    </row>
    <row r="351" spans="1:7">
      <c r="A351" s="218"/>
      <c r="B351" s="218"/>
      <c r="C351" s="218"/>
      <c r="D351" s="1284"/>
      <c r="E351" s="1284"/>
      <c r="F351" s="1284"/>
      <c r="G351"/>
    </row>
    <row r="352" spans="1:7">
      <c r="A352" s="218"/>
      <c r="B352" s="218"/>
      <c r="C352" s="218"/>
      <c r="D352" s="1284"/>
      <c r="E352" s="1284"/>
      <c r="F352" s="1284"/>
      <c r="G352"/>
    </row>
    <row r="353" spans="1:7">
      <c r="A353" s="218"/>
      <c r="B353" s="218"/>
      <c r="C353" s="218"/>
      <c r="D353" s="1284"/>
      <c r="E353" s="1284"/>
      <c r="F353" s="1284"/>
      <c r="G353"/>
    </row>
    <row r="354" spans="1:7">
      <c r="A354" s="218"/>
      <c r="B354" s="218"/>
      <c r="C354" s="218"/>
      <c r="D354" s="1284"/>
      <c r="E354" s="1284"/>
      <c r="F354" s="1284"/>
      <c r="G354"/>
    </row>
    <row r="355" spans="1:7">
      <c r="A355" s="218"/>
      <c r="B355" s="218"/>
      <c r="C355" s="218"/>
      <c r="D355" s="1284"/>
      <c r="E355" s="1284"/>
      <c r="F355" s="1284"/>
      <c r="G355"/>
    </row>
    <row r="356" spans="1:7">
      <c r="A356" s="218"/>
      <c r="B356" s="218"/>
      <c r="C356" s="218"/>
      <c r="D356" s="1284"/>
      <c r="E356" s="1284"/>
      <c r="F356" s="1284"/>
      <c r="G356"/>
    </row>
    <row r="357" spans="1:7">
      <c r="A357" s="218"/>
      <c r="B357" s="218"/>
      <c r="C357" s="347"/>
      <c r="D357" s="1284"/>
      <c r="E357" s="1284"/>
      <c r="F357" s="1284"/>
      <c r="G357"/>
    </row>
    <row r="358" spans="1:7">
      <c r="A358" s="218"/>
      <c r="B358" s="218"/>
      <c r="C358" s="347"/>
      <c r="D358" s="1284"/>
      <c r="E358" s="1284"/>
      <c r="F358" s="1284"/>
      <c r="G358"/>
    </row>
    <row r="359" spans="1:7">
      <c r="A359" s="218"/>
      <c r="B359" s="218"/>
      <c r="C359" s="218"/>
      <c r="D359" s="1284"/>
      <c r="E359" s="1284"/>
      <c r="F359" s="1284"/>
      <c r="G359"/>
    </row>
    <row r="360" spans="1:7">
      <c r="A360" s="218"/>
      <c r="B360" s="218"/>
      <c r="C360" s="347"/>
      <c r="D360" s="1284"/>
      <c r="E360" s="1284"/>
      <c r="F360" s="1284"/>
      <c r="G360"/>
    </row>
    <row r="361" spans="1:7">
      <c r="A361" s="218"/>
      <c r="B361" s="218"/>
      <c r="C361" s="347"/>
      <c r="D361" s="1284"/>
      <c r="E361" s="1284"/>
      <c r="F361" s="1284"/>
      <c r="G361"/>
    </row>
    <row r="362" spans="1:7">
      <c r="A362" s="218"/>
      <c r="B362" s="218"/>
      <c r="C362" s="347"/>
      <c r="D362" s="1284"/>
      <c r="E362" s="1284"/>
      <c r="F362" s="1284"/>
      <c r="G362"/>
    </row>
    <row r="363" spans="1:7">
      <c r="A363" s="218"/>
      <c r="B363" s="218"/>
      <c r="C363" s="218"/>
      <c r="D363" s="220"/>
      <c r="E363" s="220"/>
      <c r="F363" s="35"/>
      <c r="G363"/>
    </row>
    <row r="364" spans="1:7">
      <c r="A364" s="218"/>
      <c r="B364" s="468" t="s">
        <v>308</v>
      </c>
      <c r="C364" s="218"/>
      <c r="D364" s="1284" t="s">
        <v>1229</v>
      </c>
      <c r="E364" s="1284"/>
      <c r="F364" s="1284"/>
      <c r="G364"/>
    </row>
    <row r="365" spans="1:7">
      <c r="A365" s="218"/>
      <c r="B365" s="218"/>
      <c r="C365" s="218"/>
      <c r="D365" s="1284"/>
      <c r="E365" s="1284"/>
      <c r="F365" s="1284"/>
      <c r="G365"/>
    </row>
    <row r="366" spans="1:7">
      <c r="A366" s="218"/>
      <c r="B366" s="218"/>
      <c r="C366" s="218"/>
      <c r="D366" s="220"/>
      <c r="E366" s="220"/>
      <c r="F366" s="35"/>
      <c r="G366"/>
    </row>
    <row r="367" spans="1:7" ht="14.25">
      <c r="A367" s="176"/>
      <c r="B367" s="468" t="s">
        <v>308</v>
      </c>
      <c r="C367" s="218"/>
      <c r="D367" s="1284" t="s">
        <v>1230</v>
      </c>
      <c r="E367" s="1284"/>
      <c r="F367" s="1284"/>
      <c r="G367"/>
    </row>
    <row r="368" spans="1:7" ht="14.25">
      <c r="A368" s="346"/>
      <c r="B368" s="346"/>
      <c r="C368" s="218"/>
      <c r="D368" s="1284"/>
      <c r="E368" s="1284"/>
      <c r="F368" s="1284"/>
      <c r="G368"/>
    </row>
    <row r="369" spans="1:7" ht="14.25">
      <c r="A369" s="346"/>
      <c r="B369" s="346"/>
      <c r="C369" s="218"/>
      <c r="D369" s="1284"/>
      <c r="E369" s="1284"/>
      <c r="F369" s="1284"/>
      <c r="G369"/>
    </row>
    <row r="370" spans="1:7" ht="14.25">
      <c r="A370" s="346"/>
      <c r="B370" s="346"/>
      <c r="C370" s="218"/>
      <c r="D370" s="1284"/>
      <c r="E370" s="1284"/>
      <c r="F370" s="1284"/>
      <c r="G370"/>
    </row>
    <row r="371" spans="1:7" ht="14.25">
      <c r="A371" s="346"/>
      <c r="B371" s="346"/>
      <c r="C371" s="218"/>
      <c r="D371" s="1284"/>
      <c r="E371" s="1284"/>
      <c r="F371" s="1284"/>
      <c r="G371"/>
    </row>
    <row r="372" spans="1:7">
      <c r="D372" s="35"/>
      <c r="E372" s="35"/>
      <c r="F372" s="35"/>
      <c r="G372"/>
    </row>
    <row r="373" spans="1:7" ht="14.25">
      <c r="A373" s="176"/>
      <c r="B373" s="468" t="s">
        <v>308</v>
      </c>
      <c r="C373" s="179"/>
      <c r="D373" s="1275" t="s">
        <v>1231</v>
      </c>
      <c r="E373" s="1275"/>
      <c r="F373" s="1275"/>
      <c r="G373"/>
    </row>
    <row r="374" spans="1:7" ht="14.25">
      <c r="A374" s="176"/>
      <c r="B374" s="176"/>
      <c r="D374" s="1275"/>
      <c r="E374" s="1275"/>
      <c r="F374" s="1275"/>
      <c r="G374"/>
    </row>
    <row r="375" spans="1:7">
      <c r="D375" s="1275"/>
      <c r="E375" s="1275"/>
      <c r="F375" s="1275"/>
      <c r="G375"/>
    </row>
    <row r="376" spans="1:7">
      <c r="D376" s="1275"/>
      <c r="E376" s="1275"/>
      <c r="F376" s="1275"/>
      <c r="G376"/>
    </row>
    <row r="377" spans="1:7">
      <c r="D377" s="1275"/>
      <c r="E377" s="1275"/>
      <c r="F377" s="1275"/>
      <c r="G377"/>
    </row>
    <row r="378" spans="1:7">
      <c r="D378" s="1275"/>
      <c r="E378" s="1275"/>
      <c r="F378" s="1275"/>
      <c r="G378"/>
    </row>
    <row r="379" spans="1:7">
      <c r="D379" s="1275"/>
      <c r="E379" s="1275"/>
      <c r="F379" s="1275"/>
      <c r="G379"/>
    </row>
    <row r="380" spans="1:7">
      <c r="D380" s="1275"/>
      <c r="E380" s="1275"/>
      <c r="F380" s="1275"/>
      <c r="G380"/>
    </row>
    <row r="381" spans="1:7">
      <c r="D381" s="1275"/>
      <c r="E381" s="1275"/>
      <c r="F381" s="1275"/>
      <c r="G381"/>
    </row>
    <row r="382" spans="1:7">
      <c r="D382" s="1275"/>
      <c r="E382" s="1275"/>
      <c r="F382" s="1275"/>
      <c r="G382"/>
    </row>
    <row r="383" spans="1:7">
      <c r="D383" s="1275"/>
      <c r="E383" s="1275"/>
      <c r="F383" s="1275"/>
      <c r="G383"/>
    </row>
    <row r="384" spans="1:7">
      <c r="D384" s="1275"/>
      <c r="E384" s="1275"/>
      <c r="F384" s="1275"/>
      <c r="G384"/>
    </row>
    <row r="385" spans="1:7">
      <c r="D385" s="1275"/>
      <c r="E385" s="1275"/>
      <c r="F385" s="1275"/>
      <c r="G385"/>
    </row>
    <row r="386" spans="1:7">
      <c r="A386"/>
      <c r="B386"/>
      <c r="C386"/>
      <c r="D386" s="1275"/>
      <c r="E386" s="1275"/>
      <c r="F386" s="1275"/>
      <c r="G386"/>
    </row>
    <row r="387" spans="1:7">
      <c r="A387"/>
      <c r="B387"/>
      <c r="C387"/>
      <c r="D387" s="1275"/>
      <c r="E387" s="1275"/>
      <c r="F387" s="1275"/>
      <c r="G387"/>
    </row>
    <row r="388" spans="1:7">
      <c r="A388"/>
      <c r="B388"/>
      <c r="C388"/>
      <c r="D388" s="1275"/>
      <c r="E388" s="1275"/>
      <c r="F388" s="1275"/>
      <c r="G388"/>
    </row>
    <row r="389" spans="1:7">
      <c r="A389"/>
      <c r="B389"/>
      <c r="C389"/>
      <c r="D389" s="1275"/>
      <c r="E389" s="1275"/>
      <c r="F389" s="1275"/>
      <c r="G389"/>
    </row>
    <row r="390" spans="1:7">
      <c r="A390"/>
      <c r="B390"/>
      <c r="C390"/>
      <c r="D390" s="1275"/>
      <c r="E390" s="1275"/>
      <c r="F390" s="1275"/>
      <c r="G390"/>
    </row>
    <row r="391" spans="1:7">
      <c r="A391"/>
      <c r="B391"/>
      <c r="C391"/>
      <c r="D391" s="1275"/>
      <c r="E391" s="1275"/>
      <c r="F391" s="1275"/>
      <c r="G391"/>
    </row>
    <row r="392" spans="1:7">
      <c r="A392"/>
      <c r="B392"/>
      <c r="C392"/>
      <c r="D392" s="1275"/>
      <c r="E392" s="1275"/>
      <c r="F392" s="1275"/>
      <c r="G392"/>
    </row>
    <row r="393" spans="1:7">
      <c r="A393"/>
      <c r="B393"/>
      <c r="C393"/>
      <c r="D393" s="1275"/>
      <c r="E393" s="1275"/>
      <c r="F393" s="1275"/>
      <c r="G393"/>
    </row>
    <row r="394" spans="1:7">
      <c r="A394"/>
      <c r="B394"/>
      <c r="C394"/>
      <c r="D394" s="1275"/>
      <c r="E394" s="1275"/>
      <c r="F394" s="1275"/>
      <c r="G394"/>
    </row>
    <row r="395" spans="1:7">
      <c r="A395"/>
      <c r="B395"/>
      <c r="C395"/>
      <c r="D395" s="1275"/>
      <c r="E395" s="1275"/>
      <c r="F395" s="1275"/>
      <c r="G395"/>
    </row>
    <row r="396" spans="1:7">
      <c r="A396"/>
      <c r="B396"/>
      <c r="C396"/>
      <c r="D396" s="1275"/>
      <c r="E396" s="1275"/>
      <c r="F396" s="1275"/>
      <c r="G396"/>
    </row>
    <row r="397" spans="1:7">
      <c r="A397"/>
      <c r="B397"/>
      <c r="C397"/>
      <c r="D397" s="1275"/>
      <c r="E397" s="1275"/>
      <c r="F397" s="1275"/>
      <c r="G397"/>
    </row>
    <row r="398" spans="1:7">
      <c r="A398"/>
      <c r="B398"/>
      <c r="C398"/>
      <c r="D398" s="1275"/>
      <c r="E398" s="1275"/>
      <c r="F398" s="1275"/>
      <c r="G398"/>
    </row>
    <row r="399" spans="1:7">
      <c r="A399"/>
      <c r="B399"/>
      <c r="C399"/>
      <c r="D399" s="1275"/>
      <c r="E399" s="1275"/>
      <c r="F399" s="1275"/>
      <c r="G399"/>
    </row>
    <row r="400" spans="1:7">
      <c r="A400"/>
      <c r="B400"/>
      <c r="C400"/>
      <c r="D400" s="1275"/>
      <c r="E400" s="1275"/>
      <c r="F400" s="1275"/>
      <c r="G400"/>
    </row>
    <row r="401" spans="1:7">
      <c r="A401"/>
      <c r="B401"/>
      <c r="C401"/>
      <c r="D401" s="1275"/>
      <c r="E401" s="1275"/>
      <c r="F401" s="1275"/>
      <c r="G401"/>
    </row>
    <row r="402" spans="1:7">
      <c r="D402" s="1275"/>
      <c r="E402" s="1275"/>
      <c r="F402" s="1275"/>
    </row>
    <row r="403" spans="1:7" ht="40.700000000000003" customHeight="1">
      <c r="D403" s="1275"/>
      <c r="E403" s="1275"/>
      <c r="F403" s="1275"/>
    </row>
    <row r="404" spans="1:7">
      <c r="D404" s="35"/>
      <c r="E404" s="35"/>
      <c r="F404" s="35"/>
    </row>
    <row r="405" spans="1:7" ht="14.25">
      <c r="A405" s="176"/>
      <c r="B405" s="468" t="s">
        <v>308</v>
      </c>
      <c r="C405" s="179"/>
      <c r="D405" s="1286" t="s">
        <v>1232</v>
      </c>
      <c r="E405" s="1286"/>
      <c r="F405" s="1286"/>
    </row>
    <row r="406" spans="1:7">
      <c r="D406" s="1296" t="s">
        <v>1007</v>
      </c>
      <c r="E406" s="1296"/>
      <c r="F406" s="1296"/>
    </row>
    <row r="407" spans="1:7">
      <c r="D407" s="1275" t="s">
        <v>1233</v>
      </c>
      <c r="E407" s="1275"/>
      <c r="F407" s="1275"/>
    </row>
    <row r="408" spans="1:7">
      <c r="D408" s="1275"/>
      <c r="E408" s="1275"/>
      <c r="F408" s="1275"/>
    </row>
    <row r="409" spans="1:7">
      <c r="D409" s="1275"/>
      <c r="E409" s="1275"/>
      <c r="F409" s="1275"/>
    </row>
    <row r="410" spans="1:7">
      <c r="D410" s="1275"/>
      <c r="E410" s="1275"/>
      <c r="F410" s="1275"/>
    </row>
    <row r="411" spans="1:7">
      <c r="D411" s="35"/>
      <c r="E411" s="35"/>
      <c r="F411" s="35"/>
      <c r="G411"/>
    </row>
    <row r="412" spans="1:7" ht="14.25">
      <c r="A412" s="176"/>
      <c r="B412" s="468" t="s">
        <v>308</v>
      </c>
      <c r="C412" s="179"/>
      <c r="D412" s="1275" t="s">
        <v>1234</v>
      </c>
      <c r="E412" s="1275"/>
      <c r="F412" s="1275"/>
      <c r="G412"/>
    </row>
    <row r="413" spans="1:7">
      <c r="D413" s="1275"/>
      <c r="E413" s="1275"/>
      <c r="F413" s="1275"/>
      <c r="G413"/>
    </row>
    <row r="414" spans="1:7">
      <c r="D414" s="1275"/>
      <c r="E414" s="1275"/>
      <c r="F414" s="1275"/>
      <c r="G414"/>
    </row>
    <row r="415" spans="1:7">
      <c r="D415" s="474"/>
      <c r="E415" s="474"/>
      <c r="F415" s="474"/>
      <c r="G415"/>
    </row>
    <row r="416" spans="1:7" ht="14.25">
      <c r="B416" s="468" t="s">
        <v>308</v>
      </c>
      <c r="C416" s="176"/>
      <c r="D416" s="1275" t="s">
        <v>1235</v>
      </c>
      <c r="E416" s="1275"/>
      <c r="F416" s="1275"/>
      <c r="G416"/>
    </row>
    <row r="417" spans="1:7">
      <c r="D417" s="1275"/>
      <c r="E417" s="1275"/>
      <c r="F417" s="1275"/>
      <c r="G417"/>
    </row>
    <row r="418" spans="1:7">
      <c r="D418" s="35"/>
      <c r="E418" s="35"/>
      <c r="F418" s="35"/>
      <c r="G418"/>
    </row>
    <row r="419" spans="1:7" ht="14.25">
      <c r="B419" s="468" t="s">
        <v>308</v>
      </c>
      <c r="C419" s="176"/>
      <c r="D419" s="1275" t="s">
        <v>1236</v>
      </c>
      <c r="E419" s="1275"/>
      <c r="F419" s="1275"/>
      <c r="G419"/>
    </row>
    <row r="420" spans="1:7">
      <c r="D420" s="1275"/>
      <c r="E420" s="1275"/>
      <c r="F420" s="1275"/>
      <c r="G420"/>
    </row>
    <row r="421" spans="1:7">
      <c r="D421" s="1275"/>
      <c r="E421" s="1275"/>
      <c r="F421" s="1275"/>
      <c r="G421"/>
    </row>
    <row r="422" spans="1:7">
      <c r="D422" s="1275"/>
      <c r="E422" s="1275"/>
      <c r="F422" s="1275"/>
      <c r="G422"/>
    </row>
    <row r="423" spans="1:7">
      <c r="B423" s="468" t="s">
        <v>308</v>
      </c>
      <c r="D423" s="1275"/>
      <c r="E423" s="1275"/>
      <c r="F423" s="1275"/>
      <c r="G423"/>
    </row>
    <row r="424" spans="1:7">
      <c r="A424"/>
      <c r="B424"/>
      <c r="C424"/>
      <c r="D424" s="1275"/>
      <c r="E424" s="1275"/>
      <c r="F424" s="1275"/>
      <c r="G424"/>
    </row>
    <row r="425" spans="1:7">
      <c r="A425"/>
      <c r="C425"/>
      <c r="D425" s="1275"/>
      <c r="E425" s="1275"/>
      <c r="F425" s="1275"/>
      <c r="G425"/>
    </row>
    <row r="426" spans="1:7">
      <c r="A426"/>
      <c r="B426" s="468" t="s">
        <v>308</v>
      </c>
      <c r="C426"/>
      <c r="D426" s="1275"/>
      <c r="E426" s="1275"/>
      <c r="F426" s="1275"/>
      <c r="G426"/>
    </row>
    <row r="427" spans="1:7">
      <c r="A427"/>
      <c r="B427"/>
      <c r="C427"/>
      <c r="D427" s="1275"/>
      <c r="E427" s="1275"/>
      <c r="F427" s="1275"/>
      <c r="G427"/>
    </row>
    <row r="428" spans="1:7">
      <c r="A428"/>
      <c r="C428"/>
      <c r="D428" s="1275"/>
      <c r="E428" s="1275"/>
      <c r="F428" s="1275"/>
      <c r="G428"/>
    </row>
    <row r="429" spans="1:7">
      <c r="A429"/>
      <c r="C429"/>
      <c r="D429" s="1275"/>
      <c r="E429" s="1275"/>
      <c r="F429" s="1275"/>
      <c r="G429"/>
    </row>
    <row r="430" spans="1:7">
      <c r="A430"/>
      <c r="B430" s="468" t="s">
        <v>308</v>
      </c>
      <c r="C430"/>
      <c r="D430" s="1275"/>
      <c r="E430" s="1275"/>
      <c r="F430" s="1275"/>
      <c r="G430"/>
    </row>
    <row r="431" spans="1:7">
      <c r="A431"/>
      <c r="B431"/>
      <c r="C431"/>
      <c r="D431" s="1275"/>
      <c r="E431" s="1275"/>
      <c r="F431" s="1275"/>
      <c r="G431"/>
    </row>
    <row r="432" spans="1:7">
      <c r="A432"/>
      <c r="B432" s="468" t="s">
        <v>308</v>
      </c>
      <c r="C432"/>
      <c r="D432" s="1275"/>
      <c r="E432" s="1275"/>
      <c r="F432" s="1275"/>
      <c r="G432"/>
    </row>
    <row r="433" spans="1:7">
      <c r="A433"/>
      <c r="B433"/>
      <c r="C433"/>
      <c r="D433" s="474"/>
      <c r="E433" s="474"/>
      <c r="F433" s="474"/>
      <c r="G433"/>
    </row>
    <row r="434" spans="1:7">
      <c r="A434"/>
      <c r="B434" s="468" t="s">
        <v>308</v>
      </c>
      <c r="C434"/>
      <c r="D434" s="1275" t="s">
        <v>1237</v>
      </c>
      <c r="E434" s="1275"/>
      <c r="F434" s="1275"/>
      <c r="G434"/>
    </row>
    <row r="435" spans="1:7">
      <c r="A435"/>
      <c r="B435"/>
      <c r="C435"/>
      <c r="D435" s="1275"/>
      <c r="E435" s="1275"/>
      <c r="F435" s="1275"/>
      <c r="G435"/>
    </row>
    <row r="436" spans="1:7">
      <c r="A436"/>
      <c r="B436"/>
      <c r="C436"/>
      <c r="D436" s="1275"/>
      <c r="E436" s="1275"/>
      <c r="F436" s="1275"/>
      <c r="G436"/>
    </row>
    <row r="437" spans="1:7">
      <c r="A437"/>
      <c r="B437"/>
      <c r="C437"/>
      <c r="D437" s="1275"/>
      <c r="E437" s="1275"/>
      <c r="F437" s="1275"/>
      <c r="G437"/>
    </row>
    <row r="438" spans="1:7">
      <c r="D438" s="1275"/>
      <c r="E438" s="1275"/>
      <c r="F438" s="1275"/>
    </row>
    <row r="439" spans="1:7">
      <c r="D439" s="35"/>
      <c r="E439" s="35"/>
      <c r="F439" s="35"/>
    </row>
    <row r="440" spans="1:7">
      <c r="B440" s="468" t="s">
        <v>308</v>
      </c>
      <c r="D440" s="1286" t="s">
        <v>1238</v>
      </c>
      <c r="E440" s="1286"/>
      <c r="F440" s="1286"/>
    </row>
    <row r="441" spans="1:7">
      <c r="A441" s="35"/>
      <c r="B441" s="35"/>
    </row>
    <row r="442" spans="1:7">
      <c r="A442" s="1290" t="s">
        <v>1079</v>
      </c>
      <c r="B442" s="1290"/>
      <c r="C442" s="1290"/>
      <c r="D442" s="1290"/>
      <c r="E442" s="1290"/>
      <c r="F442" s="1290"/>
      <c r="G442" s="1290"/>
    </row>
    <row r="443" spans="1:7">
      <c r="A443" s="35"/>
      <c r="B443" s="35"/>
    </row>
    <row r="444" spans="1:7">
      <c r="D444" s="1287" t="s">
        <v>896</v>
      </c>
      <c r="E444" s="1287"/>
      <c r="F444" s="1287"/>
    </row>
    <row r="445" spans="1:7" ht="14.25">
      <c r="A445" s="176"/>
      <c r="B445" s="176"/>
      <c r="D445" s="1288" t="s">
        <v>1239</v>
      </c>
      <c r="E445" s="1288"/>
      <c r="F445" s="1288"/>
    </row>
    <row r="446" spans="1:7" ht="14.25">
      <c r="A446" s="176"/>
      <c r="B446" s="176"/>
      <c r="D446" s="481"/>
      <c r="E446" s="3"/>
      <c r="F446" s="3"/>
    </row>
    <row r="447" spans="1:7" ht="14.25">
      <c r="A447" s="176"/>
      <c r="B447" s="468" t="s">
        <v>308</v>
      </c>
      <c r="D447" s="1284" t="s">
        <v>1240</v>
      </c>
      <c r="E447" s="1284"/>
      <c r="F447" s="1284"/>
    </row>
    <row r="448" spans="1:7" ht="14.25">
      <c r="A448" s="176"/>
      <c r="B448" s="176"/>
      <c r="D448" s="1284"/>
      <c r="E448" s="1284"/>
      <c r="F448" s="1284"/>
    </row>
    <row r="449" spans="1:7" ht="14.25">
      <c r="A449" s="176"/>
      <c r="B449" s="176"/>
      <c r="D449" s="118"/>
      <c r="E449" s="3"/>
      <c r="F449" s="3"/>
    </row>
    <row r="450" spans="1:7">
      <c r="B450" s="468" t="s">
        <v>308</v>
      </c>
      <c r="D450" s="1289" t="s">
        <v>1241</v>
      </c>
      <c r="E450" s="1289"/>
      <c r="F450" s="1289"/>
    </row>
    <row r="451" spans="1:7" ht="14.25">
      <c r="A451" s="176"/>
      <c r="D451" s="1289"/>
      <c r="E451" s="1289"/>
      <c r="F451" s="1289"/>
    </row>
    <row r="452" spans="1:7" ht="14.25">
      <c r="A452" s="176"/>
      <c r="B452" s="176"/>
      <c r="D452" s="1289"/>
      <c r="E452" s="1289"/>
      <c r="F452" s="1289"/>
    </row>
    <row r="453" spans="1:7" ht="14.25">
      <c r="A453" s="176"/>
      <c r="B453" s="176"/>
      <c r="D453" s="1289"/>
      <c r="E453" s="1289"/>
      <c r="F453" s="1289"/>
    </row>
    <row r="454" spans="1:7">
      <c r="D454" s="3"/>
      <c r="E454" s="3"/>
      <c r="F454" s="3"/>
      <c r="G454"/>
    </row>
    <row r="455" spans="1:7" ht="14.25">
      <c r="A455" s="176"/>
      <c r="B455" s="468" t="s">
        <v>308</v>
      </c>
      <c r="D455" s="1275" t="s">
        <v>1242</v>
      </c>
      <c r="E455" s="1275"/>
      <c r="F455" s="1275"/>
      <c r="G455"/>
    </row>
    <row r="456" spans="1:7" ht="14.25">
      <c r="A456" s="176"/>
      <c r="B456" s="176"/>
      <c r="D456" s="1275"/>
      <c r="E456" s="1275"/>
      <c r="F456" s="1275"/>
      <c r="G456"/>
    </row>
    <row r="457" spans="1:7" ht="14.25">
      <c r="A457" s="176"/>
      <c r="D457" s="1275"/>
      <c r="E457" s="1275"/>
      <c r="F457" s="1275"/>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75" t="s">
        <v>1244</v>
      </c>
      <c r="E461" s="1275"/>
      <c r="F461" s="1275"/>
      <c r="G461"/>
    </row>
    <row r="462" spans="1:7" ht="14.25">
      <c r="A462" s="176"/>
      <c r="D462" s="1275"/>
      <c r="E462" s="1275"/>
      <c r="F462" s="1275"/>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90" t="s">
        <v>1080</v>
      </c>
      <c r="B466" s="1290"/>
      <c r="C466" s="1290"/>
      <c r="D466" s="1290"/>
      <c r="E466" s="1290"/>
      <c r="F466" s="1290"/>
      <c r="G466" s="1290"/>
    </row>
    <row r="467" spans="1:7" ht="12" customHeight="1">
      <c r="A467" s="176"/>
      <c r="B467" s="176"/>
      <c r="D467" s="35"/>
    </row>
    <row r="468" spans="1:7">
      <c r="C468" s="172"/>
      <c r="D468" s="1291" t="s">
        <v>803</v>
      </c>
      <c r="E468" s="1291"/>
      <c r="F468" s="1291"/>
    </row>
    <row r="469" spans="1:7" ht="13.15" customHeight="1">
      <c r="A469" s="175"/>
      <c r="B469" s="175"/>
      <c r="C469" s="175"/>
      <c r="D469" s="1292" t="s">
        <v>1123</v>
      </c>
      <c r="E469" s="1292"/>
      <c r="F469" s="1292"/>
    </row>
    <row r="470" spans="1:7">
      <c r="A470" s="175"/>
      <c r="B470" s="175"/>
      <c r="C470" s="175"/>
      <c r="D470" s="1292"/>
      <c r="E470" s="1292"/>
      <c r="F470" s="1292"/>
    </row>
    <row r="471" spans="1:7">
      <c r="A471" s="175"/>
      <c r="B471" s="175"/>
      <c r="C471" s="175"/>
      <c r="D471" s="1292"/>
      <c r="E471" s="1292"/>
      <c r="F471" s="1292"/>
    </row>
    <row r="472" spans="1:7">
      <c r="A472" s="175"/>
      <c r="B472" s="175"/>
      <c r="C472" s="175"/>
      <c r="D472" s="1292"/>
      <c r="E472" s="1292"/>
      <c r="F472" s="1292"/>
    </row>
    <row r="473" spans="1:7">
      <c r="A473" s="175"/>
      <c r="B473" s="175"/>
      <c r="C473" s="175"/>
      <c r="D473" s="1292"/>
      <c r="E473" s="1292"/>
      <c r="F473" s="1292"/>
    </row>
    <row r="474" spans="1:7">
      <c r="A474" s="175"/>
      <c r="B474" s="175"/>
      <c r="C474" s="175"/>
      <c r="D474" s="326"/>
      <c r="F474" s="35"/>
    </row>
    <row r="475" spans="1:7" ht="14.45" customHeight="1">
      <c r="A475" s="176"/>
      <c r="B475" s="468" t="s">
        <v>308</v>
      </c>
      <c r="C475" s="175"/>
      <c r="D475" s="1306" t="s">
        <v>1114</v>
      </c>
      <c r="E475" s="1306"/>
      <c r="F475" s="1306"/>
    </row>
    <row r="476" spans="1:7">
      <c r="A476" s="175"/>
      <c r="B476" s="175"/>
      <c r="C476" s="175"/>
      <c r="D476" s="1306"/>
      <c r="E476" s="1306"/>
      <c r="F476" s="1306"/>
    </row>
    <row r="477" spans="1:7">
      <c r="A477" s="175"/>
      <c r="B477" s="175"/>
      <c r="C477" s="175"/>
      <c r="D477" s="1306"/>
      <c r="E477" s="1306"/>
      <c r="F477" s="1306"/>
    </row>
    <row r="478" spans="1:7">
      <c r="A478" s="175"/>
      <c r="B478" s="175"/>
      <c r="C478" s="175"/>
      <c r="D478" s="1306"/>
      <c r="E478" s="1306"/>
      <c r="F478" s="1306"/>
    </row>
    <row r="479" spans="1:7">
      <c r="A479" s="175"/>
      <c r="B479" s="175"/>
      <c r="C479" s="175"/>
      <c r="D479" s="1306"/>
      <c r="E479" s="1306"/>
      <c r="F479" s="1306"/>
    </row>
    <row r="480" spans="1:7">
      <c r="A480" s="175"/>
      <c r="B480" s="175"/>
      <c r="C480" s="175"/>
      <c r="D480" s="220"/>
      <c r="F480" s="35"/>
    </row>
    <row r="481" spans="1:6" ht="14.45" customHeight="1">
      <c r="A481" s="176"/>
      <c r="B481" s="468" t="s">
        <v>308</v>
      </c>
      <c r="C481" s="175"/>
      <c r="D481" s="1306" t="s">
        <v>1117</v>
      </c>
      <c r="E481" s="1306"/>
      <c r="F481" s="1306"/>
    </row>
    <row r="482" spans="1:6">
      <c r="A482" s="175"/>
      <c r="B482" s="175"/>
      <c r="C482" s="175"/>
      <c r="D482" s="1306"/>
      <c r="E482" s="1306"/>
      <c r="F482" s="1306"/>
    </row>
    <row r="483" spans="1:6">
      <c r="A483" s="175"/>
      <c r="B483" s="175"/>
      <c r="C483" s="175"/>
      <c r="D483" s="1306"/>
      <c r="E483" s="1306"/>
      <c r="F483" s="1306"/>
    </row>
    <row r="484" spans="1:6">
      <c r="A484" s="175"/>
      <c r="B484" s="175"/>
      <c r="C484" s="175"/>
      <c r="D484" s="1306"/>
      <c r="E484" s="1306"/>
      <c r="F484" s="1306"/>
    </row>
    <row r="485" spans="1:6" ht="9.9499999999999993" customHeight="1">
      <c r="A485" s="175"/>
      <c r="B485" s="175"/>
      <c r="C485" s="175"/>
      <c r="D485" s="220"/>
      <c r="F485" s="35"/>
    </row>
    <row r="486" spans="1:6" ht="14.45" customHeight="1">
      <c r="A486" s="176"/>
      <c r="B486" s="468" t="s">
        <v>308</v>
      </c>
      <c r="C486" s="175"/>
      <c r="D486" s="1306" t="s">
        <v>1115</v>
      </c>
      <c r="E486" s="1306"/>
      <c r="F486" s="1306"/>
    </row>
    <row r="487" spans="1:6">
      <c r="A487" s="175"/>
      <c r="B487" s="175"/>
      <c r="C487" s="175"/>
      <c r="D487" s="1306"/>
      <c r="E487" s="1306"/>
      <c r="F487" s="1306"/>
    </row>
    <row r="488" spans="1:6">
      <c r="A488" s="175"/>
      <c r="B488" s="175"/>
      <c r="C488" s="175"/>
      <c r="D488" s="1306"/>
      <c r="E488" s="1306"/>
      <c r="F488" s="1306"/>
    </row>
    <row r="489" spans="1:6">
      <c r="A489" s="175"/>
      <c r="B489" s="175"/>
      <c r="C489" s="175"/>
      <c r="D489" s="475"/>
      <c r="E489" s="475"/>
      <c r="F489" s="475"/>
    </row>
    <row r="490" spans="1:6" ht="14.45" customHeight="1">
      <c r="A490" s="176"/>
      <c r="B490" s="468" t="s">
        <v>308</v>
      </c>
      <c r="C490" s="175"/>
      <c r="D490" s="1306" t="s">
        <v>1116</v>
      </c>
      <c r="E490" s="1306"/>
      <c r="F490" s="1306"/>
    </row>
    <row r="491" spans="1:6">
      <c r="A491" s="175"/>
      <c r="B491" s="175"/>
      <c r="C491" s="175"/>
      <c r="D491" s="1306"/>
      <c r="E491" s="1306"/>
      <c r="F491" s="1306"/>
    </row>
    <row r="492" spans="1:6">
      <c r="A492" s="175"/>
      <c r="B492" s="175"/>
      <c r="C492" s="175"/>
      <c r="D492" s="1306"/>
      <c r="E492" s="1306"/>
      <c r="F492" s="1306"/>
    </row>
    <row r="493" spans="1:6">
      <c r="A493" s="175"/>
      <c r="B493" s="175"/>
      <c r="C493" s="175"/>
      <c r="D493" s="1306"/>
      <c r="E493" s="1306"/>
      <c r="F493" s="1306"/>
    </row>
    <row r="494" spans="1:6">
      <c r="A494" s="175"/>
      <c r="B494" s="175"/>
      <c r="C494" s="175"/>
      <c r="D494" s="1306"/>
      <c r="E494" s="1306"/>
      <c r="F494" s="1306"/>
    </row>
    <row r="495" spans="1:6">
      <c r="A495" s="175"/>
      <c r="B495" s="175"/>
      <c r="C495" s="175"/>
      <c r="D495" s="1306"/>
      <c r="E495" s="1306"/>
      <c r="F495" s="1306"/>
    </row>
    <row r="496" spans="1:6">
      <c r="A496" s="175"/>
      <c r="B496" s="175"/>
      <c r="C496" s="175"/>
      <c r="D496" s="1306"/>
      <c r="E496" s="1306"/>
      <c r="F496" s="1306"/>
    </row>
    <row r="497" spans="1:7">
      <c r="A497" s="175"/>
      <c r="B497" s="175"/>
      <c r="C497" s="175"/>
      <c r="D497" s="1306"/>
      <c r="E497" s="1306"/>
      <c r="F497" s="1306"/>
    </row>
    <row r="498" spans="1:7">
      <c r="A498" s="175"/>
      <c r="B498" s="175"/>
      <c r="C498" s="175"/>
      <c r="D498" s="1306"/>
      <c r="E498" s="1306"/>
      <c r="F498" s="1306"/>
    </row>
    <row r="499" spans="1:7">
      <c r="A499" s="175"/>
      <c r="B499" s="175"/>
      <c r="C499" s="175"/>
      <c r="D499" s="220"/>
      <c r="F499" s="35"/>
    </row>
    <row r="500" spans="1:7" ht="13.15" customHeight="1">
      <c r="A500" s="175"/>
      <c r="B500" s="468" t="s">
        <v>308</v>
      </c>
      <c r="C500" s="175"/>
      <c r="D500" s="1284" t="s">
        <v>1260</v>
      </c>
      <c r="E500" s="1284"/>
      <c r="F500" s="1284"/>
    </row>
    <row r="501" spans="1:7">
      <c r="A501" s="175"/>
      <c r="B501" s="175"/>
      <c r="C501" s="175"/>
      <c r="D501" s="1284"/>
      <c r="E501" s="1284"/>
      <c r="F501" s="1284"/>
    </row>
    <row r="502" spans="1:7">
      <c r="A502" s="175"/>
      <c r="B502" s="175"/>
      <c r="C502" s="175"/>
      <c r="D502" s="1284"/>
      <c r="E502" s="1284"/>
      <c r="F502" s="1284"/>
    </row>
    <row r="503" spans="1:7">
      <c r="A503" s="175"/>
      <c r="B503" s="175"/>
      <c r="C503" s="175"/>
      <c r="D503" s="1284"/>
      <c r="E503" s="1284"/>
      <c r="F503" s="1284"/>
    </row>
    <row r="504" spans="1:7">
      <c r="A504" s="175"/>
      <c r="B504" s="175"/>
      <c r="C504" s="175"/>
      <c r="D504" s="1284"/>
      <c r="E504" s="1284"/>
      <c r="F504" s="1284"/>
    </row>
    <row r="505" spans="1:7">
      <c r="A505" s="175"/>
      <c r="B505" s="175"/>
      <c r="C505" s="175"/>
      <c r="D505" s="485"/>
      <c r="E505" s="485"/>
      <c r="F505" s="485"/>
    </row>
    <row r="506" spans="1:7" ht="14.45" customHeight="1">
      <c r="A506" s="176"/>
      <c r="B506" s="468" t="s">
        <v>308</v>
      </c>
      <c r="D506" s="1306" t="s">
        <v>1118</v>
      </c>
      <c r="E506" s="1306"/>
      <c r="F506" s="1306"/>
    </row>
    <row r="507" spans="1:7">
      <c r="D507" s="1306"/>
      <c r="E507" s="1306"/>
      <c r="F507" s="1306"/>
    </row>
    <row r="508" spans="1:7">
      <c r="D508" s="1306"/>
      <c r="E508" s="1306"/>
      <c r="F508" s="1306"/>
    </row>
    <row r="509" spans="1:7" ht="12" customHeight="1">
      <c r="A509" s="35"/>
      <c r="B509" s="35"/>
      <c r="C509" s="179"/>
      <c r="D509" s="35"/>
      <c r="F509" s="57"/>
    </row>
    <row r="510" spans="1:7">
      <c r="A510" s="1290" t="s">
        <v>1081</v>
      </c>
      <c r="B510" s="1290"/>
      <c r="C510" s="1290"/>
      <c r="D510" s="1290"/>
      <c r="E510" s="1290"/>
      <c r="F510" s="1290"/>
      <c r="G510" s="1290"/>
    </row>
    <row r="511" spans="1:7">
      <c r="A511" s="35"/>
      <c r="B511" s="35"/>
      <c r="C511" s="179"/>
      <c r="F511" s="57"/>
    </row>
    <row r="512" spans="1:7">
      <c r="B512" s="1307" t="s">
        <v>449</v>
      </c>
      <c r="C512" s="1307"/>
      <c r="D512" s="1307"/>
      <c r="E512" s="1307"/>
      <c r="F512" s="1307"/>
    </row>
    <row r="513" spans="1:7">
      <c r="A513" s="35"/>
      <c r="B513" s="35"/>
      <c r="C513" s="179"/>
      <c r="D513" s="35"/>
      <c r="F513" s="35"/>
    </row>
    <row r="514" spans="1:7">
      <c r="A514" s="1321" t="s">
        <v>1082</v>
      </c>
      <c r="B514" s="1321"/>
      <c r="C514" s="1321"/>
      <c r="D514" s="1321"/>
      <c r="E514" s="1321"/>
      <c r="F514" s="1321"/>
      <c r="G514" s="1321"/>
    </row>
    <row r="515" spans="1:7">
      <c r="A515" s="35"/>
      <c r="B515" s="35"/>
      <c r="C515" s="179"/>
      <c r="D515" s="35"/>
      <c r="F515" s="35"/>
    </row>
    <row r="516" spans="1:7">
      <c r="C516" s="179"/>
      <c r="D516" s="1291" t="s">
        <v>692</v>
      </c>
      <c r="E516" s="1291"/>
      <c r="F516" s="1291"/>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75" t="s">
        <v>1140</v>
      </c>
      <c r="E521" s="1275"/>
      <c r="F521" s="1275"/>
      <c r="G521"/>
    </row>
    <row r="522" spans="1:7">
      <c r="A522" s="179"/>
      <c r="B522" s="179"/>
      <c r="C522" s="179"/>
      <c r="D522" s="1275"/>
      <c r="E522" s="1275"/>
      <c r="F522" s="1275"/>
      <c r="G522"/>
    </row>
    <row r="523" spans="1:7">
      <c r="A523" s="179"/>
      <c r="B523" s="179"/>
      <c r="C523" s="179"/>
      <c r="D523" s="35"/>
      <c r="E523" s="35"/>
      <c r="F523" s="35"/>
      <c r="G523"/>
    </row>
    <row r="524" spans="1:7" ht="14.25">
      <c r="A524" s="176"/>
      <c r="B524" s="468" t="s">
        <v>308</v>
      </c>
      <c r="C524" s="179"/>
      <c r="D524" s="1275" t="s">
        <v>1141</v>
      </c>
      <c r="E524" s="1275"/>
      <c r="F524" s="1275"/>
      <c r="G524"/>
    </row>
    <row r="525" spans="1:7">
      <c r="A525" s="179"/>
      <c r="B525" s="179"/>
      <c r="C525" s="179"/>
      <c r="D525" s="1275"/>
      <c r="E525" s="1275"/>
      <c r="F525" s="1275"/>
      <c r="G525"/>
    </row>
    <row r="526" spans="1:7">
      <c r="A526" s="179"/>
      <c r="B526" s="179"/>
      <c r="C526" s="179"/>
      <c r="D526" s="35"/>
      <c r="E526" s="35"/>
      <c r="F526" s="35"/>
      <c r="G526"/>
    </row>
    <row r="527" spans="1:7" ht="14.25">
      <c r="A527" s="176"/>
      <c r="B527" s="468" t="s">
        <v>308</v>
      </c>
      <c r="C527" s="179"/>
      <c r="D527" s="1275" t="s">
        <v>1142</v>
      </c>
      <c r="E527" s="1275"/>
      <c r="F527" s="1275"/>
      <c r="G527"/>
    </row>
    <row r="528" spans="1:7">
      <c r="A528" s="179"/>
      <c r="B528" s="179"/>
      <c r="C528" s="179"/>
      <c r="D528" s="1275"/>
      <c r="E528" s="1275"/>
      <c r="F528" s="1275"/>
      <c r="G528"/>
    </row>
    <row r="529" spans="1:7">
      <c r="A529" s="179"/>
      <c r="B529" s="179"/>
      <c r="C529" s="179"/>
      <c r="D529" s="35"/>
      <c r="E529" s="35"/>
      <c r="F529" s="35"/>
      <c r="G529"/>
    </row>
    <row r="530" spans="1:7" ht="14.25">
      <c r="A530" s="176"/>
      <c r="B530" s="468" t="s">
        <v>308</v>
      </c>
      <c r="C530" s="179"/>
      <c r="D530" s="1275" t="s">
        <v>1143</v>
      </c>
      <c r="E530" s="1275"/>
      <c r="F530" s="1275"/>
      <c r="G530"/>
    </row>
    <row r="531" spans="1:7">
      <c r="A531" s="179"/>
      <c r="B531" s="179"/>
      <c r="C531" s="179"/>
      <c r="D531" s="1275"/>
      <c r="E531" s="1275"/>
      <c r="F531" s="1275"/>
      <c r="G531"/>
    </row>
    <row r="532" spans="1:7">
      <c r="A532" s="179"/>
      <c r="B532" s="179"/>
      <c r="C532" s="179"/>
      <c r="D532" s="1275"/>
      <c r="E532" s="1275"/>
      <c r="F532" s="1275"/>
      <c r="G532"/>
    </row>
    <row r="533" spans="1:7">
      <c r="A533" s="179"/>
      <c r="B533" s="179"/>
      <c r="C533" s="179"/>
      <c r="D533" s="35"/>
      <c r="E533" s="35"/>
      <c r="F533" s="35"/>
    </row>
    <row r="534" spans="1:7" ht="14.25">
      <c r="A534" s="176"/>
      <c r="B534" s="468" t="s">
        <v>308</v>
      </c>
      <c r="C534" s="179"/>
      <c r="D534" s="1275" t="s">
        <v>1261</v>
      </c>
      <c r="E534" s="1275"/>
      <c r="F534" s="1275"/>
    </row>
    <row r="535" spans="1:7">
      <c r="A535" s="179"/>
      <c r="B535" s="179"/>
      <c r="C535" s="179"/>
      <c r="D535" s="1275"/>
      <c r="E535" s="1275"/>
      <c r="F535" s="1275"/>
    </row>
    <row r="536" spans="1:7">
      <c r="A536" s="179"/>
      <c r="B536" s="179"/>
      <c r="C536" s="179"/>
      <c r="D536" s="35"/>
      <c r="E536" s="35"/>
      <c r="F536" s="35"/>
    </row>
    <row r="537" spans="1:7" ht="14.25">
      <c r="A537" s="176"/>
      <c r="B537" s="468" t="s">
        <v>308</v>
      </c>
      <c r="C537" s="179"/>
      <c r="D537" s="1275" t="s">
        <v>1144</v>
      </c>
      <c r="E537" s="1275"/>
      <c r="F537" s="1275"/>
    </row>
    <row r="538" spans="1:7">
      <c r="A538" s="179"/>
      <c r="B538" s="179"/>
      <c r="C538" s="179"/>
      <c r="D538" s="1275"/>
      <c r="E538" s="1275"/>
      <c r="F538" s="1275"/>
    </row>
    <row r="539" spans="1:7">
      <c r="A539" s="179"/>
      <c r="B539" s="179"/>
      <c r="C539" s="179"/>
      <c r="D539" s="35"/>
      <c r="E539" s="35"/>
      <c r="F539" s="35"/>
    </row>
    <row r="540" spans="1:7" ht="14.25">
      <c r="A540" s="176"/>
      <c r="B540" s="468" t="s">
        <v>308</v>
      </c>
      <c r="C540" s="179"/>
      <c r="D540" s="1275" t="s">
        <v>1145</v>
      </c>
      <c r="E540" s="1275"/>
      <c r="F540" s="1275"/>
    </row>
    <row r="541" spans="1:7">
      <c r="A541" s="179"/>
      <c r="B541" s="179"/>
      <c r="C541" s="179"/>
      <c r="D541" s="1275"/>
      <c r="E541" s="1275"/>
      <c r="F541" s="1275"/>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7" t="s">
        <v>1147</v>
      </c>
      <c r="F545" s="1297"/>
    </row>
    <row r="546" spans="1:7" ht="14.25">
      <c r="A546" s="176"/>
      <c r="B546" s="176"/>
      <c r="C546" s="179"/>
      <c r="E546" s="35"/>
      <c r="F546" s="35"/>
    </row>
    <row r="547" spans="1:7" ht="14.25">
      <c r="A547" s="176"/>
      <c r="B547" s="468" t="s">
        <v>308</v>
      </c>
      <c r="C547" s="179"/>
      <c r="D547" s="1286" t="s">
        <v>1148</v>
      </c>
      <c r="E547" s="1286"/>
      <c r="F547" s="1286"/>
    </row>
    <row r="548" spans="1:7">
      <c r="C548" s="179"/>
      <c r="D548" s="1275" t="s">
        <v>1149</v>
      </c>
      <c r="E548" s="1275"/>
      <c r="F548" s="1275"/>
    </row>
    <row r="549" spans="1:7">
      <c r="A549" s="179"/>
      <c r="B549" s="179"/>
      <c r="C549" s="179"/>
      <c r="D549" s="1275"/>
      <c r="E549" s="1275"/>
      <c r="F549" s="1275"/>
    </row>
    <row r="550" spans="1:7">
      <c r="A550" s="179"/>
      <c r="B550" s="179"/>
      <c r="C550" s="179"/>
      <c r="D550" s="1275"/>
      <c r="E550" s="1275"/>
      <c r="F550" s="1275"/>
    </row>
    <row r="551" spans="1:7">
      <c r="A551" s="179"/>
      <c r="B551" s="179"/>
      <c r="C551" s="179"/>
      <c r="D551" s="35"/>
      <c r="E551" s="35"/>
      <c r="F551" s="35"/>
    </row>
    <row r="552" spans="1:7" ht="14.25">
      <c r="A552" s="176"/>
      <c r="B552" s="468" t="s">
        <v>308</v>
      </c>
      <c r="C552" s="179"/>
      <c r="D552" s="1275" t="s">
        <v>1150</v>
      </c>
      <c r="E552" s="1275"/>
      <c r="F552" s="1275"/>
    </row>
    <row r="553" spans="1:7" ht="14.25">
      <c r="A553" s="176"/>
      <c r="B553" s="176"/>
      <c r="C553" s="179"/>
      <c r="D553" s="1275"/>
      <c r="E553" s="1275"/>
      <c r="F553" s="1275"/>
    </row>
    <row r="554" spans="1:7" ht="14.25">
      <c r="A554" s="176"/>
      <c r="B554" s="176"/>
      <c r="C554" s="179"/>
      <c r="D554" s="1275"/>
      <c r="E554" s="1275"/>
      <c r="F554" s="1275"/>
    </row>
    <row r="555" spans="1:7" ht="14.25">
      <c r="A555" s="176"/>
      <c r="B555" s="176"/>
      <c r="C555" s="179"/>
      <c r="D555" s="1275"/>
      <c r="E555" s="1275"/>
      <c r="F555" s="1275"/>
    </row>
    <row r="556" spans="1:7" ht="14.25">
      <c r="A556" s="176"/>
      <c r="B556" s="176"/>
      <c r="C556" s="179"/>
      <c r="D556" s="35"/>
      <c r="E556" s="35"/>
      <c r="F556" s="35"/>
    </row>
    <row r="557" spans="1:7">
      <c r="A557" s="1290" t="s">
        <v>1083</v>
      </c>
      <c r="B557" s="1290"/>
      <c r="C557" s="1290"/>
      <c r="D557" s="1290"/>
      <c r="E557" s="1290"/>
      <c r="F557" s="1290"/>
      <c r="G557" s="1290"/>
    </row>
    <row r="558" spans="1:7">
      <c r="A558" s="179"/>
      <c r="B558" s="179"/>
      <c r="C558" s="179"/>
      <c r="E558" s="35"/>
      <c r="F558" s="35"/>
    </row>
    <row r="559" spans="1:7" ht="12.75" customHeight="1">
      <c r="C559" s="172"/>
      <c r="D559" s="1308" t="s">
        <v>211</v>
      </c>
      <c r="E559" s="1308"/>
      <c r="F559" s="1308"/>
    </row>
    <row r="560" spans="1:7">
      <c r="A560" s="175"/>
      <c r="B560" s="175"/>
      <c r="C560" s="175"/>
      <c r="D560" s="1289" t="s">
        <v>1099</v>
      </c>
      <c r="E560" s="1289"/>
      <c r="F560" s="1289"/>
    </row>
    <row r="561" spans="1:6">
      <c r="A561"/>
      <c r="B561"/>
      <c r="C561" s="175"/>
      <c r="D561" s="255"/>
    </row>
    <row r="562" spans="1:6">
      <c r="A562" s="175"/>
      <c r="B562" s="468" t="s">
        <v>308</v>
      </c>
      <c r="D562" s="1289" t="s">
        <v>903</v>
      </c>
      <c r="E562" s="1289"/>
      <c r="F562" s="1289"/>
    </row>
    <row r="563" spans="1:6">
      <c r="A563" s="13"/>
      <c r="B563" s="13"/>
      <c r="D563" s="218"/>
    </row>
    <row r="564" spans="1:6">
      <c r="A564" s="13"/>
      <c r="B564" s="468" t="s">
        <v>308</v>
      </c>
      <c r="D564" s="1289" t="s">
        <v>1100</v>
      </c>
      <c r="E564" s="1289"/>
      <c r="F564" s="1289"/>
    </row>
    <row r="565" spans="1:6">
      <c r="A565" s="13"/>
      <c r="B565" s="13"/>
      <c r="D565" s="1289"/>
      <c r="E565" s="1289"/>
      <c r="F565" s="1289"/>
    </row>
    <row r="566" spans="1:6">
      <c r="A566" s="13"/>
      <c r="B566" s="13"/>
      <c r="D566" s="1289"/>
      <c r="E566" s="1289"/>
      <c r="F566" s="1289"/>
    </row>
    <row r="567" spans="1:6">
      <c r="A567" s="13"/>
      <c r="B567" s="13"/>
      <c r="D567" s="255"/>
    </row>
    <row r="568" spans="1:6">
      <c r="A568" s="13"/>
      <c r="B568" s="468" t="s">
        <v>308</v>
      </c>
      <c r="D568" s="1289" t="s">
        <v>1101</v>
      </c>
      <c r="E568" s="1289"/>
      <c r="F568" s="1289"/>
    </row>
    <row r="569" spans="1:6">
      <c r="A569" s="13"/>
      <c r="B569" s="13"/>
      <c r="D569" s="1289"/>
      <c r="E569" s="1289"/>
      <c r="F569" s="1289"/>
    </row>
    <row r="570" spans="1:6">
      <c r="A570" s="13"/>
      <c r="B570" s="13"/>
      <c r="D570" s="1289"/>
      <c r="E570" s="1289"/>
      <c r="F570" s="1289"/>
    </row>
    <row r="571" spans="1:6">
      <c r="A571" s="13"/>
      <c r="B571" s="13"/>
      <c r="D571" s="1289"/>
      <c r="E571" s="1289"/>
      <c r="F571" s="1289"/>
    </row>
    <row r="572" spans="1:6">
      <c r="A572" s="13"/>
      <c r="B572" s="13"/>
      <c r="D572" s="473"/>
      <c r="E572" s="473"/>
      <c r="F572" s="473"/>
    </row>
    <row r="573" spans="1:6">
      <c r="A573" s="13"/>
      <c r="B573" s="468" t="s">
        <v>308</v>
      </c>
      <c r="D573" s="1289" t="s">
        <v>1102</v>
      </c>
      <c r="E573" s="1289"/>
      <c r="F573" s="1289"/>
    </row>
    <row r="574" spans="1:6">
      <c r="A574" s="13"/>
      <c r="B574" s="13"/>
      <c r="D574" s="1289"/>
      <c r="E574" s="1289"/>
      <c r="F574" s="1289"/>
    </row>
    <row r="575" spans="1:6">
      <c r="A575" s="13"/>
      <c r="B575" s="13"/>
      <c r="D575" s="255"/>
    </row>
    <row r="576" spans="1:6">
      <c r="A576" s="13"/>
      <c r="B576" s="468" t="s">
        <v>308</v>
      </c>
      <c r="D576" s="1289" t="s">
        <v>1103</v>
      </c>
      <c r="E576" s="1289"/>
      <c r="F576" s="1289"/>
    </row>
    <row r="577" spans="1:7">
      <c r="A577" s="13"/>
      <c r="B577" s="13"/>
      <c r="D577" s="1289"/>
      <c r="E577" s="1289"/>
      <c r="F577" s="1289"/>
    </row>
    <row r="578" spans="1:7">
      <c r="A578" s="13"/>
      <c r="B578" s="13"/>
      <c r="D578" s="255"/>
    </row>
    <row r="579" spans="1:7" ht="14.25">
      <c r="A579" s="176"/>
      <c r="B579" s="468" t="s">
        <v>308</v>
      </c>
      <c r="D579" s="1289" t="s">
        <v>898</v>
      </c>
      <c r="E579" s="1289"/>
      <c r="F579" s="1289"/>
    </row>
    <row r="580" spans="1:7" ht="14.25">
      <c r="A580" s="176"/>
      <c r="B580" s="176"/>
      <c r="D580" s="255"/>
    </row>
    <row r="581" spans="1:7" ht="14.25">
      <c r="A581" s="176"/>
      <c r="B581" s="468" t="s">
        <v>308</v>
      </c>
      <c r="D581" s="1289" t="s">
        <v>1104</v>
      </c>
      <c r="E581" s="1289"/>
      <c r="F581" s="1289"/>
    </row>
    <row r="582" spans="1:7" ht="14.25">
      <c r="A582" s="176"/>
      <c r="B582" s="176"/>
      <c r="D582" s="1289"/>
      <c r="E582" s="1289"/>
      <c r="F582" s="1289"/>
    </row>
    <row r="583" spans="1:7">
      <c r="D583" s="1289"/>
      <c r="E583" s="1289"/>
      <c r="F583" s="1289"/>
    </row>
    <row r="584" spans="1:7">
      <c r="D584" s="1289"/>
      <c r="E584" s="1289"/>
      <c r="F584" s="1289"/>
    </row>
    <row r="585" spans="1:7">
      <c r="D585" s="1289"/>
      <c r="E585" s="1289"/>
      <c r="F585" s="1289"/>
    </row>
    <row r="586" spans="1:7">
      <c r="D586" s="1289"/>
      <c r="E586" s="1289"/>
      <c r="F586" s="1289"/>
    </row>
    <row r="587" spans="1:7"/>
    <row r="588" spans="1:7">
      <c r="A588" s="1290" t="s">
        <v>1084</v>
      </c>
      <c r="B588" s="1290"/>
      <c r="C588" s="1290"/>
      <c r="D588" s="1290"/>
      <c r="E588" s="1290"/>
      <c r="F588" s="1290"/>
      <c r="G588" s="1290"/>
    </row>
    <row r="589" spans="1:7"/>
    <row r="590" spans="1:7">
      <c r="D590" s="1301" t="s">
        <v>1184</v>
      </c>
      <c r="E590" s="1301"/>
      <c r="F590" s="1301"/>
    </row>
    <row r="591" spans="1:7">
      <c r="D591" s="1324" t="s">
        <v>1185</v>
      </c>
      <c r="E591" s="1324"/>
      <c r="F591" s="1324"/>
    </row>
    <row r="592" spans="1:7">
      <c r="D592" s="478"/>
      <c r="E592" s="433"/>
      <c r="F592" s="433"/>
    </row>
    <row r="593" spans="1:7" ht="14.25">
      <c r="A593" s="176"/>
      <c r="B593" s="468" t="s">
        <v>308</v>
      </c>
      <c r="D593" s="1302" t="s">
        <v>1186</v>
      </c>
      <c r="E593" s="1302"/>
      <c r="F593" s="1302"/>
    </row>
    <row r="594" spans="1:7">
      <c r="D594" s="1302"/>
      <c r="E594" s="1302"/>
      <c r="F594" s="1302"/>
    </row>
    <row r="595" spans="1:7">
      <c r="D595" s="1302"/>
      <c r="E595" s="1302"/>
      <c r="F595" s="1302"/>
    </row>
    <row r="596" spans="1:7"/>
    <row r="597" spans="1:7">
      <c r="A597" s="1290" t="s">
        <v>1085</v>
      </c>
      <c r="B597" s="1290"/>
      <c r="C597" s="1290"/>
      <c r="D597" s="1290"/>
      <c r="E597" s="1290"/>
      <c r="F597" s="1290"/>
      <c r="G597" s="1290"/>
    </row>
    <row r="598" spans="1:7">
      <c r="A598" s="35"/>
      <c r="B598" s="35"/>
    </row>
    <row r="599" spans="1:7">
      <c r="A599" s="172"/>
      <c r="B599" s="172"/>
      <c r="C599" s="172"/>
      <c r="D599" s="1325" t="s">
        <v>1187</v>
      </c>
      <c r="E599" s="1325"/>
      <c r="F599" s="1325"/>
    </row>
    <row r="600" spans="1:7">
      <c r="A600" s="172"/>
      <c r="B600" s="172"/>
      <c r="C600" s="172"/>
      <c r="D600" s="1325"/>
      <c r="E600" s="1325"/>
      <c r="F600" s="1325"/>
    </row>
    <row r="601" spans="1:7">
      <c r="C601" s="175"/>
      <c r="D601" s="1324" t="s">
        <v>1188</v>
      </c>
      <c r="E601" s="1324"/>
      <c r="F601" s="1324"/>
    </row>
    <row r="602" spans="1:7">
      <c r="C602" s="175"/>
      <c r="D602" s="478"/>
      <c r="E602" s="478"/>
      <c r="F602" s="478"/>
    </row>
    <row r="603" spans="1:7">
      <c r="A603" s="13"/>
      <c r="B603" s="468" t="s">
        <v>308</v>
      </c>
      <c r="D603" s="1324" t="s">
        <v>433</v>
      </c>
      <c r="E603" s="1324"/>
      <c r="F603" s="1324"/>
    </row>
    <row r="604" spans="1:7">
      <c r="C604" s="180"/>
      <c r="E604"/>
    </row>
    <row r="605" spans="1:7">
      <c r="A605" s="13"/>
      <c r="B605" s="468" t="s">
        <v>308</v>
      </c>
      <c r="D605" s="1300" t="s">
        <v>1189</v>
      </c>
      <c r="E605" s="1300"/>
      <c r="F605" s="1300"/>
    </row>
    <row r="606" spans="1:7">
      <c r="D606" s="1300"/>
      <c r="E606" s="1300"/>
      <c r="F606" s="1300"/>
    </row>
    <row r="607" spans="1:7">
      <c r="D607"/>
    </row>
    <row r="608" spans="1:7">
      <c r="B608" s="468" t="s">
        <v>308</v>
      </c>
      <c r="D608" s="1300" t="s">
        <v>1190</v>
      </c>
      <c r="E608" s="1300"/>
      <c r="F608" s="1300"/>
    </row>
    <row r="609" spans="1:7">
      <c r="C609" s="180"/>
      <c r="D609" s="1300"/>
      <c r="E609" s="1300"/>
      <c r="F609" s="1300"/>
    </row>
    <row r="610" spans="1:7">
      <c r="C610" s="180"/>
    </row>
    <row r="611" spans="1:7">
      <c r="B611" s="468" t="s">
        <v>308</v>
      </c>
      <c r="C611" s="180"/>
      <c r="D611" s="1300" t="s">
        <v>1191</v>
      </c>
      <c r="E611" s="1300"/>
      <c r="F611" s="1300"/>
    </row>
    <row r="612" spans="1:7">
      <c r="C612" s="180"/>
      <c r="D612" s="1300"/>
      <c r="E612" s="1300"/>
      <c r="F612" s="1300"/>
    </row>
    <row r="613" spans="1:7">
      <c r="C613" s="180"/>
    </row>
    <row r="614" spans="1:7">
      <c r="A614" s="1290" t="s">
        <v>1086</v>
      </c>
      <c r="B614" s="1290"/>
      <c r="C614" s="1290"/>
      <c r="D614" s="1290"/>
      <c r="E614" s="1290"/>
      <c r="F614" s="1290"/>
      <c r="G614" s="1290"/>
    </row>
    <row r="615" spans="1:7">
      <c r="A615" s="172"/>
      <c r="B615" s="172"/>
      <c r="C615" s="172"/>
    </row>
    <row r="616" spans="1:7">
      <c r="C616" s="13"/>
      <c r="D616" s="1301" t="s">
        <v>1192</v>
      </c>
      <c r="E616" s="1301"/>
      <c r="F616" s="1301"/>
    </row>
    <row r="617" spans="1:7">
      <c r="A617" s="13"/>
      <c r="B617" s="13"/>
      <c r="D617" s="2"/>
    </row>
    <row r="618" spans="1:7" ht="14.25">
      <c r="A618" s="176"/>
      <c r="B618" s="468" t="s">
        <v>308</v>
      </c>
      <c r="D618" s="1302" t="s">
        <v>1193</v>
      </c>
      <c r="E618" s="1302"/>
      <c r="F618" s="1302"/>
    </row>
    <row r="619" spans="1:7">
      <c r="D619" s="1302"/>
      <c r="E619" s="1302"/>
      <c r="F619" s="1302"/>
    </row>
    <row r="620" spans="1:7">
      <c r="D620" s="1302"/>
      <c r="E620" s="1302"/>
      <c r="F620" s="1302"/>
    </row>
    <row r="621" spans="1:7">
      <c r="D621" s="1302"/>
      <c r="E621" s="1302"/>
      <c r="F621" s="1302"/>
    </row>
    <row r="622" spans="1:7">
      <c r="D622" s="1302"/>
      <c r="E622" s="1302"/>
      <c r="F622" s="1302"/>
    </row>
    <row r="623" spans="1:7">
      <c r="D623" s="1302"/>
      <c r="E623" s="1302"/>
      <c r="F623" s="1302"/>
    </row>
    <row r="624" spans="1:7">
      <c r="D624" s="479"/>
      <c r="E624" s="479"/>
      <c r="F624" s="479"/>
    </row>
    <row r="625" spans="1:7" ht="14.25">
      <c r="A625" s="176"/>
      <c r="B625" s="468" t="s">
        <v>308</v>
      </c>
      <c r="D625" s="1302" t="s">
        <v>1194</v>
      </c>
      <c r="E625" s="1302"/>
      <c r="F625" s="1302"/>
    </row>
    <row r="626" spans="1:7">
      <c r="A626" s="179"/>
      <c r="B626" s="179"/>
      <c r="C626" s="179"/>
      <c r="D626" s="1302"/>
      <c r="E626" s="1302"/>
      <c r="F626" s="1302"/>
    </row>
    <row r="627" spans="1:7">
      <c r="A627" s="179"/>
      <c r="B627" s="179"/>
      <c r="C627" s="179"/>
      <c r="D627" s="35"/>
      <c r="E627" s="35"/>
      <c r="F627" s="35"/>
    </row>
    <row r="628" spans="1:7" ht="14.25">
      <c r="A628" s="176"/>
      <c r="B628" s="468" t="s">
        <v>308</v>
      </c>
      <c r="C628" s="179"/>
      <c r="D628" s="1302" t="s">
        <v>1195</v>
      </c>
      <c r="E628" s="1302"/>
      <c r="F628" s="1302"/>
    </row>
    <row r="629" spans="1:7" ht="14.25">
      <c r="A629" s="176"/>
      <c r="B629" s="176"/>
      <c r="C629" s="179"/>
      <c r="D629" s="1302"/>
      <c r="E629" s="1302"/>
      <c r="F629" s="1302"/>
    </row>
    <row r="630" spans="1:7" ht="14.25">
      <c r="A630" s="176"/>
      <c r="B630" s="176"/>
      <c r="C630" s="179"/>
      <c r="D630" s="1302"/>
      <c r="E630" s="1302"/>
      <c r="F630" s="1302"/>
    </row>
    <row r="631" spans="1:7">
      <c r="A631" s="179"/>
      <c r="B631" s="179"/>
      <c r="C631" s="179"/>
      <c r="D631" s="1302"/>
      <c r="E631" s="1302"/>
      <c r="F631" s="1302"/>
    </row>
    <row r="632" spans="1:7">
      <c r="A632" s="179"/>
      <c r="B632" s="179"/>
      <c r="C632" s="179"/>
      <c r="D632" s="479"/>
      <c r="E632" s="479"/>
      <c r="F632" s="479"/>
    </row>
    <row r="633" spans="1:7">
      <c r="A633" s="179"/>
      <c r="B633" s="468" t="s">
        <v>308</v>
      </c>
      <c r="C633" s="179"/>
      <c r="D633" s="1303" t="s">
        <v>1196</v>
      </c>
      <c r="E633" s="1303"/>
      <c r="F633" s="1303"/>
    </row>
    <row r="634" spans="1:7">
      <c r="A634" s="179"/>
      <c r="B634" s="179"/>
      <c r="C634" s="179"/>
      <c r="D634" s="480"/>
      <c r="E634" s="480"/>
      <c r="F634" s="480"/>
    </row>
    <row r="635" spans="1:7">
      <c r="A635" s="1290" t="s">
        <v>1087</v>
      </c>
      <c r="B635" s="1290"/>
      <c r="C635" s="1290"/>
      <c r="D635" s="1290"/>
      <c r="E635" s="1290"/>
      <c r="F635" s="1290"/>
      <c r="G635" s="1290"/>
    </row>
    <row r="636" spans="1:7">
      <c r="A636" s="35"/>
      <c r="B636" s="35"/>
      <c r="C636" s="179"/>
      <c r="D636" s="35"/>
      <c r="E636" s="35"/>
      <c r="F636" s="35"/>
    </row>
    <row r="637" spans="1:7">
      <c r="C637" s="172"/>
      <c r="D637" s="1291" t="s">
        <v>1246</v>
      </c>
      <c r="E637" s="1291"/>
      <c r="F637" s="1291"/>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75" t="s">
        <v>1248</v>
      </c>
      <c r="E640" s="1275"/>
      <c r="F640" s="1275"/>
    </row>
    <row r="641" spans="1:11" ht="14.25">
      <c r="A641" s="176"/>
      <c r="B641" s="176"/>
      <c r="C641" s="179"/>
      <c r="D641" s="1275"/>
      <c r="E641" s="1275"/>
      <c r="F641" s="1275"/>
    </row>
    <row r="642" spans="1:11" ht="14.25">
      <c r="A642" s="176"/>
      <c r="B642" s="176"/>
      <c r="C642" s="179"/>
      <c r="D642" s="1275"/>
      <c r="E642" s="1275"/>
      <c r="F642" s="1275"/>
    </row>
    <row r="643" spans="1:11" ht="14.25">
      <c r="A643" s="176"/>
      <c r="B643" s="176"/>
      <c r="C643" s="179"/>
      <c r="D643" s="1275"/>
      <c r="E643" s="1275"/>
      <c r="F643" s="1275"/>
    </row>
    <row r="644" spans="1:11" ht="14.25">
      <c r="A644" s="176"/>
      <c r="B644" s="176"/>
      <c r="C644" s="179"/>
      <c r="D644" s="1275"/>
      <c r="E644" s="1275"/>
      <c r="F644" s="1275"/>
    </row>
    <row r="645" spans="1:11" ht="14.25">
      <c r="A645" s="176"/>
      <c r="B645" s="176"/>
      <c r="C645" s="179"/>
      <c r="D645" s="474"/>
      <c r="E645" s="474"/>
      <c r="F645" s="474"/>
    </row>
    <row r="646" spans="1:11" ht="14.25">
      <c r="A646" s="176"/>
      <c r="B646" s="468" t="s">
        <v>308</v>
      </c>
      <c r="C646" s="179"/>
      <c r="D646" s="1314" t="s">
        <v>1098</v>
      </c>
      <c r="E646" s="1314"/>
      <c r="F646" s="1314"/>
    </row>
    <row r="647" spans="1:11" ht="14.25">
      <c r="A647" s="176"/>
      <c r="B647" s="176"/>
      <c r="C647" s="179"/>
      <c r="D647" s="1315" t="s">
        <v>1249</v>
      </c>
      <c r="E647" s="1315"/>
      <c r="F647" s="1315"/>
    </row>
    <row r="648" spans="1:11" ht="14.25">
      <c r="A648" s="176"/>
      <c r="B648" s="176"/>
      <c r="C648" s="179"/>
      <c r="D648" s="1315"/>
      <c r="E648" s="1315"/>
      <c r="F648" s="1315"/>
    </row>
    <row r="649" spans="1:11" ht="14.25">
      <c r="A649" s="176"/>
      <c r="B649" s="176"/>
      <c r="C649" s="179"/>
      <c r="D649" s="1315"/>
      <c r="E649" s="1315"/>
      <c r="F649" s="1315"/>
    </row>
    <row r="650" spans="1:11" ht="14.25">
      <c r="A650" s="176"/>
      <c r="B650" s="176"/>
      <c r="C650" s="179"/>
      <c r="D650" s="1315"/>
      <c r="E650" s="1315"/>
      <c r="F650" s="1315"/>
    </row>
    <row r="651" spans="1:11" ht="14.25">
      <c r="A651" s="176"/>
      <c r="B651" s="176"/>
      <c r="C651" s="179"/>
      <c r="D651" s="1315"/>
      <c r="E651" s="1315"/>
      <c r="F651" s="1315"/>
    </row>
    <row r="652" spans="1:11" ht="14.25">
      <c r="A652" s="176"/>
      <c r="B652" s="176"/>
      <c r="C652" s="179"/>
      <c r="D652" s="1316" t="s">
        <v>1250</v>
      </c>
      <c r="E652" s="1316"/>
      <c r="F652" s="1316"/>
    </row>
    <row r="653" spans="1:11">
      <c r="A653" s="179"/>
      <c r="B653" s="179"/>
      <c r="C653" s="179"/>
      <c r="D653" s="35"/>
      <c r="E653" s="35"/>
      <c r="F653" s="35"/>
    </row>
    <row r="654" spans="1:11">
      <c r="A654" s="1290" t="s">
        <v>1088</v>
      </c>
      <c r="B654" s="1290"/>
      <c r="C654" s="1290"/>
      <c r="D654" s="1290"/>
      <c r="E654" s="1290"/>
      <c r="F654" s="1290"/>
      <c r="G654" s="1290"/>
      <c r="H654" s="181"/>
      <c r="I654" s="181"/>
      <c r="J654" s="181"/>
      <c r="K654" s="181"/>
    </row>
    <row r="655" spans="1:11">
      <c r="A655" s="482"/>
      <c r="B655" s="482"/>
      <c r="C655" s="482"/>
      <c r="D655" s="482"/>
      <c r="E655" s="482"/>
      <c r="F655" s="482"/>
      <c r="G655" s="482"/>
      <c r="H655" s="181"/>
      <c r="I655" s="181"/>
      <c r="J655" s="181"/>
      <c r="K655" s="181"/>
    </row>
    <row r="656" spans="1:11">
      <c r="C656" s="172"/>
      <c r="D656" s="1291" t="s">
        <v>99</v>
      </c>
      <c r="E656" s="1291"/>
      <c r="F656" s="1291"/>
      <c r="H656" s="181"/>
      <c r="I656" s="181"/>
      <c r="J656" s="181"/>
      <c r="K656" s="181"/>
    </row>
    <row r="657" spans="1:11">
      <c r="A657" s="172"/>
      <c r="B657" s="172"/>
      <c r="C657" s="172"/>
      <c r="D657" s="1291" t="s">
        <v>123</v>
      </c>
      <c r="E657" s="1291"/>
      <c r="F657" s="1291"/>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85" t="s">
        <v>1125</v>
      </c>
      <c r="F662" s="1285"/>
      <c r="H662" s="181"/>
      <c r="I662" s="181"/>
      <c r="J662" s="181"/>
      <c r="K662" s="181"/>
    </row>
    <row r="663" spans="1:11">
      <c r="A663" s="175"/>
      <c r="B663" s="175"/>
      <c r="C663" s="175"/>
      <c r="D663" s="3"/>
      <c r="E663" s="1285"/>
      <c r="F663" s="1285"/>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5" t="s">
        <v>1126</v>
      </c>
      <c r="E665" s="1275"/>
      <c r="F665" s="1275"/>
      <c r="H665" s="181"/>
      <c r="I665" s="181"/>
      <c r="J665" s="181"/>
      <c r="K665" s="181"/>
    </row>
    <row r="666" spans="1:11">
      <c r="A666" s="13"/>
      <c r="B666" s="13"/>
      <c r="C666" s="175"/>
      <c r="D666" s="1275"/>
      <c r="E666" s="1275"/>
      <c r="F666" s="1275"/>
      <c r="H666" s="181"/>
      <c r="I666" s="181"/>
      <c r="J666" s="181"/>
      <c r="K666" s="181"/>
    </row>
    <row r="667" spans="1:11">
      <c r="A667" s="175"/>
      <c r="B667" s="175"/>
      <c r="C667" s="175"/>
      <c r="D667" s="1275"/>
      <c r="E667" s="1275"/>
      <c r="F667" s="1275"/>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7" t="s">
        <v>1127</v>
      </c>
      <c r="F671" s="1297"/>
      <c r="H671" s="181"/>
      <c r="I671" s="181"/>
      <c r="J671" s="181"/>
      <c r="K671" s="181"/>
    </row>
    <row r="672" spans="1:11">
      <c r="A672" s="175"/>
      <c r="B672" s="175"/>
      <c r="C672" s="175"/>
      <c r="D672" s="2"/>
      <c r="H672" s="181"/>
      <c r="I672" s="181"/>
      <c r="J672" s="181"/>
      <c r="K672" s="181"/>
    </row>
    <row r="673" spans="1:11" ht="14.25">
      <c r="A673" s="176"/>
      <c r="B673" s="468" t="s">
        <v>308</v>
      </c>
      <c r="C673" s="175"/>
      <c r="D673" s="1275" t="s">
        <v>1137</v>
      </c>
      <c r="E673" s="1275"/>
      <c r="F673" s="1275"/>
      <c r="H673" s="181"/>
      <c r="I673" s="181"/>
      <c r="J673" s="181"/>
      <c r="K673" s="181"/>
    </row>
    <row r="674" spans="1:11">
      <c r="A674" s="175"/>
      <c r="B674" s="175"/>
      <c r="C674" s="175"/>
      <c r="D674" s="1275"/>
      <c r="E674" s="1275"/>
      <c r="F674" s="1275"/>
      <c r="H674" s="181"/>
      <c r="I674" s="181"/>
      <c r="J674" s="181"/>
      <c r="K674" s="181"/>
    </row>
    <row r="675" spans="1:11">
      <c r="A675" s="175"/>
      <c r="B675" s="175"/>
      <c r="C675" s="175"/>
      <c r="D675" s="1275"/>
      <c r="E675" s="1275"/>
      <c r="F675" s="1275"/>
      <c r="H675" s="181"/>
      <c r="I675" s="181"/>
      <c r="J675" s="181"/>
      <c r="K675" s="181"/>
    </row>
    <row r="676" spans="1:11">
      <c r="A676" s="175"/>
      <c r="B676" s="175"/>
      <c r="C676" s="175"/>
      <c r="D676" s="1275"/>
      <c r="E676" s="1275"/>
      <c r="F676" s="1275"/>
      <c r="H676" s="181"/>
      <c r="I676" s="181"/>
      <c r="J676" s="181"/>
      <c r="K676" s="181"/>
    </row>
    <row r="677" spans="1:11">
      <c r="A677" s="175"/>
      <c r="B677" s="175"/>
      <c r="C677" s="175"/>
      <c r="D677" s="1275"/>
      <c r="E677" s="1275"/>
      <c r="F677" s="1275"/>
      <c r="H677" s="181"/>
      <c r="I677" s="181"/>
      <c r="J677" s="181"/>
      <c r="K677" s="181"/>
    </row>
    <row r="678" spans="1:11">
      <c r="A678" s="175"/>
      <c r="B678" s="175"/>
      <c r="C678" s="175"/>
      <c r="D678" s="1275"/>
      <c r="E678" s="1275"/>
      <c r="F678" s="1275"/>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5" t="s">
        <v>1128</v>
      </c>
      <c r="E680" s="1275"/>
      <c r="F680" s="1275"/>
      <c r="H680" s="181"/>
      <c r="I680" s="181"/>
      <c r="J680" s="181"/>
      <c r="K680" s="181"/>
    </row>
    <row r="681" spans="1:11">
      <c r="A681" s="175"/>
      <c r="B681" s="175"/>
      <c r="C681" s="175"/>
      <c r="D681" s="1275"/>
      <c r="E681" s="1275"/>
      <c r="F681" s="1275"/>
      <c r="H681" s="181"/>
      <c r="I681" s="181"/>
      <c r="J681" s="181"/>
      <c r="K681" s="181"/>
    </row>
    <row r="682" spans="1:11">
      <c r="A682" s="175"/>
      <c r="B682" s="175"/>
      <c r="C682" s="175"/>
      <c r="D682" s="1275"/>
      <c r="E682" s="1275"/>
      <c r="F682" s="1275"/>
      <c r="H682" s="181"/>
      <c r="I682" s="181"/>
      <c r="J682" s="181"/>
      <c r="K682" s="181"/>
    </row>
    <row r="683" spans="1:11" ht="15" customHeight="1">
      <c r="A683" s="175"/>
      <c r="B683" s="175"/>
      <c r="C683" s="175"/>
      <c r="D683" s="1275"/>
      <c r="E683" s="1275"/>
      <c r="F683" s="1275"/>
      <c r="H683" s="181"/>
      <c r="I683" s="181"/>
      <c r="J683" s="181"/>
      <c r="K683" s="181"/>
    </row>
    <row r="684" spans="1:11" ht="15" customHeight="1">
      <c r="A684" s="175"/>
      <c r="B684" s="175"/>
      <c r="C684" s="175"/>
      <c r="D684" s="1275"/>
      <c r="E684" s="1275"/>
      <c r="F684" s="1275"/>
      <c r="H684" s="181"/>
      <c r="I684" s="181"/>
      <c r="J684" s="181"/>
      <c r="K684" s="181"/>
    </row>
    <row r="685" spans="1:11">
      <c r="A685" s="175"/>
      <c r="B685" s="175"/>
      <c r="C685" s="175"/>
      <c r="D685" s="1275"/>
      <c r="E685" s="1275"/>
      <c r="F685" s="1275"/>
      <c r="H685" s="181"/>
      <c r="I685" s="181"/>
      <c r="J685" s="181"/>
      <c r="K685" s="181"/>
    </row>
    <row r="686" spans="1:11">
      <c r="A686" s="175"/>
      <c r="B686" s="175"/>
      <c r="C686" s="175"/>
      <c r="D686" s="1275"/>
      <c r="E686" s="1275"/>
      <c r="F686" s="1275"/>
      <c r="H686" s="181"/>
      <c r="I686" s="181"/>
      <c r="J686" s="181"/>
      <c r="K686" s="181"/>
    </row>
    <row r="687" spans="1:11">
      <c r="A687" s="175"/>
      <c r="B687" s="175"/>
      <c r="C687" s="175"/>
      <c r="D687" s="1275"/>
      <c r="E687" s="1275"/>
      <c r="F687" s="1275"/>
      <c r="H687" s="181"/>
      <c r="I687" s="181"/>
      <c r="J687" s="181"/>
      <c r="K687" s="181"/>
    </row>
    <row r="688" spans="1:11" ht="15" customHeight="1">
      <c r="A688" s="175"/>
      <c r="B688" s="175"/>
      <c r="C688" s="175"/>
      <c r="D688" s="1275"/>
      <c r="E688" s="1275"/>
      <c r="F688" s="1275"/>
      <c r="H688" s="181"/>
      <c r="I688" s="181"/>
      <c r="J688" s="181"/>
      <c r="K688" s="181"/>
    </row>
    <row r="689" spans="1:11">
      <c r="A689" s="175"/>
      <c r="B689" s="175"/>
      <c r="C689" s="175"/>
      <c r="D689" s="1275"/>
      <c r="E689" s="1275"/>
      <c r="F689" s="1275"/>
      <c r="H689" s="181"/>
      <c r="I689" s="181"/>
      <c r="J689" s="181"/>
      <c r="K689" s="181"/>
    </row>
    <row r="690" spans="1:11">
      <c r="A690" s="175"/>
      <c r="B690" s="175"/>
      <c r="C690" s="175"/>
      <c r="D690" s="1275"/>
      <c r="E690" s="1275"/>
      <c r="F690" s="1275"/>
      <c r="H690" s="181"/>
      <c r="I690" s="181"/>
      <c r="J690" s="181"/>
      <c r="K690" s="181"/>
    </row>
    <row r="691" spans="1:11">
      <c r="A691" s="175"/>
      <c r="B691" s="175"/>
      <c r="C691" s="175"/>
      <c r="D691" s="1275"/>
      <c r="E691" s="1275"/>
      <c r="F691" s="1275"/>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5" t="s">
        <v>1138</v>
      </c>
      <c r="E693" s="1275"/>
      <c r="F693" s="1275"/>
      <c r="H693" s="181"/>
      <c r="I693" s="181"/>
      <c r="J693" s="181"/>
      <c r="K693" s="181"/>
    </row>
    <row r="694" spans="1:11">
      <c r="A694" s="175"/>
      <c r="B694" s="175"/>
      <c r="C694" s="175"/>
      <c r="D694" s="1275"/>
      <c r="E694" s="1275"/>
      <c r="F694" s="1275"/>
      <c r="H694" s="181"/>
      <c r="I694" s="181"/>
      <c r="J694" s="181"/>
      <c r="K694" s="181"/>
    </row>
    <row r="695" spans="1:11">
      <c r="A695" s="175"/>
      <c r="B695" s="175"/>
      <c r="C695" s="175"/>
      <c r="D695" s="1275"/>
      <c r="E695" s="1275"/>
      <c r="F695" s="1275"/>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5" t="s">
        <v>1135</v>
      </c>
      <c r="E697" s="1275"/>
      <c r="F697" s="1275"/>
      <c r="H697" s="181"/>
      <c r="I697" s="181"/>
      <c r="J697" s="181"/>
      <c r="K697" s="181"/>
    </row>
    <row r="698" spans="1:11">
      <c r="A698" s="175"/>
      <c r="B698" s="175"/>
      <c r="C698" s="175"/>
      <c r="D698" s="1275"/>
      <c r="E698" s="1275"/>
      <c r="F698" s="1275"/>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5" t="s">
        <v>1136</v>
      </c>
      <c r="E700" s="1275"/>
      <c r="F700" s="1275"/>
      <c r="H700" s="181"/>
      <c r="I700" s="181"/>
      <c r="J700" s="181"/>
      <c r="K700" s="181"/>
    </row>
    <row r="701" spans="1:11">
      <c r="A701" s="175"/>
      <c r="B701" s="175"/>
      <c r="C701" s="175"/>
      <c r="D701" s="1275"/>
      <c r="E701" s="1275"/>
      <c r="F701" s="1275"/>
      <c r="H701" s="181"/>
      <c r="I701" s="181"/>
      <c r="J701" s="181"/>
      <c r="K701" s="181"/>
    </row>
    <row r="702" spans="1:11">
      <c r="A702" s="175"/>
      <c r="B702" s="175"/>
      <c r="C702" s="175"/>
      <c r="D702" s="1275"/>
      <c r="E702" s="1275"/>
      <c r="F702" s="1275"/>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5" t="s">
        <v>1129</v>
      </c>
      <c r="E704" s="1275"/>
      <c r="F704" s="1275"/>
      <c r="H704" s="181"/>
      <c r="I704" s="181"/>
      <c r="J704" s="181"/>
      <c r="K704" s="181"/>
    </row>
    <row r="705" spans="1:11">
      <c r="A705" s="175"/>
      <c r="B705" s="175"/>
      <c r="C705" s="175"/>
      <c r="D705" s="1275"/>
      <c r="E705" s="1275"/>
      <c r="F705" s="1275"/>
      <c r="H705" s="181"/>
      <c r="I705" s="181"/>
      <c r="J705" s="181"/>
      <c r="K705" s="181"/>
    </row>
    <row r="706" spans="1:11">
      <c r="A706" s="175"/>
      <c r="B706" s="175"/>
      <c r="C706" s="175"/>
      <c r="D706" s="1275"/>
      <c r="E706" s="1275"/>
      <c r="F706" s="1275"/>
      <c r="H706" s="181"/>
      <c r="I706" s="181"/>
      <c r="J706" s="181"/>
      <c r="K706" s="181"/>
    </row>
    <row r="707" spans="1:11">
      <c r="A707" s="175"/>
      <c r="B707" s="175"/>
      <c r="C707" s="175"/>
      <c r="H707" s="181"/>
      <c r="I707" s="181"/>
      <c r="J707" s="181"/>
      <c r="K707" s="181"/>
    </row>
    <row r="708" spans="1:11">
      <c r="A708" s="175"/>
      <c r="B708" s="468" t="s">
        <v>308</v>
      </c>
      <c r="C708" s="175"/>
      <c r="D708" s="1275" t="s">
        <v>1130</v>
      </c>
      <c r="E708" s="1275"/>
      <c r="F708" s="1275"/>
      <c r="H708" s="181"/>
      <c r="I708" s="181"/>
      <c r="J708" s="181"/>
      <c r="K708" s="181"/>
    </row>
    <row r="709" spans="1:11">
      <c r="A709" s="175"/>
      <c r="B709" s="175"/>
      <c r="C709" s="175"/>
      <c r="D709" s="1275"/>
      <c r="E709" s="1275"/>
      <c r="F709" s="1275"/>
      <c r="H709" s="181"/>
      <c r="I709" s="181"/>
      <c r="J709" s="181"/>
      <c r="K709" s="181"/>
    </row>
    <row r="710" spans="1:11">
      <c r="A710" s="175"/>
      <c r="B710" s="175"/>
      <c r="C710" s="175"/>
      <c r="D710" s="1275"/>
      <c r="E710" s="1275"/>
      <c r="F710" s="1275"/>
      <c r="H710" s="181"/>
      <c r="I710" s="181"/>
      <c r="J710" s="181"/>
      <c r="K710" s="181"/>
    </row>
    <row r="711" spans="1:11">
      <c r="A711" s="175"/>
      <c r="B711" s="175"/>
      <c r="C711" s="175"/>
      <c r="D711"/>
      <c r="H711" s="181"/>
      <c r="I711" s="181"/>
      <c r="J711" s="181"/>
      <c r="K711" s="181"/>
    </row>
    <row r="712" spans="1:11" ht="14.25">
      <c r="A712" s="176"/>
      <c r="B712" s="468" t="s">
        <v>308</v>
      </c>
      <c r="C712" s="175"/>
      <c r="D712" s="1275" t="s">
        <v>1131</v>
      </c>
      <c r="E712" s="1275"/>
      <c r="F712" s="1275"/>
      <c r="H712" s="181"/>
      <c r="I712" s="181"/>
      <c r="J712" s="181"/>
      <c r="K712" s="181"/>
    </row>
    <row r="713" spans="1:11">
      <c r="A713" s="175"/>
      <c r="B713" s="175"/>
      <c r="C713" s="175"/>
      <c r="D713" s="1275"/>
      <c r="E713" s="1275"/>
      <c r="F713" s="1275"/>
      <c r="H713" s="181"/>
      <c r="I713" s="181"/>
      <c r="J713" s="181"/>
      <c r="K713" s="181"/>
    </row>
    <row r="714" spans="1:11">
      <c r="A714" s="175"/>
      <c r="B714" s="175"/>
      <c r="C714" s="175"/>
      <c r="D714" s="1275"/>
      <c r="E714" s="1275"/>
      <c r="F714" s="1275"/>
      <c r="H714" s="181"/>
      <c r="I714" s="181"/>
      <c r="J714" s="181"/>
      <c r="K714" s="181"/>
    </row>
    <row r="715" spans="1:11">
      <c r="A715" s="175"/>
      <c r="B715" s="175"/>
      <c r="C715" s="175"/>
      <c r="D715" s="1275"/>
      <c r="E715" s="1275"/>
      <c r="F715" s="1275"/>
      <c r="H715" s="181"/>
      <c r="I715" s="181"/>
      <c r="J715" s="181"/>
      <c r="K715" s="181"/>
    </row>
    <row r="716" spans="1:11">
      <c r="A716" s="175"/>
      <c r="B716" s="175"/>
      <c r="C716" s="175"/>
      <c r="D716" s="178"/>
      <c r="H716" s="181"/>
      <c r="I716" s="181"/>
      <c r="J716" s="181"/>
      <c r="K716" s="181"/>
    </row>
    <row r="717" spans="1:11" ht="14.25">
      <c r="A717" s="176"/>
      <c r="B717" s="468" t="s">
        <v>308</v>
      </c>
      <c r="C717" s="175"/>
      <c r="D717" s="1275" t="s">
        <v>1264</v>
      </c>
      <c r="E717" s="1275"/>
      <c r="F717" s="1275"/>
      <c r="H717" s="181"/>
      <c r="I717" s="181"/>
      <c r="J717" s="181"/>
      <c r="K717" s="181"/>
    </row>
    <row r="718" spans="1:11">
      <c r="A718" s="175"/>
      <c r="B718" s="175"/>
      <c r="C718" s="175"/>
      <c r="D718" s="1275"/>
      <c r="E718" s="1275"/>
      <c r="F718" s="1275"/>
      <c r="H718" s="181"/>
      <c r="I718" s="181"/>
      <c r="J718" s="181"/>
      <c r="K718" s="181"/>
    </row>
    <row r="719" spans="1:11">
      <c r="A719" s="175"/>
      <c r="B719" s="175"/>
      <c r="C719" s="175"/>
      <c r="D719" s="1275"/>
      <c r="E719" s="1275"/>
      <c r="F719" s="1275"/>
      <c r="H719" s="181"/>
      <c r="I719" s="181"/>
      <c r="J719" s="181"/>
      <c r="K719" s="181"/>
    </row>
    <row r="720" spans="1:11">
      <c r="A720" s="175"/>
      <c r="B720" s="175"/>
      <c r="C720" s="175"/>
      <c r="D720" s="1275"/>
      <c r="E720" s="1275"/>
      <c r="F720" s="1275"/>
      <c r="H720" s="181"/>
      <c r="I720" s="181"/>
      <c r="J720" s="181"/>
      <c r="K720" s="181"/>
    </row>
    <row r="721" spans="1:11">
      <c r="A721" s="175"/>
      <c r="B721" s="175"/>
      <c r="C721" s="175"/>
      <c r="D721" s="1275"/>
      <c r="E721" s="1275"/>
      <c r="F721" s="1275"/>
      <c r="H721" s="181"/>
      <c r="I721" s="181"/>
      <c r="J721" s="181"/>
      <c r="K721" s="181"/>
    </row>
    <row r="722" spans="1:11">
      <c r="A722" s="175"/>
      <c r="B722" s="175"/>
      <c r="C722" s="175"/>
      <c r="D722" s="1275"/>
      <c r="E722" s="1275"/>
      <c r="F722" s="1275"/>
      <c r="H722" s="181"/>
      <c r="I722" s="181"/>
      <c r="J722" s="181"/>
      <c r="K722" s="181"/>
    </row>
    <row r="723" spans="1:11">
      <c r="A723" s="175"/>
      <c r="B723" s="175"/>
      <c r="C723" s="175"/>
      <c r="D723" s="1275"/>
      <c r="E723" s="1275"/>
      <c r="F723" s="1275"/>
      <c r="H723" s="181"/>
      <c r="I723" s="181"/>
      <c r="J723" s="181"/>
      <c r="K723" s="181"/>
    </row>
    <row r="724" spans="1:11">
      <c r="A724" s="175"/>
      <c r="B724" s="175"/>
      <c r="C724" s="175"/>
      <c r="D724" s="1319" t="s">
        <v>1132</v>
      </c>
      <c r="E724" s="1319"/>
      <c r="F724" s="1319"/>
      <c r="H724" s="181"/>
      <c r="I724" s="181"/>
      <c r="J724" s="181"/>
      <c r="K724" s="181"/>
    </row>
    <row r="725" spans="1:11">
      <c r="A725" s="175"/>
      <c r="B725" s="175"/>
      <c r="C725" s="175"/>
      <c r="D725" s="369"/>
      <c r="H725" s="181"/>
      <c r="I725" s="181"/>
      <c r="J725" s="181"/>
      <c r="K725" s="181"/>
    </row>
    <row r="726" spans="1:11">
      <c r="A726" s="1321" t="s">
        <v>1089</v>
      </c>
      <c r="B726" s="1321"/>
      <c r="C726" s="1321"/>
      <c r="D726" s="1321"/>
      <c r="E726" s="1321"/>
      <c r="F726" s="1321"/>
      <c r="G726" s="1321"/>
      <c r="H726" s="181"/>
      <c r="I726" s="181"/>
      <c r="J726" s="181"/>
      <c r="K726" s="181"/>
    </row>
    <row r="727" spans="1:11">
      <c r="A727" s="175"/>
      <c r="B727" s="175"/>
      <c r="C727" s="175"/>
      <c r="D727" s="178"/>
      <c r="G727" s="183"/>
      <c r="H727" s="181"/>
      <c r="I727" s="181"/>
      <c r="J727" s="181"/>
      <c r="K727" s="181"/>
    </row>
    <row r="728" spans="1:11" ht="13.15" customHeight="1">
      <c r="C728" s="175"/>
      <c r="D728" s="1308" t="s">
        <v>1105</v>
      </c>
      <c r="E728" s="1308"/>
      <c r="F728" s="1308"/>
      <c r="G728" s="183"/>
      <c r="H728" s="181"/>
      <c r="I728" s="181"/>
      <c r="J728" s="181"/>
      <c r="K728" s="181"/>
    </row>
    <row r="729" spans="1:11">
      <c r="A729" s="175"/>
      <c r="B729" s="175"/>
      <c r="C729" s="175"/>
      <c r="D729" s="1318" t="s">
        <v>1106</v>
      </c>
      <c r="E729" s="1318"/>
      <c r="F729" s="1318"/>
      <c r="G729" s="183"/>
      <c r="H729" s="181"/>
      <c r="I729" s="181"/>
      <c r="J729" s="181"/>
      <c r="K729" s="181"/>
    </row>
    <row r="730" spans="1:11">
      <c r="A730" s="175"/>
      <c r="B730" s="175"/>
      <c r="C730" s="175"/>
      <c r="G730" s="183"/>
      <c r="H730" s="181"/>
      <c r="I730" s="181"/>
      <c r="J730" s="181"/>
      <c r="K730" s="181"/>
    </row>
    <row r="731" spans="1:11" ht="14.25">
      <c r="A731" s="176"/>
      <c r="B731" s="468" t="s">
        <v>308</v>
      </c>
      <c r="D731" s="1275" t="s">
        <v>1107</v>
      </c>
      <c r="E731" s="1275"/>
      <c r="F731" s="1275"/>
      <c r="G731" s="183"/>
      <c r="H731" s="181"/>
      <c r="I731" s="181"/>
      <c r="J731" s="181"/>
      <c r="K731" s="181"/>
    </row>
    <row r="732" spans="1:11" ht="10.5" customHeight="1">
      <c r="D732" s="1275"/>
      <c r="E732" s="1275"/>
      <c r="F732" s="1275"/>
      <c r="G732" s="183"/>
      <c r="H732" s="181"/>
      <c r="I732" s="181"/>
      <c r="J732" s="181"/>
      <c r="K732" s="181"/>
    </row>
    <row r="733" spans="1:11">
      <c r="D733" s="1275"/>
      <c r="E733" s="1275"/>
      <c r="F733" s="1275"/>
      <c r="G733" s="183"/>
      <c r="H733" s="181"/>
      <c r="I733" s="181"/>
      <c r="J733" s="181"/>
      <c r="K733" s="181"/>
    </row>
    <row r="734" spans="1:11">
      <c r="D734" s="1275"/>
      <c r="E734" s="1275"/>
      <c r="F734" s="1275"/>
      <c r="G734" s="183"/>
      <c r="H734" s="181"/>
      <c r="I734" s="181"/>
      <c r="J734" s="181"/>
      <c r="K734" s="181"/>
    </row>
    <row r="735" spans="1:11">
      <c r="D735" s="1275"/>
      <c r="E735" s="1275"/>
      <c r="F735" s="1275"/>
      <c r="G735" s="183"/>
      <c r="H735" s="181"/>
      <c r="I735" s="181"/>
      <c r="J735" s="181"/>
      <c r="K735" s="181"/>
    </row>
    <row r="736" spans="1:11" ht="15.6" customHeight="1">
      <c r="D736" s="1275"/>
      <c r="E736" s="1275"/>
      <c r="F736" s="1275"/>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5" t="s">
        <v>1108</v>
      </c>
      <c r="E738" s="1275"/>
      <c r="F738" s="1275"/>
      <c r="G738" s="210"/>
    </row>
    <row r="739" spans="1:11" s="274" customFormat="1">
      <c r="A739" s="273"/>
      <c r="B739" s="273"/>
      <c r="C739" s="273"/>
      <c r="D739" s="1275"/>
      <c r="E739" s="1275"/>
      <c r="F739" s="1275"/>
      <c r="G739" s="210"/>
    </row>
    <row r="740" spans="1:11" s="274" customFormat="1">
      <c r="A740" s="273"/>
      <c r="B740" s="273"/>
      <c r="C740" s="273"/>
      <c r="D740" s="1275"/>
      <c r="E740" s="1275"/>
      <c r="F740" s="1275"/>
      <c r="G740" s="210"/>
    </row>
    <row r="741" spans="1:11" s="274" customFormat="1">
      <c r="A741" s="273"/>
      <c r="B741" s="273"/>
      <c r="C741" s="273"/>
      <c r="D741" s="1275"/>
      <c r="E741" s="1275"/>
      <c r="F741" s="1275"/>
      <c r="G741" s="210"/>
    </row>
    <row r="742" spans="1:11" s="274" customFormat="1">
      <c r="A742" s="273"/>
      <c r="B742" s="273"/>
      <c r="C742" s="273"/>
      <c r="D742" s="255"/>
      <c r="E742" s="210"/>
      <c r="F742" s="210"/>
      <c r="G742" s="210"/>
    </row>
    <row r="743" spans="1:11" s="274" customFormat="1" ht="14.25">
      <c r="A743" s="176"/>
      <c r="B743" s="468" t="s">
        <v>308</v>
      </c>
      <c r="C743" s="273"/>
      <c r="D743" s="1315" t="s">
        <v>1109</v>
      </c>
      <c r="E743" s="1315"/>
      <c r="F743" s="1315"/>
      <c r="G743" s="210"/>
    </row>
    <row r="744" spans="1:11" s="274" customFormat="1">
      <c r="A744" s="273"/>
      <c r="B744" s="273"/>
      <c r="C744" s="273"/>
      <c r="D744" s="1315"/>
      <c r="E744" s="1315"/>
      <c r="F744" s="1315"/>
      <c r="G744" s="210"/>
    </row>
    <row r="745" spans="1:11" s="274" customFormat="1">
      <c r="A745" s="273"/>
      <c r="B745" s="273"/>
      <c r="C745" s="273"/>
      <c r="D745" s="1315"/>
      <c r="E745" s="1315"/>
      <c r="F745" s="1315"/>
      <c r="G745" s="210"/>
    </row>
    <row r="746" spans="1:11">
      <c r="D746" s="255"/>
      <c r="E746" s="35"/>
      <c r="F746" s="35"/>
      <c r="G746" s="183"/>
      <c r="H746" s="181"/>
      <c r="I746" s="181"/>
      <c r="J746" s="181"/>
      <c r="K746" s="181"/>
    </row>
    <row r="747" spans="1:11" ht="14.25">
      <c r="A747" s="176"/>
      <c r="B747" s="468" t="s">
        <v>308</v>
      </c>
      <c r="D747" s="1275" t="s">
        <v>1110</v>
      </c>
      <c r="E747" s="1275"/>
      <c r="F747" s="1275"/>
      <c r="G747" s="183"/>
      <c r="H747" s="181"/>
      <c r="I747" s="181"/>
      <c r="J747" s="181"/>
      <c r="K747" s="181"/>
    </row>
    <row r="748" spans="1:11">
      <c r="D748" s="1275"/>
      <c r="E748" s="1275"/>
      <c r="F748" s="1275"/>
      <c r="G748" s="183"/>
      <c r="H748" s="181"/>
      <c r="I748" s="181"/>
      <c r="J748" s="181"/>
      <c r="K748" s="181"/>
    </row>
    <row r="749" spans="1:11">
      <c r="D749" s="474"/>
      <c r="E749" s="474"/>
      <c r="F749" s="474"/>
      <c r="G749" s="183"/>
      <c r="H749" s="181"/>
      <c r="I749" s="181"/>
      <c r="J749" s="181"/>
      <c r="K749" s="181"/>
    </row>
    <row r="750" spans="1:11">
      <c r="B750" s="468" t="s">
        <v>308</v>
      </c>
      <c r="D750" s="1275" t="s">
        <v>1111</v>
      </c>
      <c r="E750" s="1275"/>
      <c r="F750" s="1275"/>
      <c r="G750" s="183"/>
      <c r="H750" s="181"/>
      <c r="I750" s="181"/>
      <c r="J750" s="181"/>
      <c r="K750" s="181"/>
    </row>
    <row r="751" spans="1:11">
      <c r="D751" s="1275"/>
      <c r="E751" s="1275"/>
      <c r="F751" s="1275"/>
      <c r="G751" s="183"/>
      <c r="H751" s="181"/>
      <c r="I751" s="181"/>
      <c r="J751" s="181"/>
      <c r="K751" s="181"/>
    </row>
    <row r="752" spans="1:11">
      <c r="D752" s="1275"/>
      <c r="E752" s="1275"/>
      <c r="F752" s="1275"/>
      <c r="G752" s="183"/>
      <c r="H752" s="181"/>
      <c r="I752" s="181"/>
      <c r="J752" s="181"/>
      <c r="K752" s="181"/>
    </row>
    <row r="753" spans="1:11">
      <c r="D753" s="474"/>
      <c r="E753" s="474"/>
      <c r="F753" s="474"/>
      <c r="G753" s="183"/>
      <c r="H753" s="181"/>
      <c r="I753" s="181"/>
      <c r="J753" s="181"/>
      <c r="K753" s="181"/>
    </row>
    <row r="754" spans="1:11">
      <c r="A754" s="1290" t="s">
        <v>1112</v>
      </c>
      <c r="B754" s="1290"/>
      <c r="C754" s="1290"/>
      <c r="D754" s="1290"/>
      <c r="E754" s="1290"/>
      <c r="F754" s="1290"/>
      <c r="G754" s="1290"/>
    </row>
    <row r="755" spans="1:11">
      <c r="A755" s="175"/>
      <c r="B755" s="175"/>
      <c r="C755" s="175"/>
      <c r="D755" s="184"/>
      <c r="F755" s="35"/>
      <c r="G755" s="183"/>
    </row>
    <row r="756" spans="1:11">
      <c r="D756" s="1322" t="s">
        <v>1096</v>
      </c>
      <c r="E756" s="1322"/>
      <c r="F756" s="1322"/>
      <c r="G756" s="183"/>
    </row>
    <row r="757" spans="1:11">
      <c r="A757" s="345"/>
      <c r="B757" s="345"/>
      <c r="C757" s="345"/>
      <c r="D757" s="1305" t="s">
        <v>1113</v>
      </c>
      <c r="E757" s="1305"/>
      <c r="F757" s="1305"/>
      <c r="G757" s="183"/>
    </row>
    <row r="758" spans="1:11">
      <c r="D758" s="433"/>
      <c r="E758" s="433"/>
      <c r="F758" s="433"/>
      <c r="G758" s="183"/>
    </row>
    <row r="759" spans="1:11" ht="14.25">
      <c r="A759" s="176"/>
      <c r="B759" s="468" t="s">
        <v>308</v>
      </c>
      <c r="D759" s="1305" t="s">
        <v>1006</v>
      </c>
      <c r="E759" s="1305"/>
      <c r="F759" s="1305"/>
      <c r="G759" s="183"/>
    </row>
    <row r="760" spans="1:11">
      <c r="D760" s="433"/>
      <c r="E760" s="1317" t="s">
        <v>1097</v>
      </c>
      <c r="F760" s="1317"/>
      <c r="G760" s="183"/>
    </row>
    <row r="761" spans="1:11">
      <c r="A761" s="172"/>
      <c r="B761" s="172"/>
      <c r="C761" s="172"/>
      <c r="D761" s="35"/>
      <c r="G761" s="183"/>
    </row>
    <row r="762" spans="1:11">
      <c r="A762" s="1320" t="s">
        <v>450</v>
      </c>
      <c r="B762" s="1320"/>
      <c r="C762" s="1320"/>
      <c r="D762" s="1320"/>
      <c r="E762" s="1320"/>
      <c r="F762" s="1320"/>
      <c r="G762" s="1320"/>
    </row>
    <row r="763" spans="1:11">
      <c r="A763" s="172"/>
      <c r="B763" s="172"/>
      <c r="C763" s="179"/>
      <c r="D763" s="183"/>
      <c r="E763" s="183"/>
      <c r="F763" s="183"/>
      <c r="G763" s="183"/>
    </row>
    <row r="764" spans="1:11">
      <c r="A764" s="35"/>
      <c r="B764" s="1318" t="s">
        <v>1005</v>
      </c>
      <c r="C764" s="1318"/>
      <c r="D764" s="1318"/>
      <c r="E764" s="1318"/>
      <c r="F764" s="1318"/>
      <c r="G764" s="183"/>
    </row>
    <row r="765" spans="1:11">
      <c r="A765" s="13"/>
      <c r="B765" s="13"/>
      <c r="G765" s="183"/>
    </row>
    <row r="766" spans="1:11">
      <c r="A766" s="1320" t="s">
        <v>451</v>
      </c>
      <c r="B766" s="1320"/>
      <c r="C766" s="1320"/>
      <c r="D766" s="1320"/>
      <c r="E766" s="1320"/>
      <c r="F766" s="1320"/>
      <c r="G766" s="1320"/>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320" t="s">
        <v>452</v>
      </c>
      <c r="B770" s="1320"/>
      <c r="C770" s="1320"/>
      <c r="D770" s="1320"/>
      <c r="E770" s="1320"/>
      <c r="F770" s="1320"/>
      <c r="G770" s="1320"/>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320" t="s">
        <v>453</v>
      </c>
      <c r="B774" s="1320"/>
      <c r="C774" s="1320"/>
      <c r="D774" s="1320"/>
      <c r="E774" s="1320"/>
      <c r="F774" s="1320"/>
      <c r="G774" s="1320"/>
    </row>
    <row r="775" spans="1:7">
      <c r="A775" s="35"/>
      <c r="B775" s="35"/>
    </row>
    <row r="776" spans="1:7">
      <c r="A776" s="35"/>
      <c r="B776" s="1286" t="s">
        <v>449</v>
      </c>
      <c r="C776" s="1286"/>
      <c r="D776" s="1286"/>
      <c r="E776" s="1286"/>
      <c r="F776" s="1286"/>
    </row>
    <row r="777" spans="1:7">
      <c r="A777" s="179"/>
      <c r="B777" s="179"/>
      <c r="C777" s="179"/>
      <c r="D777" s="174"/>
      <c r="F777" s="183"/>
    </row>
    <row r="778" spans="1:7">
      <c r="A778" s="1320" t="s">
        <v>454</v>
      </c>
      <c r="B778" s="1320"/>
      <c r="C778" s="1320"/>
      <c r="D778" s="1320"/>
      <c r="E778" s="1320"/>
      <c r="F778" s="1320"/>
      <c r="G778" s="1320"/>
    </row>
    <row r="779" spans="1:7">
      <c r="A779" s="35"/>
      <c r="B779" s="35"/>
    </row>
    <row r="780" spans="1:7">
      <c r="A780" s="35"/>
      <c r="B780" s="1286" t="s">
        <v>449</v>
      </c>
      <c r="C780" s="1286"/>
      <c r="D780" s="1286"/>
      <c r="E780" s="1286"/>
      <c r="F780" s="1286"/>
    </row>
    <row r="781" spans="1:7">
      <c r="A781" s="179"/>
      <c r="B781" s="179"/>
      <c r="C781" s="179"/>
      <c r="D781" s="174"/>
      <c r="F781" s="183"/>
    </row>
    <row r="782" spans="1:7">
      <c r="A782" s="1320" t="s">
        <v>455</v>
      </c>
      <c r="B782" s="1320"/>
      <c r="C782" s="1320"/>
      <c r="D782" s="1320"/>
      <c r="E782" s="1320"/>
      <c r="F782" s="1320"/>
      <c r="G782" s="1320"/>
    </row>
    <row r="783" spans="1:7">
      <c r="A783" s="35"/>
      <c r="B783" s="35"/>
    </row>
    <row r="784" spans="1:7">
      <c r="A784" s="35"/>
      <c r="B784" s="1286" t="s">
        <v>449</v>
      </c>
      <c r="C784" s="1286"/>
      <c r="D784" s="1286"/>
      <c r="E784" s="1286"/>
      <c r="F784" s="1286"/>
    </row>
    <row r="785" spans="1:7">
      <c r="D785" s="174"/>
    </row>
    <row r="786" spans="1:7">
      <c r="A786" s="1320" t="s">
        <v>187</v>
      </c>
      <c r="B786" s="1320"/>
      <c r="C786" s="1320"/>
      <c r="D786" s="1320"/>
      <c r="E786" s="1320"/>
      <c r="F786" s="1320"/>
      <c r="G786" s="1320"/>
    </row>
    <row r="787" spans="1:7">
      <c r="A787" s="35"/>
      <c r="B787" s="35"/>
    </row>
    <row r="788" spans="1:7">
      <c r="A788" s="35"/>
      <c r="B788" s="1286" t="s">
        <v>449</v>
      </c>
      <c r="C788" s="1286"/>
      <c r="D788" s="1286"/>
      <c r="E788" s="1286"/>
      <c r="F788" s="1286"/>
    </row>
    <row r="789" spans="1:7">
      <c r="A789" s="35"/>
      <c r="B789" s="35"/>
      <c r="D789" s="174"/>
    </row>
    <row r="790" spans="1:7">
      <c r="A790" s="1320" t="s">
        <v>886</v>
      </c>
      <c r="B790" s="1320"/>
      <c r="C790" s="1320"/>
      <c r="D790" s="1320"/>
      <c r="E790" s="1320"/>
      <c r="F790" s="1320"/>
      <c r="G790" s="1320"/>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6" t="s">
        <v>2061</v>
      </c>
      <c r="B2" s="1327"/>
      <c r="C2" s="1327"/>
      <c r="D2" s="1327"/>
      <c r="E2" s="1327"/>
      <c r="F2" s="1327"/>
      <c r="G2" s="1327"/>
      <c r="H2" s="1327"/>
      <c r="I2" s="1327"/>
      <c r="J2" s="1327"/>
    </row>
    <row r="3" spans="1:10" ht="15">
      <c r="A3" s="1330" t="s">
        <v>1379</v>
      </c>
      <c r="B3" s="1331"/>
      <c r="C3" s="1331"/>
      <c r="D3" s="1331"/>
      <c r="E3" s="1331"/>
      <c r="F3" s="1331"/>
      <c r="G3" s="1331"/>
      <c r="H3" s="1331"/>
      <c r="I3" s="1331"/>
      <c r="J3" s="1331"/>
    </row>
    <row r="4" spans="1:10" ht="12.75"/>
    <row r="5" spans="1:10" ht="12.75" customHeight="1">
      <c r="A5" s="1328" t="s">
        <v>2362</v>
      </c>
      <c r="B5" s="1328"/>
      <c r="C5" s="1328"/>
      <c r="D5" s="1328"/>
      <c r="E5" s="1328"/>
      <c r="F5" s="1328"/>
      <c r="G5" s="1328"/>
      <c r="H5" s="1328"/>
      <c r="I5" s="1328"/>
      <c r="J5" s="1328"/>
    </row>
    <row r="6" spans="1:10" ht="12.75">
      <c r="A6" s="1328"/>
      <c r="B6" s="1328"/>
      <c r="C6" s="1328"/>
      <c r="D6" s="1328"/>
      <c r="E6" s="1328"/>
      <c r="F6" s="1328"/>
      <c r="G6" s="1328"/>
      <c r="H6" s="1328"/>
      <c r="I6" s="1328"/>
      <c r="J6" s="1328"/>
    </row>
    <row r="7" spans="1:10" ht="30" customHeight="1">
      <c r="A7" s="1328"/>
      <c r="B7" s="1328"/>
      <c r="C7" s="1328"/>
      <c r="D7" s="1328"/>
      <c r="E7" s="1328"/>
      <c r="F7" s="1328"/>
      <c r="G7" s="1328"/>
      <c r="H7" s="1328"/>
      <c r="I7" s="1328"/>
      <c r="J7" s="1328"/>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32" t="s">
        <v>2066</v>
      </c>
      <c r="B11" s="1332"/>
      <c r="C11" s="1332"/>
      <c r="D11" s="1332"/>
      <c r="E11" s="1332"/>
      <c r="F11" s="1332"/>
      <c r="G11" s="1332"/>
      <c r="H11" s="1332"/>
      <c r="I11" s="1332"/>
      <c r="J11" s="1332"/>
    </row>
    <row r="12" spans="1:10" ht="12.75">
      <c r="A12" s="1332"/>
      <c r="B12" s="1332"/>
      <c r="C12" s="1332"/>
      <c r="D12" s="1332"/>
      <c r="E12" s="1332"/>
      <c r="F12" s="1332"/>
      <c r="G12" s="1332"/>
      <c r="H12" s="1332"/>
      <c r="I12" s="1332"/>
      <c r="J12" s="1332"/>
    </row>
    <row r="13" spans="1:10" ht="12.75">
      <c r="A13" s="1332"/>
      <c r="B13" s="1332"/>
      <c r="C13" s="1332"/>
      <c r="D13" s="1332"/>
      <c r="E13" s="1332"/>
      <c r="F13" s="1332"/>
      <c r="G13" s="1332"/>
      <c r="H13" s="1332"/>
      <c r="I13" s="1332"/>
      <c r="J13" s="1332"/>
    </row>
    <row r="14" spans="1:10" ht="12.75">
      <c r="A14" s="1332"/>
      <c r="B14" s="1332"/>
      <c r="C14" s="1332"/>
      <c r="D14" s="1332"/>
      <c r="E14" s="1332"/>
      <c r="F14" s="1332"/>
      <c r="G14" s="1332"/>
      <c r="H14" s="1332"/>
      <c r="I14" s="1332"/>
      <c r="J14" s="1332"/>
    </row>
    <row r="15" spans="1:10" ht="12.75">
      <c r="A15" s="1332"/>
      <c r="B15" s="1332"/>
      <c r="C15" s="1332"/>
      <c r="D15" s="1332"/>
      <c r="E15" s="1332"/>
      <c r="F15" s="1332"/>
      <c r="G15" s="1332"/>
      <c r="H15" s="1332"/>
      <c r="I15" s="1332"/>
      <c r="J15" s="1332"/>
    </row>
    <row r="16" spans="1:10" ht="12.75">
      <c r="A16" s="1332"/>
      <c r="B16" s="1332"/>
      <c r="C16" s="1332"/>
      <c r="D16" s="1332"/>
      <c r="E16" s="1332"/>
      <c r="F16" s="1332"/>
      <c r="G16" s="1332"/>
      <c r="H16" s="1332"/>
      <c r="I16" s="1332"/>
      <c r="J16" s="1332"/>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31" t="s">
        <v>1296</v>
      </c>
      <c r="B20" s="1331"/>
      <c r="C20" s="1331"/>
      <c r="D20" s="1331"/>
      <c r="E20" s="133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8" t="s">
        <v>1297</v>
      </c>
      <c r="B57" s="1328"/>
      <c r="C57" s="1328"/>
      <c r="D57" s="1328"/>
      <c r="E57" s="1328"/>
      <c r="F57" s="1328"/>
      <c r="G57" s="1328"/>
      <c r="H57" s="1328"/>
      <c r="I57" s="1328"/>
      <c r="J57" s="1328"/>
    </row>
    <row r="58" spans="1:10" ht="12.75">
      <c r="A58" s="1328"/>
      <c r="B58" s="1328"/>
      <c r="C58" s="1328"/>
      <c r="D58" s="1328"/>
      <c r="E58" s="1328"/>
      <c r="F58" s="1328"/>
      <c r="G58" s="1328"/>
      <c r="H58" s="1328"/>
      <c r="I58" s="1328"/>
      <c r="J58" s="1328"/>
    </row>
    <row r="59" spans="1:10" ht="12.75">
      <c r="A59" s="1328"/>
      <c r="B59" s="1328"/>
      <c r="C59" s="1328"/>
      <c r="D59" s="1328"/>
      <c r="E59" s="1328"/>
      <c r="F59" s="1328"/>
      <c r="G59" s="1328"/>
      <c r="H59" s="1328"/>
      <c r="I59" s="1328"/>
      <c r="J59" s="1328"/>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9" t="s">
        <v>2062</v>
      </c>
      <c r="B72" s="1329"/>
      <c r="C72" s="1329"/>
      <c r="D72" s="1329"/>
      <c r="E72" s="1329"/>
      <c r="F72" s="1329"/>
      <c r="G72" s="1329"/>
      <c r="H72" s="1329"/>
      <c r="I72" s="1329"/>
    </row>
    <row r="73" spans="1:9" ht="12.75">
      <c r="A73" s="1281" t="s">
        <v>2360</v>
      </c>
      <c r="B73" s="1281"/>
      <c r="C73" s="1281"/>
      <c r="D73" s="1281"/>
      <c r="E73" s="1281"/>
    </row>
    <row r="74" spans="1:9" ht="12.75">
      <c r="A74" s="1281" t="s">
        <v>2361</v>
      </c>
      <c r="B74" s="1281"/>
      <c r="C74" s="1281"/>
      <c r="D74" s="1281"/>
      <c r="E74" s="1281"/>
    </row>
    <row r="75" spans="1:9" ht="12.75">
      <c r="A75" s="1281" t="s">
        <v>2063</v>
      </c>
      <c r="B75" s="1281"/>
      <c r="C75" s="1281"/>
      <c r="D75" s="1281"/>
      <c r="E75" s="128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16" workbookViewId="0">
      <selection activeCell="D842" sqref="D842:F84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8" t="s">
        <v>2584</v>
      </c>
      <c r="B2" s="1358"/>
      <c r="C2" s="1358"/>
      <c r="D2" s="1358"/>
      <c r="E2" s="1358"/>
      <c r="F2" s="1358"/>
      <c r="G2" s="1358"/>
      <c r="H2" s="1358"/>
      <c r="I2" s="1358"/>
    </row>
    <row r="3" spans="1:13">
      <c r="A3" s="1346" t="s">
        <v>2630</v>
      </c>
      <c r="B3" s="1346"/>
      <c r="C3" s="1346"/>
      <c r="D3" s="1346"/>
      <c r="E3" s="1346"/>
      <c r="F3" s="1346"/>
      <c r="G3" s="1346"/>
      <c r="H3" s="1346"/>
      <c r="I3" s="1346"/>
    </row>
    <row r="4" spans="1:13">
      <c r="A4" s="1346"/>
      <c r="B4" s="1346"/>
      <c r="C4" s="1331"/>
      <c r="D4" s="1331"/>
      <c r="E4" s="1331"/>
      <c r="F4" s="1331"/>
      <c r="G4" s="1331"/>
    </row>
    <row r="5" spans="1:13">
      <c r="A5" s="1346"/>
      <c r="B5" s="1346"/>
      <c r="C5" s="1331"/>
      <c r="D5" s="1331"/>
      <c r="E5" s="1331"/>
      <c r="F5" s="1331"/>
      <c r="G5" s="1331"/>
    </row>
    <row r="6" spans="1:13" ht="12.75" customHeight="1">
      <c r="A6" s="1349" t="s">
        <v>2629</v>
      </c>
      <c r="B6" s="1349"/>
      <c r="C6" s="1349"/>
      <c r="D6" s="1349"/>
      <c r="E6" s="1349"/>
      <c r="F6" s="1349"/>
      <c r="G6" s="1349"/>
      <c r="I6" s="524" t="s">
        <v>2072</v>
      </c>
    </row>
    <row r="7" spans="1:13">
      <c r="A7" s="1349"/>
      <c r="B7" s="1349"/>
      <c r="C7" s="1349"/>
      <c r="D7" s="1349"/>
      <c r="E7" s="1349"/>
      <c r="F7" s="1349"/>
      <c r="G7" s="1349"/>
      <c r="I7" s="524" t="s">
        <v>2073</v>
      </c>
    </row>
    <row r="8" spans="1:13">
      <c r="A8" s="515"/>
      <c r="B8" s="515"/>
      <c r="C8" s="516"/>
      <c r="D8" s="516"/>
      <c r="E8" s="516"/>
      <c r="F8" s="516"/>
    </row>
    <row r="9" spans="1:13">
      <c r="A9" s="1290" t="s">
        <v>1169</v>
      </c>
      <c r="B9" s="1290"/>
      <c r="C9" s="1290"/>
      <c r="D9" s="1290"/>
      <c r="E9" s="1290"/>
      <c r="F9" s="1290"/>
      <c r="G9" s="1290"/>
      <c r="H9" s="1063"/>
      <c r="I9" s="1064"/>
    </row>
    <row r="10" spans="1:13">
      <c r="A10" s="516"/>
      <c r="B10" s="516"/>
      <c r="E10" s="435"/>
    </row>
    <row r="11" spans="1:13" ht="13.7" customHeight="1">
      <c r="C11" s="516"/>
      <c r="D11" s="1348" t="s">
        <v>1168</v>
      </c>
      <c r="E11" s="1348"/>
      <c r="F11" s="1348"/>
    </row>
    <row r="12" spans="1:13">
      <c r="C12" s="516"/>
      <c r="D12" s="1348"/>
      <c r="E12" s="1348"/>
      <c r="F12" s="1348"/>
    </row>
    <row r="13" spans="1:13">
      <c r="A13" s="517"/>
      <c r="B13" s="517"/>
      <c r="C13" s="517"/>
      <c r="D13" s="1303" t="s">
        <v>1151</v>
      </c>
      <c r="E13" s="1303"/>
      <c r="F13" s="1303"/>
      <c r="M13" s="96"/>
    </row>
    <row r="14" spans="1:13">
      <c r="A14" s="517"/>
      <c r="B14" s="517"/>
      <c r="C14" s="517"/>
      <c r="D14" s="510"/>
      <c r="L14" s="336"/>
    </row>
    <row r="15" spans="1:13" ht="14.25">
      <c r="A15" s="518"/>
      <c r="B15" s="519" t="s">
        <v>2761</v>
      </c>
      <c r="C15" s="517"/>
      <c r="D15" s="1302" t="s">
        <v>2223</v>
      </c>
      <c r="E15" s="1302"/>
      <c r="F15" s="1302"/>
      <c r="I15" s="524" t="s">
        <v>2074</v>
      </c>
    </row>
    <row r="16" spans="1:13">
      <c r="A16" s="517"/>
      <c r="B16" s="517"/>
      <c r="C16" s="517"/>
      <c r="D16" s="1302"/>
      <c r="E16" s="1302"/>
      <c r="F16" s="1302"/>
      <c r="I16" s="524"/>
    </row>
    <row r="17" spans="1:9">
      <c r="A17" s="517"/>
      <c r="B17" s="517"/>
      <c r="C17" s="517"/>
      <c r="D17" s="1302"/>
      <c r="E17" s="1302"/>
      <c r="F17" s="1302"/>
      <c r="I17" s="524"/>
    </row>
    <row r="18" spans="1:9">
      <c r="A18" s="517"/>
      <c r="B18" s="517"/>
      <c r="C18" s="517"/>
      <c r="D18" s="479"/>
      <c r="E18" s="336" t="s">
        <v>2221</v>
      </c>
      <c r="F18" s="479"/>
      <c r="I18" s="524"/>
    </row>
    <row r="19" spans="1:9">
      <c r="A19" s="517"/>
      <c r="B19" s="517"/>
      <c r="C19" s="517"/>
      <c r="I19" s="524"/>
    </row>
    <row r="20" spans="1:9" ht="14.25">
      <c r="A20" s="518"/>
      <c r="B20" s="519" t="s">
        <v>2761</v>
      </c>
      <c r="D20" s="1302" t="s">
        <v>2224</v>
      </c>
      <c r="E20" s="1302"/>
      <c r="F20" s="1302"/>
      <c r="I20" s="524" t="s">
        <v>2075</v>
      </c>
    </row>
    <row r="21" spans="1:9" ht="14.25">
      <c r="A21" s="518"/>
      <c r="D21" s="1302"/>
      <c r="E21" s="1302"/>
      <c r="F21" s="1302"/>
      <c r="I21" s="524"/>
    </row>
    <row r="22" spans="1:9" ht="14.25">
      <c r="A22" s="518"/>
      <c r="D22" s="423"/>
      <c r="E22" s="96" t="s">
        <v>2220</v>
      </c>
      <c r="F22" s="423"/>
      <c r="I22" s="524"/>
    </row>
    <row r="23" spans="1:9" ht="14.25">
      <c r="A23" s="518"/>
      <c r="B23" s="518"/>
      <c r="D23" s="480"/>
      <c r="I23" s="524"/>
    </row>
    <row r="24" spans="1:9" ht="14.25">
      <c r="A24" s="518"/>
      <c r="B24" s="519" t="s">
        <v>308</v>
      </c>
      <c r="D24" s="1302" t="s">
        <v>1154</v>
      </c>
      <c r="E24" s="1302"/>
      <c r="F24" s="1302"/>
      <c r="I24" s="524" t="s">
        <v>2075</v>
      </c>
    </row>
    <row r="25" spans="1:9" ht="14.25">
      <c r="A25" s="518"/>
      <c r="B25" s="518"/>
      <c r="D25" s="1302"/>
      <c r="E25" s="1302"/>
      <c r="F25" s="1302"/>
      <c r="I25" s="524"/>
    </row>
    <row r="26" spans="1:9">
      <c r="I26" s="524"/>
    </row>
    <row r="27" spans="1:9" ht="14.25">
      <c r="A27" s="518"/>
      <c r="B27" s="519" t="s">
        <v>2761</v>
      </c>
      <c r="D27" s="1302" t="s">
        <v>2363</v>
      </c>
      <c r="E27" s="1302"/>
      <c r="F27" s="1302"/>
      <c r="I27" s="524" t="s">
        <v>2078</v>
      </c>
    </row>
    <row r="28" spans="1:9">
      <c r="D28" s="1302"/>
      <c r="E28" s="1302"/>
      <c r="F28" s="1302"/>
      <c r="I28" s="524"/>
    </row>
    <row r="29" spans="1:9">
      <c r="D29" s="1302"/>
      <c r="E29" s="1302"/>
      <c r="F29" s="1302"/>
      <c r="I29" s="524"/>
    </row>
    <row r="30" spans="1:9">
      <c r="D30" s="1302"/>
      <c r="E30" s="1302"/>
      <c r="F30" s="1302"/>
      <c r="I30" s="524"/>
    </row>
    <row r="31" spans="1:9">
      <c r="D31" s="1302"/>
      <c r="E31" s="1302"/>
      <c r="F31" s="1302"/>
      <c r="I31" s="524"/>
    </row>
    <row r="32" spans="1:9">
      <c r="D32" s="481"/>
      <c r="I32" s="524"/>
    </row>
    <row r="33" spans="1:9">
      <c r="B33" s="519" t="s">
        <v>308</v>
      </c>
      <c r="D33" s="1302" t="s">
        <v>2364</v>
      </c>
      <c r="E33" s="1302"/>
      <c r="F33" s="1302"/>
      <c r="I33" s="524" t="s">
        <v>2074</v>
      </c>
    </row>
    <row r="34" spans="1:9">
      <c r="D34" s="1302"/>
      <c r="E34" s="1302"/>
      <c r="F34" s="1302"/>
      <c r="I34" s="524"/>
    </row>
    <row r="35" spans="1:9" ht="14.25">
      <c r="A35" s="518"/>
      <c r="B35" s="518"/>
      <c r="D35" s="481"/>
      <c r="I35" s="524"/>
    </row>
    <row r="36" spans="1:9" ht="14.45" customHeight="1">
      <c r="A36" s="518"/>
      <c r="B36" s="519" t="s">
        <v>2761</v>
      </c>
      <c r="D36" s="1302" t="s">
        <v>1321</v>
      </c>
      <c r="E36" s="1302"/>
      <c r="F36" s="1302"/>
      <c r="I36" s="524" t="s">
        <v>2145</v>
      </c>
    </row>
    <row r="37" spans="1:9" ht="14.25">
      <c r="A37" s="518"/>
      <c r="B37" s="518"/>
      <c r="D37" s="1302"/>
      <c r="E37" s="1302"/>
      <c r="F37" s="1302"/>
      <c r="I37" s="524"/>
    </row>
    <row r="38" spans="1:9" ht="14.25">
      <c r="A38" s="518"/>
      <c r="B38" s="518"/>
      <c r="D38" s="1302"/>
      <c r="E38" s="1302"/>
      <c r="F38" s="1302"/>
      <c r="I38" s="524"/>
    </row>
    <row r="39" spans="1:9" ht="14.25">
      <c r="A39" s="518"/>
      <c r="B39" s="518"/>
      <c r="D39" s="1302"/>
      <c r="E39" s="1302"/>
      <c r="F39" s="1302"/>
      <c r="I39" s="524"/>
    </row>
    <row r="40" spans="1:9" ht="14.25">
      <c r="A40" s="518"/>
      <c r="B40" s="518"/>
      <c r="I40" s="524"/>
    </row>
    <row r="41" spans="1:9" ht="14.25">
      <c r="A41" s="518"/>
      <c r="B41" s="519" t="s">
        <v>308</v>
      </c>
      <c r="D41" s="1302" t="s">
        <v>1158</v>
      </c>
      <c r="E41" s="1302"/>
      <c r="F41" s="1302"/>
      <c r="I41" s="524"/>
    </row>
    <row r="42" spans="1:9" ht="14.25">
      <c r="A42" s="518"/>
      <c r="B42" s="518"/>
      <c r="D42" s="1302"/>
      <c r="E42" s="1302"/>
      <c r="F42" s="1302"/>
      <c r="I42" s="524"/>
    </row>
    <row r="43" spans="1:9" ht="14.25">
      <c r="A43" s="518"/>
      <c r="B43" s="518"/>
      <c r="D43" s="1302"/>
      <c r="E43" s="1302"/>
      <c r="F43" s="1302"/>
      <c r="I43" s="524"/>
    </row>
    <row r="44" spans="1:9" ht="14.25">
      <c r="A44" s="518"/>
      <c r="B44" s="518"/>
      <c r="D44" s="1302"/>
      <c r="E44" s="1302"/>
      <c r="F44" s="1302"/>
      <c r="I44" s="524"/>
    </row>
    <row r="45" spans="1:9" ht="14.25">
      <c r="A45" s="518"/>
      <c r="B45" s="518"/>
      <c r="D45" s="1302"/>
      <c r="E45" s="1302"/>
      <c r="F45" s="1302"/>
      <c r="I45" s="524"/>
    </row>
    <row r="46" spans="1:9" ht="14.25">
      <c r="A46" s="518"/>
      <c r="B46" s="518"/>
      <c r="D46" s="479"/>
      <c r="E46" s="479"/>
      <c r="F46" s="479"/>
      <c r="I46" s="524"/>
    </row>
    <row r="47" spans="1:9" ht="14.25">
      <c r="A47" s="518"/>
      <c r="B47" s="519" t="s">
        <v>308</v>
      </c>
      <c r="D47" s="1302" t="s">
        <v>1159</v>
      </c>
      <c r="E47" s="1302"/>
      <c r="F47" s="1302"/>
      <c r="I47" s="524" t="s">
        <v>2145</v>
      </c>
    </row>
    <row r="48" spans="1:9" ht="14.25">
      <c r="A48" s="518"/>
      <c r="B48" s="518"/>
      <c r="D48" s="1302"/>
      <c r="E48" s="1302"/>
      <c r="F48" s="1302"/>
      <c r="I48" s="524"/>
    </row>
    <row r="49" spans="1:9" ht="14.25">
      <c r="A49" s="518"/>
      <c r="B49" s="518"/>
      <c r="D49" s="1302"/>
      <c r="E49" s="1302"/>
      <c r="F49" s="1302"/>
      <c r="I49" s="524"/>
    </row>
    <row r="50" spans="1:9" ht="23.25" customHeight="1">
      <c r="A50" s="518"/>
      <c r="B50" s="518"/>
      <c r="D50" s="1302"/>
      <c r="E50" s="1302"/>
      <c r="F50" s="1302"/>
      <c r="I50" s="524"/>
    </row>
    <row r="51" spans="1:9" ht="14.25">
      <c r="A51" s="518"/>
      <c r="B51" s="518"/>
      <c r="D51" s="480"/>
      <c r="I51" s="524"/>
    </row>
    <row r="52" spans="1:9" ht="14.45" customHeight="1">
      <c r="A52" s="518"/>
      <c r="B52" s="519" t="s">
        <v>2761</v>
      </c>
      <c r="D52" s="1302" t="s">
        <v>1160</v>
      </c>
      <c r="E52" s="1302"/>
      <c r="F52" s="1302"/>
      <c r="I52" s="524" t="s">
        <v>2145</v>
      </c>
    </row>
    <row r="53" spans="1:9" ht="14.25">
      <c r="A53" s="518"/>
      <c r="B53" s="518"/>
      <c r="D53" s="1302"/>
      <c r="E53" s="1302"/>
      <c r="F53" s="1302"/>
      <c r="I53" s="524"/>
    </row>
    <row r="54" spans="1:9" ht="14.25">
      <c r="A54" s="518"/>
      <c r="B54" s="518"/>
      <c r="D54" s="1302"/>
      <c r="E54" s="1302"/>
      <c r="F54" s="1302"/>
      <c r="I54" s="524"/>
    </row>
    <row r="55" spans="1:9" ht="14.25">
      <c r="A55" s="518"/>
      <c r="B55" s="518"/>
      <c r="I55" s="524"/>
    </row>
    <row r="56" spans="1:9" ht="14.25">
      <c r="A56" s="518"/>
      <c r="B56" s="519" t="s">
        <v>308</v>
      </c>
      <c r="D56" s="1351" t="s">
        <v>1161</v>
      </c>
      <c r="E56" s="1351"/>
      <c r="F56" s="1351"/>
      <c r="I56" s="524"/>
    </row>
    <row r="57" spans="1:9" ht="14.25">
      <c r="A57" s="518"/>
      <c r="B57" s="518"/>
      <c r="D57" s="1351"/>
      <c r="E57" s="1351"/>
      <c r="F57" s="1351"/>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308</v>
      </c>
      <c r="D61" s="1302" t="s">
        <v>1162</v>
      </c>
      <c r="E61" s="1302"/>
      <c r="F61" s="1302"/>
      <c r="I61" s="524" t="s">
        <v>2076</v>
      </c>
    </row>
    <row r="62" spans="1:9">
      <c r="D62" s="1302"/>
      <c r="E62" s="1302"/>
      <c r="F62" s="1302"/>
      <c r="I62" s="524"/>
    </row>
    <row r="63" spans="1:9">
      <c r="D63" s="1302"/>
      <c r="E63" s="1302"/>
      <c r="F63" s="1302"/>
      <c r="I63" s="524"/>
    </row>
    <row r="64" spans="1:9">
      <c r="I64" s="524"/>
    </row>
    <row r="65" spans="1:9" ht="14.25">
      <c r="A65" s="518"/>
      <c r="B65" s="519" t="s">
        <v>308</v>
      </c>
      <c r="D65" s="1302" t="s">
        <v>1163</v>
      </c>
      <c r="E65" s="1302"/>
      <c r="F65" s="1302"/>
      <c r="I65" s="524" t="s">
        <v>2077</v>
      </c>
    </row>
    <row r="66" spans="1:9">
      <c r="D66" s="1302"/>
      <c r="E66" s="1302"/>
      <c r="F66" s="1302"/>
      <c r="I66" s="524"/>
    </row>
    <row r="67" spans="1:9">
      <c r="I67" s="524"/>
    </row>
    <row r="68" spans="1:9" ht="14.25">
      <c r="A68" s="518"/>
      <c r="B68" s="519" t="s">
        <v>308</v>
      </c>
      <c r="D68" s="1302" t="s">
        <v>1164</v>
      </c>
      <c r="E68" s="1302"/>
      <c r="F68" s="1302"/>
      <c r="I68" s="524"/>
    </row>
    <row r="69" spans="1:9">
      <c r="D69" s="1302"/>
      <c r="E69" s="1302"/>
      <c r="F69" s="1302"/>
      <c r="I69" s="524" t="s">
        <v>2078</v>
      </c>
    </row>
    <row r="70" spans="1:9">
      <c r="D70" s="1302"/>
      <c r="E70" s="1302"/>
      <c r="F70" s="1302"/>
      <c r="I70" s="524"/>
    </row>
    <row r="71" spans="1:9">
      <c r="I71" s="524"/>
    </row>
    <row r="72" spans="1:9" ht="14.25">
      <c r="A72" s="518"/>
      <c r="B72" s="519" t="s">
        <v>308</v>
      </c>
      <c r="D72" s="1302" t="s">
        <v>1165</v>
      </c>
      <c r="E72" s="1302"/>
      <c r="F72" s="1302"/>
      <c r="I72" s="524" t="s">
        <v>2078</v>
      </c>
    </row>
    <row r="73" spans="1:9">
      <c r="D73" s="1302"/>
      <c r="E73" s="1302"/>
      <c r="F73" s="1302"/>
      <c r="I73" s="524"/>
    </row>
    <row r="74" spans="1:9" ht="14.25">
      <c r="A74" s="518"/>
      <c r="B74" s="518"/>
      <c r="D74" s="480"/>
      <c r="I74" s="524"/>
    </row>
    <row r="75" spans="1:9">
      <c r="A75" s="1290" t="s">
        <v>1072</v>
      </c>
      <c r="B75" s="1290"/>
      <c r="C75" s="1290"/>
      <c r="D75" s="1290"/>
      <c r="E75" s="1290"/>
      <c r="F75" s="1290"/>
      <c r="G75" s="1290"/>
      <c r="H75" s="1063"/>
      <c r="I75" s="1259"/>
    </row>
    <row r="76" spans="1:9">
      <c r="I76" s="524"/>
    </row>
    <row r="77" spans="1:9">
      <c r="C77" s="520"/>
      <c r="D77" s="1304" t="s">
        <v>1170</v>
      </c>
      <c r="E77" s="1304"/>
      <c r="F77" s="1304"/>
      <c r="I77" s="524"/>
    </row>
    <row r="78" spans="1:9">
      <c r="A78" s="480"/>
      <c r="B78" s="480"/>
      <c r="D78" s="1302" t="s">
        <v>1197</v>
      </c>
      <c r="E78" s="1302"/>
      <c r="F78" s="1302"/>
      <c r="I78" s="524"/>
    </row>
    <row r="79" spans="1:9">
      <c r="A79" s="480"/>
      <c r="B79" s="480"/>
      <c r="I79" s="524"/>
    </row>
    <row r="80" spans="1:9" ht="13.7" customHeight="1">
      <c r="A80" s="518"/>
      <c r="B80" s="519" t="s">
        <v>2761</v>
      </c>
      <c r="D80" s="1302" t="s">
        <v>1354</v>
      </c>
      <c r="E80" s="1302"/>
      <c r="F80" s="1302"/>
      <c r="I80" s="524" t="s">
        <v>2079</v>
      </c>
    </row>
    <row r="81" spans="1:9" ht="14.25">
      <c r="A81" s="518"/>
      <c r="B81" s="518"/>
      <c r="D81" s="1302"/>
      <c r="E81" s="1302"/>
      <c r="F81" s="1302"/>
      <c r="I81" s="524"/>
    </row>
    <row r="82" spans="1:9" ht="14.25">
      <c r="A82" s="518"/>
      <c r="B82" s="518"/>
      <c r="D82" s="1302"/>
      <c r="E82" s="1302"/>
      <c r="F82" s="1302"/>
      <c r="I82" s="524"/>
    </row>
    <row r="83" spans="1:9" ht="14.25">
      <c r="A83" s="518"/>
      <c r="B83" s="518"/>
      <c r="D83" s="1302"/>
      <c r="E83" s="1302"/>
      <c r="F83" s="1302"/>
      <c r="I83" s="524"/>
    </row>
    <row r="84" spans="1:9" ht="14.25">
      <c r="A84" s="518"/>
      <c r="B84" s="518"/>
      <c r="D84" s="1302"/>
      <c r="E84" s="1302"/>
      <c r="F84" s="1302"/>
      <c r="I84" s="524"/>
    </row>
    <row r="85" spans="1:9" ht="14.25">
      <c r="A85" s="518"/>
      <c r="B85" s="518"/>
      <c r="D85" s="1302"/>
      <c r="E85" s="1302"/>
      <c r="F85" s="1302"/>
      <c r="I85" s="524"/>
    </row>
    <row r="86" spans="1:9" ht="14.25">
      <c r="A86" s="518"/>
      <c r="B86" s="518"/>
      <c r="D86" s="1302"/>
      <c r="E86" s="1302"/>
      <c r="F86" s="1302"/>
      <c r="I86" s="524"/>
    </row>
    <row r="87" spans="1:9" ht="14.25">
      <c r="A87" s="518"/>
      <c r="B87" s="518"/>
      <c r="D87" s="1302"/>
      <c r="E87" s="1302"/>
      <c r="F87" s="1302"/>
      <c r="I87" s="524"/>
    </row>
    <row r="88" spans="1:9" ht="14.25">
      <c r="A88" s="518"/>
      <c r="B88" s="518"/>
      <c r="D88" s="416"/>
      <c r="E88" s="416"/>
      <c r="F88" s="416"/>
      <c r="I88" s="524"/>
    </row>
    <row r="89" spans="1:9" ht="15" customHeight="1">
      <c r="A89" s="518"/>
      <c r="B89" s="519" t="s">
        <v>2761</v>
      </c>
      <c r="D89" s="1302" t="s">
        <v>1933</v>
      </c>
      <c r="E89" s="1302"/>
      <c r="F89" s="1302"/>
      <c r="I89" s="524" t="s">
        <v>2080</v>
      </c>
    </row>
    <row r="90" spans="1:9" ht="14.25">
      <c r="A90" s="518"/>
      <c r="B90" s="518"/>
      <c r="D90" s="1302"/>
      <c r="E90" s="1302"/>
      <c r="F90" s="1302"/>
      <c r="I90" s="524"/>
    </row>
    <row r="91" spans="1:9" ht="14.25">
      <c r="A91" s="518"/>
      <c r="B91" s="518"/>
      <c r="D91" s="479"/>
      <c r="E91" s="479"/>
      <c r="F91" s="479"/>
      <c r="I91" s="524"/>
    </row>
    <row r="92" spans="1:9" ht="14.25">
      <c r="A92" s="518"/>
      <c r="B92" s="519" t="s">
        <v>2761</v>
      </c>
      <c r="D92" s="1302" t="s">
        <v>1936</v>
      </c>
      <c r="E92" s="1302"/>
      <c r="F92" s="1302"/>
      <c r="I92" s="524" t="s">
        <v>2081</v>
      </c>
    </row>
    <row r="93" spans="1:9" ht="14.25">
      <c r="A93" s="518"/>
      <c r="B93" s="518"/>
      <c r="D93" s="1302"/>
      <c r="E93" s="1302"/>
      <c r="F93" s="1302"/>
      <c r="I93" s="524"/>
    </row>
    <row r="94" spans="1:9" ht="14.25">
      <c r="A94" s="518"/>
      <c r="B94" s="518"/>
      <c r="D94" s="1302"/>
      <c r="E94" s="1302"/>
      <c r="F94" s="1302"/>
      <c r="I94" s="524"/>
    </row>
    <row r="95" spans="1:9" ht="14.25">
      <c r="A95" s="518"/>
      <c r="B95" s="518"/>
      <c r="D95" s="479"/>
      <c r="E95" s="479"/>
      <c r="F95" s="479"/>
      <c r="I95" s="524"/>
    </row>
    <row r="96" spans="1:9" ht="14.25">
      <c r="A96" s="518"/>
      <c r="B96" s="519" t="s">
        <v>2761</v>
      </c>
      <c r="D96" s="1302" t="s">
        <v>1935</v>
      </c>
      <c r="E96" s="1302"/>
      <c r="F96" s="1302"/>
      <c r="I96" s="524" t="s">
        <v>2126</v>
      </c>
    </row>
    <row r="97" spans="1:9" s="1022" customFormat="1" ht="14.25">
      <c r="A97" s="1020"/>
      <c r="B97" s="1020"/>
      <c r="C97" s="1021"/>
      <c r="D97" s="1302"/>
      <c r="E97" s="1302"/>
      <c r="F97" s="1302"/>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308</v>
      </c>
      <c r="D100" s="1302" t="s">
        <v>1934</v>
      </c>
      <c r="E100" s="1302"/>
      <c r="F100" s="1302"/>
      <c r="I100" s="524" t="s">
        <v>2082</v>
      </c>
    </row>
    <row r="101" spans="1:9" ht="14.25">
      <c r="A101" s="518"/>
      <c r="B101" s="518"/>
      <c r="D101" s="1302"/>
      <c r="E101" s="1302"/>
      <c r="F101" s="1302"/>
      <c r="I101" s="524"/>
    </row>
    <row r="102" spans="1:9" ht="14.25">
      <c r="A102" s="518"/>
      <c r="B102" s="518"/>
      <c r="D102" s="479"/>
      <c r="E102" s="479"/>
      <c r="F102" s="479"/>
      <c r="I102" s="524"/>
    </row>
    <row r="103" spans="1:9" ht="14.45" customHeight="1">
      <c r="A103" s="518"/>
      <c r="B103" s="519" t="s">
        <v>308</v>
      </c>
      <c r="D103" s="1302" t="s">
        <v>1301</v>
      </c>
      <c r="E103" s="1302"/>
      <c r="F103" s="1302"/>
      <c r="I103" s="524" t="s">
        <v>2083</v>
      </c>
    </row>
    <row r="104" spans="1:9" ht="14.25">
      <c r="A104" s="518"/>
      <c r="B104" s="518"/>
      <c r="D104" s="1302"/>
      <c r="E104" s="1302"/>
      <c r="F104" s="1302"/>
      <c r="I104" s="524"/>
    </row>
    <row r="105" spans="1:9" ht="14.25">
      <c r="A105" s="518"/>
      <c r="B105" s="518"/>
      <c r="D105" s="1302"/>
      <c r="E105" s="1302"/>
      <c r="F105" s="1302"/>
      <c r="I105" s="524"/>
    </row>
    <row r="106" spans="1:9" ht="14.25">
      <c r="A106" s="518"/>
      <c r="B106" s="518"/>
      <c r="D106" s="1302"/>
      <c r="E106" s="1302"/>
      <c r="F106" s="1302"/>
      <c r="I106" s="524"/>
    </row>
    <row r="107" spans="1:9" ht="14.25">
      <c r="A107" s="518"/>
      <c r="B107" s="518"/>
      <c r="D107" s="1302"/>
      <c r="E107" s="1302"/>
      <c r="F107" s="1302"/>
      <c r="I107" s="524"/>
    </row>
    <row r="108" spans="1:9" ht="14.25">
      <c r="A108" s="518"/>
      <c r="B108" s="518"/>
      <c r="D108" s="1302"/>
      <c r="E108" s="1302"/>
      <c r="F108" s="1302"/>
      <c r="I108" s="524"/>
    </row>
    <row r="109" spans="1:9" ht="14.25">
      <c r="A109" s="518"/>
      <c r="B109" s="518"/>
      <c r="D109" s="1302"/>
      <c r="E109" s="1302"/>
      <c r="F109" s="1302"/>
      <c r="I109" s="524"/>
    </row>
    <row r="110" spans="1:9" ht="14.25">
      <c r="A110" s="518"/>
      <c r="B110" s="518"/>
      <c r="D110" s="1302"/>
      <c r="E110" s="1302"/>
      <c r="F110" s="1302"/>
      <c r="I110" s="524"/>
    </row>
    <row r="111" spans="1:9" ht="14.25">
      <c r="A111" s="518"/>
      <c r="B111" s="518"/>
      <c r="D111" s="1302"/>
      <c r="E111" s="1302"/>
      <c r="F111" s="1302"/>
      <c r="I111" s="524"/>
    </row>
    <row r="112" spans="1:9" ht="14.25">
      <c r="A112" s="518"/>
      <c r="B112" s="518"/>
      <c r="D112" s="1302"/>
      <c r="E112" s="1302"/>
      <c r="F112" s="1302"/>
      <c r="I112" s="524"/>
    </row>
    <row r="113" spans="1:9" ht="14.25">
      <c r="A113" s="518"/>
      <c r="B113" s="518"/>
      <c r="D113" s="1302"/>
      <c r="E113" s="1302"/>
      <c r="F113" s="1302"/>
      <c r="I113" s="524"/>
    </row>
    <row r="114" spans="1:9" ht="14.25">
      <c r="A114" s="518"/>
      <c r="B114" s="518"/>
      <c r="D114" s="1302"/>
      <c r="E114" s="1302"/>
      <c r="F114" s="1302"/>
      <c r="I114" s="524"/>
    </row>
    <row r="115" spans="1:9" ht="14.25">
      <c r="A115" s="518"/>
      <c r="B115" s="518"/>
      <c r="D115" s="1302"/>
      <c r="E115" s="1302"/>
      <c r="F115" s="1302"/>
      <c r="I115" s="524"/>
    </row>
    <row r="116" spans="1:9" ht="14.25">
      <c r="A116" s="518"/>
      <c r="B116" s="518"/>
      <c r="D116" s="1302"/>
      <c r="E116" s="1302"/>
      <c r="F116" s="1302"/>
      <c r="I116" s="524"/>
    </row>
    <row r="117" spans="1:9" ht="14.25">
      <c r="A117" s="518"/>
      <c r="B117" s="518"/>
      <c r="D117" s="1302"/>
      <c r="E117" s="1302"/>
      <c r="F117" s="1302"/>
      <c r="I117" s="524"/>
    </row>
    <row r="118" spans="1:9" ht="14.25">
      <c r="A118" s="518"/>
      <c r="B118" s="518"/>
      <c r="D118" s="558"/>
      <c r="E118" s="558"/>
      <c r="F118" s="558"/>
      <c r="I118" s="524"/>
    </row>
    <row r="119" spans="1:9" ht="14.25" customHeight="1">
      <c r="A119" s="518"/>
      <c r="B119" s="519" t="s">
        <v>308</v>
      </c>
      <c r="D119" s="1313" t="s">
        <v>1172</v>
      </c>
      <c r="E119" s="1313"/>
      <c r="F119" s="1313"/>
      <c r="I119" s="524"/>
    </row>
    <row r="120" spans="1:9" ht="14.25">
      <c r="A120" s="518"/>
      <c r="B120" s="518"/>
      <c r="D120" s="1313"/>
      <c r="E120" s="1313"/>
      <c r="F120" s="1313"/>
      <c r="I120" s="524"/>
    </row>
    <row r="121" spans="1:9" ht="14.25">
      <c r="A121" s="518"/>
      <c r="B121" s="518"/>
      <c r="D121" s="1313"/>
      <c r="E121" s="1313"/>
      <c r="F121" s="1313"/>
      <c r="I121" s="524"/>
    </row>
    <row r="122" spans="1:9" ht="14.25">
      <c r="A122" s="518"/>
      <c r="B122" s="518"/>
      <c r="D122" s="1313"/>
      <c r="E122" s="1313"/>
      <c r="F122" s="1313"/>
      <c r="I122" s="524"/>
    </row>
    <row r="123" spans="1:9" ht="14.25">
      <c r="A123" s="518"/>
      <c r="B123" s="518"/>
      <c r="D123" s="1313"/>
      <c r="E123" s="1313"/>
      <c r="F123" s="1313"/>
      <c r="I123" s="524"/>
    </row>
    <row r="124" spans="1:9" ht="14.25">
      <c r="A124" s="518"/>
      <c r="B124" s="518"/>
      <c r="D124" s="1313"/>
      <c r="E124" s="1313"/>
      <c r="F124" s="1313"/>
      <c r="I124" s="524"/>
    </row>
    <row r="125" spans="1:9" ht="14.25">
      <c r="A125" s="518"/>
      <c r="B125" s="518"/>
      <c r="D125" s="1313"/>
      <c r="E125" s="1313"/>
      <c r="F125" s="1313"/>
      <c r="I125" s="524"/>
    </row>
    <row r="126" spans="1:9" ht="14.25">
      <c r="A126" s="518"/>
      <c r="B126" s="518"/>
      <c r="D126" s="1313"/>
      <c r="E126" s="1313"/>
      <c r="F126" s="1313"/>
      <c r="I126" s="524"/>
    </row>
    <row r="127" spans="1:9">
      <c r="C127" s="433"/>
      <c r="D127" s="559"/>
      <c r="E127" s="559"/>
      <c r="F127" s="559"/>
      <c r="I127" s="524"/>
    </row>
    <row r="128" spans="1:9" ht="14.25">
      <c r="A128" s="518"/>
      <c r="B128" s="519" t="s">
        <v>2761</v>
      </c>
      <c r="C128" s="433"/>
      <c r="D128" s="1313" t="s">
        <v>2365</v>
      </c>
      <c r="E128" s="1313"/>
      <c r="F128" s="1313"/>
      <c r="I128" s="524" t="s">
        <v>2084</v>
      </c>
    </row>
    <row r="129" spans="1:9" ht="14.25">
      <c r="A129" s="518"/>
      <c r="B129" s="518"/>
      <c r="C129" s="433"/>
      <c r="D129" s="1313"/>
      <c r="E129" s="1313"/>
      <c r="F129" s="1313"/>
      <c r="I129" s="524"/>
    </row>
    <row r="130" spans="1:9">
      <c r="I130" s="524"/>
    </row>
    <row r="131" spans="1:9" ht="14.25">
      <c r="A131" s="518"/>
      <c r="B131" s="519" t="s">
        <v>2761</v>
      </c>
      <c r="D131" s="1302" t="s">
        <v>1175</v>
      </c>
      <c r="E131" s="1302"/>
      <c r="F131" s="1302"/>
      <c r="I131" s="524" t="s">
        <v>2084</v>
      </c>
    </row>
    <row r="132" spans="1:9">
      <c r="D132" s="1302"/>
      <c r="E132" s="1302"/>
      <c r="F132" s="1302"/>
      <c r="I132" s="524"/>
    </row>
    <row r="133" spans="1:9">
      <c r="D133" s="1302"/>
      <c r="E133" s="1302"/>
      <c r="F133" s="1302"/>
      <c r="I133" s="524"/>
    </row>
    <row r="134" spans="1:9">
      <c r="D134" s="1302"/>
      <c r="E134" s="1302"/>
      <c r="F134" s="1302"/>
      <c r="I134" s="524"/>
    </row>
    <row r="135" spans="1:9">
      <c r="D135" s="1302"/>
      <c r="E135" s="1302"/>
      <c r="F135" s="1302"/>
      <c r="I135" s="524"/>
    </row>
    <row r="136" spans="1:9">
      <c r="I136" s="524"/>
    </row>
    <row r="137" spans="1:9" ht="14.25">
      <c r="A137" s="518"/>
      <c r="B137" s="519" t="s">
        <v>2761</v>
      </c>
      <c r="D137" s="1302" t="s">
        <v>1176</v>
      </c>
      <c r="E137" s="1302"/>
      <c r="F137" s="1302"/>
      <c r="I137" s="524" t="s">
        <v>2085</v>
      </c>
    </row>
    <row r="138" spans="1:9" s="448" customFormat="1" ht="13.7" customHeight="1">
      <c r="A138" s="522"/>
      <c r="B138" s="522"/>
      <c r="C138" s="522"/>
      <c r="D138" s="1302"/>
      <c r="E138" s="1302"/>
      <c r="F138" s="1302"/>
      <c r="I138" s="1261"/>
    </row>
    <row r="139" spans="1:9" ht="13.7" customHeight="1">
      <c r="D139" s="1302"/>
      <c r="E139" s="1302"/>
      <c r="F139" s="1302"/>
      <c r="I139" s="524"/>
    </row>
    <row r="140" spans="1:9" ht="13.7" customHeight="1">
      <c r="D140" s="1302"/>
      <c r="E140" s="1302"/>
      <c r="F140" s="1302"/>
      <c r="I140" s="524"/>
    </row>
    <row r="141" spans="1:9" ht="13.7" customHeight="1">
      <c r="D141" s="1302"/>
      <c r="E141" s="1302"/>
      <c r="F141" s="1302"/>
      <c r="I141" s="524"/>
    </row>
    <row r="142" spans="1:9" ht="13.7" customHeight="1">
      <c r="A142" s="523"/>
      <c r="B142" s="523"/>
      <c r="D142" s="1302"/>
      <c r="E142" s="1302"/>
      <c r="F142" s="1302"/>
      <c r="I142" s="524"/>
    </row>
    <row r="143" spans="1:9" ht="13.7" customHeight="1">
      <c r="D143" s="1302"/>
      <c r="E143" s="1302"/>
      <c r="F143" s="1302"/>
      <c r="I143" s="524"/>
    </row>
    <row r="144" spans="1:9" ht="13.7" customHeight="1">
      <c r="D144" s="1302"/>
      <c r="E144" s="1302"/>
      <c r="F144" s="1302"/>
      <c r="I144" s="524"/>
    </row>
    <row r="145" spans="2:9" ht="13.7" customHeight="1">
      <c r="D145" s="1302"/>
      <c r="E145" s="1302"/>
      <c r="F145" s="1302"/>
      <c r="I145" s="524"/>
    </row>
    <row r="146" spans="2:9" ht="13.7" customHeight="1">
      <c r="D146" s="1302"/>
      <c r="E146" s="1302"/>
      <c r="F146" s="1302"/>
      <c r="I146" s="524"/>
    </row>
    <row r="147" spans="2:9" ht="13.7" customHeight="1">
      <c r="D147" s="1302"/>
      <c r="E147" s="1302"/>
      <c r="F147" s="1302"/>
      <c r="I147" s="524"/>
    </row>
    <row r="148" spans="2:9" ht="13.7" customHeight="1">
      <c r="D148" s="1302"/>
      <c r="E148" s="1302"/>
      <c r="F148" s="1302"/>
      <c r="I148" s="524"/>
    </row>
    <row r="149" spans="2:9" ht="13.7" customHeight="1">
      <c r="D149" s="1302"/>
      <c r="E149" s="1302"/>
      <c r="F149" s="1302"/>
      <c r="I149" s="524"/>
    </row>
    <row r="150" spans="2:9" ht="13.7" customHeight="1">
      <c r="D150" s="510"/>
      <c r="E150" s="480"/>
      <c r="F150" s="480"/>
      <c r="I150" s="524"/>
    </row>
    <row r="151" spans="2:9" ht="13.7" customHeight="1">
      <c r="B151" s="519" t="s">
        <v>308</v>
      </c>
      <c r="D151" s="1302" t="s">
        <v>1284</v>
      </c>
      <c r="E151" s="1302"/>
      <c r="F151" s="1302"/>
      <c r="I151" s="524" t="s">
        <v>2086</v>
      </c>
    </row>
    <row r="152" spans="2:9" ht="13.7" customHeight="1">
      <c r="D152" s="1302"/>
      <c r="E152" s="1302"/>
      <c r="F152" s="1302"/>
      <c r="I152" s="524"/>
    </row>
    <row r="153" spans="2:9" ht="13.7" customHeight="1">
      <c r="D153" s="1302"/>
      <c r="E153" s="1302"/>
      <c r="F153" s="1302"/>
      <c r="I153" s="524"/>
    </row>
    <row r="154" spans="2:9" ht="13.7" customHeight="1">
      <c r="D154" s="1302"/>
      <c r="E154" s="1302"/>
      <c r="F154" s="1302"/>
      <c r="I154" s="524"/>
    </row>
    <row r="155" spans="2:9" ht="13.7" customHeight="1">
      <c r="D155" s="1302"/>
      <c r="E155" s="1302"/>
      <c r="F155" s="1302"/>
      <c r="I155" s="524"/>
    </row>
    <row r="156" spans="2:9" ht="13.7" customHeight="1">
      <c r="D156" s="1302"/>
      <c r="E156" s="1302"/>
      <c r="F156" s="1302"/>
      <c r="I156" s="524"/>
    </row>
    <row r="157" spans="2:9" ht="13.7" customHeight="1">
      <c r="D157" s="1302"/>
      <c r="E157" s="1302"/>
      <c r="F157" s="1302"/>
      <c r="I157" s="524"/>
    </row>
    <row r="158" spans="2:9" ht="13.7" customHeight="1">
      <c r="D158" s="1302"/>
      <c r="E158" s="1302"/>
      <c r="F158" s="1302"/>
      <c r="I158" s="524"/>
    </row>
    <row r="159" spans="2:9" ht="13.7" customHeight="1">
      <c r="D159" s="1302"/>
      <c r="E159" s="1302"/>
      <c r="F159" s="1302"/>
      <c r="I159" s="524"/>
    </row>
    <row r="160" spans="2:9" ht="13.7" customHeight="1">
      <c r="D160" s="1302"/>
      <c r="E160" s="1302"/>
      <c r="F160" s="1302"/>
      <c r="I160" s="524"/>
    </row>
    <row r="161" spans="1:9" ht="13.7" customHeight="1">
      <c r="D161" s="1302"/>
      <c r="E161" s="1302"/>
      <c r="F161" s="1302"/>
      <c r="I161" s="524"/>
    </row>
    <row r="162" spans="1:9" ht="13.7" customHeight="1">
      <c r="D162" s="1302"/>
      <c r="E162" s="1302"/>
      <c r="F162" s="1302"/>
      <c r="I162" s="524"/>
    </row>
    <row r="163" spans="1:9" ht="13.7" customHeight="1">
      <c r="D163" s="1302"/>
      <c r="E163" s="1302"/>
      <c r="F163" s="1302"/>
      <c r="I163" s="524"/>
    </row>
    <row r="164" spans="1:9" ht="13.7" customHeight="1">
      <c r="D164" s="1302"/>
      <c r="E164" s="1302"/>
      <c r="F164" s="1302"/>
      <c r="I164" s="524"/>
    </row>
    <row r="165" spans="1:9" ht="13.7" customHeight="1">
      <c r="D165" s="1302"/>
      <c r="E165" s="1302"/>
      <c r="F165" s="1302"/>
      <c r="I165" s="524"/>
    </row>
    <row r="166" spans="1:9" ht="13.7" customHeight="1">
      <c r="D166" s="1302"/>
      <c r="E166" s="1302"/>
      <c r="F166" s="1302"/>
      <c r="I166" s="524"/>
    </row>
    <row r="167" spans="1:9" ht="13.7" customHeight="1">
      <c r="D167" s="1302"/>
      <c r="E167" s="1302"/>
      <c r="F167" s="1302"/>
      <c r="I167" s="524"/>
    </row>
    <row r="168" spans="1:9" ht="13.7" customHeight="1">
      <c r="D168" s="1302"/>
      <c r="E168" s="1302"/>
      <c r="F168" s="1302"/>
      <c r="I168" s="524"/>
    </row>
    <row r="169" spans="1:9" ht="13.7" customHeight="1">
      <c r="D169" s="1347" t="s">
        <v>2389</v>
      </c>
      <c r="E169" s="1347"/>
      <c r="F169" s="1347"/>
      <c r="G169" s="541"/>
      <c r="I169" s="524"/>
    </row>
    <row r="170" spans="1:9" ht="13.7" customHeight="1">
      <c r="D170" s="1288"/>
      <c r="E170" s="1288"/>
      <c r="F170" s="1288"/>
      <c r="G170" s="1288"/>
      <c r="I170" s="524"/>
    </row>
    <row r="171" spans="1:9" ht="14.45" customHeight="1">
      <c r="A171" s="523"/>
      <c r="B171" s="519" t="s">
        <v>308</v>
      </c>
      <c r="C171" s="510"/>
      <c r="D171" s="1284" t="s">
        <v>2579</v>
      </c>
      <c r="E171" s="1284"/>
      <c r="F171" s="1284"/>
      <c r="G171" s="510"/>
      <c r="I171" s="524" t="s">
        <v>2081</v>
      </c>
    </row>
    <row r="172" spans="1:9" ht="14.45" customHeight="1">
      <c r="A172" s="523"/>
      <c r="B172" s="523"/>
      <c r="C172" s="510"/>
      <c r="D172" s="1284"/>
      <c r="E172" s="1284"/>
      <c r="F172" s="1284"/>
      <c r="G172" s="510"/>
      <c r="I172" s="524"/>
    </row>
    <row r="173" spans="1:9" ht="14.45" customHeight="1">
      <c r="A173" s="523"/>
      <c r="B173" s="523"/>
      <c r="C173" s="510"/>
      <c r="D173" s="1284"/>
      <c r="E173" s="1284"/>
      <c r="F173" s="1284"/>
      <c r="G173" s="510"/>
      <c r="I173" s="524"/>
    </row>
    <row r="174" spans="1:9" ht="14.45" customHeight="1">
      <c r="A174" s="523"/>
      <c r="B174" s="523"/>
      <c r="C174" s="510"/>
      <c r="D174" s="1284"/>
      <c r="E174" s="1284"/>
      <c r="F174" s="1284"/>
      <c r="G174" s="510"/>
      <c r="I174" s="524"/>
    </row>
    <row r="175" spans="1:9" ht="13.7" customHeight="1">
      <c r="A175" s="523"/>
      <c r="B175" s="523"/>
      <c r="C175" s="510"/>
      <c r="D175" s="1284"/>
      <c r="E175" s="1284"/>
      <c r="F175" s="1284"/>
      <c r="G175" s="510"/>
      <c r="I175" s="524"/>
    </row>
    <row r="176" spans="1:9" ht="13.7" customHeight="1">
      <c r="A176" s="523"/>
      <c r="B176" s="523"/>
      <c r="C176" s="510"/>
      <c r="D176" s="510"/>
      <c r="E176" s="510"/>
      <c r="F176" s="510"/>
      <c r="G176" s="510"/>
      <c r="I176" s="524"/>
    </row>
    <row r="177" spans="1:9" ht="13.7" customHeight="1">
      <c r="A177" s="523"/>
      <c r="B177" s="519" t="s">
        <v>2761</v>
      </c>
      <c r="C177" s="510"/>
      <c r="D177" s="1284" t="s">
        <v>1178</v>
      </c>
      <c r="E177" s="1284"/>
      <c r="F177" s="1284"/>
      <c r="G177" s="510"/>
      <c r="I177" s="524" t="s">
        <v>2087</v>
      </c>
    </row>
    <row r="178" spans="1:9" ht="13.7" customHeight="1">
      <c r="A178" s="523"/>
      <c r="B178" s="523"/>
      <c r="C178" s="510"/>
      <c r="D178" s="1284"/>
      <c r="E178" s="1284"/>
      <c r="F178" s="1284"/>
      <c r="G178" s="510"/>
      <c r="I178" s="524"/>
    </row>
    <row r="179" spans="1:9" ht="13.7" customHeight="1">
      <c r="A179" s="523"/>
      <c r="B179" s="523"/>
      <c r="C179" s="510"/>
      <c r="D179" s="1284"/>
      <c r="E179" s="1284"/>
      <c r="F179" s="1284"/>
      <c r="G179" s="510"/>
      <c r="I179" s="524"/>
    </row>
    <row r="180" spans="1:9" ht="13.7" customHeight="1">
      <c r="A180" s="523"/>
      <c r="B180" s="523"/>
      <c r="C180" s="510"/>
      <c r="D180" s="1284"/>
      <c r="E180" s="1284"/>
      <c r="F180" s="1284"/>
      <c r="G180" s="510"/>
      <c r="I180" s="524"/>
    </row>
    <row r="181" spans="1:9" ht="13.7" customHeight="1">
      <c r="D181" s="480"/>
      <c r="E181" s="480"/>
      <c r="F181" s="480"/>
      <c r="I181" s="524"/>
    </row>
    <row r="182" spans="1:9" ht="13.7" customHeight="1">
      <c r="B182" s="519" t="s">
        <v>308</v>
      </c>
      <c r="D182" s="1289" t="s">
        <v>2366</v>
      </c>
      <c r="E182" s="1289"/>
      <c r="F182" s="1289"/>
      <c r="I182" s="524" t="s">
        <v>2088</v>
      </c>
    </row>
    <row r="183" spans="1:9" ht="13.7" customHeight="1">
      <c r="D183" s="1289"/>
      <c r="E183" s="1289"/>
      <c r="F183" s="1289"/>
      <c r="I183" s="524"/>
    </row>
    <row r="184" spans="1:9" ht="13.7" customHeight="1">
      <c r="D184" s="1289"/>
      <c r="E184" s="1289"/>
      <c r="F184" s="1289"/>
      <c r="I184" s="524"/>
    </row>
    <row r="185" spans="1:9" ht="13.7" customHeight="1">
      <c r="A185" s="524"/>
      <c r="B185" s="524"/>
      <c r="E185" s="480"/>
      <c r="F185" s="480"/>
      <c r="I185" s="524"/>
    </row>
    <row r="186" spans="1:9">
      <c r="A186" s="1290" t="s">
        <v>2367</v>
      </c>
      <c r="B186" s="1290"/>
      <c r="C186" s="1290"/>
      <c r="D186" s="1290"/>
      <c r="E186" s="1290"/>
      <c r="F186" s="1290"/>
      <c r="G186" s="1290"/>
      <c r="H186" s="1063"/>
      <c r="I186" s="1259"/>
    </row>
    <row r="187" spans="1:9" ht="12" customHeight="1">
      <c r="D187" s="480"/>
      <c r="E187" s="480"/>
      <c r="F187" s="480"/>
      <c r="I187" s="524"/>
    </row>
    <row r="188" spans="1:9">
      <c r="B188" s="1305" t="s">
        <v>449</v>
      </c>
      <c r="C188" s="1305"/>
      <c r="D188" s="1305"/>
      <c r="E188" s="1305"/>
      <c r="F188" s="1305"/>
      <c r="I188" s="524"/>
    </row>
    <row r="189" spans="1:9">
      <c r="B189" s="423" t="s">
        <v>2067</v>
      </c>
      <c r="C189" s="423"/>
      <c r="D189" s="423"/>
      <c r="E189" s="423"/>
      <c r="F189" s="423"/>
      <c r="I189" s="524"/>
    </row>
    <row r="190" spans="1:9" ht="12" customHeight="1">
      <c r="A190" s="516"/>
      <c r="B190" s="516"/>
      <c r="C190" s="516"/>
      <c r="I190" s="524"/>
    </row>
    <row r="191" spans="1:9">
      <c r="A191" s="1290" t="s">
        <v>1074</v>
      </c>
      <c r="B191" s="1290"/>
      <c r="C191" s="1290"/>
      <c r="D191" s="1290"/>
      <c r="E191" s="1290"/>
      <c r="F191" s="1290"/>
      <c r="G191" s="1290"/>
      <c r="H191" s="1063"/>
      <c r="I191" s="1259"/>
    </row>
    <row r="192" spans="1:9" ht="12" customHeight="1">
      <c r="A192" s="435"/>
      <c r="B192" s="435"/>
      <c r="E192" s="435"/>
      <c r="I192" s="524"/>
    </row>
    <row r="193" spans="1:9" ht="13.7" customHeight="1">
      <c r="A193" s="435"/>
      <c r="B193" s="435"/>
      <c r="D193" s="1304" t="s">
        <v>1937</v>
      </c>
      <c r="E193" s="1304"/>
      <c r="F193" s="1304"/>
      <c r="I193" s="524"/>
    </row>
    <row r="194" spans="1:9">
      <c r="A194" s="435"/>
      <c r="B194" s="435"/>
      <c r="D194" s="1304"/>
      <c r="E194" s="1304"/>
      <c r="F194" s="1304"/>
      <c r="I194" s="524"/>
    </row>
    <row r="195" spans="1:9">
      <c r="A195" s="435"/>
      <c r="B195" s="435"/>
      <c r="D195" s="1305" t="s">
        <v>1302</v>
      </c>
      <c r="E195" s="1305"/>
      <c r="F195" s="1305"/>
      <c r="I195" s="524"/>
    </row>
    <row r="196" spans="1:9">
      <c r="A196" s="435"/>
      <c r="B196" s="435"/>
      <c r="D196" s="423"/>
      <c r="E196" s="423"/>
      <c r="F196" s="423"/>
      <c r="I196" s="524"/>
    </row>
    <row r="197" spans="1:9">
      <c r="A197" s="435"/>
      <c r="B197" s="519" t="s">
        <v>308</v>
      </c>
      <c r="D197" s="1286" t="s">
        <v>1938</v>
      </c>
      <c r="E197" s="1286"/>
      <c r="F197" s="1286"/>
      <c r="I197" s="524" t="s">
        <v>2137</v>
      </c>
    </row>
    <row r="198" spans="1:9">
      <c r="A198" s="435"/>
      <c r="B198" s="435"/>
      <c r="D198" s="1318" t="s">
        <v>2203</v>
      </c>
      <c r="E198" s="1318"/>
      <c r="F198" s="1318"/>
      <c r="I198" s="524"/>
    </row>
    <row r="199" spans="1:9">
      <c r="A199" s="435"/>
      <c r="B199" s="435"/>
      <c r="D199" s="96" t="s">
        <v>1939</v>
      </c>
      <c r="E199" s="1350" t="s">
        <v>2226</v>
      </c>
      <c r="F199" s="1350"/>
      <c r="I199" s="524"/>
    </row>
    <row r="200" spans="1:9">
      <c r="A200" s="435"/>
      <c r="B200" s="435"/>
      <c r="D200" s="3"/>
      <c r="E200" s="3"/>
      <c r="F200" s="3"/>
      <c r="I200" s="524"/>
    </row>
    <row r="201" spans="1:9">
      <c r="A201" s="435"/>
      <c r="B201" s="519" t="s">
        <v>308</v>
      </c>
      <c r="D201" s="1318" t="s">
        <v>1940</v>
      </c>
      <c r="E201" s="1318"/>
      <c r="F201" s="1318"/>
      <c r="I201" s="524" t="s">
        <v>2138</v>
      </c>
    </row>
    <row r="202" spans="1:9">
      <c r="A202" s="435"/>
      <c r="B202" s="435"/>
      <c r="D202" s="1286" t="s">
        <v>2203</v>
      </c>
      <c r="E202" s="1286"/>
      <c r="F202" s="1286"/>
      <c r="I202" s="524"/>
    </row>
    <row r="203" spans="1:9">
      <c r="A203" s="435"/>
      <c r="B203" s="435"/>
      <c r="D203" s="57" t="s">
        <v>1941</v>
      </c>
      <c r="E203" s="1350" t="s">
        <v>2227</v>
      </c>
      <c r="F203" s="1350"/>
      <c r="I203" s="524"/>
    </row>
    <row r="204" spans="1:9">
      <c r="A204" s="435"/>
      <c r="B204" s="435"/>
      <c r="D204" s="3"/>
      <c r="E204" s="3"/>
      <c r="F204" s="3"/>
      <c r="I204" s="524"/>
    </row>
    <row r="205" spans="1:9">
      <c r="A205" s="435"/>
      <c r="B205" s="519" t="s">
        <v>308</v>
      </c>
      <c r="D205" s="1318" t="s">
        <v>1942</v>
      </c>
      <c r="E205" s="1318"/>
      <c r="F205" s="1318"/>
      <c r="I205" s="524" t="s">
        <v>2139</v>
      </c>
    </row>
    <row r="206" spans="1:9">
      <c r="A206" s="435"/>
      <c r="B206" s="435"/>
      <c r="D206" s="1286" t="s">
        <v>2203</v>
      </c>
      <c r="E206" s="1286"/>
      <c r="F206" s="1286"/>
      <c r="I206" s="524"/>
    </row>
    <row r="207" spans="1:9">
      <c r="A207" s="435"/>
      <c r="B207" s="435"/>
      <c r="D207" s="57" t="s">
        <v>1939</v>
      </c>
      <c r="E207" s="1350" t="s">
        <v>2228</v>
      </c>
      <c r="F207" s="1350"/>
      <c r="I207" s="524"/>
    </row>
    <row r="208" spans="1:9">
      <c r="A208" s="435"/>
      <c r="B208" s="435"/>
      <c r="D208" s="423"/>
      <c r="E208" s="423"/>
      <c r="F208" s="423"/>
      <c r="I208" s="524"/>
    </row>
    <row r="209" spans="1:9" ht="14.25" customHeight="1">
      <c r="A209" s="518"/>
      <c r="B209" s="519" t="s">
        <v>308</v>
      </c>
      <c r="D209" s="417" t="s">
        <v>2196</v>
      </c>
      <c r="E209" s="416"/>
      <c r="F209" s="416"/>
      <c r="I209" s="524" t="s">
        <v>2140</v>
      </c>
    </row>
    <row r="210" spans="1:9" ht="14.25">
      <c r="A210" s="518"/>
      <c r="B210" s="518"/>
      <c r="D210" s="1286" t="s">
        <v>2203</v>
      </c>
      <c r="E210" s="1286"/>
      <c r="F210" s="1286"/>
      <c r="I210" s="524"/>
    </row>
    <row r="211" spans="1:9">
      <c r="D211" s="416"/>
      <c r="E211" s="1350" t="s">
        <v>2229</v>
      </c>
      <c r="F211" s="1350"/>
      <c r="I211" s="524"/>
    </row>
    <row r="212" spans="1:9">
      <c r="D212" s="481"/>
      <c r="I212" s="524"/>
    </row>
    <row r="213" spans="1:9">
      <c r="B213" s="519" t="s">
        <v>308</v>
      </c>
      <c r="D213" s="1318" t="s">
        <v>1943</v>
      </c>
      <c r="E213" s="1318"/>
      <c r="F213" s="1318"/>
      <c r="I213" s="524" t="s">
        <v>2141</v>
      </c>
    </row>
    <row r="214" spans="1:9">
      <c r="D214" s="1286" t="s">
        <v>2203</v>
      </c>
      <c r="E214" s="1286"/>
      <c r="F214" s="1286"/>
      <c r="I214" s="524"/>
    </row>
    <row r="215" spans="1:9">
      <c r="D215" s="57" t="s">
        <v>1939</v>
      </c>
      <c r="E215" s="1350" t="s">
        <v>2230</v>
      </c>
      <c r="F215" s="1350"/>
      <c r="I215" s="524"/>
    </row>
    <row r="216" spans="1:9">
      <c r="D216" s="485"/>
      <c r="E216" s="485"/>
      <c r="F216" s="485"/>
      <c r="I216" s="524"/>
    </row>
    <row r="217" spans="1:9" ht="14.25">
      <c r="A217" s="518"/>
      <c r="B217" s="519" t="s">
        <v>308</v>
      </c>
      <c r="D217" s="1302" t="s">
        <v>1323</v>
      </c>
      <c r="E217" s="1302"/>
      <c r="F217" s="1302"/>
      <c r="I217" s="524"/>
    </row>
    <row r="218" spans="1:9" ht="14.45" customHeight="1">
      <c r="A218" s="518"/>
      <c r="B218" s="433"/>
      <c r="D218" s="1302"/>
      <c r="E218" s="1302"/>
      <c r="F218" s="1302"/>
      <c r="I218" s="524"/>
    </row>
    <row r="219" spans="1:9" ht="14.25">
      <c r="A219" s="518"/>
      <c r="D219" s="1302"/>
      <c r="E219" s="1302"/>
      <c r="F219" s="1302"/>
      <c r="I219" s="524"/>
    </row>
    <row r="220" spans="1:9" ht="14.25">
      <c r="A220" s="518"/>
      <c r="D220" s="1302"/>
      <c r="E220" s="1302"/>
      <c r="F220" s="1302"/>
      <c r="I220" s="524"/>
    </row>
    <row r="221" spans="1:9">
      <c r="D221" s="485"/>
      <c r="E221" s="485"/>
      <c r="F221" s="485"/>
      <c r="I221" s="524"/>
    </row>
    <row r="222" spans="1:9">
      <c r="A222" s="1290" t="s">
        <v>1075</v>
      </c>
      <c r="B222" s="1290"/>
      <c r="C222" s="1290"/>
      <c r="D222" s="1290"/>
      <c r="E222" s="1290"/>
      <c r="F222" s="1290"/>
      <c r="G222" s="1290"/>
      <c r="H222" s="1063"/>
      <c r="I222" s="1259"/>
    </row>
    <row r="223" spans="1:9" ht="12" customHeight="1">
      <c r="D223" s="480"/>
      <c r="E223" s="480"/>
      <c r="F223" s="480"/>
      <c r="I223" s="524"/>
    </row>
    <row r="224" spans="1:9">
      <c r="C224" s="520"/>
      <c r="D224" s="1301" t="s">
        <v>209</v>
      </c>
      <c r="E224" s="1301"/>
      <c r="F224" s="1301"/>
      <c r="I224" s="524"/>
    </row>
    <row r="225" spans="1:9">
      <c r="A225" s="516"/>
      <c r="B225" s="516"/>
      <c r="C225" s="516"/>
      <c r="D225" s="1303" t="s">
        <v>1204</v>
      </c>
      <c r="E225" s="1303"/>
      <c r="F225" s="1303"/>
      <c r="I225" s="524"/>
    </row>
    <row r="226" spans="1:9" ht="12" customHeight="1">
      <c r="A226" s="524"/>
      <c r="B226" s="524"/>
      <c r="C226" s="524"/>
      <c r="I226" s="524"/>
    </row>
    <row r="227" spans="1:9" ht="13.7" customHeight="1">
      <c r="A227" s="524"/>
      <c r="C227" s="524"/>
      <c r="D227" s="1301" t="s">
        <v>555</v>
      </c>
      <c r="E227" s="1301"/>
      <c r="F227" s="1301"/>
      <c r="I227" s="524" t="s">
        <v>2089</v>
      </c>
    </row>
    <row r="228" spans="1:9" ht="14.25">
      <c r="A228" s="518"/>
      <c r="B228" s="519" t="s">
        <v>2761</v>
      </c>
      <c r="D228" s="1302" t="s">
        <v>1944</v>
      </c>
      <c r="E228" s="1302"/>
      <c r="F228" s="1302"/>
      <c r="I228" s="524"/>
    </row>
    <row r="229" spans="1:9" ht="14.25" customHeight="1">
      <c r="A229" s="518"/>
      <c r="B229" s="518"/>
      <c r="D229" s="1302"/>
      <c r="E229" s="1302"/>
      <c r="F229" s="1302"/>
      <c r="I229" s="524"/>
    </row>
    <row r="230" spans="1:9" ht="14.25" customHeight="1">
      <c r="A230" s="518"/>
      <c r="B230" s="518"/>
      <c r="D230" s="1302"/>
      <c r="E230" s="1302"/>
      <c r="F230" s="1302"/>
      <c r="I230" s="524"/>
    </row>
    <row r="231" spans="1:9" ht="14.25">
      <c r="A231" s="518"/>
      <c r="B231" s="518"/>
      <c r="D231" s="1302"/>
      <c r="E231" s="1302"/>
      <c r="F231" s="1302"/>
      <c r="I231" s="524"/>
    </row>
    <row r="232" spans="1:9" ht="14.25">
      <c r="A232" s="518"/>
      <c r="B232" s="518"/>
      <c r="D232" s="479"/>
      <c r="E232" s="479"/>
      <c r="F232" s="479"/>
      <c r="I232" s="524"/>
    </row>
    <row r="233" spans="1:9" ht="14.25">
      <c r="A233" s="518"/>
      <c r="B233" s="519" t="s">
        <v>2761</v>
      </c>
      <c r="D233" s="1302" t="s">
        <v>1945</v>
      </c>
      <c r="E233" s="1302"/>
      <c r="F233" s="1302"/>
      <c r="I233" s="524" t="s">
        <v>2090</v>
      </c>
    </row>
    <row r="234" spans="1:9" ht="14.25">
      <c r="A234" s="518"/>
      <c r="B234" s="518"/>
      <c r="D234" s="1302"/>
      <c r="E234" s="1302"/>
      <c r="F234" s="1302"/>
      <c r="I234" s="524"/>
    </row>
    <row r="235" spans="1:9" ht="14.25">
      <c r="A235" s="518"/>
      <c r="B235" s="518"/>
      <c r="D235" s="1302"/>
      <c r="E235" s="1302"/>
      <c r="F235" s="1302"/>
      <c r="I235" s="524"/>
    </row>
    <row r="236" spans="1:9" ht="14.25">
      <c r="A236" s="518"/>
      <c r="B236" s="518"/>
      <c r="D236" s="1302"/>
      <c r="E236" s="1302"/>
      <c r="F236" s="1302"/>
      <c r="I236" s="524"/>
    </row>
    <row r="237" spans="1:9" ht="14.25" customHeight="1">
      <c r="A237" s="518"/>
      <c r="B237" s="518"/>
      <c r="D237" s="1302"/>
      <c r="E237" s="1302"/>
      <c r="F237" s="1302"/>
      <c r="I237" s="524"/>
    </row>
    <row r="238" spans="1:9" ht="14.25" customHeight="1">
      <c r="A238" s="518"/>
      <c r="B238" s="518"/>
      <c r="D238" s="479"/>
      <c r="E238" s="479"/>
      <c r="F238" s="479"/>
      <c r="I238" s="524"/>
    </row>
    <row r="239" spans="1:9" ht="14.25">
      <c r="A239" s="518"/>
      <c r="B239" s="518"/>
      <c r="D239" s="1302" t="s">
        <v>1200</v>
      </c>
      <c r="E239" s="1302"/>
      <c r="F239" s="1302"/>
      <c r="I239" s="524" t="s">
        <v>2089</v>
      </c>
    </row>
    <row r="240" spans="1:9" ht="14.25">
      <c r="A240" s="518"/>
      <c r="B240" s="518"/>
      <c r="D240" s="1302"/>
      <c r="E240" s="1302"/>
      <c r="F240" s="1302"/>
      <c r="I240" s="524"/>
    </row>
    <row r="241" spans="1:9" ht="14.25">
      <c r="A241" s="518"/>
      <c r="B241" s="518"/>
      <c r="D241" s="1302"/>
      <c r="E241" s="1302"/>
      <c r="F241" s="1302"/>
      <c r="I241" s="524"/>
    </row>
    <row r="242" spans="1:9" ht="14.25">
      <c r="A242" s="518"/>
      <c r="B242" s="518"/>
      <c r="D242" s="1302"/>
      <c r="E242" s="1302"/>
      <c r="F242" s="1302"/>
      <c r="I242" s="524"/>
    </row>
    <row r="243" spans="1:9" ht="14.25">
      <c r="A243" s="518"/>
      <c r="B243" s="518"/>
      <c r="D243" s="1302"/>
      <c r="E243" s="1302"/>
      <c r="F243" s="1302"/>
      <c r="I243" s="524"/>
    </row>
    <row r="244" spans="1:9" ht="14.25">
      <c r="A244" s="518"/>
      <c r="B244" s="518"/>
      <c r="D244" s="480"/>
      <c r="E244" s="480"/>
      <c r="F244" s="480"/>
      <c r="I244" s="524"/>
    </row>
    <row r="245" spans="1:9" ht="14.25">
      <c r="A245" s="518"/>
      <c r="B245" s="519" t="s">
        <v>308</v>
      </c>
      <c r="D245" s="1302" t="s">
        <v>2368</v>
      </c>
      <c r="E245" s="1302"/>
      <c r="F245" s="1302"/>
      <c r="I245" s="524" t="s">
        <v>2128</v>
      </c>
    </row>
    <row r="246" spans="1:9" ht="14.25">
      <c r="A246" s="518"/>
      <c r="B246" s="518"/>
      <c r="D246" s="1302"/>
      <c r="E246" s="1302"/>
      <c r="F246" s="1302"/>
      <c r="I246" s="524"/>
    </row>
    <row r="247" spans="1:9" ht="14.25">
      <c r="A247" s="518"/>
      <c r="B247" s="518"/>
      <c r="D247" s="1302"/>
      <c r="E247" s="1302"/>
      <c r="F247" s="1302"/>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308</v>
      </c>
      <c r="D250" s="1302" t="s">
        <v>2369</v>
      </c>
      <c r="E250" s="1302"/>
      <c r="F250" s="1302"/>
      <c r="I250" s="524" t="s">
        <v>2146</v>
      </c>
    </row>
    <row r="251" spans="1:9" ht="14.25">
      <c r="A251" s="518"/>
      <c r="B251" s="518"/>
      <c r="D251" s="1302"/>
      <c r="E251" s="1302"/>
      <c r="F251" s="1302"/>
      <c r="I251" s="524"/>
    </row>
    <row r="252" spans="1:9" ht="14.25">
      <c r="A252" s="518"/>
      <c r="B252" s="518"/>
      <c r="D252" s="1302"/>
      <c r="E252" s="1302"/>
      <c r="F252" s="1302"/>
      <c r="I252" s="524"/>
    </row>
    <row r="253" spans="1:9" ht="14.25">
      <c r="A253" s="518"/>
      <c r="B253" s="518"/>
      <c r="D253" s="1302"/>
      <c r="E253" s="1302"/>
      <c r="F253" s="1302"/>
      <c r="I253" s="524"/>
    </row>
    <row r="254" spans="1:9" ht="14.25">
      <c r="A254" s="518"/>
      <c r="B254" s="518"/>
      <c r="D254" s="1302"/>
      <c r="E254" s="1302"/>
      <c r="F254" s="1302"/>
      <c r="I254" s="524"/>
    </row>
    <row r="255" spans="1:9" ht="14.25">
      <c r="A255" s="518"/>
      <c r="B255" s="518"/>
      <c r="D255" s="479"/>
      <c r="E255" s="479"/>
      <c r="F255" s="479"/>
      <c r="I255" s="524"/>
    </row>
    <row r="256" spans="1:9" ht="14.25">
      <c r="A256" s="518"/>
      <c r="B256" s="519" t="s">
        <v>2761</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2761</v>
      </c>
      <c r="D259" s="1302" t="s">
        <v>1202</v>
      </c>
      <c r="E259" s="1302"/>
      <c r="F259" s="1302"/>
      <c r="I259" s="524"/>
    </row>
    <row r="260" spans="1:9" ht="14.25">
      <c r="A260" s="518"/>
      <c r="B260" s="518"/>
      <c r="D260" s="1302"/>
      <c r="E260" s="1302"/>
      <c r="F260" s="1302"/>
      <c r="I260" s="524"/>
    </row>
    <row r="261" spans="1:9">
      <c r="D261" s="525"/>
      <c r="I261" s="524"/>
    </row>
    <row r="262" spans="1:9">
      <c r="A262" s="1290" t="s">
        <v>1076</v>
      </c>
      <c r="B262" s="1290"/>
      <c r="C262" s="1290"/>
      <c r="D262" s="1290"/>
      <c r="E262" s="1290"/>
      <c r="F262" s="1290"/>
      <c r="G262" s="1290"/>
      <c r="H262" s="1063"/>
      <c r="I262" s="1259"/>
    </row>
    <row r="263" spans="1:9">
      <c r="D263" s="525"/>
      <c r="I263" s="524"/>
    </row>
    <row r="264" spans="1:9">
      <c r="C264" s="520"/>
      <c r="D264" s="1301" t="s">
        <v>1205</v>
      </c>
      <c r="E264" s="1301"/>
      <c r="F264" s="1301"/>
      <c r="I264" s="524"/>
    </row>
    <row r="265" spans="1:9">
      <c r="A265" s="516"/>
      <c r="B265" s="516"/>
      <c r="C265" s="516"/>
      <c r="D265" s="480"/>
      <c r="E265" s="480"/>
      <c r="F265" s="480"/>
      <c r="I265" s="524"/>
    </row>
    <row r="266" spans="1:9">
      <c r="A266" s="517"/>
      <c r="B266" s="517"/>
      <c r="C266" s="517"/>
      <c r="D266" s="1301" t="s">
        <v>270</v>
      </c>
      <c r="E266" s="1301"/>
      <c r="F266" s="1301"/>
      <c r="I266" s="524" t="s">
        <v>2129</v>
      </c>
    </row>
    <row r="267" spans="1:9" ht="14.45" customHeight="1">
      <c r="A267" s="518"/>
      <c r="B267" s="519" t="s">
        <v>2761</v>
      </c>
      <c r="D267" s="1302" t="s">
        <v>1303</v>
      </c>
      <c r="E267" s="1302"/>
      <c r="F267" s="1302"/>
      <c r="I267" s="524"/>
    </row>
    <row r="268" spans="1:9">
      <c r="D268" s="1302"/>
      <c r="E268" s="1302"/>
      <c r="F268" s="1302"/>
      <c r="I268" s="524"/>
    </row>
    <row r="269" spans="1:9">
      <c r="E269" s="1071" t="s">
        <v>2199</v>
      </c>
      <c r="I269" s="524"/>
    </row>
    <row r="270" spans="1:9">
      <c r="D270" s="480"/>
      <c r="E270" s="480"/>
      <c r="F270" s="480"/>
      <c r="I270" s="524"/>
    </row>
    <row r="271" spans="1:9" ht="14.45" customHeight="1">
      <c r="A271" s="518"/>
      <c r="B271" s="519" t="s">
        <v>308</v>
      </c>
      <c r="D271" s="1302" t="s">
        <v>2371</v>
      </c>
      <c r="E271" s="1302"/>
      <c r="F271" s="1302"/>
      <c r="I271" s="524" t="s">
        <v>2147</v>
      </c>
    </row>
    <row r="272" spans="1:9">
      <c r="D272" s="1302"/>
      <c r="E272" s="1302"/>
      <c r="F272" s="1302"/>
      <c r="I272" s="524"/>
    </row>
    <row r="273" spans="1:9">
      <c r="D273" s="1302"/>
      <c r="E273" s="1302"/>
      <c r="F273" s="1302"/>
      <c r="I273" s="524"/>
    </row>
    <row r="274" spans="1:9">
      <c r="D274" s="1302"/>
      <c r="E274" s="1302"/>
      <c r="F274" s="1302"/>
      <c r="I274" s="524"/>
    </row>
    <row r="275" spans="1:9">
      <c r="D275" s="1302"/>
      <c r="E275" s="1302"/>
      <c r="F275" s="1302"/>
      <c r="I275" s="524"/>
    </row>
    <row r="276" spans="1:9">
      <c r="D276" s="1302"/>
      <c r="E276" s="1302"/>
      <c r="F276" s="1302"/>
      <c r="I276" s="524"/>
    </row>
    <row r="277" spans="1:9">
      <c r="D277" s="480"/>
      <c r="E277" s="480"/>
      <c r="F277" s="480"/>
      <c r="I277" s="524"/>
    </row>
    <row r="278" spans="1:9" ht="14.25">
      <c r="A278" s="518"/>
      <c r="B278" s="519" t="s">
        <v>308</v>
      </c>
      <c r="D278" s="1302" t="s">
        <v>1208</v>
      </c>
      <c r="E278" s="1302"/>
      <c r="F278" s="1302"/>
      <c r="I278" s="524"/>
    </row>
    <row r="279" spans="1:9">
      <c r="D279" s="1302"/>
      <c r="E279" s="1302"/>
      <c r="F279" s="1302"/>
      <c r="I279" s="524"/>
    </row>
    <row r="280" spans="1:9">
      <c r="D280" s="1302"/>
      <c r="E280" s="1302"/>
      <c r="F280" s="1302"/>
      <c r="I280" s="524"/>
    </row>
    <row r="281" spans="1:9">
      <c r="D281" s="526"/>
      <c r="E281" s="480"/>
      <c r="F281" s="480"/>
      <c r="I281" s="524"/>
    </row>
    <row r="282" spans="1:9">
      <c r="A282" s="1290" t="s">
        <v>1077</v>
      </c>
      <c r="B282" s="1290"/>
      <c r="C282" s="1290"/>
      <c r="D282" s="1290"/>
      <c r="E282" s="1290"/>
      <c r="F282" s="1290"/>
      <c r="G282" s="1290"/>
      <c r="H282" s="1063"/>
      <c r="I282" s="1259"/>
    </row>
    <row r="283" spans="1:9">
      <c r="D283" s="526"/>
      <c r="E283" s="480"/>
      <c r="F283" s="480"/>
      <c r="I283" s="524"/>
    </row>
    <row r="284" spans="1:9">
      <c r="C284" s="516"/>
      <c r="D284" s="1304" t="s">
        <v>1210</v>
      </c>
      <c r="E284" s="1304"/>
      <c r="F284" s="1304"/>
      <c r="I284" s="524"/>
    </row>
    <row r="285" spans="1:9">
      <c r="C285" s="516"/>
      <c r="D285" s="1304"/>
      <c r="E285" s="1304"/>
      <c r="F285" s="1304"/>
      <c r="I285" s="524"/>
    </row>
    <row r="286" spans="1:9">
      <c r="A286" s="517"/>
      <c r="B286" s="517"/>
      <c r="C286" s="517"/>
      <c r="D286" s="435"/>
      <c r="I286" s="524"/>
    </row>
    <row r="287" spans="1:9">
      <c r="C287" s="517"/>
      <c r="D287" s="1301" t="s">
        <v>210</v>
      </c>
      <c r="E287" s="1301"/>
      <c r="F287" s="1301"/>
      <c r="I287" s="524"/>
    </row>
    <row r="288" spans="1:9" ht="15.75" customHeight="1">
      <c r="A288" s="518"/>
      <c r="B288" s="518"/>
      <c r="D288" s="1353" t="s">
        <v>1211</v>
      </c>
      <c r="E288" s="1353"/>
      <c r="F288" s="1353"/>
      <c r="I288" s="524"/>
    </row>
    <row r="289" spans="1:9">
      <c r="E289" s="480"/>
      <c r="F289" s="480"/>
      <c r="I289" s="524"/>
    </row>
    <row r="290" spans="1:9" ht="14.25">
      <c r="A290" s="518"/>
      <c r="B290" s="519" t="s">
        <v>2761</v>
      </c>
      <c r="D290" s="1302" t="s">
        <v>1212</v>
      </c>
      <c r="E290" s="1302"/>
      <c r="F290" s="1302"/>
      <c r="I290" s="524" t="s">
        <v>2091</v>
      </c>
    </row>
    <row r="291" spans="1:9" ht="14.25">
      <c r="A291" s="518"/>
      <c r="B291" s="518"/>
      <c r="D291" s="1302"/>
      <c r="E291" s="1302"/>
      <c r="F291" s="1302"/>
      <c r="I291" s="524"/>
    </row>
    <row r="292" spans="1:9">
      <c r="D292" s="480"/>
      <c r="E292" s="480"/>
      <c r="F292" s="480"/>
      <c r="I292" s="524"/>
    </row>
    <row r="293" spans="1:9" ht="14.25">
      <c r="A293" s="518"/>
      <c r="B293" s="519" t="s">
        <v>2761</v>
      </c>
      <c r="D293" s="1302" t="s">
        <v>1213</v>
      </c>
      <c r="E293" s="1302"/>
      <c r="F293" s="1302"/>
      <c r="I293" s="524" t="s">
        <v>2091</v>
      </c>
    </row>
    <row r="294" spans="1:9" ht="14.25">
      <c r="A294" s="518"/>
      <c r="B294" s="518"/>
      <c r="D294" s="1302"/>
      <c r="E294" s="1302"/>
      <c r="F294" s="1302"/>
      <c r="I294" s="524"/>
    </row>
    <row r="295" spans="1:9" ht="14.25">
      <c r="A295" s="518"/>
      <c r="B295" s="518"/>
      <c r="D295" s="1302"/>
      <c r="E295" s="1302"/>
      <c r="F295" s="1302"/>
      <c r="I295" s="524"/>
    </row>
    <row r="296" spans="1:9">
      <c r="D296" s="480"/>
      <c r="E296" s="480"/>
      <c r="F296" s="480"/>
      <c r="I296" s="524"/>
    </row>
    <row r="297" spans="1:9" ht="14.25">
      <c r="A297" s="518"/>
      <c r="B297" s="519" t="s">
        <v>308</v>
      </c>
      <c r="D297" s="1302" t="s">
        <v>1214</v>
      </c>
      <c r="E297" s="1302"/>
      <c r="F297" s="1302"/>
      <c r="I297" s="524" t="s">
        <v>2091</v>
      </c>
    </row>
    <row r="298" spans="1:9" ht="14.25">
      <c r="A298" s="518"/>
      <c r="B298" s="518"/>
      <c r="D298" s="1302"/>
      <c r="E298" s="1302"/>
      <c r="F298" s="1302"/>
      <c r="I298" s="524"/>
    </row>
    <row r="299" spans="1:9">
      <c r="A299" s="524"/>
      <c r="B299" s="524"/>
      <c r="E299" s="480"/>
      <c r="F299" s="480"/>
      <c r="I299" s="524"/>
    </row>
    <row r="300" spans="1:9">
      <c r="A300" s="1290" t="s">
        <v>1078</v>
      </c>
      <c r="B300" s="1290"/>
      <c r="C300" s="1290"/>
      <c r="D300" s="1290"/>
      <c r="E300" s="1290"/>
      <c r="F300" s="1290"/>
      <c r="G300" s="1290"/>
      <c r="H300" s="1063"/>
      <c r="I300" s="1259"/>
    </row>
    <row r="301" spans="1:9">
      <c r="A301" s="524"/>
      <c r="B301" s="524"/>
      <c r="D301" s="480"/>
      <c r="E301" s="480"/>
      <c r="F301" s="480"/>
      <c r="I301" s="524"/>
    </row>
    <row r="302" spans="1:9">
      <c r="C302" s="524"/>
      <c r="D302" s="1301" t="s">
        <v>691</v>
      </c>
      <c r="E302" s="1301"/>
      <c r="F302" s="1301"/>
      <c r="I302" s="524"/>
    </row>
    <row r="303" spans="1:9">
      <c r="C303" s="524"/>
      <c r="D303" s="1303" t="s">
        <v>1215</v>
      </c>
      <c r="E303" s="1303"/>
      <c r="F303" s="1303"/>
      <c r="I303" s="524"/>
    </row>
    <row r="304" spans="1:9">
      <c r="C304" s="524"/>
      <c r="D304" s="527"/>
      <c r="I304" s="524"/>
    </row>
    <row r="305" spans="1:9">
      <c r="B305" s="519" t="s">
        <v>2761</v>
      </c>
      <c r="D305" s="1303" t="s">
        <v>1216</v>
      </c>
      <c r="E305" s="1303"/>
      <c r="F305" s="1303"/>
      <c r="I305" s="524" t="s">
        <v>2092</v>
      </c>
    </row>
    <row r="306" spans="1:9" ht="14.25">
      <c r="A306" s="518"/>
      <c r="B306" s="518"/>
      <c r="D306" s="528"/>
      <c r="E306" s="529"/>
      <c r="F306" s="529"/>
      <c r="I306" s="524"/>
    </row>
    <row r="307" spans="1:9" ht="13.7" customHeight="1">
      <c r="B307" s="519" t="s">
        <v>308</v>
      </c>
      <c r="D307" s="1356" t="s">
        <v>1326</v>
      </c>
      <c r="E307" s="1356"/>
      <c r="F307" s="1356"/>
      <c r="I307" s="524" t="s">
        <v>2092</v>
      </c>
    </row>
    <row r="308" spans="1:9" ht="14.25">
      <c r="A308" s="518"/>
      <c r="B308" s="518"/>
      <c r="D308" s="1356"/>
      <c r="E308" s="1356"/>
      <c r="F308" s="1356"/>
      <c r="I308" s="524"/>
    </row>
    <row r="309" spans="1:9" ht="14.25">
      <c r="A309" s="518"/>
      <c r="B309" s="518"/>
      <c r="D309" s="1356"/>
      <c r="E309" s="1356"/>
      <c r="F309" s="1356"/>
      <c r="I309" s="524"/>
    </row>
    <row r="310" spans="1:9" ht="14.25">
      <c r="A310" s="518"/>
      <c r="B310" s="518"/>
      <c r="D310" s="1356"/>
      <c r="E310" s="1356"/>
      <c r="F310" s="1356"/>
      <c r="I310" s="524"/>
    </row>
    <row r="311" spans="1:9" ht="14.25">
      <c r="A311" s="518"/>
      <c r="B311" s="518"/>
      <c r="D311" s="1356"/>
      <c r="E311" s="1356"/>
      <c r="F311" s="1356"/>
      <c r="I311" s="524"/>
    </row>
    <row r="312" spans="1:9" ht="14.25">
      <c r="A312" s="518"/>
      <c r="B312" s="518"/>
      <c r="D312" s="528"/>
      <c r="E312" s="529"/>
      <c r="F312" s="529"/>
      <c r="I312" s="524"/>
    </row>
    <row r="313" spans="1:9" ht="13.7" customHeight="1">
      <c r="B313" s="519" t="s">
        <v>308</v>
      </c>
      <c r="D313" s="1356" t="s">
        <v>1218</v>
      </c>
      <c r="E313" s="1356"/>
      <c r="F313" s="1356"/>
      <c r="I313" s="524" t="s">
        <v>2092</v>
      </c>
    </row>
    <row r="314" spans="1:9">
      <c r="D314" s="1356"/>
      <c r="E314" s="1356"/>
      <c r="F314" s="1356"/>
      <c r="I314" s="524"/>
    </row>
    <row r="315" spans="1:9" ht="14.25">
      <c r="A315" s="518"/>
      <c r="B315" s="518"/>
      <c r="D315" s="528"/>
      <c r="E315" s="529"/>
      <c r="F315" s="529"/>
      <c r="I315" s="524"/>
    </row>
    <row r="316" spans="1:9">
      <c r="B316" s="519" t="s">
        <v>2761</v>
      </c>
      <c r="D316" s="1303" t="s">
        <v>1219</v>
      </c>
      <c r="E316" s="1303"/>
      <c r="F316" s="1303"/>
      <c r="I316" s="524" t="s">
        <v>2078</v>
      </c>
    </row>
    <row r="317" spans="1:9">
      <c r="E317" s="480"/>
      <c r="F317" s="480"/>
      <c r="I317" s="524"/>
    </row>
    <row r="318" spans="1:9" ht="14.25">
      <c r="A318" s="518"/>
      <c r="B318" s="519" t="s">
        <v>2761</v>
      </c>
      <c r="D318" s="1302" t="s">
        <v>2390</v>
      </c>
      <c r="E318" s="1302"/>
      <c r="F318" s="1302"/>
      <c r="I318" s="524" t="s">
        <v>2093</v>
      </c>
    </row>
    <row r="319" spans="1:9" ht="14.25">
      <c r="A319" s="518"/>
      <c r="B319" s="518"/>
      <c r="D319" s="1302"/>
      <c r="E319" s="1302"/>
      <c r="F319" s="1302"/>
      <c r="I319" s="524"/>
    </row>
    <row r="320" spans="1:9" ht="14.25">
      <c r="A320" s="518"/>
      <c r="B320" s="518"/>
      <c r="D320" s="1302"/>
      <c r="E320" s="1302"/>
      <c r="F320" s="1302"/>
      <c r="I320" s="524"/>
    </row>
    <row r="321" spans="1:9" ht="14.25">
      <c r="A321" s="518"/>
      <c r="B321" s="518"/>
      <c r="D321" s="1302"/>
      <c r="E321" s="1302"/>
      <c r="F321" s="1302"/>
      <c r="I321" s="524"/>
    </row>
    <row r="322" spans="1:9" ht="14.25">
      <c r="A322" s="518"/>
      <c r="B322" s="518"/>
      <c r="D322" s="1302"/>
      <c r="E322" s="1302"/>
      <c r="F322" s="1302"/>
      <c r="I322" s="524"/>
    </row>
    <row r="323" spans="1:9" ht="14.25">
      <c r="A323" s="518"/>
      <c r="B323" s="518"/>
      <c r="D323" s="1302"/>
      <c r="E323" s="1302"/>
      <c r="F323" s="1302"/>
      <c r="I323" s="524"/>
    </row>
    <row r="324" spans="1:9" ht="14.25">
      <c r="A324" s="518"/>
      <c r="B324" s="518"/>
      <c r="D324" s="1302"/>
      <c r="E324" s="1302"/>
      <c r="F324" s="1302"/>
      <c r="I324" s="524"/>
    </row>
    <row r="325" spans="1:9" ht="14.25">
      <c r="A325" s="518"/>
      <c r="B325" s="518"/>
      <c r="D325" s="1302"/>
      <c r="E325" s="1302"/>
      <c r="F325" s="1302"/>
      <c r="I325" s="524"/>
    </row>
    <row r="326" spans="1:9" ht="14.25">
      <c r="A326" s="518"/>
      <c r="B326" s="518"/>
      <c r="D326" s="1302"/>
      <c r="E326" s="1302"/>
      <c r="F326" s="1302"/>
      <c r="I326" s="524"/>
    </row>
    <row r="327" spans="1:9" ht="14.25">
      <c r="A327" s="518"/>
      <c r="B327" s="518"/>
      <c r="D327" s="1302"/>
      <c r="E327" s="1302"/>
      <c r="F327" s="1302"/>
      <c r="I327" s="524"/>
    </row>
    <row r="328" spans="1:9" ht="14.25">
      <c r="A328" s="518"/>
      <c r="B328" s="518"/>
      <c r="D328" s="1302"/>
      <c r="E328" s="1302"/>
      <c r="F328" s="1302"/>
      <c r="I328" s="524"/>
    </row>
    <row r="329" spans="1:9" ht="14.25">
      <c r="A329" s="518"/>
      <c r="B329" s="518"/>
      <c r="D329" s="1302"/>
      <c r="E329" s="1302"/>
      <c r="F329" s="1302"/>
      <c r="I329" s="524"/>
    </row>
    <row r="330" spans="1:9" ht="14.25">
      <c r="A330" s="518"/>
      <c r="B330" s="518"/>
      <c r="D330" s="1302"/>
      <c r="E330" s="1302"/>
      <c r="F330" s="1302"/>
      <c r="I330" s="524"/>
    </row>
    <row r="331" spans="1:9" ht="14.25">
      <c r="A331" s="518"/>
      <c r="B331" s="518"/>
      <c r="D331" s="1302"/>
      <c r="E331" s="1302"/>
      <c r="F331" s="1302"/>
      <c r="I331" s="524"/>
    </row>
    <row r="332" spans="1:9" ht="14.25">
      <c r="A332" s="518"/>
      <c r="B332" s="518"/>
      <c r="D332" s="1302"/>
      <c r="E332" s="1302"/>
      <c r="F332" s="1302"/>
      <c r="I332" s="524"/>
    </row>
    <row r="333" spans="1:9">
      <c r="D333" s="480"/>
      <c r="E333" s="480"/>
      <c r="F333" s="480"/>
      <c r="I333" s="524"/>
    </row>
    <row r="334" spans="1:9" ht="14.25">
      <c r="A334" s="518"/>
      <c r="B334" s="519" t="s">
        <v>308</v>
      </c>
      <c r="D334" s="1302" t="s">
        <v>1221</v>
      </c>
      <c r="E334" s="1302"/>
      <c r="F334" s="1302"/>
      <c r="I334" s="524" t="s">
        <v>2093</v>
      </c>
    </row>
    <row r="335" spans="1:9">
      <c r="D335" s="1302"/>
      <c r="E335" s="1302"/>
      <c r="F335" s="1302"/>
      <c r="I335" s="524"/>
    </row>
    <row r="336" spans="1:9">
      <c r="D336" s="1302"/>
      <c r="E336" s="1302"/>
      <c r="F336" s="1302"/>
      <c r="I336" s="524"/>
    </row>
    <row r="337" spans="1:9">
      <c r="D337" s="1302"/>
      <c r="E337" s="1302"/>
      <c r="F337" s="1302"/>
      <c r="I337" s="524"/>
    </row>
    <row r="338" spans="1:9">
      <c r="D338" s="1302"/>
      <c r="E338" s="1302"/>
      <c r="F338" s="1302"/>
      <c r="I338" s="524"/>
    </row>
    <row r="339" spans="1:9">
      <c r="D339" s="1302"/>
      <c r="E339" s="1302"/>
      <c r="F339" s="1302"/>
      <c r="I339" s="524"/>
    </row>
    <row r="340" spans="1:9">
      <c r="D340" s="1302"/>
      <c r="E340" s="1302"/>
      <c r="F340" s="1302"/>
      <c r="I340" s="524"/>
    </row>
    <row r="341" spans="1:9">
      <c r="D341" s="1302"/>
      <c r="E341" s="1302"/>
      <c r="F341" s="1302"/>
      <c r="I341" s="524"/>
    </row>
    <row r="342" spans="1:9">
      <c r="D342" s="1302"/>
      <c r="E342" s="1302"/>
      <c r="F342" s="1302"/>
      <c r="I342" s="524"/>
    </row>
    <row r="343" spans="1:9">
      <c r="D343" s="480"/>
      <c r="E343" s="480"/>
      <c r="F343" s="480"/>
      <c r="I343" s="524"/>
    </row>
    <row r="344" spans="1:9" ht="14.25" customHeight="1">
      <c r="A344" s="518"/>
      <c r="B344" s="519" t="s">
        <v>308</v>
      </c>
      <c r="D344" s="1302" t="s">
        <v>2204</v>
      </c>
      <c r="E344" s="1302"/>
      <c r="F344" s="1302"/>
      <c r="I344" s="524" t="s">
        <v>2130</v>
      </c>
    </row>
    <row r="345" spans="1:9">
      <c r="D345" s="1302"/>
      <c r="E345" s="1302"/>
      <c r="F345" s="1302"/>
      <c r="I345" s="524"/>
    </row>
    <row r="346" spans="1:9">
      <c r="D346" s="1302"/>
      <c r="E346" s="1302"/>
      <c r="F346" s="1302"/>
      <c r="I346" s="524"/>
    </row>
    <row r="347" spans="1:9">
      <c r="D347" s="1302"/>
      <c r="E347" s="1302"/>
      <c r="F347" s="1302"/>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52" t="s">
        <v>999</v>
      </c>
      <c r="E351" s="1352"/>
      <c r="F351" s="1352"/>
      <c r="G351" s="1062"/>
      <c r="H351" s="1062"/>
      <c r="I351" s="1262"/>
    </row>
    <row r="352" spans="1:9" ht="13.5" thickTop="1">
      <c r="D352" s="1357" t="s">
        <v>1223</v>
      </c>
      <c r="E352" s="1357"/>
      <c r="F352" s="1357"/>
      <c r="I352" s="524"/>
    </row>
    <row r="353" spans="1:9">
      <c r="D353" s="480"/>
      <c r="E353" s="480"/>
      <c r="F353" s="480"/>
      <c r="I353" s="524"/>
    </row>
    <row r="354" spans="1:9">
      <c r="A354" s="510"/>
      <c r="B354" s="510"/>
      <c r="C354" s="510"/>
      <c r="D354" s="481"/>
      <c r="E354" s="481"/>
      <c r="F354" s="480"/>
      <c r="I354" s="524" t="s">
        <v>2094</v>
      </c>
    </row>
    <row r="355" spans="1:9" ht="14.25">
      <c r="A355" s="518"/>
      <c r="B355" s="519" t="s">
        <v>308</v>
      </c>
      <c r="C355" s="521"/>
      <c r="D355" s="1303" t="s">
        <v>2202</v>
      </c>
      <c r="E355" s="1303"/>
      <c r="F355" s="1303"/>
      <c r="I355" s="1359" t="s">
        <v>2144</v>
      </c>
    </row>
    <row r="356" spans="1:9" ht="12.75" customHeight="1">
      <c r="D356" s="1072"/>
      <c r="E356" s="96" t="s">
        <v>2201</v>
      </c>
      <c r="F356" s="1072"/>
      <c r="I356" s="1360"/>
    </row>
    <row r="357" spans="1:9">
      <c r="D357" s="1302" t="s">
        <v>1347</v>
      </c>
      <c r="E357" s="1302"/>
      <c r="F357" s="1302"/>
      <c r="I357" s="1360"/>
    </row>
    <row r="358" spans="1:9">
      <c r="D358" s="1302"/>
      <c r="E358" s="1302"/>
      <c r="F358" s="1302"/>
      <c r="I358" s="1360"/>
    </row>
    <row r="359" spans="1:9">
      <c r="D359" s="1302"/>
      <c r="E359" s="1302"/>
      <c r="F359" s="1302"/>
      <c r="I359" s="1361"/>
    </row>
    <row r="360" spans="1:9" ht="14.25">
      <c r="A360" s="518"/>
      <c r="B360" s="519" t="s">
        <v>308</v>
      </c>
      <c r="C360" s="510"/>
      <c r="D360" s="1288" t="s">
        <v>2372</v>
      </c>
      <c r="E360" s="1288"/>
      <c r="F360" s="1288"/>
      <c r="I360" s="514"/>
    </row>
    <row r="361" spans="1:9">
      <c r="A361" s="510"/>
      <c r="B361" s="510"/>
      <c r="C361" s="510"/>
      <c r="D361" s="481"/>
      <c r="E361" s="481"/>
      <c r="F361" s="480"/>
      <c r="I361" s="524"/>
    </row>
    <row r="362" spans="1:9">
      <c r="A362" s="510"/>
      <c r="B362" s="519" t="s">
        <v>308</v>
      </c>
      <c r="C362" s="510"/>
      <c r="D362" s="1284" t="s">
        <v>2373</v>
      </c>
      <c r="E362" s="1284"/>
      <c r="F362" s="1284"/>
      <c r="I362" s="524"/>
    </row>
    <row r="363" spans="1:9">
      <c r="A363" s="510"/>
      <c r="B363" s="510"/>
      <c r="C363" s="510"/>
      <c r="D363" s="1284"/>
      <c r="E363" s="1284"/>
      <c r="F363" s="1284"/>
      <c r="I363" s="524"/>
    </row>
    <row r="364" spans="1:9">
      <c r="A364" s="510"/>
      <c r="B364" s="510"/>
      <c r="C364" s="510"/>
      <c r="D364" s="1284"/>
      <c r="E364" s="1284"/>
      <c r="F364" s="1284"/>
      <c r="I364" s="524"/>
    </row>
    <row r="365" spans="1:9">
      <c r="A365" s="510"/>
      <c r="B365" s="510"/>
      <c r="C365" s="510"/>
      <c r="D365" s="1284"/>
      <c r="E365" s="1284"/>
      <c r="F365" s="1284"/>
      <c r="I365" s="524"/>
    </row>
    <row r="366" spans="1:9">
      <c r="A366" s="510"/>
      <c r="B366" s="510"/>
      <c r="C366" s="510"/>
      <c r="D366" s="1284"/>
      <c r="E366" s="1284"/>
      <c r="F366" s="1284"/>
      <c r="I366" s="524"/>
    </row>
    <row r="367" spans="1:9">
      <c r="A367" s="510"/>
      <c r="B367" s="510"/>
      <c r="C367" s="510"/>
      <c r="D367" s="1284"/>
      <c r="E367" s="1284"/>
      <c r="F367" s="1284"/>
      <c r="I367" s="524"/>
    </row>
    <row r="368" spans="1:9">
      <c r="A368" s="510"/>
      <c r="B368" s="510"/>
      <c r="C368" s="510"/>
      <c r="D368" s="1284"/>
      <c r="E368" s="1284"/>
      <c r="F368" s="1284"/>
      <c r="I368" s="524"/>
    </row>
    <row r="369" spans="1:9">
      <c r="A369" s="510"/>
      <c r="B369" s="510"/>
      <c r="C369" s="510"/>
      <c r="D369" s="1284"/>
      <c r="E369" s="1284"/>
      <c r="F369" s="1284"/>
      <c r="I369" s="524"/>
    </row>
    <row r="370" spans="1:9">
      <c r="A370" s="510"/>
      <c r="B370" s="510"/>
      <c r="C370" s="510"/>
      <c r="D370" s="1284"/>
      <c r="E370" s="1284"/>
      <c r="F370" s="1284"/>
      <c r="I370" s="524"/>
    </row>
    <row r="371" spans="1:9">
      <c r="A371" s="510"/>
      <c r="B371" s="510"/>
      <c r="C371" s="510"/>
      <c r="D371" s="1284"/>
      <c r="E371" s="1284"/>
      <c r="F371" s="1284"/>
      <c r="I371" s="524"/>
    </row>
    <row r="372" spans="1:9">
      <c r="A372" s="510"/>
      <c r="B372" s="510"/>
      <c r="C372" s="510"/>
      <c r="D372" s="1284"/>
      <c r="E372" s="1284"/>
      <c r="F372" s="1284"/>
      <c r="I372" s="524"/>
    </row>
    <row r="373" spans="1:9">
      <c r="A373" s="510"/>
      <c r="B373" s="510"/>
      <c r="C373" s="510"/>
      <c r="D373" s="1284"/>
      <c r="E373" s="1284"/>
      <c r="F373" s="1284"/>
      <c r="I373" s="524"/>
    </row>
    <row r="374" spans="1:9">
      <c r="A374" s="510"/>
      <c r="B374" s="510"/>
      <c r="C374" s="510"/>
      <c r="D374" s="485"/>
      <c r="E374" s="485"/>
      <c r="F374" s="485"/>
      <c r="I374" s="524"/>
    </row>
    <row r="375" spans="1:9" ht="12.4" customHeight="1">
      <c r="A375" s="510"/>
      <c r="B375" s="519" t="s">
        <v>308</v>
      </c>
      <c r="C375" s="510"/>
      <c r="D375" s="1332" t="s">
        <v>1328</v>
      </c>
      <c r="E375" s="1332"/>
      <c r="F375" s="1332"/>
      <c r="I375" s="524"/>
    </row>
    <row r="376" spans="1:9">
      <c r="A376" s="510"/>
      <c r="B376" s="510"/>
      <c r="C376" s="510"/>
      <c r="D376" s="1332"/>
      <c r="E376" s="1332"/>
      <c r="F376" s="1332"/>
      <c r="I376" s="524"/>
    </row>
    <row r="377" spans="1:9">
      <c r="A377" s="510"/>
      <c r="B377" s="510"/>
      <c r="C377" s="510"/>
      <c r="D377" s="1332"/>
      <c r="E377" s="1332"/>
      <c r="F377" s="1332"/>
      <c r="I377" s="524"/>
    </row>
    <row r="378" spans="1:9">
      <c r="A378" s="510"/>
      <c r="B378" s="510"/>
      <c r="C378" s="510"/>
      <c r="D378" s="1332"/>
      <c r="E378" s="1332"/>
      <c r="F378" s="1332"/>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308</v>
      </c>
      <c r="C387" s="510"/>
      <c r="D387" s="1284" t="s">
        <v>1226</v>
      </c>
      <c r="E387" s="1284"/>
      <c r="F387" s="1284"/>
      <c r="I387" s="524"/>
    </row>
    <row r="388" spans="1:9">
      <c r="A388" s="510"/>
      <c r="B388" s="510"/>
      <c r="C388" s="510"/>
      <c r="D388" s="1284"/>
      <c r="E388" s="1284"/>
      <c r="F388" s="1284"/>
      <c r="I388" s="524"/>
    </row>
    <row r="389" spans="1:9">
      <c r="A389" s="510"/>
      <c r="B389" s="510"/>
      <c r="C389" s="510"/>
      <c r="D389" s="1284"/>
      <c r="E389" s="1284"/>
      <c r="F389" s="1284"/>
      <c r="I389" s="524"/>
    </row>
    <row r="390" spans="1:9">
      <c r="A390" s="510"/>
      <c r="B390" s="510"/>
      <c r="C390" s="510"/>
      <c r="D390" s="1284"/>
      <c r="E390" s="1284"/>
      <c r="F390" s="1284"/>
      <c r="I390" s="524"/>
    </row>
    <row r="391" spans="1:9">
      <c r="A391" s="510"/>
      <c r="B391" s="510"/>
      <c r="C391" s="510"/>
      <c r="D391" s="481"/>
      <c r="E391" s="481"/>
      <c r="F391" s="480"/>
      <c r="I391" s="524"/>
    </row>
    <row r="392" spans="1:9">
      <c r="A392" s="510"/>
      <c r="B392" s="510"/>
      <c r="C392" s="510"/>
      <c r="D392" s="1284" t="s">
        <v>1227</v>
      </c>
      <c r="E392" s="1284"/>
      <c r="F392" s="1284"/>
      <c r="I392" s="524"/>
    </row>
    <row r="393" spans="1:9">
      <c r="A393" s="510"/>
      <c r="B393" s="510"/>
      <c r="C393" s="510"/>
      <c r="D393" s="1284"/>
      <c r="E393" s="1284"/>
      <c r="F393" s="1284"/>
      <c r="I393" s="524"/>
    </row>
    <row r="394" spans="1:9">
      <c r="A394" s="510"/>
      <c r="B394" s="510"/>
      <c r="C394" s="510"/>
      <c r="D394" s="1284"/>
      <c r="E394" s="1284"/>
      <c r="F394" s="1284"/>
      <c r="I394" s="524"/>
    </row>
    <row r="395" spans="1:9">
      <c r="A395" s="510"/>
      <c r="B395" s="510"/>
      <c r="C395" s="510"/>
      <c r="D395" s="1284"/>
      <c r="E395" s="1284"/>
      <c r="F395" s="1284"/>
      <c r="I395" s="524"/>
    </row>
    <row r="396" spans="1:9" ht="18" customHeight="1">
      <c r="A396" s="510"/>
      <c r="B396" s="510"/>
      <c r="C396" s="510"/>
      <c r="D396" s="1284"/>
      <c r="E396" s="1284"/>
      <c r="F396" s="1284"/>
      <c r="I396" s="524"/>
    </row>
    <row r="397" spans="1:9">
      <c r="A397" s="510"/>
      <c r="B397" s="510"/>
      <c r="C397" s="510"/>
      <c r="D397" s="1284"/>
      <c r="E397" s="1284"/>
      <c r="F397" s="1284"/>
      <c r="I397" s="524"/>
    </row>
    <row r="398" spans="1:9">
      <c r="A398" s="510"/>
      <c r="B398" s="510"/>
      <c r="C398" s="510"/>
      <c r="D398" s="1284"/>
      <c r="E398" s="1284"/>
      <c r="F398" s="1284"/>
      <c r="I398" s="524"/>
    </row>
    <row r="399" spans="1:9">
      <c r="A399" s="510"/>
      <c r="B399" s="510"/>
      <c r="C399" s="510"/>
      <c r="D399" s="1284"/>
      <c r="E399" s="1284"/>
      <c r="F399" s="1284"/>
      <c r="I399" s="524"/>
    </row>
    <row r="400" spans="1:9" ht="8.25" customHeight="1">
      <c r="A400" s="510"/>
      <c r="B400" s="510"/>
      <c r="C400" s="510"/>
      <c r="D400" s="1284"/>
      <c r="E400" s="1284"/>
      <c r="F400" s="1284"/>
      <c r="I400" s="524"/>
    </row>
    <row r="401" spans="1:9" ht="13.7" customHeight="1">
      <c r="A401" s="510"/>
      <c r="B401" s="510"/>
      <c r="C401" s="510"/>
      <c r="D401" s="1284" t="s">
        <v>1228</v>
      </c>
      <c r="E401" s="1284"/>
      <c r="F401" s="1284"/>
      <c r="I401" s="524"/>
    </row>
    <row r="402" spans="1:9">
      <c r="A402" s="510"/>
      <c r="B402" s="510"/>
      <c r="C402" s="510"/>
      <c r="D402" s="1284"/>
      <c r="E402" s="1284"/>
      <c r="F402" s="1284"/>
      <c r="I402" s="524"/>
    </row>
    <row r="403" spans="1:9">
      <c r="A403" s="510"/>
      <c r="B403" s="510"/>
      <c r="C403" s="510"/>
      <c r="D403" s="1284"/>
      <c r="E403" s="1284"/>
      <c r="F403" s="1284"/>
      <c r="I403" s="524"/>
    </row>
    <row r="404" spans="1:9">
      <c r="A404" s="510"/>
      <c r="B404" s="510"/>
      <c r="C404" s="510"/>
      <c r="D404" s="1284"/>
      <c r="E404" s="1284"/>
      <c r="F404" s="1284"/>
      <c r="I404" s="524"/>
    </row>
    <row r="405" spans="1:9">
      <c r="A405" s="510"/>
      <c r="B405" s="510"/>
      <c r="C405" s="510"/>
      <c r="D405" s="1284"/>
      <c r="E405" s="1284"/>
      <c r="F405" s="1284"/>
      <c r="I405" s="524"/>
    </row>
    <row r="406" spans="1:9">
      <c r="A406" s="510"/>
      <c r="B406" s="510"/>
      <c r="C406" s="510"/>
      <c r="D406" s="1284"/>
      <c r="E406" s="1284"/>
      <c r="F406" s="1284"/>
      <c r="I406" s="524"/>
    </row>
    <row r="407" spans="1:9">
      <c r="A407" s="510"/>
      <c r="B407" s="510"/>
      <c r="C407" s="510"/>
      <c r="D407" s="1284"/>
      <c r="E407" s="1284"/>
      <c r="F407" s="1284"/>
      <c r="I407" s="524"/>
    </row>
    <row r="408" spans="1:9">
      <c r="A408" s="510"/>
      <c r="B408" s="510"/>
      <c r="C408" s="510"/>
      <c r="D408" s="1284"/>
      <c r="E408" s="1284"/>
      <c r="F408" s="1284"/>
      <c r="I408" s="524"/>
    </row>
    <row r="409" spans="1:9">
      <c r="A409" s="510"/>
      <c r="B409" s="510"/>
      <c r="C409" s="510"/>
      <c r="D409" s="1284"/>
      <c r="E409" s="1284"/>
      <c r="F409" s="1284"/>
      <c r="I409" s="524"/>
    </row>
    <row r="410" spans="1:9">
      <c r="A410" s="510"/>
      <c r="B410" s="510"/>
      <c r="C410" s="510"/>
      <c r="D410" s="1284"/>
      <c r="E410" s="1284"/>
      <c r="F410" s="1284"/>
      <c r="I410" s="524"/>
    </row>
    <row r="411" spans="1:9">
      <c r="A411" s="510"/>
      <c r="B411" s="510"/>
      <c r="C411" s="510"/>
      <c r="D411" s="1284"/>
      <c r="E411" s="1284"/>
      <c r="F411" s="1284"/>
      <c r="I411" s="524"/>
    </row>
    <row r="412" spans="1:9">
      <c r="A412" s="510"/>
      <c r="B412" s="510"/>
      <c r="C412" s="510"/>
      <c r="D412" s="1284"/>
      <c r="E412" s="1284"/>
      <c r="F412" s="1284"/>
      <c r="I412" s="524"/>
    </row>
    <row r="413" spans="1:9">
      <c r="A413" s="510"/>
      <c r="B413" s="510"/>
      <c r="C413" s="530"/>
      <c r="D413" s="1284"/>
      <c r="E413" s="1284"/>
      <c r="F413" s="1284"/>
      <c r="I413" s="524"/>
    </row>
    <row r="414" spans="1:9">
      <c r="A414" s="510"/>
      <c r="B414" s="510"/>
      <c r="C414" s="530"/>
      <c r="D414" s="1284"/>
      <c r="E414" s="1284"/>
      <c r="F414" s="1284"/>
      <c r="I414" s="524"/>
    </row>
    <row r="415" spans="1:9">
      <c r="A415" s="510"/>
      <c r="B415" s="510"/>
      <c r="C415" s="510"/>
      <c r="D415" s="1284"/>
      <c r="E415" s="1284"/>
      <c r="F415" s="1284"/>
      <c r="I415" s="524"/>
    </row>
    <row r="416" spans="1:9">
      <c r="A416" s="510"/>
      <c r="B416" s="510"/>
      <c r="C416" s="530"/>
      <c r="D416" s="1284"/>
      <c r="E416" s="1284"/>
      <c r="F416" s="1284"/>
      <c r="I416" s="524"/>
    </row>
    <row r="417" spans="1:9">
      <c r="A417" s="510"/>
      <c r="B417" s="510"/>
      <c r="C417" s="530"/>
      <c r="D417" s="1284"/>
      <c r="E417" s="1284"/>
      <c r="F417" s="1284"/>
      <c r="I417" s="524"/>
    </row>
    <row r="418" spans="1:9">
      <c r="A418" s="510"/>
      <c r="B418" s="510"/>
      <c r="C418" s="530"/>
      <c r="D418" s="1284"/>
      <c r="E418" s="1284"/>
      <c r="F418" s="1284"/>
      <c r="I418" s="524"/>
    </row>
    <row r="419" spans="1:9">
      <c r="A419" s="510"/>
      <c r="B419" s="510"/>
      <c r="C419" s="510"/>
      <c r="D419" s="481"/>
      <c r="E419" s="481"/>
      <c r="F419" s="480"/>
      <c r="I419" s="524"/>
    </row>
    <row r="420" spans="1:9">
      <c r="A420" s="510"/>
      <c r="B420" s="519" t="s">
        <v>308</v>
      </c>
      <c r="C420" s="510"/>
      <c r="D420" s="1284" t="s">
        <v>1229</v>
      </c>
      <c r="E420" s="1284"/>
      <c r="F420" s="1284"/>
      <c r="I420" s="524"/>
    </row>
    <row r="421" spans="1:9">
      <c r="A421" s="510"/>
      <c r="B421" s="510"/>
      <c r="C421" s="510"/>
      <c r="D421" s="1284"/>
      <c r="E421" s="1284"/>
      <c r="F421" s="1284"/>
      <c r="I421" s="524"/>
    </row>
    <row r="422" spans="1:9">
      <c r="A422" s="510"/>
      <c r="B422" s="510"/>
      <c r="C422" s="510"/>
      <c r="D422" s="485"/>
      <c r="E422" s="485"/>
      <c r="F422" s="485"/>
      <c r="I422" s="524"/>
    </row>
    <row r="423" spans="1:9" ht="14.45" customHeight="1">
      <c r="A423" s="518"/>
      <c r="B423" s="519" t="s">
        <v>308</v>
      </c>
      <c r="D423" s="1284" t="s">
        <v>2131</v>
      </c>
      <c r="E423" s="1284"/>
      <c r="F423" s="1284"/>
      <c r="I423" s="524"/>
    </row>
    <row r="424" spans="1:9" ht="14.45" customHeight="1">
      <c r="A424" s="518"/>
      <c r="D424" s="1284"/>
      <c r="E424" s="1284"/>
      <c r="F424" s="1284"/>
      <c r="I424" s="524"/>
    </row>
    <row r="425" spans="1:9" ht="14.45" customHeight="1">
      <c r="A425" s="518"/>
      <c r="D425" s="1284"/>
      <c r="E425" s="1284"/>
      <c r="F425" s="1284"/>
      <c r="I425" s="524"/>
    </row>
    <row r="426" spans="1:9" ht="14.45" customHeight="1">
      <c r="A426" s="518"/>
      <c r="D426" s="1284"/>
      <c r="E426" s="1284"/>
      <c r="F426" s="1284"/>
      <c r="I426" s="524"/>
    </row>
    <row r="427" spans="1:9" ht="14.45" customHeight="1">
      <c r="A427" s="518"/>
      <c r="D427" s="1284"/>
      <c r="E427" s="1284"/>
      <c r="F427" s="1284"/>
      <c r="I427" s="524"/>
    </row>
    <row r="428" spans="1:9" ht="14.45" customHeight="1">
      <c r="A428" s="518"/>
      <c r="D428" s="416"/>
      <c r="E428" s="416"/>
      <c r="F428" s="416"/>
      <c r="I428" s="524"/>
    </row>
    <row r="429" spans="1:9" ht="13.7" customHeight="1">
      <c r="A429" s="518"/>
      <c r="B429" s="519" t="s">
        <v>308</v>
      </c>
      <c r="C429" s="510"/>
      <c r="D429" s="1284" t="s">
        <v>1348</v>
      </c>
      <c r="E429" s="1284"/>
      <c r="F429" s="1284"/>
      <c r="I429" s="524"/>
    </row>
    <row r="430" spans="1:9" ht="14.25">
      <c r="A430" s="531"/>
      <c r="B430" s="531"/>
      <c r="C430" s="510"/>
      <c r="D430" s="1284"/>
      <c r="E430" s="1284"/>
      <c r="F430" s="1284"/>
      <c r="I430" s="524"/>
    </row>
    <row r="431" spans="1:9" ht="14.25">
      <c r="A431" s="531"/>
      <c r="B431" s="531"/>
      <c r="C431" s="510"/>
      <c r="D431" s="1284"/>
      <c r="E431" s="1284"/>
      <c r="F431" s="1284"/>
      <c r="I431" s="524"/>
    </row>
    <row r="432" spans="1:9" ht="14.25">
      <c r="A432" s="531"/>
      <c r="B432" s="531"/>
      <c r="C432" s="510"/>
      <c r="D432" s="1284"/>
      <c r="E432" s="1284"/>
      <c r="F432" s="1284"/>
      <c r="I432" s="524"/>
    </row>
    <row r="433" spans="1:9" ht="15.75" customHeight="1">
      <c r="A433" s="531"/>
      <c r="B433" s="531"/>
      <c r="C433" s="510"/>
      <c r="D433" s="1355" t="s">
        <v>2391</v>
      </c>
      <c r="E433" s="1284"/>
      <c r="F433" s="1284"/>
      <c r="I433" s="524"/>
    </row>
    <row r="434" spans="1:9">
      <c r="D434" s="480"/>
      <c r="E434" s="480"/>
      <c r="F434" s="480"/>
      <c r="I434" s="524"/>
    </row>
    <row r="435" spans="1:9" ht="14.25">
      <c r="A435" s="518"/>
      <c r="B435" s="519" t="s">
        <v>308</v>
      </c>
      <c r="C435" s="521"/>
      <c r="D435" s="1302" t="s">
        <v>2374</v>
      </c>
      <c r="E435" s="1302"/>
      <c r="F435" s="1302"/>
      <c r="I435" s="524"/>
    </row>
    <row r="436" spans="1:9" ht="14.25">
      <c r="A436" s="518"/>
      <c r="B436" s="518"/>
      <c r="D436" s="1302"/>
      <c r="E436" s="1302"/>
      <c r="F436" s="1302"/>
      <c r="I436" s="524"/>
    </row>
    <row r="437" spans="1:9">
      <c r="D437" s="1302"/>
      <c r="E437" s="1302"/>
      <c r="F437" s="1302"/>
      <c r="I437" s="524"/>
    </row>
    <row r="438" spans="1:9">
      <c r="D438" s="1302"/>
      <c r="E438" s="1302"/>
      <c r="F438" s="1302"/>
      <c r="I438" s="524"/>
    </row>
    <row r="439" spans="1:9">
      <c r="D439" s="1302"/>
      <c r="E439" s="1302"/>
      <c r="F439" s="1302"/>
      <c r="I439" s="524"/>
    </row>
    <row r="440" spans="1:9">
      <c r="D440" s="1302"/>
      <c r="E440" s="1302"/>
      <c r="F440" s="1302"/>
      <c r="I440" s="524"/>
    </row>
    <row r="441" spans="1:9">
      <c r="D441" s="1302"/>
      <c r="E441" s="1302"/>
      <c r="F441" s="1302"/>
      <c r="I441" s="524"/>
    </row>
    <row r="442" spans="1:9">
      <c r="D442" s="1302"/>
      <c r="E442" s="1302"/>
      <c r="F442" s="1302"/>
      <c r="I442" s="524"/>
    </row>
    <row r="443" spans="1:9">
      <c r="D443" s="1302"/>
      <c r="E443" s="1302"/>
      <c r="F443" s="1302"/>
      <c r="I443" s="524"/>
    </row>
    <row r="444" spans="1:9">
      <c r="D444" s="1302"/>
      <c r="E444" s="1302"/>
      <c r="F444" s="1302"/>
      <c r="I444" s="524"/>
    </row>
    <row r="445" spans="1:9">
      <c r="D445" s="1302"/>
      <c r="E445" s="1302"/>
      <c r="F445" s="1302"/>
      <c r="I445" s="524"/>
    </row>
    <row r="446" spans="1:9">
      <c r="D446" s="1302"/>
      <c r="E446" s="1302"/>
      <c r="F446" s="1302"/>
      <c r="I446" s="524"/>
    </row>
    <row r="447" spans="1:9">
      <c r="D447" s="1302"/>
      <c r="E447" s="1302"/>
      <c r="F447" s="1302"/>
      <c r="I447" s="524"/>
    </row>
    <row r="448" spans="1:9">
      <c r="A448" s="433"/>
      <c r="B448" s="433"/>
      <c r="C448" s="433"/>
      <c r="D448" s="1302"/>
      <c r="E448" s="1302"/>
      <c r="F448" s="1302"/>
      <c r="I448" s="524"/>
    </row>
    <row r="449" spans="1:9">
      <c r="A449" s="433"/>
      <c r="B449" s="433"/>
      <c r="C449" s="433"/>
      <c r="D449" s="1302"/>
      <c r="E449" s="1302"/>
      <c r="F449" s="1302"/>
      <c r="I449" s="524"/>
    </row>
    <row r="450" spans="1:9">
      <c r="A450" s="433"/>
      <c r="B450" s="433"/>
      <c r="C450" s="433"/>
      <c r="D450" s="1302"/>
      <c r="E450" s="1302"/>
      <c r="F450" s="1302"/>
      <c r="I450" s="524"/>
    </row>
    <row r="451" spans="1:9">
      <c r="A451" s="433"/>
      <c r="B451" s="433"/>
      <c r="C451" s="433"/>
      <c r="D451" s="1302"/>
      <c r="E451" s="1302"/>
      <c r="F451" s="1302"/>
      <c r="I451" s="524"/>
    </row>
    <row r="452" spans="1:9">
      <c r="A452" s="433"/>
      <c r="B452" s="433"/>
      <c r="C452" s="433"/>
      <c r="D452" s="1302"/>
      <c r="E452" s="1302"/>
      <c r="F452" s="1302"/>
      <c r="I452" s="524"/>
    </row>
    <row r="453" spans="1:9">
      <c r="A453" s="433"/>
      <c r="B453" s="433"/>
      <c r="C453" s="433"/>
      <c r="D453" s="1302"/>
      <c r="E453" s="1302"/>
      <c r="F453" s="1302"/>
      <c r="I453" s="524"/>
    </row>
    <row r="454" spans="1:9">
      <c r="A454" s="433"/>
      <c r="B454" s="433"/>
      <c r="C454" s="433"/>
      <c r="D454" s="1302"/>
      <c r="E454" s="1302"/>
      <c r="F454" s="1302"/>
      <c r="I454" s="524"/>
    </row>
    <row r="455" spans="1:9">
      <c r="A455" s="433"/>
      <c r="B455" s="433"/>
      <c r="C455" s="433"/>
      <c r="D455" s="1302"/>
      <c r="E455" s="1302"/>
      <c r="F455" s="1302"/>
      <c r="I455" s="524"/>
    </row>
    <row r="456" spans="1:9">
      <c r="A456" s="433"/>
      <c r="B456" s="433"/>
      <c r="C456" s="433"/>
      <c r="D456" s="1302"/>
      <c r="E456" s="1302"/>
      <c r="F456" s="1302"/>
      <c r="I456" s="524"/>
    </row>
    <row r="457" spans="1:9">
      <c r="A457" s="433"/>
      <c r="B457" s="433"/>
      <c r="C457" s="433"/>
      <c r="D457" s="1302"/>
      <c r="E457" s="1302"/>
      <c r="F457" s="1302"/>
      <c r="I457" s="524"/>
    </row>
    <row r="458" spans="1:9">
      <c r="A458" s="433"/>
      <c r="B458" s="433"/>
      <c r="C458" s="433"/>
      <c r="D458" s="1302"/>
      <c r="E458" s="1302"/>
      <c r="F458" s="1302"/>
      <c r="I458" s="524"/>
    </row>
    <row r="459" spans="1:9">
      <c r="A459" s="433"/>
      <c r="B459" s="433"/>
      <c r="C459" s="433"/>
      <c r="D459" s="1302"/>
      <c r="E459" s="1302"/>
      <c r="F459" s="1302"/>
      <c r="I459" s="524"/>
    </row>
    <row r="460" spans="1:9">
      <c r="A460" s="433"/>
      <c r="B460" s="433"/>
      <c r="C460" s="433"/>
      <c r="D460" s="1302"/>
      <c r="E460" s="1302"/>
      <c r="F460" s="1302"/>
      <c r="I460" s="524"/>
    </row>
    <row r="461" spans="1:9">
      <c r="A461" s="433"/>
      <c r="B461" s="433"/>
      <c r="C461" s="433"/>
      <c r="D461" s="1302"/>
      <c r="E461" s="1302"/>
      <c r="F461" s="1302"/>
      <c r="I461" s="524"/>
    </row>
    <row r="462" spans="1:9">
      <c r="A462" s="433"/>
      <c r="B462" s="433"/>
      <c r="C462" s="433"/>
      <c r="D462" s="1302"/>
      <c r="E462" s="1302"/>
      <c r="F462" s="1302"/>
      <c r="I462" s="524"/>
    </row>
    <row r="463" spans="1:9">
      <c r="A463" s="433"/>
      <c r="B463" s="433"/>
      <c r="C463" s="433"/>
      <c r="D463" s="1302"/>
      <c r="E463" s="1302"/>
      <c r="F463" s="1302"/>
      <c r="I463" s="524"/>
    </row>
    <row r="464" spans="1:9">
      <c r="D464" s="1302"/>
      <c r="E464" s="1302"/>
      <c r="F464" s="1302"/>
      <c r="I464" s="524"/>
    </row>
    <row r="465" spans="1:9" ht="40.700000000000003" customHeight="1">
      <c r="D465" s="1302"/>
      <c r="E465" s="1302"/>
      <c r="F465" s="1302"/>
      <c r="I465" s="524"/>
    </row>
    <row r="466" spans="1:9">
      <c r="D466" s="480"/>
      <c r="E466" s="480"/>
      <c r="F466" s="480"/>
      <c r="I466" s="524"/>
    </row>
    <row r="467" spans="1:9" ht="14.25">
      <c r="A467" s="518"/>
      <c r="B467" s="519" t="s">
        <v>308</v>
      </c>
      <c r="C467" s="521"/>
      <c r="D467" s="1302" t="s">
        <v>1234</v>
      </c>
      <c r="E467" s="1302"/>
      <c r="F467" s="1302"/>
      <c r="I467" s="524"/>
    </row>
    <row r="468" spans="1:9">
      <c r="D468" s="1302"/>
      <c r="E468" s="1302"/>
      <c r="F468" s="1302"/>
      <c r="I468" s="524"/>
    </row>
    <row r="469" spans="1:9">
      <c r="D469" s="1302"/>
      <c r="E469" s="1302"/>
      <c r="F469" s="1302"/>
      <c r="I469" s="524"/>
    </row>
    <row r="470" spans="1:9">
      <c r="D470" s="479"/>
      <c r="E470" s="479"/>
      <c r="F470" s="479"/>
      <c r="I470" s="524"/>
    </row>
    <row r="471" spans="1:9" ht="14.25">
      <c r="B471" s="519" t="s">
        <v>308</v>
      </c>
      <c r="C471" s="518"/>
      <c r="D471" s="1302" t="s">
        <v>1304</v>
      </c>
      <c r="E471" s="1302"/>
      <c r="F471" s="1302"/>
      <c r="I471" s="524"/>
    </row>
    <row r="472" spans="1:9">
      <c r="D472" s="1302"/>
      <c r="E472" s="1302"/>
      <c r="F472" s="1302"/>
      <c r="I472" s="524"/>
    </row>
    <row r="473" spans="1:9">
      <c r="D473" s="480"/>
      <c r="E473" s="480"/>
      <c r="F473" s="480"/>
      <c r="I473" s="524"/>
    </row>
    <row r="474" spans="1:9" ht="14.25">
      <c r="B474" s="519" t="s">
        <v>308</v>
      </c>
      <c r="C474" s="518"/>
      <c r="D474" s="1302" t="s">
        <v>1236</v>
      </c>
      <c r="E474" s="1302"/>
      <c r="F474" s="1302"/>
      <c r="I474" s="524"/>
    </row>
    <row r="475" spans="1:9">
      <c r="D475" s="1302"/>
      <c r="E475" s="1302"/>
      <c r="F475" s="1302"/>
      <c r="I475" s="524"/>
    </row>
    <row r="476" spans="1:9">
      <c r="D476" s="1302"/>
      <c r="E476" s="1302"/>
      <c r="F476" s="1302"/>
      <c r="I476" s="524"/>
    </row>
    <row r="477" spans="1:9">
      <c r="D477" s="1302"/>
      <c r="E477" s="1302"/>
      <c r="F477" s="1302"/>
      <c r="I477" s="524"/>
    </row>
    <row r="478" spans="1:9">
      <c r="B478" s="519" t="s">
        <v>308</v>
      </c>
      <c r="D478" s="1302"/>
      <c r="E478" s="1302"/>
      <c r="F478" s="1302"/>
      <c r="I478" s="524"/>
    </row>
    <row r="479" spans="1:9">
      <c r="A479" s="433"/>
      <c r="B479" s="433"/>
      <c r="C479" s="433"/>
      <c r="D479" s="1302"/>
      <c r="E479" s="1302"/>
      <c r="F479" s="1302"/>
      <c r="I479" s="524"/>
    </row>
    <row r="480" spans="1:9">
      <c r="A480" s="433"/>
      <c r="C480" s="433"/>
      <c r="D480" s="1302"/>
      <c r="E480" s="1302"/>
      <c r="F480" s="1302"/>
      <c r="I480" s="524"/>
    </row>
    <row r="481" spans="1:9">
      <c r="A481" s="433"/>
      <c r="B481" s="519" t="s">
        <v>308</v>
      </c>
      <c r="C481" s="433"/>
      <c r="D481" s="1302"/>
      <c r="E481" s="1302"/>
      <c r="F481" s="1302"/>
      <c r="I481" s="524"/>
    </row>
    <row r="482" spans="1:9">
      <c r="A482" s="433"/>
      <c r="B482" s="433"/>
      <c r="C482" s="433"/>
      <c r="D482" s="1302"/>
      <c r="E482" s="1302"/>
      <c r="F482" s="1302"/>
      <c r="I482" s="524"/>
    </row>
    <row r="483" spans="1:9">
      <c r="A483" s="433"/>
      <c r="C483" s="433"/>
      <c r="D483" s="1302"/>
      <c r="E483" s="1302"/>
      <c r="F483" s="1302"/>
      <c r="I483" s="524"/>
    </row>
    <row r="484" spans="1:9">
      <c r="A484" s="433"/>
      <c r="C484" s="433"/>
      <c r="D484" s="1302"/>
      <c r="E484" s="1302"/>
      <c r="F484" s="1302"/>
      <c r="I484" s="524"/>
    </row>
    <row r="485" spans="1:9">
      <c r="A485" s="433"/>
      <c r="C485" s="433"/>
      <c r="D485" s="1302"/>
      <c r="E485" s="1302"/>
      <c r="F485" s="1302"/>
      <c r="I485" s="524"/>
    </row>
    <row r="486" spans="1:9">
      <c r="A486" s="433"/>
      <c r="B486" s="519" t="s">
        <v>308</v>
      </c>
      <c r="C486" s="433"/>
      <c r="D486" s="1302"/>
      <c r="E486" s="1302"/>
      <c r="F486" s="1302"/>
      <c r="I486" s="524"/>
    </row>
    <row r="487" spans="1:9">
      <c r="A487" s="433"/>
      <c r="C487" s="433"/>
      <c r="D487" s="1302"/>
      <c r="E487" s="1302"/>
      <c r="F487" s="1302"/>
      <c r="I487" s="524"/>
    </row>
    <row r="488" spans="1:9">
      <c r="A488" s="433"/>
      <c r="B488" s="519" t="s">
        <v>308</v>
      </c>
      <c r="C488" s="433"/>
      <c r="D488" s="1302" t="s">
        <v>1237</v>
      </c>
      <c r="E488" s="1302"/>
      <c r="F488" s="1302"/>
      <c r="I488" s="524"/>
    </row>
    <row r="489" spans="1:9">
      <c r="A489" s="433"/>
      <c r="B489" s="433"/>
      <c r="C489" s="433"/>
      <c r="D489" s="1302"/>
      <c r="E489" s="1302"/>
      <c r="F489" s="1302"/>
      <c r="I489" s="524"/>
    </row>
    <row r="490" spans="1:9">
      <c r="A490" s="433"/>
      <c r="B490" s="433"/>
      <c r="C490" s="433"/>
      <c r="D490" s="1302"/>
      <c r="E490" s="1302"/>
      <c r="F490" s="1302"/>
      <c r="I490" s="524"/>
    </row>
    <row r="491" spans="1:9">
      <c r="A491" s="433"/>
      <c r="B491" s="433"/>
      <c r="C491" s="433"/>
      <c r="D491" s="1302"/>
      <c r="E491" s="1302"/>
      <c r="F491" s="1302"/>
      <c r="I491" s="524"/>
    </row>
    <row r="492" spans="1:9">
      <c r="D492" s="1302"/>
      <c r="E492" s="1302"/>
      <c r="F492" s="1302"/>
      <c r="I492" s="524"/>
    </row>
    <row r="493" spans="1:9">
      <c r="D493" s="480"/>
      <c r="E493" s="480"/>
      <c r="F493" s="480"/>
      <c r="I493" s="524"/>
    </row>
    <row r="494" spans="1:9">
      <c r="B494" s="519" t="s">
        <v>308</v>
      </c>
      <c r="D494" s="1303" t="s">
        <v>1238</v>
      </c>
      <c r="E494" s="1303"/>
      <c r="F494" s="1303"/>
      <c r="I494" s="524"/>
    </row>
    <row r="495" spans="1:9">
      <c r="A495" s="480"/>
      <c r="B495" s="480"/>
      <c r="I495" s="524"/>
    </row>
    <row r="496" spans="1:9">
      <c r="A496" s="1290" t="s">
        <v>1079</v>
      </c>
      <c r="B496" s="1290"/>
      <c r="C496" s="1290"/>
      <c r="D496" s="1290"/>
      <c r="E496" s="1290"/>
      <c r="F496" s="1290"/>
      <c r="G496" s="1290"/>
      <c r="H496" s="1063"/>
      <c r="I496" s="1259"/>
    </row>
    <row r="497" spans="1:9">
      <c r="A497" s="480"/>
      <c r="B497" s="480"/>
      <c r="I497" s="524"/>
    </row>
    <row r="498" spans="1:9">
      <c r="D498" s="1287" t="s">
        <v>896</v>
      </c>
      <c r="E498" s="1287"/>
      <c r="F498" s="1287"/>
      <c r="I498" s="524"/>
    </row>
    <row r="499" spans="1:9" ht="14.25">
      <c r="A499" s="518"/>
      <c r="B499" s="518"/>
      <c r="D499" s="1288" t="s">
        <v>1239</v>
      </c>
      <c r="E499" s="1288"/>
      <c r="F499" s="1288"/>
      <c r="I499" s="524"/>
    </row>
    <row r="500" spans="1:9" ht="14.25">
      <c r="A500" s="518"/>
      <c r="B500" s="518"/>
      <c r="D500" s="481"/>
      <c r="I500" s="524"/>
    </row>
    <row r="501" spans="1:9" ht="14.25">
      <c r="A501" s="518"/>
      <c r="B501" s="519" t="s">
        <v>2761</v>
      </c>
      <c r="D501" s="1284" t="s">
        <v>1240</v>
      </c>
      <c r="E501" s="1284"/>
      <c r="F501" s="1284"/>
      <c r="I501" s="524" t="s">
        <v>2095</v>
      </c>
    </row>
    <row r="502" spans="1:9" ht="14.25">
      <c r="A502" s="518"/>
      <c r="B502" s="518"/>
      <c r="D502" s="1284"/>
      <c r="E502" s="1284"/>
      <c r="F502" s="1284"/>
      <c r="I502" s="524"/>
    </row>
    <row r="503" spans="1:9" ht="14.25">
      <c r="A503" s="518"/>
      <c r="B503" s="518"/>
      <c r="D503" s="480"/>
      <c r="I503" s="524"/>
    </row>
    <row r="504" spans="1:9" ht="12.75" customHeight="1">
      <c r="B504" s="519" t="s">
        <v>2761</v>
      </c>
      <c r="D504" s="1289" t="s">
        <v>1384</v>
      </c>
      <c r="E504" s="1289"/>
      <c r="F504" s="1289"/>
      <c r="I504" s="524" t="s">
        <v>2096</v>
      </c>
    </row>
    <row r="505" spans="1:9" ht="14.25">
      <c r="A505" s="518"/>
      <c r="D505" s="1289"/>
      <c r="E505" s="1289"/>
      <c r="F505" s="1289"/>
      <c r="I505" s="524"/>
    </row>
    <row r="506" spans="1:9" ht="14.25">
      <c r="A506" s="518"/>
      <c r="B506" s="518"/>
      <c r="D506" s="1289"/>
      <c r="E506" s="1289"/>
      <c r="F506" s="1289"/>
      <c r="I506" s="524"/>
    </row>
    <row r="507" spans="1:9" ht="14.25">
      <c r="A507" s="518"/>
      <c r="B507" s="518"/>
      <c r="D507" s="1289"/>
      <c r="E507" s="1289"/>
      <c r="F507" s="1289"/>
      <c r="I507" s="524"/>
    </row>
    <row r="508" spans="1:9" ht="14.25">
      <c r="A508" s="518"/>
      <c r="D508" s="554"/>
      <c r="E508" s="554"/>
      <c r="F508" s="554"/>
      <c r="I508" s="524"/>
    </row>
    <row r="509" spans="1:9" ht="14.25">
      <c r="A509" s="518"/>
      <c r="B509" s="519" t="s">
        <v>2761</v>
      </c>
      <c r="D509" s="1303" t="s">
        <v>1243</v>
      </c>
      <c r="E509" s="1303"/>
      <c r="F509" s="1303"/>
      <c r="I509" s="524" t="s">
        <v>2097</v>
      </c>
    </row>
    <row r="510" spans="1:9" ht="14.25">
      <c r="A510" s="518"/>
      <c r="B510" s="518"/>
      <c r="D510" s="480"/>
      <c r="I510" s="524"/>
    </row>
    <row r="511" spans="1:9" ht="14.25">
      <c r="A511" s="518"/>
      <c r="B511" s="519" t="s">
        <v>308</v>
      </c>
      <c r="D511" s="1302" t="s">
        <v>1244</v>
      </c>
      <c r="E511" s="1302"/>
      <c r="F511" s="1302"/>
      <c r="I511" s="524" t="s">
        <v>2097</v>
      </c>
    </row>
    <row r="512" spans="1:9" ht="14.25">
      <c r="A512" s="518"/>
      <c r="D512" s="1302"/>
      <c r="E512" s="1302"/>
      <c r="F512" s="1302"/>
      <c r="I512" s="524"/>
    </row>
    <row r="513" spans="1:9">
      <c r="A513" s="524"/>
      <c r="B513" s="524"/>
      <c r="D513" s="481"/>
      <c r="I513" s="524"/>
    </row>
    <row r="514" spans="1:9">
      <c r="A514" s="524"/>
      <c r="B514" s="519" t="s">
        <v>308</v>
      </c>
      <c r="D514" s="1303" t="s">
        <v>1245</v>
      </c>
      <c r="E514" s="1303"/>
      <c r="F514" s="1303"/>
      <c r="I514" s="524" t="s">
        <v>2150</v>
      </c>
    </row>
    <row r="515" spans="1:9" ht="14.25">
      <c r="A515" s="518"/>
      <c r="B515" s="518"/>
      <c r="D515" s="480"/>
      <c r="I515" s="524"/>
    </row>
    <row r="516" spans="1:9">
      <c r="A516" s="1290" t="s">
        <v>1080</v>
      </c>
      <c r="B516" s="1290"/>
      <c r="C516" s="1290"/>
      <c r="D516" s="1290"/>
      <c r="E516" s="1290"/>
      <c r="F516" s="1290"/>
      <c r="G516" s="1290"/>
      <c r="H516" s="1063"/>
      <c r="I516" s="1259"/>
    </row>
    <row r="517" spans="1:9" ht="12" customHeight="1">
      <c r="A517" s="518"/>
      <c r="B517" s="518"/>
      <c r="D517" s="480"/>
      <c r="I517" s="524"/>
    </row>
    <row r="518" spans="1:9">
      <c r="C518" s="516"/>
      <c r="D518" s="1301" t="s">
        <v>803</v>
      </c>
      <c r="E518" s="1301"/>
      <c r="F518" s="1301"/>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2761</v>
      </c>
      <c r="C522" s="517"/>
      <c r="D522" s="1284" t="s">
        <v>2375</v>
      </c>
      <c r="E522" s="1284"/>
      <c r="F522" s="1284"/>
      <c r="I522" s="524" t="s">
        <v>2132</v>
      </c>
    </row>
    <row r="523" spans="1:9">
      <c r="A523" s="517"/>
      <c r="B523" s="517"/>
      <c r="C523" s="517"/>
      <c r="D523" s="1284"/>
      <c r="E523" s="1284"/>
      <c r="F523" s="1284"/>
      <c r="I523" s="524"/>
    </row>
    <row r="524" spans="1:9">
      <c r="A524" s="517"/>
      <c r="B524" s="517"/>
      <c r="C524" s="517"/>
      <c r="D524" s="485"/>
      <c r="E524" s="485"/>
      <c r="F524" s="485"/>
      <c r="I524" s="514"/>
    </row>
    <row r="525" spans="1:9" ht="12.75" customHeight="1">
      <c r="A525" s="517"/>
      <c r="B525" s="519" t="s">
        <v>2761</v>
      </c>
      <c r="D525" s="417" t="s">
        <v>2205</v>
      </c>
      <c r="E525" s="416"/>
      <c r="F525" s="416"/>
      <c r="I525" s="524" t="s">
        <v>2098</v>
      </c>
    </row>
    <row r="526" spans="1:9">
      <c r="A526" s="517"/>
      <c r="B526" s="517"/>
      <c r="C526" s="517"/>
      <c r="D526" s="416"/>
      <c r="E526" s="96" t="s">
        <v>2206</v>
      </c>
      <c r="I526" s="524"/>
    </row>
    <row r="527" spans="1:9">
      <c r="A527" s="517"/>
      <c r="B527" s="517"/>
      <c r="D527" s="1332" t="s">
        <v>2376</v>
      </c>
      <c r="E527" s="1332"/>
      <c r="F527" s="1332"/>
      <c r="I527" s="524"/>
    </row>
    <row r="528" spans="1:9">
      <c r="A528" s="517"/>
      <c r="B528" s="517"/>
      <c r="D528" s="1332"/>
      <c r="E528" s="1332"/>
      <c r="F528" s="1332"/>
      <c r="I528" s="524"/>
    </row>
    <row r="529" spans="1:9">
      <c r="A529" s="517"/>
      <c r="B529" s="517"/>
      <c r="C529" s="517"/>
      <c r="D529" s="1332"/>
      <c r="E529" s="1332"/>
      <c r="F529" s="1332"/>
      <c r="I529" s="524"/>
    </row>
    <row r="530" spans="1:9">
      <c r="A530" s="517"/>
      <c r="B530" s="517"/>
      <c r="C530" s="517"/>
      <c r="D530" s="532"/>
      <c r="F530" s="480"/>
      <c r="I530" s="524"/>
    </row>
    <row r="531" spans="1:9" ht="13.15" customHeight="1">
      <c r="A531" s="517"/>
      <c r="B531" s="519" t="s">
        <v>308</v>
      </c>
      <c r="C531" s="517"/>
      <c r="D531" s="1302" t="s">
        <v>2377</v>
      </c>
      <c r="E531" s="1302"/>
      <c r="F531" s="1302"/>
      <c r="I531" s="524" t="s">
        <v>2098</v>
      </c>
    </row>
    <row r="532" spans="1:9">
      <c r="A532" s="517"/>
      <c r="B532" s="517"/>
      <c r="C532" s="517"/>
      <c r="D532" s="1302"/>
      <c r="E532" s="1302"/>
      <c r="F532" s="1302"/>
      <c r="I532" s="524"/>
    </row>
    <row r="533" spans="1:9" ht="12" customHeight="1">
      <c r="A533" s="480"/>
      <c r="B533" s="480"/>
      <c r="C533" s="521"/>
      <c r="D533" s="480"/>
      <c r="F533" s="482"/>
      <c r="I533" s="524"/>
    </row>
    <row r="534" spans="1:9">
      <c r="A534" s="1290" t="s">
        <v>1081</v>
      </c>
      <c r="B534" s="1290"/>
      <c r="C534" s="1290"/>
      <c r="D534" s="1290"/>
      <c r="E534" s="1290"/>
      <c r="F534" s="1290"/>
      <c r="G534" s="1290"/>
      <c r="H534" s="1063"/>
      <c r="I534" s="1259"/>
    </row>
    <row r="535" spans="1:9">
      <c r="A535" s="480"/>
      <c r="B535" s="480"/>
      <c r="C535" s="521"/>
      <c r="F535" s="482"/>
      <c r="I535" s="524"/>
    </row>
    <row r="536" spans="1:9">
      <c r="B536" s="1305" t="s">
        <v>449</v>
      </c>
      <c r="C536" s="1305"/>
      <c r="D536" s="1305"/>
      <c r="E536" s="1305"/>
      <c r="F536" s="1305"/>
      <c r="I536" s="524"/>
    </row>
    <row r="537" spans="1:9">
      <c r="A537" s="480"/>
      <c r="B537" s="480"/>
      <c r="C537" s="521"/>
      <c r="D537" s="480"/>
      <c r="F537" s="480"/>
      <c r="I537" s="524"/>
    </row>
    <row r="538" spans="1:9">
      <c r="A538" s="1321" t="s">
        <v>1082</v>
      </c>
      <c r="B538" s="1321"/>
      <c r="C538" s="1321"/>
      <c r="D538" s="1321"/>
      <c r="E538" s="1321"/>
      <c r="F538" s="1321"/>
      <c r="G538" s="1321"/>
      <c r="H538" s="1063"/>
      <c r="I538" s="1259"/>
    </row>
    <row r="539" spans="1:9">
      <c r="A539" s="480"/>
      <c r="B539" s="480"/>
      <c r="C539" s="521"/>
      <c r="D539" s="480"/>
      <c r="F539" s="480"/>
      <c r="I539" s="524"/>
    </row>
    <row r="540" spans="1:9">
      <c r="C540" s="521"/>
      <c r="D540" s="1301" t="s">
        <v>692</v>
      </c>
      <c r="E540" s="1301"/>
      <c r="F540" s="1301"/>
      <c r="I540" s="524"/>
    </row>
    <row r="541" spans="1:9">
      <c r="C541" s="521"/>
      <c r="D541" s="1303" t="s">
        <v>1139</v>
      </c>
      <c r="E541" s="1303"/>
      <c r="F541" s="1303"/>
      <c r="I541" s="524"/>
    </row>
    <row r="542" spans="1:9">
      <c r="C542" s="521"/>
      <c r="D542" s="480"/>
      <c r="E542" s="480"/>
      <c r="F542" s="480"/>
      <c r="I542" s="524"/>
    </row>
    <row r="543" spans="1:9" ht="13.7" customHeight="1">
      <c r="A543" s="518"/>
      <c r="B543" s="519" t="s">
        <v>2761</v>
      </c>
      <c r="C543" s="521"/>
      <c r="D543" s="1303" t="s">
        <v>897</v>
      </c>
      <c r="E543" s="1303"/>
      <c r="F543" s="1303"/>
      <c r="I543" s="524" t="s">
        <v>2148</v>
      </c>
    </row>
    <row r="544" spans="1:9" ht="13.7" customHeight="1">
      <c r="A544" s="521"/>
      <c r="B544" s="521"/>
      <c r="C544" s="521"/>
      <c r="D544" s="480"/>
      <c r="I544" s="524"/>
    </row>
    <row r="545" spans="1:9" ht="14.25">
      <c r="A545" s="518"/>
      <c r="B545" s="519" t="s">
        <v>2761</v>
      </c>
      <c r="C545" s="521"/>
      <c r="D545" s="1302" t="s">
        <v>1140</v>
      </c>
      <c r="E545" s="1302"/>
      <c r="F545" s="1302"/>
      <c r="I545" s="524" t="s">
        <v>2148</v>
      </c>
    </row>
    <row r="546" spans="1:9">
      <c r="A546" s="521"/>
      <c r="B546" s="521"/>
      <c r="C546" s="521"/>
      <c r="D546" s="1302"/>
      <c r="E546" s="1302"/>
      <c r="F546" s="1302"/>
      <c r="I546" s="524"/>
    </row>
    <row r="547" spans="1:9">
      <c r="A547" s="521"/>
      <c r="B547" s="521"/>
      <c r="C547" s="521"/>
      <c r="D547" s="480"/>
      <c r="E547" s="480"/>
      <c r="F547" s="480"/>
      <c r="I547" s="524"/>
    </row>
    <row r="548" spans="1:9" ht="14.25">
      <c r="A548" s="518"/>
      <c r="B548" s="519" t="s">
        <v>2761</v>
      </c>
      <c r="C548" s="521"/>
      <c r="D548" s="1302" t="s">
        <v>1141</v>
      </c>
      <c r="E548" s="1302"/>
      <c r="F548" s="1302"/>
      <c r="I548" s="524" t="s">
        <v>2099</v>
      </c>
    </row>
    <row r="549" spans="1:9">
      <c r="A549" s="521"/>
      <c r="B549" s="521"/>
      <c r="C549" s="521"/>
      <c r="D549" s="1302"/>
      <c r="E549" s="1302"/>
      <c r="F549" s="1302"/>
      <c r="I549" s="524"/>
    </row>
    <row r="550" spans="1:9">
      <c r="A550" s="521"/>
      <c r="B550" s="521"/>
      <c r="C550" s="521"/>
      <c r="D550" s="480"/>
      <c r="E550" s="480"/>
      <c r="F550" s="480"/>
      <c r="I550" s="524"/>
    </row>
    <row r="551" spans="1:9" ht="14.25">
      <c r="A551" s="518"/>
      <c r="B551" s="519" t="s">
        <v>2761</v>
      </c>
      <c r="C551" s="521"/>
      <c r="D551" s="1302" t="s">
        <v>1142</v>
      </c>
      <c r="E551" s="1302"/>
      <c r="F551" s="1302"/>
      <c r="I551" s="524" t="s">
        <v>2100</v>
      </c>
    </row>
    <row r="552" spans="1:9">
      <c r="A552" s="521"/>
      <c r="B552" s="521"/>
      <c r="C552" s="521"/>
      <c r="D552" s="1302"/>
      <c r="E552" s="1302"/>
      <c r="F552" s="1302"/>
      <c r="I552" s="524"/>
    </row>
    <row r="553" spans="1:9">
      <c r="A553" s="521"/>
      <c r="B553" s="521"/>
      <c r="C553" s="521"/>
      <c r="D553" s="480"/>
      <c r="E553" s="480"/>
      <c r="F553" s="480"/>
      <c r="I553" s="524"/>
    </row>
    <row r="554" spans="1:9" ht="14.25">
      <c r="A554" s="518"/>
      <c r="B554" s="519" t="s">
        <v>2761</v>
      </c>
      <c r="C554" s="521"/>
      <c r="D554" s="1302" t="s">
        <v>1143</v>
      </c>
      <c r="E554" s="1302"/>
      <c r="F554" s="1302"/>
      <c r="I554" s="524" t="s">
        <v>2149</v>
      </c>
    </row>
    <row r="555" spans="1:9">
      <c r="A555" s="521"/>
      <c r="B555" s="521"/>
      <c r="C555" s="521"/>
      <c r="D555" s="1302"/>
      <c r="E555" s="1302"/>
      <c r="F555" s="1302"/>
      <c r="I555" s="524"/>
    </row>
    <row r="556" spans="1:9">
      <c r="A556" s="521"/>
      <c r="B556" s="521"/>
      <c r="C556" s="521"/>
      <c r="D556" s="1302"/>
      <c r="E556" s="1302"/>
      <c r="F556" s="1302"/>
      <c r="I556" s="524"/>
    </row>
    <row r="557" spans="1:9">
      <c r="A557" s="521"/>
      <c r="B557" s="521"/>
      <c r="C557" s="521"/>
      <c r="D557" s="480"/>
      <c r="E557" s="480"/>
      <c r="F557" s="480"/>
      <c r="I557" s="524"/>
    </row>
    <row r="558" spans="1:9" ht="14.25">
      <c r="A558" s="518"/>
      <c r="B558" s="519" t="s">
        <v>2761</v>
      </c>
      <c r="C558" s="521"/>
      <c r="D558" s="1302" t="s">
        <v>1261</v>
      </c>
      <c r="E558" s="1302"/>
      <c r="F558" s="1302"/>
      <c r="I558" s="524" t="s">
        <v>2148</v>
      </c>
    </row>
    <row r="559" spans="1:9">
      <c r="A559" s="521"/>
      <c r="B559" s="521"/>
      <c r="C559" s="521"/>
      <c r="D559" s="1302"/>
      <c r="E559" s="1302"/>
      <c r="F559" s="1302"/>
      <c r="I559" s="524"/>
    </row>
    <row r="560" spans="1:9">
      <c r="A560" s="521"/>
      <c r="B560" s="521"/>
      <c r="C560" s="521"/>
      <c r="D560" s="480"/>
      <c r="E560" s="480"/>
      <c r="F560" s="480"/>
      <c r="I560" s="524"/>
    </row>
    <row r="561" spans="1:9" ht="14.25">
      <c r="A561" s="518"/>
      <c r="B561" s="519" t="s">
        <v>2761</v>
      </c>
      <c r="C561" s="521"/>
      <c r="D561" s="1302" t="s">
        <v>1145</v>
      </c>
      <c r="E561" s="1302"/>
      <c r="F561" s="1302"/>
      <c r="I561" s="524" t="s">
        <v>2148</v>
      </c>
    </row>
    <row r="562" spans="1:9">
      <c r="A562" s="521"/>
      <c r="B562" s="521"/>
      <c r="C562" s="521"/>
      <c r="D562" s="1302"/>
      <c r="E562" s="1302"/>
      <c r="F562" s="1302"/>
      <c r="I562" s="524"/>
    </row>
    <row r="563" spans="1:9">
      <c r="A563" s="521"/>
      <c r="B563" s="521"/>
      <c r="C563" s="521"/>
      <c r="D563" s="480"/>
      <c r="E563" s="480"/>
      <c r="F563" s="480"/>
      <c r="I563" s="524"/>
    </row>
    <row r="564" spans="1:9" ht="14.25">
      <c r="A564" s="518"/>
      <c r="B564" s="519" t="s">
        <v>2761</v>
      </c>
      <c r="C564" s="521"/>
      <c r="D564" s="1303" t="s">
        <v>1146</v>
      </c>
      <c r="E564" s="1303"/>
      <c r="F564" s="1303"/>
      <c r="I564" s="524" t="s">
        <v>2151</v>
      </c>
    </row>
    <row r="565" spans="1:9">
      <c r="A565" s="524"/>
      <c r="B565" s="524"/>
      <c r="C565" s="521"/>
      <c r="D565" s="1303" t="s">
        <v>2208</v>
      </c>
      <c r="E565" s="1303"/>
      <c r="F565" s="1303"/>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2761</v>
      </c>
      <c r="C568" s="521"/>
      <c r="D568" s="1303" t="s">
        <v>1148</v>
      </c>
      <c r="E568" s="1303"/>
      <c r="F568" s="1303"/>
      <c r="I568" s="524" t="s">
        <v>2101</v>
      </c>
    </row>
    <row r="569" spans="1:9">
      <c r="C569" s="521"/>
      <c r="D569" s="1302" t="s">
        <v>1149</v>
      </c>
      <c r="E569" s="1302"/>
      <c r="F569" s="1302"/>
      <c r="I569" s="524"/>
    </row>
    <row r="570" spans="1:9">
      <c r="A570" s="521"/>
      <c r="B570" s="521"/>
      <c r="C570" s="521"/>
      <c r="D570" s="1302"/>
      <c r="E570" s="1302"/>
      <c r="F570" s="1302"/>
      <c r="I570" s="524"/>
    </row>
    <row r="571" spans="1:9">
      <c r="A571" s="521"/>
      <c r="B571" s="521"/>
      <c r="C571" s="521"/>
      <c r="D571" s="1302"/>
      <c r="E571" s="1302"/>
      <c r="F571" s="1302"/>
      <c r="I571" s="524"/>
    </row>
    <row r="572" spans="1:9">
      <c r="A572" s="521"/>
      <c r="B572" s="521"/>
      <c r="C572" s="521"/>
      <c r="D572" s="480"/>
      <c r="E572" s="480"/>
      <c r="F572" s="480"/>
      <c r="I572" s="524"/>
    </row>
    <row r="573" spans="1:9" ht="14.25">
      <c r="A573" s="518"/>
      <c r="B573" s="519" t="s">
        <v>2761</v>
      </c>
      <c r="C573" s="521"/>
      <c r="D573" s="1302" t="s">
        <v>2378</v>
      </c>
      <c r="E573" s="1302"/>
      <c r="F573" s="1302"/>
      <c r="I573" s="524" t="s">
        <v>2102</v>
      </c>
    </row>
    <row r="574" spans="1:9" ht="14.25">
      <c r="A574" s="518"/>
      <c r="B574" s="518"/>
      <c r="C574" s="521"/>
      <c r="D574" s="1302"/>
      <c r="E574" s="1302"/>
      <c r="F574" s="1302"/>
      <c r="I574" s="524"/>
    </row>
    <row r="575" spans="1:9" ht="14.25">
      <c r="A575" s="518"/>
      <c r="B575" s="518"/>
      <c r="C575" s="521"/>
      <c r="D575" s="1302"/>
      <c r="E575" s="1302"/>
      <c r="F575" s="1302"/>
      <c r="I575" s="524"/>
    </row>
    <row r="576" spans="1:9" ht="14.25">
      <c r="A576" s="518"/>
      <c r="B576" s="518"/>
      <c r="C576" s="521"/>
      <c r="D576" s="1302"/>
      <c r="E576" s="1302"/>
      <c r="F576" s="1302"/>
      <c r="I576" s="524"/>
    </row>
    <row r="577" spans="1:9" ht="14.25">
      <c r="A577" s="518"/>
      <c r="B577" s="518"/>
      <c r="C577" s="521"/>
      <c r="D577" s="480"/>
      <c r="E577" s="480"/>
      <c r="F577" s="480"/>
      <c r="I577" s="524"/>
    </row>
    <row r="578" spans="1:9">
      <c r="A578" s="1290" t="s">
        <v>1083</v>
      </c>
      <c r="B578" s="1290"/>
      <c r="C578" s="1290"/>
      <c r="D578" s="1290"/>
      <c r="E578" s="1290"/>
      <c r="F578" s="1290"/>
      <c r="G578" s="1290"/>
      <c r="H578" s="1063"/>
      <c r="I578" s="1259"/>
    </row>
    <row r="579" spans="1:9">
      <c r="A579" s="521"/>
      <c r="B579" s="521"/>
      <c r="C579" s="521"/>
      <c r="E579" s="480"/>
      <c r="F579" s="480"/>
      <c r="I579" s="524"/>
    </row>
    <row r="580" spans="1:9" ht="12.75" customHeight="1">
      <c r="C580" s="516"/>
      <c r="D580" s="1304" t="s">
        <v>211</v>
      </c>
      <c r="E580" s="1304"/>
      <c r="F580" s="1304"/>
      <c r="I580" s="524"/>
    </row>
    <row r="581" spans="1:9">
      <c r="A581" s="517"/>
      <c r="B581" s="517"/>
      <c r="C581" s="517"/>
      <c r="D581" s="1289" t="s">
        <v>1099</v>
      </c>
      <c r="E581" s="1289"/>
      <c r="F581" s="1289"/>
      <c r="I581" s="524"/>
    </row>
    <row r="582" spans="1:9">
      <c r="A582" s="433"/>
      <c r="B582" s="433"/>
      <c r="C582" s="517"/>
      <c r="D582" s="533"/>
      <c r="I582" s="524" t="s">
        <v>2103</v>
      </c>
    </row>
    <row r="583" spans="1:9">
      <c r="A583" s="517"/>
      <c r="B583" s="519" t="s">
        <v>2761</v>
      </c>
      <c r="D583" s="1289" t="s">
        <v>903</v>
      </c>
      <c r="E583" s="1289"/>
      <c r="F583" s="1289"/>
      <c r="I583" s="524"/>
    </row>
    <row r="584" spans="1:9">
      <c r="A584" s="524"/>
      <c r="B584" s="524"/>
      <c r="D584" s="510"/>
      <c r="I584" s="524"/>
    </row>
    <row r="585" spans="1:9">
      <c r="A585" s="524"/>
      <c r="B585" s="519" t="s">
        <v>2761</v>
      </c>
      <c r="D585" s="1289" t="s">
        <v>2379</v>
      </c>
      <c r="E585" s="1289"/>
      <c r="F585" s="1289"/>
      <c r="I585" s="524" t="s">
        <v>2105</v>
      </c>
    </row>
    <row r="586" spans="1:9">
      <c r="A586" s="524"/>
      <c r="B586" s="524"/>
      <c r="D586" s="1289"/>
      <c r="E586" s="1289"/>
      <c r="F586" s="1289"/>
      <c r="I586" s="524" t="s">
        <v>2104</v>
      </c>
    </row>
    <row r="587" spans="1:9">
      <c r="A587" s="524"/>
      <c r="B587" s="524"/>
      <c r="D587" s="1289"/>
      <c r="E587" s="1289"/>
      <c r="F587" s="1289"/>
      <c r="I587" s="524"/>
    </row>
    <row r="588" spans="1:9">
      <c r="A588" s="524"/>
      <c r="B588" s="524"/>
      <c r="D588" s="1289"/>
      <c r="E588" s="1289"/>
      <c r="F588" s="1289"/>
      <c r="I588" s="524"/>
    </row>
    <row r="589" spans="1:9">
      <c r="A589" s="524"/>
      <c r="B589" s="519"/>
      <c r="D589" s="1289" t="s">
        <v>1101</v>
      </c>
      <c r="E589" s="1289"/>
      <c r="F589" s="1289"/>
      <c r="I589" s="524"/>
    </row>
    <row r="590" spans="1:9">
      <c r="A590" s="524"/>
      <c r="B590" s="524"/>
      <c r="D590" s="1289"/>
      <c r="E590" s="1289"/>
      <c r="F590" s="1289"/>
      <c r="I590" s="524"/>
    </row>
    <row r="591" spans="1:9">
      <c r="A591" s="524"/>
      <c r="B591" s="524"/>
      <c r="D591" s="1289"/>
      <c r="E591" s="1289"/>
      <c r="F591" s="1289"/>
      <c r="I591" s="524"/>
    </row>
    <row r="592" spans="1:9">
      <c r="A592" s="524"/>
      <c r="B592" s="524"/>
      <c r="D592" s="1289"/>
      <c r="E592" s="1289"/>
      <c r="F592" s="1289"/>
      <c r="I592" s="524"/>
    </row>
    <row r="593" spans="1:9">
      <c r="A593" s="524"/>
      <c r="B593" s="524"/>
      <c r="D593" s="473"/>
      <c r="E593" s="473"/>
      <c r="F593" s="473"/>
      <c r="I593" s="524"/>
    </row>
    <row r="594" spans="1:9">
      <c r="A594" s="524"/>
      <c r="B594" s="519" t="s">
        <v>2761</v>
      </c>
      <c r="D594" s="1289" t="s">
        <v>2380</v>
      </c>
      <c r="E594" s="1289"/>
      <c r="F594" s="1289"/>
      <c r="I594" s="524"/>
    </row>
    <row r="595" spans="1:9">
      <c r="A595" s="524"/>
      <c r="B595" s="524"/>
      <c r="D595" s="1289"/>
      <c r="E595" s="1289"/>
      <c r="F595" s="1289"/>
      <c r="I595" s="524"/>
    </row>
    <row r="596" spans="1:9">
      <c r="A596" s="524"/>
      <c r="B596" s="524"/>
      <c r="D596" s="533"/>
      <c r="I596" s="524"/>
    </row>
    <row r="597" spans="1:9">
      <c r="A597" s="524"/>
      <c r="B597" s="519" t="s">
        <v>308</v>
      </c>
      <c r="D597" s="1289" t="s">
        <v>1103</v>
      </c>
      <c r="E597" s="1289"/>
      <c r="F597" s="1289"/>
      <c r="I597" s="524" t="s">
        <v>2152</v>
      </c>
    </row>
    <row r="598" spans="1:9">
      <c r="A598" s="524"/>
      <c r="B598" s="524"/>
      <c r="D598" s="1289"/>
      <c r="E598" s="1289"/>
      <c r="F598" s="1289"/>
      <c r="I598" s="524"/>
    </row>
    <row r="599" spans="1:9" ht="14.25">
      <c r="A599" s="518"/>
      <c r="B599" s="518"/>
      <c r="D599" s="533"/>
      <c r="I599" s="524"/>
    </row>
    <row r="600" spans="1:9">
      <c r="A600" s="1290" t="s">
        <v>1084</v>
      </c>
      <c r="B600" s="1290"/>
      <c r="C600" s="1290"/>
      <c r="D600" s="1290"/>
      <c r="E600" s="1290"/>
      <c r="F600" s="1290"/>
      <c r="G600" s="1290"/>
      <c r="H600" s="1063"/>
      <c r="I600" s="1259"/>
    </row>
    <row r="601" spans="1:9">
      <c r="I601" s="524"/>
    </row>
    <row r="602" spans="1:9">
      <c r="D602" s="1301" t="s">
        <v>1184</v>
      </c>
      <c r="E602" s="1301"/>
      <c r="F602" s="1301"/>
      <c r="I602" s="524"/>
    </row>
    <row r="603" spans="1:9">
      <c r="D603" s="1324" t="s">
        <v>1185</v>
      </c>
      <c r="E603" s="1324"/>
      <c r="F603" s="1324"/>
      <c r="I603" s="524"/>
    </row>
    <row r="604" spans="1:9">
      <c r="D604" s="478"/>
      <c r="I604" s="524"/>
    </row>
    <row r="605" spans="1:9" ht="14.25" customHeight="1">
      <c r="A605" s="518"/>
      <c r="B605" s="519" t="s">
        <v>2761</v>
      </c>
      <c r="D605" s="1342" t="s">
        <v>2209</v>
      </c>
      <c r="E605" s="1342"/>
      <c r="F605" s="1342"/>
      <c r="I605" s="524" t="s">
        <v>2133</v>
      </c>
    </row>
    <row r="606" spans="1:9">
      <c r="D606" s="1342"/>
      <c r="E606" s="1342"/>
      <c r="F606" s="1342"/>
      <c r="I606" s="524"/>
    </row>
    <row r="607" spans="1:9">
      <c r="D607" s="416"/>
      <c r="E607" s="1071" t="s">
        <v>2210</v>
      </c>
      <c r="F607" s="416"/>
      <c r="I607" s="524"/>
    </row>
    <row r="608" spans="1:9">
      <c r="I608" s="524"/>
    </row>
    <row r="609" spans="1:9">
      <c r="A609" s="1290" t="s">
        <v>1085</v>
      </c>
      <c r="B609" s="1290"/>
      <c r="C609" s="1290"/>
      <c r="D609" s="1290"/>
      <c r="E609" s="1290"/>
      <c r="F609" s="1290"/>
      <c r="G609" s="1290"/>
      <c r="H609" s="1063"/>
      <c r="I609" s="1259"/>
    </row>
    <row r="610" spans="1:9">
      <c r="A610" s="480"/>
      <c r="B610" s="480"/>
      <c r="I610" s="524"/>
    </row>
    <row r="611" spans="1:9">
      <c r="A611" s="516"/>
      <c r="B611" s="516"/>
      <c r="C611" s="516"/>
      <c r="D611" s="1325" t="s">
        <v>1187</v>
      </c>
      <c r="E611" s="1325"/>
      <c r="F611" s="1325"/>
      <c r="I611" s="524"/>
    </row>
    <row r="612" spans="1:9">
      <c r="A612" s="516"/>
      <c r="B612" s="516"/>
      <c r="C612" s="516"/>
      <c r="D612" s="1325"/>
      <c r="E612" s="1325"/>
      <c r="F612" s="1325"/>
      <c r="I612" s="524"/>
    </row>
    <row r="613" spans="1:9">
      <c r="C613" s="517"/>
      <c r="D613" s="1324" t="s">
        <v>1188</v>
      </c>
      <c r="E613" s="1324"/>
      <c r="F613" s="1324"/>
      <c r="I613" s="524"/>
    </row>
    <row r="614" spans="1:9">
      <c r="C614" s="517"/>
      <c r="D614" s="478"/>
      <c r="E614" s="478"/>
      <c r="F614" s="478"/>
      <c r="I614" s="524"/>
    </row>
    <row r="615" spans="1:9" ht="12.75" customHeight="1">
      <c r="A615" s="524"/>
      <c r="B615" s="519" t="s">
        <v>2761</v>
      </c>
      <c r="D615" s="1300" t="s">
        <v>1189</v>
      </c>
      <c r="E615" s="1300"/>
      <c r="F615" s="1300"/>
      <c r="I615" s="524" t="s">
        <v>2153</v>
      </c>
    </row>
    <row r="616" spans="1:9">
      <c r="D616" s="1300"/>
      <c r="E616" s="1300"/>
      <c r="F616" s="1300"/>
      <c r="I616" s="524"/>
    </row>
    <row r="617" spans="1:9">
      <c r="I617" s="524"/>
    </row>
    <row r="618" spans="1:9">
      <c r="B618" s="519" t="s">
        <v>2761</v>
      </c>
      <c r="D618" s="1300" t="s">
        <v>1190</v>
      </c>
      <c r="E618" s="1300"/>
      <c r="F618" s="1300"/>
      <c r="I618" s="524" t="s">
        <v>2106</v>
      </c>
    </row>
    <row r="619" spans="1:9">
      <c r="C619" s="534"/>
      <c r="D619" s="1300"/>
      <c r="E619" s="1300"/>
      <c r="F619" s="1300"/>
      <c r="I619" s="524"/>
    </row>
    <row r="620" spans="1:9">
      <c r="C620" s="534"/>
      <c r="I620" s="524"/>
    </row>
    <row r="621" spans="1:9">
      <c r="B621" s="519" t="s">
        <v>308</v>
      </c>
      <c r="C621" s="534"/>
      <c r="D621" s="1300" t="s">
        <v>1191</v>
      </c>
      <c r="E621" s="1300"/>
      <c r="F621" s="1300"/>
      <c r="I621" s="524" t="s">
        <v>2154</v>
      </c>
    </row>
    <row r="622" spans="1:9">
      <c r="C622" s="534"/>
      <c r="D622" s="1300"/>
      <c r="E622" s="1300"/>
      <c r="F622" s="1300"/>
      <c r="I622" s="534" t="s">
        <v>2155</v>
      </c>
    </row>
    <row r="623" spans="1:9">
      <c r="C623" s="534"/>
      <c r="I623" s="524"/>
    </row>
    <row r="624" spans="1:9">
      <c r="A624" s="1290" t="s">
        <v>1086</v>
      </c>
      <c r="B624" s="1290"/>
      <c r="C624" s="1290"/>
      <c r="D624" s="1290"/>
      <c r="E624" s="1290"/>
      <c r="F624" s="1290"/>
      <c r="G624" s="1290"/>
      <c r="H624" s="1063"/>
      <c r="I624" s="1259"/>
    </row>
    <row r="625" spans="1:9">
      <c r="A625" s="516"/>
      <c r="B625" s="516"/>
      <c r="C625" s="516"/>
      <c r="I625" s="524"/>
    </row>
    <row r="626" spans="1:9">
      <c r="C626" s="524"/>
      <c r="D626" s="1301" t="s">
        <v>1192</v>
      </c>
      <c r="E626" s="1301"/>
      <c r="F626" s="1301"/>
      <c r="I626" s="524"/>
    </row>
    <row r="627" spans="1:9">
      <c r="A627" s="524"/>
      <c r="B627" s="524"/>
      <c r="D627" s="435"/>
      <c r="I627" s="524"/>
    </row>
    <row r="628" spans="1:9" ht="14.25" customHeight="1">
      <c r="A628" s="518"/>
      <c r="B628" s="519" t="s">
        <v>2761</v>
      </c>
      <c r="D628" s="1342" t="s">
        <v>2381</v>
      </c>
      <c r="E628" s="1342"/>
      <c r="F628" s="1342"/>
      <c r="I628" s="524" t="s">
        <v>2134</v>
      </c>
    </row>
    <row r="629" spans="1:9">
      <c r="D629" s="1342"/>
      <c r="E629" s="1342"/>
      <c r="F629" s="1342"/>
      <c r="I629" s="524"/>
    </row>
    <row r="630" spans="1:9">
      <c r="D630" s="416"/>
      <c r="E630" s="1071" t="s">
        <v>2212</v>
      </c>
      <c r="F630" s="416"/>
      <c r="I630" s="524"/>
    </row>
    <row r="631" spans="1:9">
      <c r="D631" s="1302" t="s">
        <v>2211</v>
      </c>
      <c r="E631" s="1302"/>
      <c r="F631" s="1302"/>
      <c r="I631" s="524"/>
    </row>
    <row r="632" spans="1:9">
      <c r="D632" s="1302"/>
      <c r="E632" s="1302"/>
      <c r="F632" s="1302"/>
      <c r="I632" s="524"/>
    </row>
    <row r="633" spans="1:9">
      <c r="D633" s="1302"/>
      <c r="E633" s="1302"/>
      <c r="F633" s="1302"/>
      <c r="I633" s="524"/>
    </row>
    <row r="634" spans="1:9">
      <c r="D634" s="479"/>
      <c r="E634" s="479"/>
      <c r="F634" s="479"/>
      <c r="I634" s="524"/>
    </row>
    <row r="635" spans="1:9" ht="14.25">
      <c r="A635" s="518"/>
      <c r="B635" s="519" t="s">
        <v>308</v>
      </c>
      <c r="D635" s="1302" t="s">
        <v>1194</v>
      </c>
      <c r="E635" s="1302"/>
      <c r="F635" s="1302"/>
      <c r="I635" s="524" t="s">
        <v>2156</v>
      </c>
    </row>
    <row r="636" spans="1:9">
      <c r="A636" s="521"/>
      <c r="B636" s="521"/>
      <c r="C636" s="521"/>
      <c r="D636" s="1302"/>
      <c r="E636" s="1302"/>
      <c r="F636" s="1302"/>
      <c r="I636" s="524"/>
    </row>
    <row r="637" spans="1:9">
      <c r="A637" s="521"/>
      <c r="B637" s="521"/>
      <c r="C637" s="521"/>
      <c r="D637" s="480"/>
      <c r="E637" s="480"/>
      <c r="F637" s="480"/>
      <c r="I637" s="524"/>
    </row>
    <row r="638" spans="1:9" ht="14.25">
      <c r="A638" s="518"/>
      <c r="B638" s="519" t="s">
        <v>308</v>
      </c>
      <c r="C638" s="521"/>
      <c r="D638" s="1302" t="s">
        <v>1333</v>
      </c>
      <c r="E638" s="1302"/>
      <c r="F638" s="1302"/>
      <c r="I638" s="524" t="s">
        <v>2107</v>
      </c>
    </row>
    <row r="639" spans="1:9" ht="14.25">
      <c r="A639" s="518"/>
      <c r="B639" s="518"/>
      <c r="C639" s="521"/>
      <c r="D639" s="1302"/>
      <c r="E639" s="1302"/>
      <c r="F639" s="1302"/>
      <c r="I639" s="524"/>
    </row>
    <row r="640" spans="1:9" ht="14.25">
      <c r="A640" s="518"/>
      <c r="B640" s="518"/>
      <c r="C640" s="521"/>
      <c r="D640" s="1302"/>
      <c r="E640" s="1302"/>
      <c r="F640" s="1302"/>
      <c r="I640" s="524"/>
    </row>
    <row r="641" spans="1:9">
      <c r="A641" s="521"/>
      <c r="B641" s="519" t="s">
        <v>308</v>
      </c>
      <c r="C641" s="521"/>
      <c r="D641" s="1303" t="s">
        <v>1196</v>
      </c>
      <c r="E641" s="1303"/>
      <c r="F641" s="1303"/>
      <c r="I641" s="524" t="s">
        <v>2107</v>
      </c>
    </row>
    <row r="642" spans="1:9">
      <c r="A642" s="521"/>
      <c r="B642" s="521"/>
      <c r="C642" s="521"/>
      <c r="D642" s="480"/>
      <c r="E642" s="480"/>
      <c r="F642" s="480"/>
      <c r="I642" s="524"/>
    </row>
    <row r="643" spans="1:9">
      <c r="A643" s="1290" t="s">
        <v>1087</v>
      </c>
      <c r="B643" s="1290"/>
      <c r="C643" s="1290"/>
      <c r="D643" s="1290"/>
      <c r="E643" s="1290"/>
      <c r="F643" s="1290"/>
      <c r="G643" s="1290"/>
      <c r="H643" s="1063"/>
      <c r="I643" s="1259"/>
    </row>
    <row r="644" spans="1:9">
      <c r="A644" s="480"/>
      <c r="B644" s="480"/>
      <c r="C644" s="521"/>
      <c r="D644" s="480"/>
      <c r="E644" s="480"/>
      <c r="F644" s="480"/>
      <c r="I644" s="524"/>
    </row>
    <row r="645" spans="1:9">
      <c r="C645" s="516"/>
      <c r="D645" s="1301" t="s">
        <v>1246</v>
      </c>
      <c r="E645" s="1301"/>
      <c r="F645" s="1301"/>
      <c r="I645" s="524"/>
    </row>
    <row r="646" spans="1:9">
      <c r="A646" s="517"/>
      <c r="B646" s="517"/>
      <c r="C646" s="517"/>
      <c r="D646" s="1303" t="s">
        <v>1247</v>
      </c>
      <c r="E646" s="1303"/>
      <c r="F646" s="1303"/>
      <c r="I646" s="524"/>
    </row>
    <row r="647" spans="1:9">
      <c r="A647" s="517"/>
      <c r="B647" s="517"/>
      <c r="C647" s="517"/>
      <c r="D647" s="480"/>
      <c r="E647" s="480"/>
      <c r="F647" s="480"/>
      <c r="I647" s="524"/>
    </row>
    <row r="648" spans="1:9" ht="12.75" customHeight="1">
      <c r="B648" s="519" t="s">
        <v>2761</v>
      </c>
      <c r="C648" s="521"/>
      <c r="D648" s="1302" t="s">
        <v>1392</v>
      </c>
      <c r="E648" s="1302"/>
      <c r="F648" s="1302"/>
      <c r="I648" s="524" t="s">
        <v>2159</v>
      </c>
    </row>
    <row r="649" spans="1:9">
      <c r="D649" s="1302"/>
      <c r="E649" s="1302"/>
      <c r="F649" s="1302"/>
      <c r="I649" s="524"/>
    </row>
    <row r="650" spans="1:9">
      <c r="D650" s="1302"/>
      <c r="E650" s="1302"/>
      <c r="F650" s="1302"/>
      <c r="I650" s="524"/>
    </row>
    <row r="651" spans="1:9">
      <c r="D651" s="1302"/>
      <c r="E651" s="1302"/>
      <c r="F651" s="1302"/>
      <c r="I651" s="524"/>
    </row>
    <row r="652" spans="1:9" ht="14.45" customHeight="1">
      <c r="A652" s="518"/>
      <c r="B652" s="518"/>
      <c r="C652" s="521"/>
      <c r="D652" s="416"/>
      <c r="E652" s="416"/>
      <c r="F652" s="416"/>
      <c r="I652" s="524"/>
    </row>
    <row r="653" spans="1:9" ht="12.75" customHeight="1">
      <c r="A653" s="517"/>
      <c r="B653" s="519" t="s">
        <v>2761</v>
      </c>
      <c r="C653" s="521"/>
      <c r="D653" s="1302" t="s">
        <v>1394</v>
      </c>
      <c r="E653" s="1302"/>
      <c r="F653" s="1302"/>
      <c r="I653" s="524" t="s">
        <v>2159</v>
      </c>
    </row>
    <row r="654" spans="1:9" ht="14.25">
      <c r="A654" s="517"/>
      <c r="B654" s="518"/>
      <c r="C654" s="521"/>
      <c r="D654" s="1302"/>
      <c r="E654" s="1302"/>
      <c r="F654" s="1302"/>
      <c r="I654" s="524"/>
    </row>
    <row r="655" spans="1:9" ht="14.25">
      <c r="A655" s="517"/>
      <c r="B655" s="518"/>
      <c r="C655" s="521"/>
      <c r="D655" s="1302"/>
      <c r="E655" s="1302"/>
      <c r="F655" s="1302"/>
      <c r="I655" s="524"/>
    </row>
    <row r="656" spans="1:9" ht="14.25">
      <c r="A656" s="517"/>
      <c r="B656" s="518"/>
      <c r="C656" s="521"/>
      <c r="D656" s="1302"/>
      <c r="E656" s="1302"/>
      <c r="F656" s="1302"/>
      <c r="I656" s="524"/>
    </row>
    <row r="657" spans="1:9" ht="14.25">
      <c r="A657" s="517"/>
      <c r="B657" s="518"/>
      <c r="C657" s="521"/>
      <c r="D657" s="1302"/>
      <c r="E657" s="1302"/>
      <c r="F657" s="1302"/>
      <c r="I657" s="524"/>
    </row>
    <row r="658" spans="1:9" ht="14.25" customHeight="1">
      <c r="A658" s="517"/>
      <c r="B658" s="518"/>
      <c r="C658" s="521"/>
      <c r="F658" s="417"/>
      <c r="I658" s="524"/>
    </row>
    <row r="659" spans="1:9" ht="12.75" customHeight="1">
      <c r="A659" s="517"/>
      <c r="B659" s="519" t="s">
        <v>308</v>
      </c>
      <c r="C659" s="521"/>
      <c r="D659" s="1302" t="s">
        <v>1393</v>
      </c>
      <c r="E659" s="1302"/>
      <c r="F659" s="1302"/>
      <c r="I659" s="524" t="s">
        <v>2159</v>
      </c>
    </row>
    <row r="660" spans="1:9" ht="14.25">
      <c r="A660" s="517"/>
      <c r="B660" s="518"/>
      <c r="C660" s="521"/>
      <c r="D660" s="1302"/>
      <c r="E660" s="1302"/>
      <c r="F660" s="1302"/>
      <c r="I660" s="524"/>
    </row>
    <row r="661" spans="1:9" ht="14.25">
      <c r="A661" s="518"/>
      <c r="B661" s="518"/>
      <c r="C661" s="521"/>
      <c r="D661" s="1302"/>
      <c r="E661" s="1302"/>
      <c r="F661" s="1302"/>
      <c r="I661" s="524"/>
    </row>
    <row r="662" spans="1:9" ht="14.25">
      <c r="A662" s="518"/>
      <c r="B662" s="518"/>
      <c r="C662" s="521"/>
      <c r="D662" s="1302"/>
      <c r="E662" s="1302"/>
      <c r="F662" s="1302"/>
      <c r="I662" s="524"/>
    </row>
    <row r="663" spans="1:9" ht="14.25">
      <c r="A663" s="518"/>
      <c r="B663" s="518"/>
      <c r="C663" s="521"/>
      <c r="D663" s="479"/>
      <c r="E663" s="479"/>
      <c r="F663" s="479"/>
      <c r="I663" s="524"/>
    </row>
    <row r="664" spans="1:9" ht="12.75" customHeight="1">
      <c r="A664" s="517"/>
      <c r="B664" s="519" t="s">
        <v>308</v>
      </c>
      <c r="C664" s="521"/>
      <c r="D664" s="1302" t="s">
        <v>2382</v>
      </c>
      <c r="E664" s="1302"/>
      <c r="F664" s="1302"/>
      <c r="I664" s="524" t="s">
        <v>2159</v>
      </c>
    </row>
    <row r="665" spans="1:9" ht="12.75" customHeight="1">
      <c r="A665" s="517"/>
      <c r="B665" s="518"/>
      <c r="C665" s="521"/>
      <c r="D665" s="1302"/>
      <c r="E665" s="1302"/>
      <c r="F665" s="1302"/>
      <c r="I665" s="524"/>
    </row>
    <row r="666" spans="1:9" ht="12.75" customHeight="1">
      <c r="A666" s="517"/>
      <c r="B666" s="518"/>
      <c r="C666" s="521"/>
      <c r="D666" s="1302"/>
      <c r="E666" s="1302"/>
      <c r="F666" s="1302"/>
      <c r="I666" s="524"/>
    </row>
    <row r="667" spans="1:9" ht="12.75" customHeight="1">
      <c r="A667" s="517"/>
      <c r="B667" s="518"/>
      <c r="C667" s="521"/>
      <c r="D667" s="1302"/>
      <c r="E667" s="1302"/>
      <c r="F667" s="1302"/>
      <c r="I667" s="524"/>
    </row>
    <row r="668" spans="1:9" ht="12.75" customHeight="1">
      <c r="A668" s="517"/>
      <c r="B668" s="518"/>
      <c r="C668" s="521"/>
      <c r="D668" s="1302"/>
      <c r="E668" s="1302"/>
      <c r="F668" s="1302"/>
      <c r="I668" s="524"/>
    </row>
    <row r="669" spans="1:9" ht="12.75" customHeight="1">
      <c r="A669" s="517"/>
      <c r="B669" s="518"/>
      <c r="C669" s="521"/>
      <c r="D669" s="1302"/>
      <c r="E669" s="1302"/>
      <c r="F669" s="1302"/>
      <c r="I669" s="524"/>
    </row>
    <row r="670" spans="1:9" ht="12.75" customHeight="1">
      <c r="A670" s="517"/>
      <c r="B670" s="518"/>
      <c r="C670" s="521"/>
      <c r="D670" s="1302"/>
      <c r="E670" s="1302"/>
      <c r="F670" s="1302"/>
      <c r="I670" s="524"/>
    </row>
    <row r="671" spans="1:9" ht="12.75" customHeight="1">
      <c r="A671" s="517"/>
      <c r="B671" s="518"/>
      <c r="C671" s="521"/>
      <c r="D671" s="1302"/>
      <c r="E671" s="1302"/>
      <c r="F671" s="1302"/>
      <c r="I671" s="524"/>
    </row>
    <row r="672" spans="1:9" ht="12.75" customHeight="1">
      <c r="A672" s="517"/>
      <c r="B672" s="518"/>
      <c r="C672" s="521"/>
      <c r="D672" s="1302"/>
      <c r="E672" s="1302"/>
      <c r="F672" s="1302"/>
      <c r="I672" s="524"/>
    </row>
    <row r="673" spans="1:11">
      <c r="A673" s="521"/>
      <c r="B673" s="521"/>
      <c r="C673" s="521"/>
      <c r="D673" s="480"/>
      <c r="E673" s="480"/>
      <c r="F673" s="480"/>
      <c r="I673" s="524"/>
    </row>
    <row r="674" spans="1:11">
      <c r="A674" s="1290" t="s">
        <v>1088</v>
      </c>
      <c r="B674" s="1290"/>
      <c r="C674" s="1290"/>
      <c r="D674" s="1290"/>
      <c r="E674" s="1290"/>
      <c r="F674" s="1290"/>
      <c r="G674" s="1290"/>
      <c r="H674" s="1065"/>
      <c r="I674" s="1263"/>
      <c r="J674" s="535"/>
      <c r="K674" s="535"/>
    </row>
    <row r="675" spans="1:11">
      <c r="A675" s="482"/>
      <c r="B675" s="482"/>
      <c r="C675" s="482"/>
      <c r="D675" s="482"/>
      <c r="E675" s="482"/>
      <c r="F675" s="482"/>
      <c r="G675" s="482"/>
      <c r="H675" s="535"/>
      <c r="I675" s="517"/>
      <c r="J675" s="535"/>
      <c r="K675" s="535"/>
    </row>
    <row r="676" spans="1:11">
      <c r="C676" s="516"/>
      <c r="D676" s="1301" t="s">
        <v>99</v>
      </c>
      <c r="E676" s="1301"/>
      <c r="F676" s="1301"/>
      <c r="H676" s="535"/>
      <c r="I676" s="517"/>
      <c r="J676" s="535"/>
      <c r="K676" s="535"/>
    </row>
    <row r="677" spans="1:11">
      <c r="A677" s="516"/>
      <c r="B677" s="516"/>
      <c r="C677" s="516"/>
      <c r="D677" s="1301" t="s">
        <v>123</v>
      </c>
      <c r="E677" s="1301"/>
      <c r="F677" s="1301"/>
      <c r="H677" s="535"/>
      <c r="I677" s="517"/>
      <c r="J677" s="535"/>
      <c r="K677" s="535"/>
    </row>
    <row r="678" spans="1:11">
      <c r="A678" s="517"/>
      <c r="B678" s="517"/>
      <c r="C678" s="517"/>
      <c r="D678" s="1303" t="s">
        <v>1124</v>
      </c>
      <c r="E678" s="1303"/>
      <c r="F678" s="1303"/>
      <c r="H678" s="535"/>
      <c r="I678" s="517"/>
      <c r="J678" s="535"/>
      <c r="K678" s="535"/>
    </row>
    <row r="679" spans="1:11">
      <c r="A679" s="517"/>
      <c r="B679" s="517"/>
      <c r="C679" s="517"/>
      <c r="H679" s="535"/>
      <c r="I679" s="517"/>
      <c r="J679" s="535"/>
      <c r="K679" s="535"/>
    </row>
    <row r="680" spans="1:11" ht="14.25">
      <c r="A680" s="518"/>
      <c r="B680" s="519" t="s">
        <v>308</v>
      </c>
      <c r="C680" s="517"/>
      <c r="D680" s="1303" t="s">
        <v>899</v>
      </c>
      <c r="E680" s="1303"/>
      <c r="F680" s="1303"/>
      <c r="H680" s="535"/>
      <c r="I680" s="517" t="s">
        <v>2135</v>
      </c>
      <c r="J680" s="535"/>
      <c r="K680" s="535"/>
    </row>
    <row r="681" spans="1:11">
      <c r="A681" s="517"/>
      <c r="B681" s="517"/>
      <c r="C681" s="517"/>
      <c r="D681" s="1303" t="s">
        <v>909</v>
      </c>
      <c r="E681" s="1303"/>
      <c r="F681" s="1303"/>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302" t="s">
        <v>2383</v>
      </c>
      <c r="E685" s="1302"/>
      <c r="F685" s="1302"/>
      <c r="H685" s="535"/>
      <c r="I685" s="517" t="s">
        <v>2157</v>
      </c>
      <c r="J685" s="535"/>
      <c r="K685" s="535"/>
    </row>
    <row r="686" spans="1:11">
      <c r="A686" s="524"/>
      <c r="B686" s="524"/>
      <c r="C686" s="517"/>
      <c r="D686" s="1302"/>
      <c r="E686" s="1302"/>
      <c r="F686" s="1302"/>
      <c r="H686" s="535"/>
      <c r="I686" s="517"/>
      <c r="J686" s="535"/>
      <c r="K686" s="535"/>
    </row>
    <row r="687" spans="1:11">
      <c r="A687" s="517"/>
      <c r="B687" s="517"/>
      <c r="C687" s="517"/>
      <c r="D687" s="1302"/>
      <c r="E687" s="1302"/>
      <c r="F687" s="1302"/>
      <c r="H687" s="535"/>
      <c r="I687" s="517"/>
      <c r="J687" s="535"/>
      <c r="K687" s="535"/>
    </row>
    <row r="688" spans="1:11">
      <c r="A688" s="517"/>
      <c r="B688" s="517"/>
      <c r="C688" s="517"/>
      <c r="H688" s="535"/>
      <c r="I688" s="517" t="s">
        <v>2136</v>
      </c>
      <c r="J688" s="535"/>
      <c r="K688" s="535"/>
    </row>
    <row r="689" spans="1:11" ht="14.25">
      <c r="A689" s="518"/>
      <c r="B689" s="519" t="s">
        <v>308</v>
      </c>
      <c r="C689" s="517"/>
      <c r="D689" s="1303" t="s">
        <v>937</v>
      </c>
      <c r="E689" s="1303"/>
      <c r="F689" s="1303"/>
      <c r="H689" s="535"/>
      <c r="I689" s="517"/>
      <c r="J689" s="535"/>
      <c r="K689" s="535"/>
    </row>
    <row r="690" spans="1:11" ht="14.25">
      <c r="A690" s="518"/>
      <c r="B690" s="518"/>
      <c r="C690" s="517"/>
      <c r="D690" s="1303" t="s">
        <v>909</v>
      </c>
      <c r="E690" s="1303"/>
      <c r="F690" s="1303"/>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302" t="s">
        <v>1137</v>
      </c>
      <c r="E693" s="1302"/>
      <c r="F693" s="1302"/>
      <c r="H693" s="535"/>
      <c r="I693" s="517" t="s">
        <v>2108</v>
      </c>
      <c r="J693" s="535"/>
      <c r="K693" s="535"/>
    </row>
    <row r="694" spans="1:11">
      <c r="A694" s="517"/>
      <c r="B694" s="517"/>
      <c r="C694" s="517"/>
      <c r="D694" s="1302"/>
      <c r="E694" s="1302"/>
      <c r="F694" s="1302"/>
      <c r="H694" s="535"/>
      <c r="I694" s="517"/>
      <c r="J694" s="535"/>
      <c r="K694" s="535"/>
    </row>
    <row r="695" spans="1:11">
      <c r="A695" s="517"/>
      <c r="B695" s="517"/>
      <c r="C695" s="517"/>
      <c r="D695" s="1302"/>
      <c r="E695" s="1302"/>
      <c r="F695" s="1302"/>
      <c r="H695" s="535"/>
      <c r="I695" s="517"/>
      <c r="J695" s="535"/>
      <c r="K695" s="535"/>
    </row>
    <row r="696" spans="1:11">
      <c r="A696" s="517"/>
      <c r="B696" s="517"/>
      <c r="C696" s="517"/>
      <c r="D696" s="1302"/>
      <c r="E696" s="1302"/>
      <c r="F696" s="1302"/>
      <c r="H696" s="535"/>
      <c r="I696" s="517"/>
      <c r="J696" s="535"/>
      <c r="K696" s="535"/>
    </row>
    <row r="697" spans="1:11">
      <c r="A697" s="517"/>
      <c r="B697" s="517"/>
      <c r="C697" s="517"/>
      <c r="D697" s="1302"/>
      <c r="E697" s="1302"/>
      <c r="F697" s="1302"/>
      <c r="H697" s="535"/>
      <c r="I697" s="517"/>
      <c r="J697" s="535"/>
      <c r="K697" s="535"/>
    </row>
    <row r="698" spans="1:11">
      <c r="A698" s="517"/>
      <c r="B698" s="517"/>
      <c r="C698" s="517"/>
      <c r="D698" s="1302"/>
      <c r="E698" s="1302"/>
      <c r="F698" s="1302"/>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302" t="s">
        <v>1308</v>
      </c>
      <c r="E700" s="1302"/>
      <c r="F700" s="1302"/>
      <c r="H700" s="535"/>
      <c r="I700" s="517" t="s">
        <v>2108</v>
      </c>
      <c r="J700" s="535"/>
      <c r="K700" s="535"/>
    </row>
    <row r="701" spans="1:11">
      <c r="A701" s="517"/>
      <c r="B701" s="517"/>
      <c r="C701" s="517"/>
      <c r="D701" s="1302"/>
      <c r="E701" s="1302"/>
      <c r="F701" s="1302"/>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302" t="s">
        <v>1128</v>
      </c>
      <c r="E703" s="1302"/>
      <c r="F703" s="1302"/>
      <c r="H703" s="535"/>
      <c r="I703" s="517" t="s">
        <v>2108</v>
      </c>
      <c r="J703" s="535"/>
      <c r="K703" s="535"/>
    </row>
    <row r="704" spans="1:11">
      <c r="A704" s="517"/>
      <c r="B704" s="517"/>
      <c r="C704" s="517"/>
      <c r="D704" s="1302"/>
      <c r="E704" s="1302"/>
      <c r="F704" s="1302"/>
      <c r="H704" s="535"/>
      <c r="I704" s="517"/>
      <c r="J704" s="535"/>
      <c r="K704" s="535"/>
    </row>
    <row r="705" spans="1:11">
      <c r="A705" s="517"/>
      <c r="B705" s="517"/>
      <c r="C705" s="517"/>
      <c r="D705" s="1302"/>
      <c r="E705" s="1302"/>
      <c r="F705" s="1302"/>
      <c r="H705" s="535"/>
      <c r="I705" s="517"/>
      <c r="J705" s="535"/>
      <c r="K705" s="535"/>
    </row>
    <row r="706" spans="1:11" ht="15" customHeight="1">
      <c r="A706" s="517"/>
      <c r="B706" s="517"/>
      <c r="C706" s="517"/>
      <c r="D706" s="1302"/>
      <c r="E706" s="1302"/>
      <c r="F706" s="1302"/>
      <c r="H706" s="535"/>
      <c r="I706" s="517"/>
      <c r="J706" s="535"/>
      <c r="K706" s="535"/>
    </row>
    <row r="707" spans="1:11" ht="15" customHeight="1">
      <c r="A707" s="517"/>
      <c r="B707" s="517"/>
      <c r="C707" s="517"/>
      <c r="D707" s="1302"/>
      <c r="E707" s="1302"/>
      <c r="F707" s="1302"/>
      <c r="H707" s="535"/>
      <c r="I707" s="517"/>
      <c r="J707" s="535"/>
      <c r="K707" s="535"/>
    </row>
    <row r="708" spans="1:11">
      <c r="A708" s="517"/>
      <c r="B708" s="517"/>
      <c r="C708" s="517"/>
      <c r="D708" s="1302"/>
      <c r="E708" s="1302"/>
      <c r="F708" s="1302"/>
      <c r="H708" s="535"/>
      <c r="I708" s="517"/>
      <c r="J708" s="535"/>
      <c r="K708" s="535"/>
    </row>
    <row r="709" spans="1:11">
      <c r="A709" s="517"/>
      <c r="B709" s="517"/>
      <c r="C709" s="517"/>
      <c r="D709" s="1302"/>
      <c r="E709" s="1302"/>
      <c r="F709" s="1302"/>
      <c r="H709" s="535"/>
      <c r="I709" s="517"/>
      <c r="J709" s="535"/>
      <c r="K709" s="535"/>
    </row>
    <row r="710" spans="1:11">
      <c r="A710" s="517"/>
      <c r="B710" s="517"/>
      <c r="C710" s="517"/>
      <c r="D710" s="1302"/>
      <c r="E710" s="1302"/>
      <c r="F710" s="1302"/>
      <c r="H710" s="535"/>
      <c r="I710" s="517"/>
      <c r="J710" s="535"/>
      <c r="K710" s="535"/>
    </row>
    <row r="711" spans="1:11" ht="15" customHeight="1">
      <c r="A711" s="517"/>
      <c r="B711" s="517"/>
      <c r="C711" s="517"/>
      <c r="D711" s="1302"/>
      <c r="E711" s="1302"/>
      <c r="F711" s="1302"/>
      <c r="H711" s="535"/>
      <c r="I711" s="517"/>
      <c r="J711" s="535"/>
      <c r="K711" s="535"/>
    </row>
    <row r="712" spans="1:11">
      <c r="A712" s="517"/>
      <c r="B712" s="517"/>
      <c r="C712" s="517"/>
      <c r="D712" s="1302"/>
      <c r="E712" s="1302"/>
      <c r="F712" s="1302"/>
      <c r="H712" s="535"/>
      <c r="I712" s="517"/>
      <c r="J712" s="535"/>
      <c r="K712" s="535"/>
    </row>
    <row r="713" spans="1:11">
      <c r="A713" s="517"/>
      <c r="B713" s="517"/>
      <c r="C713" s="517"/>
      <c r="D713" s="1302"/>
      <c r="E713" s="1302"/>
      <c r="F713" s="1302"/>
      <c r="H713" s="535"/>
      <c r="I713" s="517"/>
      <c r="J713" s="535"/>
      <c r="K713" s="535"/>
    </row>
    <row r="714" spans="1:11">
      <c r="A714" s="517"/>
      <c r="B714" s="517"/>
      <c r="C714" s="517"/>
      <c r="D714" s="1302"/>
      <c r="E714" s="1302"/>
      <c r="F714" s="1302"/>
      <c r="H714" s="535"/>
      <c r="I714" s="517"/>
      <c r="J714" s="535"/>
      <c r="K714" s="535"/>
    </row>
    <row r="715" spans="1:11">
      <c r="A715" s="517"/>
      <c r="B715" s="517"/>
      <c r="C715" s="517"/>
      <c r="D715" s="1302"/>
      <c r="E715" s="1302"/>
      <c r="F715" s="1302"/>
      <c r="H715" s="535"/>
      <c r="I715" s="517"/>
      <c r="J715" s="535"/>
      <c r="K715" s="535"/>
    </row>
    <row r="716" spans="1:11">
      <c r="A716" s="517"/>
      <c r="B716" s="519" t="s">
        <v>308</v>
      </c>
      <c r="C716" s="517"/>
      <c r="D716" s="1302" t="s">
        <v>1135</v>
      </c>
      <c r="E716" s="1302"/>
      <c r="F716" s="1302"/>
      <c r="H716" s="535"/>
      <c r="I716" s="517" t="s">
        <v>2158</v>
      </c>
      <c r="J716" s="535"/>
      <c r="K716" s="535"/>
    </row>
    <row r="717" spans="1:11">
      <c r="A717" s="517"/>
      <c r="B717" s="517"/>
      <c r="C717" s="517"/>
      <c r="D717" s="1302"/>
      <c r="E717" s="1302"/>
      <c r="F717" s="1302"/>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302" t="s">
        <v>1129</v>
      </c>
      <c r="E719" s="1302"/>
      <c r="F719" s="1302"/>
      <c r="H719" s="535"/>
      <c r="I719" s="517" t="s">
        <v>2158</v>
      </c>
      <c r="J719" s="535"/>
      <c r="K719" s="535"/>
    </row>
    <row r="720" spans="1:11">
      <c r="A720" s="517"/>
      <c r="B720" s="517"/>
      <c r="C720" s="517"/>
      <c r="D720" s="1302"/>
      <c r="E720" s="1302"/>
      <c r="F720" s="1302"/>
      <c r="H720" s="535"/>
      <c r="I720" s="517"/>
      <c r="J720" s="535"/>
      <c r="K720" s="535"/>
    </row>
    <row r="721" spans="1:11">
      <c r="A721" s="517"/>
      <c r="B721" s="517"/>
      <c r="C721" s="517"/>
      <c r="D721" s="1302"/>
      <c r="E721" s="1302"/>
      <c r="F721" s="1302"/>
      <c r="H721" s="535"/>
      <c r="I721" s="517"/>
      <c r="J721" s="535"/>
      <c r="K721" s="535"/>
    </row>
    <row r="722" spans="1:11">
      <c r="A722" s="517"/>
      <c r="B722" s="517"/>
      <c r="C722" s="517"/>
      <c r="H722" s="535"/>
      <c r="I722" s="517"/>
      <c r="J722" s="535"/>
      <c r="K722" s="535"/>
    </row>
    <row r="723" spans="1:11">
      <c r="A723" s="517"/>
      <c r="B723" s="519" t="s">
        <v>308</v>
      </c>
      <c r="C723" s="517"/>
      <c r="D723" s="1302" t="s">
        <v>1130</v>
      </c>
      <c r="E723" s="1302"/>
      <c r="F723" s="1302"/>
      <c r="H723" s="535"/>
      <c r="I723" s="517" t="s">
        <v>2158</v>
      </c>
      <c r="J723" s="535"/>
      <c r="K723" s="535"/>
    </row>
    <row r="724" spans="1:11">
      <c r="A724" s="517"/>
      <c r="B724" s="517"/>
      <c r="C724" s="517"/>
      <c r="D724" s="1302"/>
      <c r="E724" s="1302"/>
      <c r="F724" s="1302"/>
      <c r="H724" s="535"/>
      <c r="I724" s="517"/>
      <c r="J724" s="535"/>
      <c r="K724" s="535"/>
    </row>
    <row r="725" spans="1:11">
      <c r="A725" s="517"/>
      <c r="B725" s="517"/>
      <c r="C725" s="517"/>
      <c r="D725" s="1302"/>
      <c r="E725" s="1302"/>
      <c r="F725" s="1302"/>
      <c r="H725" s="535"/>
      <c r="I725" s="517"/>
      <c r="J725" s="535"/>
      <c r="K725" s="535"/>
    </row>
    <row r="726" spans="1:11">
      <c r="A726" s="517"/>
      <c r="B726" s="517"/>
      <c r="C726" s="517"/>
      <c r="H726" s="535"/>
      <c r="I726" s="517"/>
      <c r="J726" s="535"/>
      <c r="K726" s="535"/>
    </row>
    <row r="727" spans="1:11" ht="14.25">
      <c r="A727" s="518"/>
      <c r="B727" s="519" t="s">
        <v>308</v>
      </c>
      <c r="C727" s="517"/>
      <c r="D727" s="1302" t="s">
        <v>1131</v>
      </c>
      <c r="E727" s="1302"/>
      <c r="F727" s="1302"/>
      <c r="H727" s="535"/>
      <c r="I727" s="517" t="s">
        <v>2109</v>
      </c>
      <c r="J727" s="535"/>
      <c r="K727" s="535"/>
    </row>
    <row r="728" spans="1:11">
      <c r="A728" s="517"/>
      <c r="B728" s="517"/>
      <c r="C728" s="517"/>
      <c r="D728" s="1302"/>
      <c r="E728" s="1302"/>
      <c r="F728" s="1302"/>
      <c r="H728" s="535"/>
      <c r="I728" s="517"/>
      <c r="J728" s="535"/>
      <c r="K728" s="535"/>
    </row>
    <row r="729" spans="1:11">
      <c r="A729" s="517"/>
      <c r="B729" s="517"/>
      <c r="C729" s="517"/>
      <c r="D729" s="1302"/>
      <c r="E729" s="1302"/>
      <c r="F729" s="1302"/>
      <c r="H729" s="535"/>
      <c r="I729" s="517"/>
      <c r="J729" s="535"/>
      <c r="K729" s="535"/>
    </row>
    <row r="730" spans="1:11">
      <c r="A730" s="517"/>
      <c r="B730" s="517"/>
      <c r="C730" s="517"/>
      <c r="D730" s="1302"/>
      <c r="E730" s="1302"/>
      <c r="F730" s="1302"/>
      <c r="H730" s="535"/>
      <c r="I730" s="517"/>
      <c r="J730" s="535"/>
      <c r="K730" s="535"/>
    </row>
    <row r="731" spans="1:11">
      <c r="A731" s="517"/>
      <c r="B731" s="517"/>
      <c r="C731" s="517"/>
      <c r="D731" s="526"/>
      <c r="H731" s="535"/>
      <c r="I731" s="517"/>
      <c r="J731" s="535"/>
      <c r="K731" s="535"/>
    </row>
    <row r="732" spans="1:11" ht="14.25">
      <c r="A732" s="518"/>
      <c r="B732" s="519" t="s">
        <v>308</v>
      </c>
      <c r="C732" s="517"/>
      <c r="D732" s="1302" t="s">
        <v>2506</v>
      </c>
      <c r="E732" s="1302"/>
      <c r="F732" s="1302"/>
      <c r="H732" s="535"/>
      <c r="I732" s="517" t="s">
        <v>2125</v>
      </c>
      <c r="J732" s="535"/>
      <c r="K732" s="535"/>
    </row>
    <row r="733" spans="1:11">
      <c r="A733" s="517"/>
      <c r="B733" s="517"/>
      <c r="C733" s="517"/>
      <c r="D733" s="1302"/>
      <c r="E733" s="1302"/>
      <c r="F733" s="1302"/>
      <c r="H733" s="535"/>
      <c r="I733" s="517"/>
      <c r="J733" s="535"/>
      <c r="K733" s="535"/>
    </row>
    <row r="734" spans="1:11">
      <c r="A734" s="517"/>
      <c r="B734" s="517"/>
      <c r="C734" s="517"/>
      <c r="D734" s="1302"/>
      <c r="E734" s="1302"/>
      <c r="F734" s="1302"/>
      <c r="H734" s="535"/>
      <c r="I734" s="517"/>
      <c r="J734" s="535"/>
      <c r="K734" s="535"/>
    </row>
    <row r="735" spans="1:11">
      <c r="A735" s="517"/>
      <c r="B735" s="517"/>
      <c r="C735" s="517"/>
      <c r="D735" s="1302"/>
      <c r="E735" s="1302"/>
      <c r="F735" s="1302"/>
      <c r="H735" s="535"/>
      <c r="I735" s="517"/>
      <c r="J735" s="535"/>
      <c r="K735" s="535"/>
    </row>
    <row r="736" spans="1:11">
      <c r="A736" s="517"/>
      <c r="B736" s="517"/>
      <c r="C736" s="517"/>
      <c r="D736" s="1302"/>
      <c r="E736" s="1302"/>
      <c r="F736" s="1302"/>
      <c r="H736" s="535"/>
      <c r="I736" s="517"/>
      <c r="J736" s="535"/>
      <c r="K736" s="535"/>
    </row>
    <row r="737" spans="1:11">
      <c r="A737" s="517"/>
      <c r="B737" s="517"/>
      <c r="C737" s="517"/>
      <c r="D737" s="1302"/>
      <c r="E737" s="1302"/>
      <c r="F737" s="1302"/>
      <c r="H737" s="535"/>
      <c r="I737" s="517"/>
      <c r="J737" s="535"/>
      <c r="K737" s="535"/>
    </row>
    <row r="738" spans="1:11">
      <c r="A738" s="517"/>
      <c r="B738" s="517"/>
      <c r="C738" s="517"/>
      <c r="D738" s="1302"/>
      <c r="E738" s="1302"/>
      <c r="F738" s="1302"/>
      <c r="H738" s="535"/>
      <c r="I738" s="517"/>
      <c r="J738" s="535"/>
      <c r="K738" s="535"/>
    </row>
    <row r="739" spans="1:11">
      <c r="A739" s="517"/>
      <c r="B739" s="517"/>
      <c r="C739" s="517"/>
      <c r="D739" s="1319" t="s">
        <v>2392</v>
      </c>
      <c r="E739" s="1319"/>
      <c r="F739" s="1319"/>
      <c r="H739" s="535"/>
      <c r="I739" s="517"/>
      <c r="J739" s="535"/>
      <c r="K739" s="535"/>
    </row>
    <row r="740" spans="1:11">
      <c r="A740" s="517"/>
      <c r="B740" s="517"/>
      <c r="C740" s="517"/>
      <c r="D740" s="369"/>
      <c r="H740" s="535"/>
      <c r="I740" s="517"/>
      <c r="J740" s="535"/>
      <c r="K740" s="535"/>
    </row>
    <row r="741" spans="1:11">
      <c r="A741" s="1321" t="s">
        <v>1089</v>
      </c>
      <c r="B741" s="1321"/>
      <c r="C741" s="1321"/>
      <c r="D741" s="1321"/>
      <c r="E741" s="1321"/>
      <c r="F741" s="1321"/>
      <c r="G741" s="1321"/>
      <c r="H741" s="1065"/>
      <c r="I741" s="1263"/>
      <c r="J741" s="535"/>
      <c r="K741" s="535"/>
    </row>
    <row r="742" spans="1:11">
      <c r="A742" s="517"/>
      <c r="B742" s="517"/>
      <c r="C742" s="517"/>
      <c r="D742" s="526"/>
      <c r="G742" s="535"/>
      <c r="H742" s="535"/>
      <c r="I742" s="517"/>
      <c r="J742" s="535"/>
      <c r="K742" s="535"/>
    </row>
    <row r="743" spans="1:11" ht="13.7" customHeight="1">
      <c r="C743" s="517"/>
      <c r="D743" s="1304" t="s">
        <v>1105</v>
      </c>
      <c r="E743" s="1304"/>
      <c r="F743" s="1304"/>
      <c r="G743" s="535"/>
      <c r="H743" s="535"/>
      <c r="I743" s="517"/>
      <c r="J743" s="535"/>
      <c r="K743" s="535"/>
    </row>
    <row r="744" spans="1:11">
      <c r="A744" s="517"/>
      <c r="B744" s="517"/>
      <c r="C744" s="517"/>
      <c r="D744" s="1305" t="s">
        <v>1106</v>
      </c>
      <c r="E744" s="1305"/>
      <c r="F744" s="1305"/>
      <c r="G744" s="535"/>
      <c r="H744" s="535"/>
      <c r="I744" s="517"/>
      <c r="J744" s="535"/>
      <c r="K744" s="535"/>
    </row>
    <row r="745" spans="1:11">
      <c r="A745" s="517"/>
      <c r="B745" s="517"/>
      <c r="C745" s="517"/>
      <c r="G745" s="535"/>
      <c r="H745" s="535"/>
      <c r="I745" s="517"/>
      <c r="J745" s="535"/>
      <c r="K745" s="535"/>
    </row>
    <row r="746" spans="1:11" ht="14.25">
      <c r="A746" s="518"/>
      <c r="B746" s="519" t="s">
        <v>1070</v>
      </c>
      <c r="D746" s="1302" t="s">
        <v>1107</v>
      </c>
      <c r="E746" s="1302"/>
      <c r="F746" s="1302"/>
      <c r="G746" s="535"/>
      <c r="H746" s="535"/>
      <c r="I746" s="517" t="s">
        <v>2110</v>
      </c>
      <c r="J746" s="535"/>
      <c r="K746" s="535"/>
    </row>
    <row r="747" spans="1:11" ht="10.5" customHeight="1">
      <c r="D747" s="1302"/>
      <c r="E747" s="1302"/>
      <c r="F747" s="1302"/>
      <c r="G747" s="535"/>
      <c r="H747" s="535"/>
      <c r="I747" s="517"/>
      <c r="J747" s="535"/>
      <c r="K747" s="535"/>
    </row>
    <row r="748" spans="1:11">
      <c r="D748" s="1302"/>
      <c r="E748" s="1302"/>
      <c r="F748" s="1302"/>
      <c r="G748" s="535"/>
      <c r="H748" s="535"/>
      <c r="I748" s="517"/>
      <c r="J748" s="535"/>
      <c r="K748" s="535"/>
    </row>
    <row r="749" spans="1:11">
      <c r="D749" s="1302"/>
      <c r="E749" s="1302"/>
      <c r="F749" s="1302"/>
      <c r="G749" s="535"/>
      <c r="H749" s="535"/>
      <c r="I749" s="517"/>
      <c r="J749" s="535"/>
      <c r="K749" s="535"/>
    </row>
    <row r="750" spans="1:11">
      <c r="D750" s="1302"/>
      <c r="E750" s="1302"/>
      <c r="F750" s="1302"/>
      <c r="G750" s="535"/>
      <c r="H750" s="535"/>
      <c r="I750" s="517"/>
      <c r="J750" s="535"/>
      <c r="K750" s="535"/>
    </row>
    <row r="751" spans="1:11" ht="15.6" customHeight="1">
      <c r="D751" s="1302"/>
      <c r="E751" s="1302"/>
      <c r="F751" s="1302"/>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302" t="s">
        <v>1349</v>
      </c>
      <c r="E753" s="1302"/>
      <c r="F753" s="1302"/>
      <c r="I753" s="1264" t="s">
        <v>2110</v>
      </c>
    </row>
    <row r="754" spans="1:11" s="539" customFormat="1">
      <c r="A754" s="538"/>
      <c r="B754" s="538"/>
      <c r="C754" s="538"/>
      <c r="D754" s="1302"/>
      <c r="E754" s="1302"/>
      <c r="F754" s="1302"/>
      <c r="I754" s="1264"/>
    </row>
    <row r="755" spans="1:11" s="539" customFormat="1">
      <c r="A755" s="538"/>
      <c r="B755" s="538"/>
      <c r="C755" s="538"/>
      <c r="D755" s="1302"/>
      <c r="E755" s="1302"/>
      <c r="F755" s="1302"/>
      <c r="I755" s="1264"/>
    </row>
    <row r="756" spans="1:11" s="539" customFormat="1">
      <c r="A756" s="538"/>
      <c r="B756" s="538"/>
      <c r="C756" s="538"/>
      <c r="D756" s="1302"/>
      <c r="E756" s="1302"/>
      <c r="F756" s="1302"/>
      <c r="I756" s="1264"/>
    </row>
    <row r="757" spans="1:11" s="539" customFormat="1">
      <c r="A757" s="538"/>
      <c r="B757" s="538"/>
      <c r="C757" s="538"/>
      <c r="D757" s="533"/>
      <c r="I757" s="1264"/>
    </row>
    <row r="758" spans="1:11" s="539" customFormat="1" ht="14.25">
      <c r="A758" s="518"/>
      <c r="B758" s="519" t="s">
        <v>2761</v>
      </c>
      <c r="C758" s="538"/>
      <c r="D758" s="1300" t="s">
        <v>1350</v>
      </c>
      <c r="E758" s="1300"/>
      <c r="F758" s="1300"/>
      <c r="I758" s="1264" t="s">
        <v>2111</v>
      </c>
    </row>
    <row r="759" spans="1:11" s="539" customFormat="1">
      <c r="A759" s="538"/>
      <c r="B759" s="538"/>
      <c r="C759" s="538"/>
      <c r="D759" s="1300"/>
      <c r="E759" s="1300"/>
      <c r="F759" s="1300"/>
      <c r="I759" s="1264"/>
    </row>
    <row r="760" spans="1:11" s="539" customFormat="1">
      <c r="A760" s="538"/>
      <c r="B760" s="538"/>
      <c r="C760" s="538"/>
      <c r="D760" s="1300"/>
      <c r="E760" s="1300"/>
      <c r="F760" s="1300"/>
      <c r="I760" s="1264"/>
    </row>
    <row r="761" spans="1:11">
      <c r="D761" s="533"/>
      <c r="E761" s="480"/>
      <c r="F761" s="480"/>
      <c r="G761" s="535"/>
      <c r="H761" s="535"/>
      <c r="I761" s="517"/>
      <c r="J761" s="535"/>
      <c r="K761" s="535"/>
    </row>
    <row r="762" spans="1:11" ht="14.25">
      <c r="A762" s="518"/>
      <c r="B762" s="519" t="s">
        <v>2761</v>
      </c>
      <c r="D762" s="1302" t="s">
        <v>1305</v>
      </c>
      <c r="E762" s="1302"/>
      <c r="F762" s="1302"/>
      <c r="G762" s="535"/>
      <c r="H762" s="535"/>
      <c r="I762" s="517" t="s">
        <v>2110</v>
      </c>
      <c r="J762" s="535"/>
      <c r="K762" s="535"/>
    </row>
    <row r="763" spans="1:11">
      <c r="D763" s="1302"/>
      <c r="E763" s="1302"/>
      <c r="F763" s="1302"/>
      <c r="G763" s="535"/>
      <c r="H763" s="535"/>
      <c r="I763" s="517"/>
      <c r="J763" s="535"/>
      <c r="K763" s="535"/>
    </row>
    <row r="764" spans="1:11">
      <c r="D764" s="479"/>
      <c r="E764" s="479"/>
      <c r="F764" s="479"/>
      <c r="G764" s="535"/>
      <c r="H764" s="535"/>
      <c r="I764" s="517"/>
      <c r="J764" s="535"/>
      <c r="K764" s="535"/>
    </row>
    <row r="765" spans="1:11">
      <c r="B765" s="519" t="s">
        <v>308</v>
      </c>
      <c r="D765" s="1302" t="s">
        <v>1322</v>
      </c>
      <c r="E765" s="1302"/>
      <c r="F765" s="1302"/>
      <c r="G765" s="535"/>
      <c r="H765" s="535"/>
      <c r="I765" s="517" t="s">
        <v>2110</v>
      </c>
      <c r="J765" s="535"/>
      <c r="K765" s="535"/>
    </row>
    <row r="766" spans="1:11">
      <c r="D766" s="1302"/>
      <c r="E766" s="1302"/>
      <c r="F766" s="1302"/>
      <c r="G766" s="535"/>
      <c r="H766" s="535"/>
      <c r="I766" s="517"/>
      <c r="J766" s="535"/>
      <c r="K766" s="535"/>
    </row>
    <row r="767" spans="1:11">
      <c r="D767" s="1302"/>
      <c r="E767" s="1302"/>
      <c r="F767" s="1302"/>
      <c r="G767" s="535"/>
      <c r="H767" s="535"/>
      <c r="I767" s="517"/>
      <c r="J767" s="535"/>
      <c r="K767" s="535"/>
    </row>
    <row r="768" spans="1:11">
      <c r="D768" s="479"/>
      <c r="E768" s="479"/>
      <c r="F768" s="479"/>
      <c r="G768" s="535"/>
      <c r="H768" s="535"/>
      <c r="I768" s="517"/>
      <c r="J768" s="535"/>
      <c r="K768" s="535"/>
    </row>
    <row r="769" spans="1:9">
      <c r="A769" s="1354" t="s">
        <v>1993</v>
      </c>
      <c r="B769" s="1354"/>
      <c r="C769" s="1354"/>
      <c r="D769" s="1354"/>
      <c r="E769" s="1354"/>
      <c r="F769" s="1354"/>
      <c r="G769" s="1354"/>
      <c r="H769" s="1063"/>
      <c r="I769" s="1259"/>
    </row>
    <row r="770" spans="1:9">
      <c r="A770" s="57"/>
      <c r="B770" s="57"/>
      <c r="C770" s="385"/>
      <c r="D770" s="3"/>
      <c r="E770" s="3"/>
      <c r="F770" s="3"/>
      <c r="G770" s="3"/>
      <c r="I770" s="524"/>
    </row>
    <row r="771" spans="1:9">
      <c r="A771" s="57"/>
      <c r="B771" s="57"/>
      <c r="C771" s="385"/>
      <c r="D771" s="1343" t="s">
        <v>2047</v>
      </c>
      <c r="E771" s="1343"/>
      <c r="F771" s="1343"/>
      <c r="G771" s="3"/>
      <c r="I771" s="524"/>
    </row>
    <row r="772" spans="1:9">
      <c r="A772" s="57"/>
      <c r="B772" s="57"/>
      <c r="C772" s="385"/>
      <c r="D772" s="1288" t="s">
        <v>1946</v>
      </c>
      <c r="E772" s="1288"/>
      <c r="F772" s="1288"/>
      <c r="G772" s="3"/>
      <c r="I772" s="524"/>
    </row>
    <row r="773" spans="1:9">
      <c r="A773" s="57"/>
      <c r="B773" s="57"/>
      <c r="C773" s="385"/>
      <c r="D773" s="481"/>
      <c r="E773" s="481"/>
      <c r="F773" s="481"/>
      <c r="G773" s="3"/>
      <c r="I773" s="524"/>
    </row>
    <row r="774" spans="1:9">
      <c r="A774" s="57"/>
      <c r="B774" s="519" t="s">
        <v>2761</v>
      </c>
      <c r="C774" s="385"/>
      <c r="D774" s="1315" t="s">
        <v>1947</v>
      </c>
      <c r="E774" s="1315"/>
      <c r="F774" s="1315"/>
      <c r="G774" s="3"/>
      <c r="I774" s="517" t="s">
        <v>2160</v>
      </c>
    </row>
    <row r="775" spans="1:9">
      <c r="A775" s="57"/>
      <c r="B775" s="57"/>
      <c r="C775" s="385"/>
      <c r="D775" s="1315"/>
      <c r="E775" s="1315"/>
      <c r="F775" s="1315"/>
      <c r="G775" s="3"/>
      <c r="I775" s="524"/>
    </row>
    <row r="776" spans="1:9">
      <c r="A776" s="175"/>
      <c r="B776" s="175"/>
      <c r="C776" s="175"/>
      <c r="D776" s="1315"/>
      <c r="E776" s="1315"/>
      <c r="F776" s="1315"/>
      <c r="G776" s="118"/>
      <c r="I776" s="524"/>
    </row>
    <row r="777" spans="1:9">
      <c r="A777" s="385"/>
      <c r="B777" s="385"/>
      <c r="C777" s="385"/>
      <c r="D777" s="174"/>
      <c r="E777" s="3"/>
      <c r="F777" s="3"/>
      <c r="G777" s="3"/>
      <c r="I777" s="524"/>
    </row>
    <row r="778" spans="1:9">
      <c r="A778" s="172"/>
      <c r="B778" s="519" t="s">
        <v>2761</v>
      </c>
      <c r="C778" s="172"/>
      <c r="D778" s="1315" t="s">
        <v>1948</v>
      </c>
      <c r="E778" s="1315"/>
      <c r="F778" s="1315"/>
      <c r="G778" s="3"/>
      <c r="I778" s="517" t="s">
        <v>2160</v>
      </c>
    </row>
    <row r="779" spans="1:9">
      <c r="A779" s="172"/>
      <c r="B779" s="172"/>
      <c r="C779" s="172"/>
      <c r="D779" s="1315"/>
      <c r="E779" s="1315"/>
      <c r="F779" s="1315"/>
      <c r="G779" s="3"/>
      <c r="I779" s="524"/>
    </row>
    <row r="780" spans="1:9">
      <c r="A780" s="172"/>
      <c r="B780" s="172"/>
      <c r="C780" s="172"/>
      <c r="D780" s="1315"/>
      <c r="E780" s="1315"/>
      <c r="F780" s="1315"/>
      <c r="G780" s="3"/>
      <c r="I780" s="524"/>
    </row>
    <row r="781" spans="1:9">
      <c r="A781" s="175"/>
      <c r="B781" s="175"/>
      <c r="C781" s="175"/>
      <c r="D781" s="3"/>
      <c r="E781" s="1023"/>
      <c r="F781" s="1023"/>
      <c r="G781" s="1023"/>
      <c r="I781" s="524"/>
    </row>
    <row r="782" spans="1:9" ht="14.25">
      <c r="A782" s="176"/>
      <c r="B782" s="519" t="s">
        <v>308</v>
      </c>
      <c r="C782" s="1024"/>
      <c r="D782" s="1315" t="s">
        <v>1949</v>
      </c>
      <c r="E782" s="1315"/>
      <c r="F782" s="1315"/>
      <c r="G782" s="1023"/>
      <c r="I782" s="517" t="s">
        <v>2160</v>
      </c>
    </row>
    <row r="783" spans="1:9" ht="14.25">
      <c r="A783" s="176"/>
      <c r="B783" s="176"/>
      <c r="C783" s="1024"/>
      <c r="D783" s="1315"/>
      <c r="E783" s="1315"/>
      <c r="F783" s="1315"/>
      <c r="G783" s="1023"/>
      <c r="I783" s="524"/>
    </row>
    <row r="784" spans="1:9" ht="14.25">
      <c r="A784" s="176"/>
      <c r="B784" s="176"/>
      <c r="C784" s="1024"/>
      <c r="D784" s="1315"/>
      <c r="E784" s="1315"/>
      <c r="F784" s="1315"/>
      <c r="G784" s="1023"/>
      <c r="I784" s="524"/>
    </row>
    <row r="785" spans="1:9" ht="14.25">
      <c r="A785" s="176"/>
      <c r="B785" s="176"/>
      <c r="C785" s="1024"/>
      <c r="D785" s="118"/>
      <c r="E785" s="3"/>
      <c r="F785" s="3"/>
      <c r="G785" s="1023"/>
      <c r="I785" s="524"/>
    </row>
    <row r="786" spans="1:9" ht="14.25">
      <c r="A786" s="176"/>
      <c r="B786" s="519" t="s">
        <v>308</v>
      </c>
      <c r="C786" s="1024"/>
      <c r="D786" s="1315" t="s">
        <v>1950</v>
      </c>
      <c r="E786" s="1315"/>
      <c r="F786" s="1315"/>
      <c r="G786" s="1023"/>
      <c r="I786" s="517" t="s">
        <v>2160</v>
      </c>
    </row>
    <row r="787" spans="1:9" ht="14.25">
      <c r="A787" s="176"/>
      <c r="B787" s="176"/>
      <c r="C787" s="1024"/>
      <c r="D787" s="1315"/>
      <c r="E787" s="1315"/>
      <c r="F787" s="1315"/>
      <c r="G787" s="1023"/>
      <c r="I787" s="524"/>
    </row>
    <row r="788" spans="1:9" ht="14.25">
      <c r="A788" s="176"/>
      <c r="B788" s="176"/>
      <c r="C788" s="1024"/>
      <c r="D788" s="1315"/>
      <c r="E788" s="1315"/>
      <c r="F788" s="1315"/>
      <c r="G788" s="1023"/>
      <c r="I788" s="524"/>
    </row>
    <row r="789" spans="1:9" ht="14.25">
      <c r="A789" s="176"/>
      <c r="B789" s="176"/>
      <c r="C789" s="1024"/>
      <c r="D789" s="1315"/>
      <c r="E789" s="1315"/>
      <c r="F789" s="1315"/>
      <c r="G789" s="1023"/>
      <c r="I789" s="524"/>
    </row>
    <row r="790" spans="1:9" ht="14.25">
      <c r="A790" s="176"/>
      <c r="B790" s="176"/>
      <c r="C790" s="1024"/>
      <c r="D790" s="1315"/>
      <c r="E790" s="1315"/>
      <c r="F790" s="1315"/>
      <c r="G790" s="1023"/>
      <c r="I790" s="524"/>
    </row>
    <row r="791" spans="1:9" ht="14.25">
      <c r="A791" s="176"/>
      <c r="B791" s="176"/>
      <c r="C791" s="1024"/>
      <c r="D791" s="1315"/>
      <c r="E791" s="1315"/>
      <c r="F791" s="1315"/>
      <c r="G791" s="1023"/>
      <c r="I791" s="524"/>
    </row>
    <row r="792" spans="1:9" ht="14.25">
      <c r="A792" s="176"/>
      <c r="B792" s="176"/>
      <c r="C792" s="1024"/>
      <c r="D792" s="1315" t="s">
        <v>1994</v>
      </c>
      <c r="E792" s="1315"/>
      <c r="F792" s="1315"/>
      <c r="G792" s="1023"/>
      <c r="I792" s="524"/>
    </row>
    <row r="793" spans="1:9" ht="14.25">
      <c r="A793" s="176"/>
      <c r="B793" s="176"/>
      <c r="C793" s="1024"/>
      <c r="D793" s="1315"/>
      <c r="E793" s="1315"/>
      <c r="F793" s="1315"/>
      <c r="G793" s="1023"/>
      <c r="I793" s="524"/>
    </row>
    <row r="794" spans="1:9" ht="14.25">
      <c r="A794" s="176"/>
      <c r="B794" s="176"/>
      <c r="C794" s="1024"/>
      <c r="D794" s="1315"/>
      <c r="E794" s="1315"/>
      <c r="F794" s="1315"/>
      <c r="G794" s="1023"/>
      <c r="I794" s="524"/>
    </row>
    <row r="795" spans="1:9" ht="14.25">
      <c r="A795" s="176"/>
      <c r="B795" s="385"/>
      <c r="C795" s="1024"/>
      <c r="D795" s="1025"/>
      <c r="E795" s="1025"/>
      <c r="F795" s="1025"/>
      <c r="G795" s="1023"/>
      <c r="I795" s="524"/>
    </row>
    <row r="796" spans="1:9" ht="14.25">
      <c r="A796" s="176"/>
      <c r="B796" s="519" t="s">
        <v>308</v>
      </c>
      <c r="C796" s="1024"/>
      <c r="D796" s="1315" t="s">
        <v>1951</v>
      </c>
      <c r="E796" s="1315"/>
      <c r="F796" s="1315"/>
      <c r="G796" s="1023"/>
      <c r="I796" s="517" t="s">
        <v>2160</v>
      </c>
    </row>
    <row r="797" spans="1:9" ht="14.25">
      <c r="A797" s="176"/>
      <c r="B797" s="176"/>
      <c r="C797" s="1024"/>
      <c r="D797" s="1315"/>
      <c r="E797" s="1315"/>
      <c r="F797" s="1315"/>
      <c r="G797" s="1023"/>
      <c r="I797" s="524"/>
    </row>
    <row r="798" spans="1:9" ht="14.25">
      <c r="A798" s="176"/>
      <c r="B798" s="176"/>
      <c r="C798" s="1024"/>
      <c r="D798" s="1315"/>
      <c r="E798" s="1315"/>
      <c r="F798" s="1315"/>
      <c r="G798" s="1023"/>
      <c r="I798" s="524"/>
    </row>
    <row r="799" spans="1:9" ht="14.25">
      <c r="A799" s="176"/>
      <c r="B799" s="176"/>
      <c r="C799" s="1024"/>
      <c r="D799" s="1315"/>
      <c r="E799" s="1315"/>
      <c r="F799" s="1315"/>
      <c r="G799" s="1023"/>
      <c r="I799" s="524"/>
    </row>
    <row r="800" spans="1:9" ht="14.25">
      <c r="A800" s="176"/>
      <c r="B800" s="176"/>
      <c r="C800" s="1024"/>
      <c r="D800" s="1315"/>
      <c r="E800" s="1315"/>
      <c r="F800" s="1315"/>
      <c r="G800" s="1023"/>
      <c r="I800" s="524"/>
    </row>
    <row r="801" spans="1:9" ht="14.25">
      <c r="A801" s="176"/>
      <c r="B801" s="176"/>
      <c r="C801" s="1024"/>
      <c r="D801" s="1315"/>
      <c r="E801" s="1315"/>
      <c r="F801" s="1315"/>
      <c r="G801" s="1023"/>
      <c r="I801" s="524"/>
    </row>
    <row r="802" spans="1:9" ht="14.25">
      <c r="A802" s="176"/>
      <c r="B802" s="176"/>
      <c r="C802" s="1024"/>
      <c r="D802" s="1017"/>
      <c r="E802" s="1017"/>
      <c r="F802" s="1017"/>
      <c r="G802" s="1023"/>
      <c r="I802" s="524"/>
    </row>
    <row r="803" spans="1:9" ht="14.25">
      <c r="A803" s="176"/>
      <c r="B803" s="519" t="s">
        <v>308</v>
      </c>
      <c r="C803" s="1024"/>
      <c r="D803" s="1315" t="s">
        <v>1952</v>
      </c>
      <c r="E803" s="1315"/>
      <c r="F803" s="1315"/>
      <c r="G803" s="1023"/>
      <c r="I803" s="517" t="s">
        <v>2160</v>
      </c>
    </row>
    <row r="804" spans="1:9" ht="14.25">
      <c r="A804" s="176"/>
      <c r="B804" s="176"/>
      <c r="C804" s="1024"/>
      <c r="D804" s="1315"/>
      <c r="E804" s="1315"/>
      <c r="F804" s="1315"/>
      <c r="G804" s="1023"/>
      <c r="I804" s="524"/>
    </row>
    <row r="805" spans="1:9" ht="14.25">
      <c r="A805" s="176"/>
      <c r="B805" s="176"/>
      <c r="C805" s="1024"/>
      <c r="D805" s="1315"/>
      <c r="E805" s="1315"/>
      <c r="F805" s="1315"/>
      <c r="G805" s="1023"/>
      <c r="I805" s="524"/>
    </row>
    <row r="806" spans="1:9" ht="14.25">
      <c r="A806" s="176"/>
      <c r="B806" s="176"/>
      <c r="C806" s="1024"/>
      <c r="D806" s="1315"/>
      <c r="E806" s="1315"/>
      <c r="F806" s="1315"/>
      <c r="G806" s="1023"/>
      <c r="I806" s="524"/>
    </row>
    <row r="807" spans="1:9" ht="14.25">
      <c r="A807" s="176"/>
      <c r="B807" s="176"/>
      <c r="C807" s="1024"/>
      <c r="D807" s="1315"/>
      <c r="E807" s="1315"/>
      <c r="F807" s="1315"/>
      <c r="G807" s="1023"/>
      <c r="I807" s="524"/>
    </row>
    <row r="808" spans="1:9" ht="14.25">
      <c r="A808" s="176"/>
      <c r="B808" s="176"/>
      <c r="C808" s="1024"/>
      <c r="D808" s="1315"/>
      <c r="E808" s="1315"/>
      <c r="F808" s="1315"/>
      <c r="G808" s="1023"/>
      <c r="I808" s="524"/>
    </row>
    <row r="809" spans="1:9" ht="14.25">
      <c r="A809" s="176"/>
      <c r="B809" s="176"/>
      <c r="C809" s="1024"/>
      <c r="D809" s="1017"/>
      <c r="E809" s="1017"/>
      <c r="F809" s="1017"/>
      <c r="G809" s="1023"/>
      <c r="I809" s="524"/>
    </row>
    <row r="810" spans="1:9" ht="14.25">
      <c r="A810" s="176"/>
      <c r="B810" s="519" t="s">
        <v>308</v>
      </c>
      <c r="C810" s="1024"/>
      <c r="D810" s="1312" t="s">
        <v>1953</v>
      </c>
      <c r="E810" s="1312"/>
      <c r="F810" s="1312"/>
      <c r="G810" s="1023"/>
      <c r="I810" s="517" t="s">
        <v>2160</v>
      </c>
    </row>
    <row r="811" spans="1:9" ht="14.25">
      <c r="A811" s="176"/>
      <c r="B811" s="176"/>
      <c r="C811" s="1024"/>
      <c r="D811" s="1312"/>
      <c r="E811" s="1312"/>
      <c r="F811" s="1312"/>
      <c r="G811" s="1023"/>
      <c r="I811" s="524"/>
    </row>
    <row r="812" spans="1:9">
      <c r="A812" s="13"/>
      <c r="B812" s="13"/>
      <c r="C812" s="1024"/>
      <c r="D812" s="1312"/>
      <c r="E812" s="1312"/>
      <c r="F812" s="1312"/>
      <c r="G812" s="1023"/>
      <c r="I812" s="524"/>
    </row>
    <row r="813" spans="1:9" ht="14.25">
      <c r="A813" s="176"/>
      <c r="B813" s="13"/>
      <c r="C813" s="1024"/>
      <c r="D813" s="1312"/>
      <c r="E813" s="1312"/>
      <c r="F813" s="1312"/>
      <c r="G813" s="1023"/>
      <c r="I813" s="524"/>
    </row>
    <row r="814" spans="1:9" ht="12.75" customHeight="1">
      <c r="A814" s="176"/>
      <c r="B814" s="13"/>
      <c r="C814" s="1024"/>
      <c r="D814" s="1312"/>
      <c r="E814" s="1312"/>
      <c r="F814" s="1312"/>
      <c r="G814" s="1023"/>
      <c r="I814" s="524"/>
    </row>
    <row r="815" spans="1:9" ht="12.75" customHeight="1">
      <c r="A815" s="176"/>
      <c r="B815" s="13"/>
      <c r="C815" s="1024"/>
      <c r="D815" s="1312"/>
      <c r="E815" s="1312"/>
      <c r="F815" s="1312"/>
      <c r="G815" s="1023"/>
      <c r="I815" s="524"/>
    </row>
    <row r="816" spans="1:9" ht="12.75" customHeight="1">
      <c r="A816" s="13"/>
      <c r="B816" s="13"/>
      <c r="C816" s="1024"/>
      <c r="D816" s="1023"/>
      <c r="E816" s="3"/>
      <c r="F816" s="3"/>
      <c r="G816" s="1023"/>
      <c r="I816" s="524"/>
    </row>
    <row r="817" spans="1:9" ht="12.75" customHeight="1">
      <c r="A817" s="1320" t="s">
        <v>1954</v>
      </c>
      <c r="B817" s="1320"/>
      <c r="C817" s="1320"/>
      <c r="D817" s="1320"/>
      <c r="E817" s="1320"/>
      <c r="F817" s="1320"/>
      <c r="G817" s="1320"/>
      <c r="H817" s="1063"/>
      <c r="I817" s="1259"/>
    </row>
    <row r="818" spans="1:9" ht="12.75" customHeight="1">
      <c r="A818" s="172"/>
      <c r="B818" s="172"/>
      <c r="C818" s="1024"/>
      <c r="D818" s="1023"/>
      <c r="E818" s="1023"/>
      <c r="F818" s="1023"/>
      <c r="G818" s="1023"/>
      <c r="I818" s="524"/>
    </row>
    <row r="819" spans="1:9" ht="12.75" customHeight="1">
      <c r="A819" s="176"/>
      <c r="B819" s="176"/>
      <c r="C819" s="385"/>
      <c r="D819" s="1308" t="s">
        <v>1995</v>
      </c>
      <c r="E819" s="1308"/>
      <c r="F819" s="1308"/>
      <c r="G819" s="3"/>
      <c r="I819" s="524"/>
    </row>
    <row r="820" spans="1:9" ht="14.25" customHeight="1">
      <c r="A820" s="176"/>
      <c r="B820" s="176"/>
      <c r="C820" s="385"/>
      <c r="D820" s="1275" t="s">
        <v>1955</v>
      </c>
      <c r="E820" s="1275"/>
      <c r="F820" s="1275"/>
      <c r="G820" s="3"/>
      <c r="I820" s="524"/>
    </row>
    <row r="821" spans="1:9" ht="12.75" customHeight="1">
      <c r="A821" s="176"/>
      <c r="B821" s="176"/>
      <c r="C821" s="385"/>
      <c r="D821" s="474"/>
      <c r="E821" s="474"/>
      <c r="F821" s="474"/>
      <c r="G821" s="3"/>
      <c r="I821" s="524"/>
    </row>
    <row r="822" spans="1:9" ht="12.75" customHeight="1">
      <c r="A822" s="385"/>
      <c r="B822" s="519" t="s">
        <v>2761</v>
      </c>
      <c r="C822" s="1024"/>
      <c r="D822" s="1275" t="s">
        <v>1956</v>
      </c>
      <c r="E822" s="1275"/>
      <c r="F822" s="1275"/>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5" t="s">
        <v>2393</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2761</v>
      </c>
      <c r="C836" s="1024"/>
      <c r="D836" s="1275" t="s">
        <v>1957</v>
      </c>
      <c r="E836" s="1275"/>
      <c r="F836" s="1275"/>
      <c r="G836" s="3"/>
      <c r="I836" s="524" t="s">
        <v>2146</v>
      </c>
    </row>
    <row r="837" spans="1:9" ht="12.75" customHeight="1">
      <c r="A837" s="176"/>
      <c r="B837" s="176"/>
      <c r="C837" s="1024"/>
      <c r="D837" s="1275"/>
      <c r="E837" s="1275"/>
      <c r="F837" s="1275"/>
      <c r="G837" s="3"/>
      <c r="I837" s="524"/>
    </row>
    <row r="838" spans="1:9" ht="12.75" customHeight="1">
      <c r="A838" s="176"/>
      <c r="B838" s="176"/>
      <c r="C838" s="1024"/>
      <c r="D838" s="1275"/>
      <c r="E838" s="1275"/>
      <c r="F838" s="1275"/>
      <c r="G838" s="3"/>
      <c r="I838" s="524"/>
    </row>
    <row r="839" spans="1:9" ht="12.75" customHeight="1">
      <c r="A839" s="176"/>
      <c r="B839" s="176"/>
      <c r="C839" s="1024"/>
      <c r="D839" s="118"/>
      <c r="E839" s="3"/>
      <c r="F839" s="3"/>
      <c r="G839" s="3"/>
      <c r="I839" s="524"/>
    </row>
    <row r="840" spans="1:9" ht="12.75" customHeight="1">
      <c r="A840" s="1027"/>
      <c r="B840" s="519" t="s">
        <v>308</v>
      </c>
      <c r="C840" s="1024"/>
      <c r="D840" s="1308" t="s">
        <v>1958</v>
      </c>
      <c r="E840" s="1308"/>
      <c r="F840" s="1308"/>
      <c r="G840" s="3"/>
      <c r="I840" s="524"/>
    </row>
    <row r="841" spans="1:9" ht="12.75" customHeight="1">
      <c r="A841" s="385"/>
      <c r="B841" s="1027"/>
      <c r="C841" s="1024"/>
      <c r="D841" s="1308"/>
      <c r="E841" s="1308"/>
      <c r="F841" s="1308"/>
      <c r="G841" s="3"/>
      <c r="I841" s="524"/>
    </row>
    <row r="842" spans="1:9" ht="12.75" customHeight="1">
      <c r="A842" s="176"/>
      <c r="B842" s="385"/>
      <c r="C842" s="1024"/>
      <c r="D842" s="1275" t="s">
        <v>2384</v>
      </c>
      <c r="E842" s="1275"/>
      <c r="F842" s="1275"/>
      <c r="G842" s="3"/>
      <c r="I842" s="524"/>
    </row>
    <row r="843" spans="1:9" ht="12.75" customHeight="1">
      <c r="A843" s="176"/>
      <c r="B843" s="176"/>
      <c r="C843" s="1024"/>
      <c r="D843" s="1275"/>
      <c r="E843" s="1275"/>
      <c r="F843" s="1275"/>
      <c r="G843" s="3"/>
      <c r="I843" s="524"/>
    </row>
    <row r="844" spans="1:9" ht="12.75" customHeight="1">
      <c r="A844" s="176"/>
      <c r="B844" s="176"/>
      <c r="C844" s="1024"/>
      <c r="D844" s="1275"/>
      <c r="E844" s="1275"/>
      <c r="F844" s="1275"/>
      <c r="G844" s="3"/>
      <c r="I844" s="524"/>
    </row>
    <row r="845" spans="1:9" ht="12.75" customHeight="1">
      <c r="A845" s="176"/>
      <c r="B845" s="176"/>
      <c r="C845" s="1024"/>
      <c r="D845" s="1275"/>
      <c r="E845" s="1275"/>
      <c r="F845" s="1275"/>
      <c r="G845" s="3"/>
      <c r="I845" s="524"/>
    </row>
    <row r="846" spans="1:9" ht="12.75" customHeight="1">
      <c r="A846" s="176"/>
      <c r="B846" s="176"/>
      <c r="C846" s="1024"/>
      <c r="D846" s="1275"/>
      <c r="E846" s="1275"/>
      <c r="F846" s="1275"/>
      <c r="G846" s="3"/>
      <c r="I846" s="524"/>
    </row>
    <row r="847" spans="1:9" ht="12.75" customHeight="1">
      <c r="A847" s="176"/>
      <c r="B847" s="176"/>
      <c r="C847" s="1024"/>
      <c r="D847" s="1275"/>
      <c r="E847" s="1275"/>
      <c r="F847" s="1275"/>
      <c r="G847" s="3"/>
      <c r="I847" s="524"/>
    </row>
    <row r="848" spans="1:9" ht="12.75" customHeight="1">
      <c r="A848" s="176"/>
      <c r="B848" s="176"/>
      <c r="C848" s="1024"/>
      <c r="D848" s="118"/>
      <c r="E848" s="3"/>
      <c r="F848" s="3"/>
      <c r="G848" s="3"/>
      <c r="I848" s="524"/>
    </row>
    <row r="849" spans="1:9" ht="12.75" customHeight="1">
      <c r="A849" s="176"/>
      <c r="B849" s="519" t="s">
        <v>308</v>
      </c>
      <c r="C849" s="1024"/>
      <c r="D849" s="1275" t="s">
        <v>1959</v>
      </c>
      <c r="E849" s="1275"/>
      <c r="F849" s="1275"/>
      <c r="G849" s="3"/>
      <c r="I849" s="524" t="s">
        <v>2129</v>
      </c>
    </row>
    <row r="850" spans="1:9" ht="12.75" customHeight="1">
      <c r="A850" s="176"/>
      <c r="B850" s="176"/>
      <c r="C850" s="1024"/>
      <c r="D850" s="1275" t="s">
        <v>1960</v>
      </c>
      <c r="E850" s="1275"/>
      <c r="F850" s="1275"/>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75" t="s">
        <v>1961</v>
      </c>
      <c r="E853" s="1275"/>
      <c r="F853" s="1275"/>
      <c r="G853" s="3"/>
      <c r="I853" s="524" t="s">
        <v>2147</v>
      </c>
    </row>
    <row r="854" spans="1:9" ht="12.75" customHeight="1">
      <c r="A854" s="176"/>
      <c r="B854" s="176"/>
      <c r="C854" s="1024"/>
      <c r="D854" s="1275"/>
      <c r="E854" s="1275"/>
      <c r="F854" s="1275"/>
      <c r="G854" s="3"/>
      <c r="I854" s="524"/>
    </row>
    <row r="855" spans="1:9" ht="12.75" customHeight="1">
      <c r="A855" s="176"/>
      <c r="B855" s="176"/>
      <c r="C855" s="1024"/>
      <c r="D855" s="1275"/>
      <c r="E855" s="1275"/>
      <c r="F855" s="1275"/>
      <c r="G855" s="3"/>
      <c r="I855" s="524"/>
    </row>
    <row r="856" spans="1:9" ht="12.75" customHeight="1">
      <c r="A856" s="176"/>
      <c r="B856" s="176"/>
      <c r="C856" s="1024"/>
      <c r="D856" s="1275"/>
      <c r="E856" s="1275"/>
      <c r="F856" s="1275"/>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91" t="s">
        <v>1996</v>
      </c>
      <c r="E860" s="1291"/>
      <c r="F860" s="1291"/>
      <c r="G860" s="1023"/>
      <c r="I860" s="524"/>
    </row>
    <row r="861" spans="1:9" ht="12.75" customHeight="1">
      <c r="A861" s="385"/>
      <c r="B861" s="385"/>
      <c r="C861" s="175"/>
      <c r="D861" s="1344" t="s">
        <v>1963</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75" t="s">
        <v>1965</v>
      </c>
      <c r="E866" s="1293"/>
      <c r="F866" s="1293"/>
      <c r="G866" s="3"/>
      <c r="I866" s="524" t="s">
        <v>2147</v>
      </c>
    </row>
    <row r="867" spans="1:9" ht="12.75" customHeight="1">
      <c r="A867" s="385"/>
      <c r="B867" s="385"/>
      <c r="C867" s="385"/>
      <c r="D867" s="1293"/>
      <c r="E867" s="1293"/>
      <c r="F867" s="1293"/>
      <c r="G867" s="3"/>
      <c r="I867" s="524"/>
    </row>
    <row r="868" spans="1:9" ht="12.75" customHeight="1">
      <c r="A868" s="385"/>
      <c r="B868" s="385"/>
      <c r="C868" s="385"/>
      <c r="D868" s="118"/>
      <c r="E868" s="3"/>
      <c r="F868" s="3"/>
      <c r="G868" s="3"/>
      <c r="I868" s="524"/>
    </row>
    <row r="869" spans="1:9" ht="12.75" customHeight="1">
      <c r="A869" s="385"/>
      <c r="B869" s="519" t="s">
        <v>308</v>
      </c>
      <c r="C869" s="385"/>
      <c r="D869" s="1340" t="s">
        <v>1966</v>
      </c>
      <c r="E869" s="1340"/>
      <c r="F869" s="1340"/>
      <c r="G869" s="1023"/>
      <c r="I869" s="524"/>
    </row>
    <row r="870" spans="1:9" ht="12.75" customHeight="1">
      <c r="A870" s="385"/>
      <c r="B870" s="1031"/>
      <c r="C870" s="385"/>
      <c r="D870" s="1340"/>
      <c r="E870" s="1340"/>
      <c r="F870" s="1340"/>
      <c r="G870" s="1023"/>
      <c r="I870" s="524"/>
    </row>
    <row r="871" spans="1:9" ht="12.75" customHeight="1">
      <c r="A871" s="176"/>
      <c r="B871"/>
      <c r="C871" s="385"/>
      <c r="D871" s="1275" t="s">
        <v>2384</v>
      </c>
      <c r="E871" s="1275"/>
      <c r="F871" s="1275"/>
      <c r="G871" s="1023"/>
      <c r="I871" s="524"/>
    </row>
    <row r="872" spans="1:9" ht="12.75" customHeight="1">
      <c r="A872" s="176"/>
      <c r="B872" s="176"/>
      <c r="C872" s="385"/>
      <c r="D872" s="1275"/>
      <c r="E872" s="1275"/>
      <c r="F872" s="1275"/>
      <c r="G872" s="1023"/>
      <c r="I872" s="524"/>
    </row>
    <row r="873" spans="1:9" ht="12.75" customHeight="1">
      <c r="A873" s="176"/>
      <c r="B873" s="176"/>
      <c r="C873" s="385"/>
      <c r="D873" s="1275"/>
      <c r="E873" s="1275"/>
      <c r="F873" s="1275"/>
      <c r="G873" s="1023"/>
      <c r="I873" s="524"/>
    </row>
    <row r="874" spans="1:9" ht="12.75" customHeight="1">
      <c r="A874" s="176"/>
      <c r="B874" s="176"/>
      <c r="C874" s="385"/>
      <c r="D874" s="1275"/>
      <c r="E874" s="1275"/>
      <c r="F874" s="1275"/>
      <c r="G874" s="1023"/>
      <c r="I874" s="524"/>
    </row>
    <row r="875" spans="1:9" ht="12.75" customHeight="1">
      <c r="A875" s="176"/>
      <c r="B875" s="176"/>
      <c r="C875" s="385"/>
      <c r="D875" s="1275"/>
      <c r="E875" s="1275"/>
      <c r="F875" s="1275"/>
      <c r="G875" s="1023"/>
      <c r="I875" s="524"/>
    </row>
    <row r="876" spans="1:9" ht="12.75" customHeight="1">
      <c r="A876" s="176"/>
      <c r="B876" s="176"/>
      <c r="C876" s="385"/>
      <c r="D876" s="1275"/>
      <c r="E876" s="1275"/>
      <c r="F876" s="1275"/>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8" t="s">
        <v>1959</v>
      </c>
      <c r="E878" s="1318"/>
      <c r="F878" s="1318"/>
      <c r="G878" s="1023"/>
      <c r="I878" s="524" t="s">
        <v>2129</v>
      </c>
    </row>
    <row r="879" spans="1:9" ht="12.75" customHeight="1">
      <c r="A879" s="176"/>
      <c r="B879" s="176"/>
      <c r="C879" s="385"/>
      <c r="D879" s="1318" t="s">
        <v>1960</v>
      </c>
      <c r="E879" s="1318"/>
      <c r="F879" s="1318"/>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75" t="s">
        <v>1961</v>
      </c>
      <c r="E882" s="1275"/>
      <c r="F882" s="1275"/>
      <c r="G882" s="1023"/>
      <c r="I882" s="524" t="s">
        <v>2147</v>
      </c>
    </row>
    <row r="883" spans="1:9" ht="12.75" customHeight="1">
      <c r="A883" s="176"/>
      <c r="B883" s="176"/>
      <c r="C883" s="385"/>
      <c r="D883" s="1275"/>
      <c r="E883" s="1275"/>
      <c r="F883" s="1275"/>
      <c r="G883" s="1023"/>
      <c r="I883" s="524"/>
    </row>
    <row r="884" spans="1:9" ht="12.75" customHeight="1">
      <c r="A884" s="176"/>
      <c r="B884" s="176"/>
      <c r="C884" s="385"/>
      <c r="D884" s="1275"/>
      <c r="E884" s="1275"/>
      <c r="F884" s="1275"/>
      <c r="G884" s="1023"/>
      <c r="I884" s="524"/>
    </row>
    <row r="885" spans="1:9" ht="12.75" customHeight="1">
      <c r="A885" s="176"/>
      <c r="B885" s="176"/>
      <c r="C885" s="385"/>
      <c r="D885" s="1275"/>
      <c r="E885" s="1275"/>
      <c r="F885" s="1275"/>
      <c r="G885" s="1023"/>
      <c r="I885" s="524"/>
    </row>
    <row r="886" spans="1:9" ht="12.75" customHeight="1">
      <c r="A886" s="118"/>
      <c r="B886" s="118"/>
      <c r="C886" s="1024"/>
      <c r="D886" s="1023"/>
      <c r="E886" s="1023"/>
      <c r="F886" s="1023"/>
      <c r="G886" s="1023"/>
      <c r="I886" s="524"/>
    </row>
    <row r="887" spans="1:9" ht="12.75" customHeight="1">
      <c r="A887" s="1320" t="s">
        <v>1997</v>
      </c>
      <c r="B887" s="1320"/>
      <c r="C887" s="1320"/>
      <c r="D887" s="1320"/>
      <c r="E887" s="1320"/>
      <c r="F887" s="1320"/>
      <c r="G887" s="1320"/>
      <c r="H887" s="1063"/>
      <c r="I887" s="1259"/>
    </row>
    <row r="888" spans="1:9" ht="12.75" customHeight="1">
      <c r="A888" s="57"/>
      <c r="B888" s="57"/>
      <c r="C888" s="57"/>
      <c r="D888" s="57"/>
      <c r="E888" s="57"/>
      <c r="F888" s="57"/>
      <c r="G888" s="57"/>
      <c r="I888" s="524"/>
    </row>
    <row r="889" spans="1:9" ht="12.75" customHeight="1">
      <c r="A889" s="57"/>
      <c r="B889" s="57"/>
      <c r="C889" s="57"/>
      <c r="D889" s="1314" t="s">
        <v>2003</v>
      </c>
      <c r="E889" s="1314"/>
      <c r="F889" s="1314"/>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14" t="s">
        <v>1998</v>
      </c>
      <c r="E893" s="1314"/>
      <c r="F893" s="1314"/>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75" t="s">
        <v>1971</v>
      </c>
      <c r="E896" s="1275"/>
      <c r="F896" s="1275"/>
      <c r="G896" s="3"/>
      <c r="I896" s="524" t="s">
        <v>2113</v>
      </c>
    </row>
    <row r="897" spans="1:9" ht="12.75" customHeight="1">
      <c r="A897" s="385"/>
      <c r="B897" s="385"/>
      <c r="C897" s="385"/>
      <c r="D897" s="1275"/>
      <c r="E897" s="1275"/>
      <c r="F897" s="1275"/>
      <c r="G897" s="3"/>
      <c r="I897" s="524"/>
    </row>
    <row r="898" spans="1:9" ht="12.75" customHeight="1">
      <c r="A898" s="172"/>
      <c r="B898" s="172"/>
      <c r="C898" s="172"/>
      <c r="D898" s="1275" t="s">
        <v>1970</v>
      </c>
      <c r="E898" s="1275"/>
      <c r="F898" s="1275"/>
      <c r="G898" s="1023"/>
      <c r="I898" s="524"/>
    </row>
    <row r="899" spans="1:9" ht="12.75" customHeight="1">
      <c r="A899" s="172"/>
      <c r="B899" s="172"/>
      <c r="C899" s="172"/>
      <c r="D899" s="1275"/>
      <c r="E899" s="1275"/>
      <c r="F899" s="1275"/>
      <c r="G899" s="1023"/>
      <c r="I899" s="524"/>
    </row>
    <row r="900" spans="1:9" ht="12.75" customHeight="1">
      <c r="A900" s="172"/>
      <c r="B900" s="172"/>
      <c r="C900" s="172"/>
      <c r="D900" s="3"/>
      <c r="E900" s="3"/>
      <c r="F900" s="1023"/>
      <c r="G900" s="1023"/>
      <c r="I900" s="524"/>
    </row>
    <row r="901" spans="1:9" ht="12.75" customHeight="1">
      <c r="A901" s="176"/>
      <c r="B901" s="519" t="s">
        <v>308</v>
      </c>
      <c r="C901" s="175"/>
      <c r="D901" s="1285" t="s">
        <v>1968</v>
      </c>
      <c r="E901" s="1285"/>
      <c r="F901" s="1285"/>
      <c r="G901" s="1023"/>
      <c r="I901" s="524" t="s">
        <v>2112</v>
      </c>
    </row>
    <row r="902" spans="1:9" ht="12.75" customHeight="1">
      <c r="A902" s="176"/>
      <c r="B902" s="176"/>
      <c r="C902" s="175"/>
      <c r="D902" s="1285"/>
      <c r="E902" s="1285"/>
      <c r="F902" s="1285"/>
      <c r="G902" s="1023"/>
      <c r="I902" s="524"/>
    </row>
    <row r="903" spans="1:9" ht="12.75" customHeight="1">
      <c r="A903" s="176"/>
      <c r="B903" s="176"/>
      <c r="C903" s="175"/>
      <c r="D903" s="1285"/>
      <c r="E903" s="1285"/>
      <c r="F903" s="1285"/>
      <c r="G903" s="1023"/>
      <c r="I903" s="524"/>
    </row>
    <row r="904" spans="1:9" ht="12.75" customHeight="1">
      <c r="A904" s="176"/>
      <c r="B904" s="176"/>
      <c r="C904" s="175"/>
      <c r="D904" s="1285"/>
      <c r="E904" s="1285"/>
      <c r="F904" s="1285"/>
      <c r="G904" s="1023"/>
      <c r="I904" s="524"/>
    </row>
    <row r="905" spans="1:9" ht="12.75" customHeight="1">
      <c r="A905" s="176"/>
      <c r="B905" s="176"/>
      <c r="C905" s="175"/>
      <c r="D905" s="1285"/>
      <c r="E905" s="1285"/>
      <c r="F905" s="1285"/>
      <c r="G905" s="1023"/>
      <c r="I905" s="524"/>
    </row>
    <row r="906" spans="1:9" ht="12.75" customHeight="1">
      <c r="A906" s="175"/>
      <c r="B906" s="175"/>
      <c r="C906" s="175"/>
      <c r="D906" s="1285"/>
      <c r="E906" s="1285"/>
      <c r="F906" s="1285"/>
      <c r="G906" s="1023"/>
      <c r="I906" s="524"/>
    </row>
    <row r="907" spans="1:9" ht="12.75" customHeight="1">
      <c r="A907" s="175"/>
      <c r="B907" s="175"/>
      <c r="C907" s="175"/>
      <c r="D907" s="1285"/>
      <c r="E907" s="1285"/>
      <c r="F907" s="1285"/>
      <c r="G907" s="1023"/>
      <c r="I907" s="524"/>
    </row>
    <row r="908" spans="1:9" ht="12.75" customHeight="1">
      <c r="A908" s="175"/>
      <c r="B908" s="175"/>
      <c r="C908" s="175"/>
      <c r="D908" s="1285"/>
      <c r="E908" s="1285"/>
      <c r="F908" s="1285"/>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75" t="s">
        <v>1972</v>
      </c>
      <c r="E910" s="1275"/>
      <c r="F910" s="1275"/>
      <c r="G910" s="1023"/>
      <c r="I910" s="524"/>
    </row>
    <row r="911" spans="1:9" ht="12.75" customHeight="1">
      <c r="A911" s="1024"/>
      <c r="B911" s="1024"/>
      <c r="C911" s="1024"/>
      <c r="D911" s="1275"/>
      <c r="E911" s="1275"/>
      <c r="F911" s="1275"/>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12" t="s">
        <v>1973</v>
      </c>
      <c r="E913" s="1312"/>
      <c r="F913" s="1312"/>
      <c r="G913" s="1023"/>
      <c r="I913" s="524"/>
    </row>
    <row r="914" spans="1:9" ht="12.75" customHeight="1">
      <c r="A914" s="1024"/>
      <c r="B914" s="1024"/>
      <c r="C914" s="1024"/>
      <c r="D914" s="1312"/>
      <c r="E914" s="1312"/>
      <c r="F914" s="1312"/>
      <c r="G914" s="1023"/>
      <c r="I914" s="524"/>
    </row>
    <row r="915" spans="1:9" ht="12.75" customHeight="1">
      <c r="A915" s="1024"/>
      <c r="B915" s="1024"/>
      <c r="C915" s="1024"/>
      <c r="D915" s="1312"/>
      <c r="E915" s="1312"/>
      <c r="F915" s="1312"/>
      <c r="G915" s="1023"/>
      <c r="I915" s="524"/>
    </row>
    <row r="916" spans="1:9" ht="12.75" customHeight="1">
      <c r="A916" s="1024"/>
      <c r="B916" s="1024"/>
      <c r="C916" s="1024"/>
      <c r="D916" s="1312"/>
      <c r="E916" s="1312"/>
      <c r="F916" s="1312"/>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308</v>
      </c>
      <c r="C922" s="1033"/>
      <c r="D922" s="1285" t="s">
        <v>1969</v>
      </c>
      <c r="E922" s="1285"/>
      <c r="F922" s="1285"/>
      <c r="G922" s="1034"/>
      <c r="I922" s="524" t="s">
        <v>2162</v>
      </c>
    </row>
    <row r="923" spans="1:9" ht="12.75" customHeight="1">
      <c r="A923" s="1032"/>
      <c r="B923" s="1032"/>
      <c r="C923" s="1033"/>
      <c r="D923" s="1285"/>
      <c r="E923" s="1285"/>
      <c r="F923" s="1285"/>
      <c r="G923" s="1034"/>
      <c r="I923" s="524"/>
    </row>
    <row r="924" spans="1:9" ht="12.75" customHeight="1">
      <c r="A924" s="1032"/>
      <c r="B924" s="1032"/>
      <c r="C924" s="1033"/>
      <c r="D924" s="1285"/>
      <c r="E924" s="1285"/>
      <c r="F924" s="1285"/>
      <c r="G924" s="1034"/>
      <c r="I924" s="524"/>
    </row>
    <row r="925" spans="1:9" ht="12.75" customHeight="1">
      <c r="A925" s="1032"/>
      <c r="B925" s="1032"/>
      <c r="C925" s="1033"/>
      <c r="D925" s="1285"/>
      <c r="E925" s="1285"/>
      <c r="F925" s="1285"/>
      <c r="G925" s="1034"/>
      <c r="I925" s="524"/>
    </row>
    <row r="926" spans="1:9" ht="12.75" customHeight="1">
      <c r="A926" s="1032"/>
      <c r="B926" s="1032"/>
      <c r="C926" s="1033"/>
      <c r="D926" s="1285"/>
      <c r="E926" s="1285"/>
      <c r="F926" s="1285"/>
      <c r="G926" s="1034"/>
      <c r="I926" s="524"/>
    </row>
    <row r="927" spans="1:9" ht="12.75" customHeight="1">
      <c r="A927" s="1032"/>
      <c r="B927" s="1032"/>
      <c r="C927" s="1033"/>
      <c r="D927" s="1285"/>
      <c r="E927" s="1285"/>
      <c r="F927" s="1285"/>
      <c r="G927" s="1034"/>
      <c r="I927" s="524"/>
    </row>
    <row r="928" spans="1:9" ht="12.75" customHeight="1">
      <c r="A928" s="1032"/>
      <c r="B928" s="1032"/>
      <c r="C928" s="1033"/>
      <c r="D928" s="1285"/>
      <c r="E928" s="1285"/>
      <c r="F928" s="1285"/>
      <c r="G928" s="1034"/>
      <c r="I928" s="524"/>
    </row>
    <row r="929" spans="1:9" ht="12.75" customHeight="1">
      <c r="A929" s="1032"/>
      <c r="B929" s="1032"/>
      <c r="C929" s="1033"/>
      <c r="D929" s="1285"/>
      <c r="E929" s="1285"/>
      <c r="F929" s="1285"/>
      <c r="G929" s="1034"/>
      <c r="I929" s="524"/>
    </row>
    <row r="930" spans="1:9" ht="12.75" customHeight="1">
      <c r="A930" s="1032"/>
      <c r="B930" s="1032"/>
      <c r="C930" s="1033"/>
      <c r="D930" s="1285"/>
      <c r="E930" s="1285"/>
      <c r="F930" s="1285"/>
      <c r="G930" s="1034"/>
      <c r="I930" s="524"/>
    </row>
    <row r="931" spans="1:9" ht="12.75" customHeight="1">
      <c r="A931" s="175"/>
      <c r="B931" s="175"/>
      <c r="C931" s="175"/>
      <c r="D931" s="2"/>
      <c r="E931" s="3"/>
      <c r="F931" s="1023"/>
      <c r="G931" s="1023"/>
      <c r="I931" s="524"/>
    </row>
    <row r="932" spans="1:9" ht="12.75" customHeight="1">
      <c r="A932" s="176"/>
      <c r="B932" s="519" t="s">
        <v>308</v>
      </c>
      <c r="C932" s="175"/>
      <c r="D932" s="1341" t="s">
        <v>2164</v>
      </c>
      <c r="E932" s="1341"/>
      <c r="F932" s="1341"/>
      <c r="G932" s="1023"/>
      <c r="I932" s="524" t="s">
        <v>2162</v>
      </c>
    </row>
    <row r="933" spans="1:9" ht="12.75" customHeight="1">
      <c r="A933" s="176"/>
      <c r="B933" s="176"/>
      <c r="C933" s="175"/>
      <c r="D933" s="1341"/>
      <c r="E933" s="1341"/>
      <c r="F933" s="1341"/>
      <c r="G933" s="1023"/>
      <c r="I933" s="524"/>
    </row>
    <row r="934" spans="1:9" ht="12.75" customHeight="1">
      <c r="A934" s="176"/>
      <c r="B934" s="176"/>
      <c r="C934" s="175"/>
      <c r="D934" s="1341"/>
      <c r="E934" s="1341"/>
      <c r="F934" s="1341"/>
      <c r="G934" s="1023"/>
      <c r="I934" s="524"/>
    </row>
    <row r="935" spans="1:9" ht="12.75" customHeight="1">
      <c r="A935" s="176"/>
      <c r="B935" s="176"/>
      <c r="C935" s="175"/>
      <c r="D935" s="1341"/>
      <c r="E935" s="1341"/>
      <c r="F935" s="1341"/>
      <c r="G935" s="1023"/>
      <c r="I935" s="524"/>
    </row>
    <row r="936" spans="1:9" ht="12.75" customHeight="1">
      <c r="A936" s="176"/>
      <c r="B936" s="176"/>
      <c r="C936" s="175"/>
      <c r="D936" s="1341"/>
      <c r="E936" s="1341"/>
      <c r="F936" s="1341"/>
      <c r="G936" s="1023"/>
      <c r="I936" s="524"/>
    </row>
    <row r="937" spans="1:9" ht="12.75" customHeight="1">
      <c r="A937" s="176"/>
      <c r="B937" s="176"/>
      <c r="C937" s="175"/>
      <c r="D937" s="1341"/>
      <c r="E937" s="1341"/>
      <c r="F937" s="1341"/>
      <c r="G937" s="1023"/>
      <c r="I937" s="524"/>
    </row>
    <row r="938" spans="1:9" ht="12.75" customHeight="1">
      <c r="A938" s="176"/>
      <c r="B938" s="176"/>
      <c r="C938" s="175"/>
      <c r="D938" s="1341"/>
      <c r="E938" s="1341"/>
      <c r="F938" s="1341"/>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84" t="s">
        <v>2458</v>
      </c>
      <c r="E940" s="1284"/>
      <c r="F940" s="1284"/>
      <c r="G940" s="1023"/>
      <c r="I940" s="524"/>
    </row>
    <row r="941" spans="1:9" ht="12.75" customHeight="1">
      <c r="A941" s="176"/>
      <c r="B941" s="176"/>
      <c r="C941" s="175"/>
      <c r="D941" s="1284"/>
      <c r="E941" s="1284"/>
      <c r="F941" s="1284"/>
      <c r="G941" s="1023"/>
      <c r="I941" s="524"/>
    </row>
    <row r="942" spans="1:9" ht="12.75" customHeight="1">
      <c r="A942" s="176"/>
      <c r="B942" s="176"/>
      <c r="C942" s="175"/>
      <c r="D942" s="1284"/>
      <c r="E942" s="1284"/>
      <c r="F942" s="1284"/>
      <c r="G942" s="1023"/>
      <c r="I942" s="524"/>
    </row>
    <row r="943" spans="1:9" ht="12.75" customHeight="1">
      <c r="A943" s="176"/>
      <c r="B943" s="176"/>
      <c r="C943" s="175"/>
      <c r="D943" s="1284"/>
      <c r="E943" s="1284"/>
      <c r="F943" s="1284"/>
      <c r="G943" s="1023"/>
      <c r="I943" s="524"/>
    </row>
    <row r="944" spans="1:9" ht="12.75" customHeight="1">
      <c r="A944" s="176"/>
      <c r="B944" s="176"/>
      <c r="C944" s="175"/>
      <c r="D944" s="1284"/>
      <c r="E944" s="1284"/>
      <c r="F944" s="1284"/>
      <c r="G944" s="1023"/>
      <c r="I944" s="524"/>
    </row>
    <row r="945" spans="1:9" ht="12.75" customHeight="1">
      <c r="A945" s="176"/>
      <c r="B945" s="176"/>
      <c r="C945" s="175"/>
      <c r="D945" s="1284"/>
      <c r="E945" s="1284"/>
      <c r="F945" s="1284"/>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12" t="s">
        <v>1974</v>
      </c>
      <c r="E947" s="1312"/>
      <c r="F947" s="1312"/>
      <c r="G947" s="1023"/>
      <c r="I947" s="524"/>
    </row>
    <row r="948" spans="1:9" ht="12.75" customHeight="1">
      <c r="A948" s="1024"/>
      <c r="B948" s="1024"/>
      <c r="C948" s="1024"/>
      <c r="D948" s="1312"/>
      <c r="E948" s="1312"/>
      <c r="F948" s="1312"/>
      <c r="G948" s="1023"/>
      <c r="I948" s="524"/>
    </row>
    <row r="949" spans="1:9" ht="12.75" customHeight="1">
      <c r="A949" s="1024"/>
      <c r="B949" s="1024"/>
      <c r="C949" s="1024"/>
      <c r="D949" s="1312"/>
      <c r="E949" s="1312"/>
      <c r="F949" s="1312"/>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85" t="s">
        <v>2163</v>
      </c>
      <c r="E952" s="1285"/>
      <c r="F952" s="1285"/>
      <c r="G952" s="1023"/>
      <c r="I952" s="524" t="s">
        <v>2162</v>
      </c>
    </row>
    <row r="953" spans="1:9" ht="12.75" customHeight="1">
      <c r="A953" s="176"/>
      <c r="B953" s="176"/>
      <c r="C953" s="175"/>
      <c r="D953" s="1285"/>
      <c r="E953" s="1285"/>
      <c r="F953" s="1285"/>
      <c r="G953" s="1023"/>
      <c r="I953" s="524"/>
    </row>
    <row r="954" spans="1:9" ht="12.75" customHeight="1">
      <c r="A954" s="176"/>
      <c r="B954" s="176"/>
      <c r="C954" s="175"/>
      <c r="D954" s="1285"/>
      <c r="E954" s="1285"/>
      <c r="F954" s="1285"/>
      <c r="G954" s="1023"/>
      <c r="I954" s="524"/>
    </row>
    <row r="955" spans="1:9" ht="12.75" customHeight="1">
      <c r="A955" s="176"/>
      <c r="B955" s="176"/>
      <c r="C955" s="175"/>
      <c r="D955" s="1285"/>
      <c r="E955" s="1285"/>
      <c r="F955" s="1285"/>
      <c r="G955" s="1023"/>
      <c r="I955" s="524"/>
    </row>
    <row r="956" spans="1:9" ht="12.75" customHeight="1">
      <c r="A956" s="1024"/>
      <c r="B956" s="1024"/>
      <c r="C956" s="1024"/>
      <c r="D956" s="1015"/>
      <c r="E956" s="1015"/>
      <c r="F956" s="1015"/>
      <c r="G956" s="1015"/>
      <c r="I956" s="524"/>
    </row>
    <row r="957" spans="1:9" ht="12.75" customHeight="1">
      <c r="A957" s="385"/>
      <c r="B957" s="385"/>
      <c r="C957" s="385"/>
      <c r="D957" s="1291" t="s">
        <v>1975</v>
      </c>
      <c r="E957" s="1291"/>
      <c r="F957" s="1291"/>
      <c r="G957" s="3"/>
      <c r="I957" s="524"/>
    </row>
    <row r="958" spans="1:9" ht="12.75" customHeight="1">
      <c r="A958" s="176"/>
      <c r="B958" s="519" t="s">
        <v>308</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91" t="s">
        <v>1976</v>
      </c>
      <c r="E960" s="1291"/>
      <c r="F960" s="1291"/>
      <c r="G960"/>
      <c r="I960" s="524"/>
    </row>
    <row r="961" spans="1:9" ht="12.75" customHeight="1">
      <c r="A961" s="176"/>
      <c r="B961" s="519" t="s">
        <v>308</v>
      </c>
      <c r="C961" s="385"/>
      <c r="D961" s="1275" t="s">
        <v>2387</v>
      </c>
      <c r="E961" s="1275"/>
      <c r="F961" s="1275"/>
      <c r="G961"/>
      <c r="I961" s="524" t="s">
        <v>2162</v>
      </c>
    </row>
    <row r="962" spans="1:9" ht="12.75" customHeight="1">
      <c r="A962" s="176"/>
      <c r="B962" s="176"/>
      <c r="C962" s="385"/>
      <c r="D962" s="1275"/>
      <c r="E962" s="1275"/>
      <c r="F962" s="1275"/>
      <c r="G962"/>
      <c r="I962" s="524"/>
    </row>
    <row r="963" spans="1:9" ht="12.75" customHeight="1">
      <c r="A963" s="176"/>
      <c r="B963" s="176"/>
      <c r="C963" s="385"/>
      <c r="D963" s="1275"/>
      <c r="E963" s="1275"/>
      <c r="F963" s="1275"/>
      <c r="G963"/>
      <c r="I963" s="524"/>
    </row>
    <row r="964" spans="1:9" ht="12.75" customHeight="1">
      <c r="A964" s="176"/>
      <c r="B964" s="176"/>
      <c r="C964" s="385"/>
      <c r="D964" s="1275"/>
      <c r="E964" s="1275"/>
      <c r="F964" s="1275"/>
      <c r="G964"/>
      <c r="I964" s="524"/>
    </row>
    <row r="965" spans="1:9" ht="12.75" customHeight="1">
      <c r="A965" s="176"/>
      <c r="B965" s="176"/>
      <c r="C965" s="385"/>
      <c r="D965" s="1275"/>
      <c r="E965" s="1275"/>
      <c r="F965" s="1275"/>
      <c r="G965"/>
      <c r="I965" s="524"/>
    </row>
    <row r="966" spans="1:9" ht="12.75" customHeight="1">
      <c r="A966" s="176"/>
      <c r="B966" s="176"/>
      <c r="C966" s="385"/>
      <c r="D966" s="1275"/>
      <c r="E966" s="1275"/>
      <c r="F966" s="1275"/>
      <c r="G966"/>
      <c r="I966" s="524"/>
    </row>
    <row r="967" spans="1:9" ht="12.75" customHeight="1">
      <c r="A967" s="176"/>
      <c r="B967" s="176"/>
      <c r="C967" s="385"/>
      <c r="D967" s="1275"/>
      <c r="E967" s="1275"/>
      <c r="F967" s="1275"/>
      <c r="G967"/>
      <c r="I967" s="524"/>
    </row>
    <row r="968" spans="1:9" ht="12.75" customHeight="1">
      <c r="A968" s="176"/>
      <c r="B968" s="176"/>
      <c r="C968" s="385"/>
      <c r="D968" s="1275"/>
      <c r="E968" s="1275"/>
      <c r="F968" s="1275"/>
      <c r="G968"/>
      <c r="I968" s="524"/>
    </row>
    <row r="969" spans="1:9" ht="12.75" customHeight="1">
      <c r="A969" s="176"/>
      <c r="B969" s="176"/>
      <c r="C969" s="385"/>
      <c r="D969" s="1275"/>
      <c r="E969" s="1275"/>
      <c r="F969" s="1275"/>
      <c r="G969"/>
      <c r="I969" s="524"/>
    </row>
    <row r="970" spans="1:9" ht="12.75" customHeight="1">
      <c r="A970" s="176"/>
      <c r="B970" s="176"/>
      <c r="C970" s="385"/>
      <c r="D970" s="1275"/>
      <c r="E970" s="1275"/>
      <c r="F970" s="1275"/>
      <c r="G970"/>
      <c r="I970" s="524"/>
    </row>
    <row r="971" spans="1:9" ht="12.75" customHeight="1">
      <c r="A971" s="176"/>
      <c r="B971" s="176"/>
      <c r="C971" s="385"/>
      <c r="D971" s="1275"/>
      <c r="E971" s="1275"/>
      <c r="F971" s="1275"/>
      <c r="G971"/>
      <c r="I971" s="524"/>
    </row>
    <row r="972" spans="1:9" ht="12.75" customHeight="1">
      <c r="A972" s="176"/>
      <c r="B972" s="176"/>
      <c r="C972" s="385"/>
      <c r="D972" s="1275"/>
      <c r="E972" s="1275"/>
      <c r="F972" s="1275"/>
      <c r="G972"/>
      <c r="I972" s="524"/>
    </row>
    <row r="973" spans="1:9" ht="12.75" customHeight="1">
      <c r="A973" s="176"/>
      <c r="B973" s="176"/>
      <c r="C973" s="385"/>
      <c r="D973" s="1275"/>
      <c r="E973" s="1275"/>
      <c r="F973" s="1275"/>
      <c r="G973"/>
      <c r="I973" s="524"/>
    </row>
    <row r="974" spans="1:9" ht="12.75" customHeight="1">
      <c r="A974" s="176"/>
      <c r="B974" s="176"/>
      <c r="C974" s="385"/>
      <c r="D974" s="1275"/>
      <c r="E974" s="1275"/>
      <c r="F974" s="1275"/>
      <c r="G974"/>
      <c r="I974" s="524"/>
    </row>
    <row r="975" spans="1:9" ht="12.75" customHeight="1">
      <c r="A975" s="176"/>
      <c r="B975" s="176"/>
      <c r="C975" s="385"/>
      <c r="D975" s="1275"/>
      <c r="E975" s="1275"/>
      <c r="F975" s="1275"/>
      <c r="G975" s="3"/>
      <c r="I975" s="524"/>
    </row>
    <row r="976" spans="1:9" ht="12.75" customHeight="1">
      <c r="A976" s="385"/>
      <c r="B976" s="385"/>
      <c r="C976" s="385"/>
      <c r="D976" s="3"/>
      <c r="E976" s="3"/>
      <c r="F976" s="3"/>
      <c r="G976" s="3"/>
      <c r="I976" s="524"/>
    </row>
    <row r="977" spans="1:9" ht="12.75" customHeight="1">
      <c r="A977" s="1320" t="s">
        <v>1977</v>
      </c>
      <c r="B977" s="1320"/>
      <c r="C977" s="1320"/>
      <c r="D977" s="1320"/>
      <c r="E977" s="1320"/>
      <c r="F977" s="1320"/>
      <c r="G977" s="1320"/>
      <c r="H977" s="1063"/>
      <c r="I977" s="1259"/>
    </row>
    <row r="978" spans="1:9" ht="12.75" customHeight="1">
      <c r="A978" s="118"/>
      <c r="B978" s="118"/>
      <c r="C978" s="385"/>
      <c r="D978" s="3"/>
      <c r="E978" s="3"/>
      <c r="F978" s="3"/>
      <c r="G978" s="3"/>
      <c r="I978" s="524"/>
    </row>
    <row r="979" spans="1:9" ht="12.75" customHeight="1">
      <c r="A979" s="385"/>
      <c r="B979" s="385"/>
      <c r="C979" s="1024"/>
      <c r="D979" s="1291" t="s">
        <v>2000</v>
      </c>
      <c r="E979" s="1291"/>
      <c r="F979" s="1291"/>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308</v>
      </c>
      <c r="C982" s="385"/>
      <c r="D982" s="1339" t="s">
        <v>2217</v>
      </c>
      <c r="E982" s="1339"/>
      <c r="F982" s="1339"/>
      <c r="G982"/>
      <c r="I982" s="524" t="s">
        <v>2142</v>
      </c>
    </row>
    <row r="983" spans="1:9" ht="12.75" customHeight="1">
      <c r="A983" s="385"/>
      <c r="B983" s="385"/>
      <c r="C983" s="385"/>
      <c r="D983" s="1339"/>
      <c r="E983" s="1339"/>
      <c r="F983" s="1339"/>
      <c r="G983"/>
      <c r="I983" s="524"/>
    </row>
    <row r="984" spans="1:9" ht="12.75" customHeight="1">
      <c r="A984" s="385"/>
      <c r="B984" s="385"/>
      <c r="C984" s="385"/>
      <c r="D984" s="1073"/>
      <c r="E984" s="1071" t="s">
        <v>2218</v>
      </c>
      <c r="F984" s="1073"/>
      <c r="G984"/>
      <c r="I984" s="524"/>
    </row>
    <row r="985" spans="1:9" ht="12.75" customHeight="1">
      <c r="A985" s="385"/>
      <c r="B985" s="385"/>
      <c r="C985" s="385"/>
      <c r="D985" s="1279" t="s">
        <v>2216</v>
      </c>
      <c r="E985" s="1279"/>
      <c r="F985" s="1279"/>
      <c r="G985"/>
      <c r="I985" s="524"/>
    </row>
    <row r="986" spans="1:9" ht="12.75" customHeight="1">
      <c r="A986" s="385"/>
      <c r="B986" s="385"/>
      <c r="C986" s="385"/>
      <c r="D986" s="1279"/>
      <c r="E986" s="1279"/>
      <c r="F986" s="1279"/>
      <c r="G986"/>
      <c r="I986" s="524"/>
    </row>
    <row r="987" spans="1:9" ht="12.75" customHeight="1">
      <c r="A987" s="175"/>
      <c r="B987" s="175"/>
      <c r="C987" s="175"/>
      <c r="D987" s="1279"/>
      <c r="E987" s="1279"/>
      <c r="F987" s="1279"/>
      <c r="G987"/>
      <c r="I987" s="524"/>
    </row>
    <row r="988" spans="1:9" ht="12.75" customHeight="1">
      <c r="A988" s="175"/>
      <c r="B988" s="175"/>
      <c r="C988" s="175"/>
      <c r="D988" s="1279"/>
      <c r="E988" s="1279"/>
      <c r="F988" s="1279"/>
      <c r="G988"/>
      <c r="I988" s="524"/>
    </row>
    <row r="989" spans="1:9" ht="12.75" customHeight="1">
      <c r="A989" s="175"/>
      <c r="B989" s="175"/>
      <c r="C989" s="175"/>
      <c r="D989" s="363"/>
      <c r="E989" s="363"/>
      <c r="F989" s="363"/>
      <c r="G989"/>
      <c r="I989" s="524"/>
    </row>
    <row r="990" spans="1:9" ht="12.75" customHeight="1">
      <c r="A990" s="175"/>
      <c r="B990" s="519" t="s">
        <v>308</v>
      </c>
      <c r="C990" s="175"/>
      <c r="D990" s="1275" t="s">
        <v>1979</v>
      </c>
      <c r="E990" s="1275"/>
      <c r="F990" s="1275"/>
      <c r="G990"/>
      <c r="I990" s="524"/>
    </row>
    <row r="991" spans="1:9" ht="12.75" customHeight="1">
      <c r="A991" s="175"/>
      <c r="B991" s="175"/>
      <c r="C991" s="175"/>
      <c r="D991" s="1275"/>
      <c r="E991" s="1275"/>
      <c r="F991" s="1275"/>
      <c r="G991"/>
      <c r="I991" s="524"/>
    </row>
    <row r="992" spans="1:9" ht="12.75" customHeight="1">
      <c r="A992" s="175"/>
      <c r="B992" s="175"/>
      <c r="C992" s="175"/>
      <c r="D992" s="1275"/>
      <c r="E992" s="1275"/>
      <c r="F992" s="1275"/>
      <c r="G992"/>
      <c r="I992" s="524"/>
    </row>
    <row r="993" spans="1:9" ht="12.75" customHeight="1">
      <c r="A993" s="175"/>
      <c r="B993" s="175"/>
      <c r="C993" s="175"/>
      <c r="D993" s="1275"/>
      <c r="E993" s="1275"/>
      <c r="F993" s="1275"/>
      <c r="G993"/>
      <c r="I993" s="524"/>
    </row>
    <row r="994" spans="1:9" ht="12.75" customHeight="1">
      <c r="A994" s="175"/>
      <c r="B994" s="175"/>
      <c r="C994" s="175"/>
      <c r="D994" s="474"/>
      <c r="E994" s="474"/>
      <c r="F994" s="474"/>
      <c r="G994"/>
      <c r="I994" s="524"/>
    </row>
    <row r="995" spans="1:9" ht="12.75" customHeight="1">
      <c r="A995" s="175"/>
      <c r="B995" s="519" t="s">
        <v>308</v>
      </c>
      <c r="C995" s="175"/>
      <c r="D995" s="1275" t="s">
        <v>1980</v>
      </c>
      <c r="E995" s="1275"/>
      <c r="F995" s="1275"/>
      <c r="G995"/>
      <c r="I995" s="524"/>
    </row>
    <row r="996" spans="1:9" ht="12.75" customHeight="1">
      <c r="A996" s="175"/>
      <c r="B996" s="175"/>
      <c r="C996" s="175"/>
      <c r="D996" s="1275"/>
      <c r="E996" s="1275"/>
      <c r="F996" s="1275"/>
      <c r="G996"/>
      <c r="I996" s="524"/>
    </row>
    <row r="997" spans="1:9" ht="12.75" customHeight="1">
      <c r="A997" s="175"/>
      <c r="B997" s="175"/>
      <c r="C997" s="175"/>
      <c r="D997" s="474"/>
      <c r="E997" s="474"/>
      <c r="F997" s="474"/>
      <c r="G997"/>
      <c r="I997" s="524"/>
    </row>
    <row r="998" spans="1:9" ht="12.75" customHeight="1">
      <c r="A998" s="176"/>
      <c r="B998" s="519" t="s">
        <v>308</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308</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308</v>
      </c>
      <c r="C1004" s="385"/>
      <c r="D1004" s="1275" t="s">
        <v>1984</v>
      </c>
      <c r="E1004" s="1275"/>
      <c r="F1004" s="1275"/>
      <c r="G1004"/>
      <c r="I1004" s="524"/>
    </row>
    <row r="1005" spans="1:9" ht="12.75" customHeight="1">
      <c r="A1005" s="176"/>
      <c r="B1005" s="176"/>
      <c r="C1005" s="385"/>
      <c r="D1005" s="1275"/>
      <c r="E1005" s="1275"/>
      <c r="F1005" s="1275"/>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15" t="s">
        <v>1985</v>
      </c>
      <c r="E1007" s="1315"/>
      <c r="F1007" s="1315"/>
      <c r="G1007" s="1036"/>
      <c r="I1007" s="524"/>
    </row>
    <row r="1008" spans="1:9" ht="12.75" customHeight="1">
      <c r="A1008" s="1035"/>
      <c r="B1008" s="1035"/>
      <c r="C1008" s="1035"/>
      <c r="D1008" s="1315"/>
      <c r="E1008" s="1315"/>
      <c r="F1008" s="1315"/>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33" t="s">
        <v>1986</v>
      </c>
      <c r="E1010" s="1333"/>
      <c r="F1010" s="1333"/>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75" t="s">
        <v>1988</v>
      </c>
      <c r="E1014" s="1275"/>
      <c r="F1014" s="1275"/>
      <c r="G1014" s="3"/>
      <c r="I1014" s="524"/>
    </row>
    <row r="1015" spans="1:9" ht="12.75" customHeight="1">
      <c r="A1015" s="176"/>
      <c r="B1015" s="176"/>
      <c r="C1015" s="385"/>
      <c r="D1015" s="1275"/>
      <c r="E1015" s="1275"/>
      <c r="F1015" s="1275"/>
      <c r="G1015" s="3"/>
      <c r="I1015" s="524"/>
    </row>
    <row r="1016" spans="1:9" ht="12.75" customHeight="1">
      <c r="A1016" s="385"/>
      <c r="B1016" s="385"/>
      <c r="C1016" s="385"/>
      <c r="D1016" s="3"/>
      <c r="E1016" s="3"/>
      <c r="F1016" s="3"/>
      <c r="G1016" s="3"/>
      <c r="I1016" s="524"/>
    </row>
    <row r="1017" spans="1:9" ht="12.75" customHeight="1">
      <c r="A1017" s="1320" t="s">
        <v>1989</v>
      </c>
      <c r="B1017" s="1320"/>
      <c r="C1017" s="1320"/>
      <c r="D1017" s="1320"/>
      <c r="E1017" s="1320"/>
      <c r="F1017" s="1320"/>
      <c r="G1017" s="1320"/>
      <c r="H1017" s="1063"/>
      <c r="I1017" s="1259"/>
    </row>
    <row r="1018" spans="1:9" ht="12.75" customHeight="1">
      <c r="A1018" s="385"/>
      <c r="B1018" s="385"/>
      <c r="C1018" s="385"/>
      <c r="D1018" s="3"/>
      <c r="E1018" s="3"/>
      <c r="F1018" s="3"/>
      <c r="G1018" s="3"/>
      <c r="I1018" s="524"/>
    </row>
    <row r="1019" spans="1:9" ht="12.75" customHeight="1">
      <c r="A1019" s="385"/>
      <c r="B1019" s="385"/>
      <c r="C1019" s="385"/>
      <c r="D1019" s="1314" t="s">
        <v>1990</v>
      </c>
      <c r="E1019" s="1314"/>
      <c r="F1019" s="1314"/>
      <c r="G1019" s="3"/>
      <c r="I1019" s="524"/>
    </row>
    <row r="1020" spans="1:9" ht="12.75" customHeight="1">
      <c r="A1020" s="385"/>
      <c r="B1020" s="385"/>
      <c r="C1020" s="385"/>
      <c r="D1020" s="1333" t="s">
        <v>1991</v>
      </c>
      <c r="E1020" s="1333"/>
      <c r="F1020" s="1333"/>
      <c r="G1020" s="3"/>
      <c r="I1020" s="524"/>
    </row>
    <row r="1021" spans="1:9" ht="12.75" customHeight="1">
      <c r="A1021" s="172"/>
      <c r="B1021" s="172"/>
      <c r="C1021" s="172"/>
      <c r="D1021" s="3"/>
      <c r="E1021" s="3"/>
      <c r="F1021" s="3"/>
      <c r="G1021" s="3"/>
      <c r="I1021" s="524"/>
    </row>
    <row r="1022" spans="1:9" ht="12.75" customHeight="1">
      <c r="A1022" s="176"/>
      <c r="B1022" s="176"/>
      <c r="C1022" s="175"/>
      <c r="D1022" s="1314" t="s">
        <v>2005</v>
      </c>
      <c r="E1022" s="1314"/>
      <c r="F1022" s="1314"/>
      <c r="G1022" s="3"/>
      <c r="I1022" s="524" t="s">
        <v>2114</v>
      </c>
    </row>
    <row r="1023" spans="1:9" ht="12.75" customHeight="1">
      <c r="A1023" s="385"/>
      <c r="B1023" s="519" t="s">
        <v>308</v>
      </c>
      <c r="C1023" s="385"/>
      <c r="D1023" s="1333" t="s">
        <v>1382</v>
      </c>
      <c r="E1023" s="1333"/>
      <c r="F1023" s="1333"/>
      <c r="G1023" s="3"/>
      <c r="I1023" s="524"/>
    </row>
    <row r="1024" spans="1:9" ht="12.75" customHeight="1">
      <c r="A1024" s="385"/>
      <c r="B1024" s="176"/>
      <c r="C1024" s="385"/>
      <c r="D1024" s="1333" t="s">
        <v>1992</v>
      </c>
      <c r="E1024" s="1333"/>
      <c r="F1024" s="1333"/>
      <c r="G1024" s="3"/>
      <c r="I1024" s="524"/>
    </row>
    <row r="1025" spans="1:9" ht="12.75" customHeight="1">
      <c r="A1025" s="385"/>
      <c r="B1025" s="385"/>
      <c r="C1025" s="385"/>
      <c r="D1025" s="1333"/>
      <c r="E1025" s="1333"/>
      <c r="F1025" s="1333"/>
      <c r="G1025" s="3"/>
      <c r="I1025" s="524"/>
    </row>
    <row r="1026" spans="1:9" ht="12.75" customHeight="1">
      <c r="A1026" s="1320" t="s">
        <v>2001</v>
      </c>
      <c r="B1026" s="1320"/>
      <c r="C1026" s="1320"/>
      <c r="D1026" s="1320"/>
      <c r="E1026" s="1320"/>
      <c r="F1026" s="1320"/>
      <c r="G1026" s="1320"/>
      <c r="H1026" s="1063"/>
      <c r="I1026" s="1259"/>
    </row>
    <row r="1027" spans="1:9" ht="12.75" customHeight="1">
      <c r="A1027" s="118"/>
      <c r="B1027" s="118"/>
      <c r="C1027" s="385"/>
      <c r="D1027" s="3"/>
      <c r="E1027" s="3"/>
      <c r="F1027" s="3"/>
      <c r="G1027" s="3"/>
      <c r="I1027" s="524"/>
    </row>
    <row r="1028" spans="1:9" ht="12.75" hidden="1" customHeight="1">
      <c r="A1028" s="118"/>
      <c r="B1028" s="433"/>
      <c r="D1028" s="1322" t="s">
        <v>1383</v>
      </c>
      <c r="E1028" s="1322"/>
      <c r="F1028" s="1322"/>
      <c r="G1028" s="3"/>
      <c r="I1028" s="524"/>
    </row>
    <row r="1029" spans="1:9" ht="12.75" hidden="1" customHeight="1">
      <c r="A1029" s="118"/>
      <c r="B1029" s="519" t="s">
        <v>308</v>
      </c>
      <c r="D1029" s="1324" t="s">
        <v>1382</v>
      </c>
      <c r="E1029" s="1324"/>
      <c r="F1029" s="1324"/>
      <c r="G1029" s="3"/>
      <c r="I1029" s="524"/>
    </row>
    <row r="1030" spans="1:9" ht="12.75" hidden="1" customHeight="1">
      <c r="A1030" s="118"/>
      <c r="B1030" s="433"/>
      <c r="D1030" s="1324" t="s">
        <v>2002</v>
      </c>
      <c r="E1030" s="1324"/>
      <c r="F1030" s="1324"/>
      <c r="G1030" s="3"/>
      <c r="I1030" s="524"/>
    </row>
    <row r="1031" spans="1:9" ht="12.75" hidden="1" customHeight="1">
      <c r="A1031" s="118"/>
      <c r="B1031" s="433"/>
      <c r="D1031" s="478"/>
      <c r="E1031" s="478"/>
      <c r="F1031" s="478"/>
      <c r="G1031" s="3"/>
      <c r="I1031" s="524"/>
    </row>
    <row r="1032" spans="1:9" ht="12.75" customHeight="1">
      <c r="A1032" s="118"/>
      <c r="B1032" s="118"/>
      <c r="C1032" s="385"/>
      <c r="D1032" s="1334" t="s">
        <v>1096</v>
      </c>
      <c r="E1032" s="1334"/>
      <c r="F1032" s="1334"/>
      <c r="G1032" s="3"/>
      <c r="I1032" s="524" t="s">
        <v>2143</v>
      </c>
    </row>
    <row r="1033" spans="1:9" ht="12.75" customHeight="1">
      <c r="A1033" s="345"/>
      <c r="B1033" s="345"/>
      <c r="C1033" s="345"/>
      <c r="D1033" s="1318" t="s">
        <v>1113</v>
      </c>
      <c r="E1033" s="1318"/>
      <c r="F1033" s="1318"/>
      <c r="G1033" s="98"/>
      <c r="I1033" s="524"/>
    </row>
    <row r="1034" spans="1:9" ht="12.75" customHeight="1">
      <c r="A1034" s="176"/>
      <c r="B1034" s="519" t="s">
        <v>308</v>
      </c>
      <c r="C1034" s="385"/>
      <c r="D1034" s="1318" t="s">
        <v>1006</v>
      </c>
      <c r="E1034" s="1318"/>
      <c r="F1034" s="1318"/>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20" t="s">
        <v>2022</v>
      </c>
      <c r="B1037" s="1320"/>
      <c r="C1037" s="1320"/>
      <c r="D1037" s="1320"/>
      <c r="E1037" s="1320"/>
      <c r="F1037" s="1320"/>
      <c r="G1037" s="1320"/>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36" t="s">
        <v>2006</v>
      </c>
      <c r="E1042" s="1336"/>
      <c r="F1042" s="1336"/>
      <c r="I1042" s="524" t="s">
        <v>2115</v>
      </c>
    </row>
    <row r="1043" spans="1:9">
      <c r="A1043" s="433"/>
      <c r="B1043" s="433"/>
      <c r="C1043" s="433"/>
      <c r="D1043" s="1336"/>
      <c r="E1043" s="1336"/>
      <c r="F1043" s="1336"/>
      <c r="I1043" s="524"/>
    </row>
    <row r="1044" spans="1:9">
      <c r="A1044" s="433"/>
      <c r="B1044" s="433"/>
      <c r="C1044" s="433"/>
      <c r="D1044" s="1336"/>
      <c r="E1044" s="1336"/>
      <c r="F1044" s="1336"/>
      <c r="I1044" s="524"/>
    </row>
    <row r="1045" spans="1:9">
      <c r="A1045" s="433"/>
      <c r="B1045" s="433"/>
      <c r="C1045" s="433"/>
      <c r="D1045" s="1336"/>
      <c r="E1045" s="1336"/>
      <c r="F1045" s="1336"/>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36" t="s">
        <v>2010</v>
      </c>
      <c r="E1052" s="1336"/>
      <c r="F1052" s="1336"/>
      <c r="I1052" s="524" t="s">
        <v>2117</v>
      </c>
    </row>
    <row r="1053" spans="1:9">
      <c r="A1053" s="433"/>
      <c r="B1053" s="433"/>
      <c r="C1053" s="433"/>
      <c r="D1053" s="1336"/>
      <c r="E1053" s="1336"/>
      <c r="F1053" s="1336"/>
      <c r="I1053" s="524"/>
    </row>
    <row r="1054" spans="1:9">
      <c r="A1054" s="433"/>
      <c r="B1054" s="433"/>
      <c r="C1054" s="433"/>
      <c r="D1054" s="1336"/>
      <c r="E1054" s="1336"/>
      <c r="F1054" s="1336"/>
      <c r="I1054" s="524"/>
    </row>
    <row r="1055" spans="1:9">
      <c r="A1055" s="433"/>
      <c r="B1055" s="433"/>
      <c r="C1055" s="433"/>
      <c r="D1055" s="1336"/>
      <c r="E1055" s="1336"/>
      <c r="F1055" s="1336"/>
      <c r="I1055" s="524"/>
    </row>
    <row r="1056" spans="1:9">
      <c r="A1056" s="433"/>
      <c r="B1056" s="433"/>
      <c r="C1056" s="433"/>
      <c r="D1056" s="1336"/>
      <c r="E1056" s="1336"/>
      <c r="F1056" s="1336"/>
      <c r="I1056" s="524"/>
    </row>
    <row r="1057" spans="1:9">
      <c r="A1057" s="433"/>
      <c r="B1057" s="433"/>
      <c r="C1057" s="433"/>
      <c r="I1057" s="524"/>
    </row>
    <row r="1058" spans="1:9">
      <c r="A1058" s="1320" t="s">
        <v>2011</v>
      </c>
      <c r="B1058" s="1320"/>
      <c r="C1058" s="1320"/>
      <c r="D1058" s="1320"/>
      <c r="E1058" s="1320"/>
      <c r="F1058" s="1320"/>
      <c r="G1058" s="1320"/>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75" t="s">
        <v>2021</v>
      </c>
      <c r="E1068" s="1275"/>
      <c r="F1068" s="1275"/>
      <c r="I1068" s="524"/>
    </row>
    <row r="1069" spans="1:9">
      <c r="A1069" s="433"/>
      <c r="B1069" s="433"/>
      <c r="C1069" s="433"/>
      <c r="D1069" s="1275"/>
      <c r="E1069" s="1275"/>
      <c r="F1069" s="1275"/>
      <c r="I1069" s="524"/>
    </row>
    <row r="1070" spans="1:9">
      <c r="A1070" s="433"/>
      <c r="B1070" s="433"/>
      <c r="C1070" s="433"/>
      <c r="D1070" s="1275"/>
      <c r="E1070" s="1275"/>
      <c r="F1070" s="1275"/>
      <c r="I1070" s="524"/>
    </row>
    <row r="1071" spans="1:9">
      <c r="A1071" s="433"/>
      <c r="B1071" s="433"/>
      <c r="C1071" s="433"/>
      <c r="D1071" s="1275"/>
      <c r="E1071" s="1275"/>
      <c r="F1071" s="1275"/>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35" t="s">
        <v>2013</v>
      </c>
      <c r="E1075" s="1335"/>
      <c r="F1075" s="1335"/>
      <c r="I1075" s="524"/>
    </row>
    <row r="1076" spans="1:9">
      <c r="A1076" s="433"/>
      <c r="B1076" s="433"/>
      <c r="C1076" s="433"/>
      <c r="D1076" s="1335"/>
      <c r="E1076" s="1335"/>
      <c r="F1076" s="1335"/>
      <c r="I1076" s="524"/>
    </row>
    <row r="1077" spans="1:9">
      <c r="A1077" s="433"/>
      <c r="B1077" s="433"/>
      <c r="C1077" s="433"/>
      <c r="D1077" s="1335"/>
      <c r="E1077" s="1335"/>
      <c r="F1077" s="1335"/>
      <c r="I1077" s="524"/>
    </row>
    <row r="1078" spans="1:9">
      <c r="A1078" s="433"/>
      <c r="B1078" s="433"/>
      <c r="C1078" s="433"/>
      <c r="D1078" s="1335"/>
      <c r="E1078" s="1335"/>
      <c r="F1078" s="1335"/>
      <c r="I1078" s="524"/>
    </row>
    <row r="1079" spans="1:9">
      <c r="A1079" s="433"/>
      <c r="B1079" s="433"/>
      <c r="C1079" s="433"/>
      <c r="D1079" s="1335"/>
      <c r="E1079" s="1335"/>
      <c r="F1079" s="1335"/>
      <c r="I1079" s="524"/>
    </row>
    <row r="1080" spans="1:9">
      <c r="A1080" s="433"/>
      <c r="B1080" s="433"/>
      <c r="C1080" s="433"/>
      <c r="D1080" s="561" t="s">
        <v>2018</v>
      </c>
      <c r="I1080" s="524"/>
    </row>
    <row r="1081" spans="1:9">
      <c r="A1081" s="433"/>
      <c r="B1081" s="433"/>
      <c r="C1081" s="433"/>
      <c r="I1081" s="524"/>
    </row>
    <row r="1082" spans="1:9">
      <c r="A1082" s="1320" t="s">
        <v>2023</v>
      </c>
      <c r="B1082" s="1320"/>
      <c r="C1082" s="1320"/>
      <c r="D1082" s="1320"/>
      <c r="E1082" s="1320"/>
      <c r="F1082" s="1320"/>
      <c r="G1082" s="1320"/>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7" t="s">
        <v>2231</v>
      </c>
      <c r="E1085" s="1337"/>
      <c r="F1085" s="1337"/>
      <c r="I1085" s="524" t="s">
        <v>2122</v>
      </c>
    </row>
    <row r="1086" spans="1:9">
      <c r="A1086" s="433"/>
      <c r="B1086" s="433"/>
      <c r="C1086" s="433"/>
      <c r="D1086" s="1337"/>
      <c r="E1086" s="1337"/>
      <c r="F1086" s="1337"/>
      <c r="I1086" s="524"/>
    </row>
    <row r="1087" spans="1:9">
      <c r="A1087" s="433"/>
      <c r="B1087" s="433"/>
      <c r="C1087" s="433"/>
      <c r="D1087" s="1338" t="s">
        <v>2504</v>
      </c>
      <c r="E1087" s="1275"/>
      <c r="F1087" s="1275"/>
      <c r="I1087" s="524"/>
    </row>
    <row r="1088" spans="1:9">
      <c r="A1088" s="433"/>
      <c r="B1088" s="433"/>
      <c r="C1088" s="433"/>
      <c r="D1088" s="561"/>
      <c r="I1088" s="524"/>
    </row>
    <row r="1089" spans="1:9">
      <c r="A1089" s="433"/>
      <c r="B1089" s="519" t="s">
        <v>308</v>
      </c>
      <c r="C1089" s="433"/>
      <c r="D1089" s="1335" t="s">
        <v>2024</v>
      </c>
      <c r="E1089" s="1335"/>
      <c r="F1089" s="1335"/>
      <c r="I1089" s="524" t="s">
        <v>2123</v>
      </c>
    </row>
    <row r="1090" spans="1:9">
      <c r="A1090" s="433"/>
      <c r="B1090" s="433"/>
      <c r="C1090" s="433"/>
      <c r="D1090" s="1335"/>
      <c r="E1090" s="1335"/>
      <c r="F1090" s="1335"/>
      <c r="I1090" s="524"/>
    </row>
    <row r="1091" spans="1:9">
      <c r="A1091" s="433"/>
      <c r="B1091" s="433"/>
      <c r="C1091" s="433"/>
      <c r="D1091" s="561"/>
      <c r="I1091" s="524"/>
    </row>
    <row r="1092" spans="1:9">
      <c r="A1092" s="433"/>
      <c r="B1092" s="519" t="s">
        <v>308</v>
      </c>
      <c r="C1092" s="433"/>
      <c r="D1092" s="1335" t="s">
        <v>2167</v>
      </c>
      <c r="E1092" s="1335"/>
      <c r="F1092" s="1335"/>
      <c r="I1092" s="524" t="s">
        <v>2165</v>
      </c>
    </row>
    <row r="1093" spans="1:9">
      <c r="A1093" s="433"/>
      <c r="B1093" s="433"/>
      <c r="C1093" s="433"/>
      <c r="D1093" s="1335"/>
      <c r="E1093" s="1335"/>
      <c r="F1093" s="1335"/>
      <c r="I1093" s="524"/>
    </row>
    <row r="1094" spans="1:9">
      <c r="A1094" s="433"/>
      <c r="B1094" s="433"/>
      <c r="C1094" s="433"/>
      <c r="D1094" s="1335"/>
      <c r="E1094" s="1335"/>
      <c r="F1094" s="1335"/>
      <c r="I1094" s="524"/>
    </row>
    <row r="1095" spans="1:9">
      <c r="A1095" s="433"/>
      <c r="B1095" s="433"/>
      <c r="C1095" s="433"/>
      <c r="D1095" s="1335"/>
      <c r="E1095" s="1335"/>
      <c r="F1095" s="1335"/>
      <c r="I1095" s="524"/>
    </row>
    <row r="1096" spans="1:9">
      <c r="A1096" s="433"/>
      <c r="B1096" s="433"/>
      <c r="C1096" s="433"/>
      <c r="D1096" s="1335"/>
      <c r="E1096" s="1335"/>
      <c r="F1096" s="1335"/>
      <c r="I1096" s="524"/>
    </row>
    <row r="1097" spans="1:9">
      <c r="A1097" s="433"/>
      <c r="B1097" s="433"/>
      <c r="C1097" s="433"/>
      <c r="D1097" s="1335"/>
      <c r="E1097" s="1335"/>
      <c r="F1097" s="1335"/>
      <c r="I1097" s="524"/>
    </row>
    <row r="1098" spans="1:9">
      <c r="A1098" s="433"/>
      <c r="B1098" s="433"/>
      <c r="C1098" s="433"/>
      <c r="D1098" s="561" t="s">
        <v>2166</v>
      </c>
      <c r="I1098" s="514"/>
    </row>
    <row r="1099" spans="1:9">
      <c r="A1099" s="433"/>
      <c r="B1099" s="519" t="s">
        <v>308</v>
      </c>
      <c r="C1099" s="433"/>
      <c r="D1099" s="1335" t="s">
        <v>2025</v>
      </c>
      <c r="E1099" s="1335"/>
      <c r="F1099" s="1335"/>
      <c r="I1099" s="524" t="s">
        <v>2124</v>
      </c>
    </row>
    <row r="1100" spans="1:9">
      <c r="A1100" s="433"/>
      <c r="B1100" s="433"/>
      <c r="C1100" s="433"/>
      <c r="D1100" s="1335"/>
      <c r="E1100" s="1335"/>
      <c r="F1100" s="1335"/>
      <c r="I1100" s="524"/>
    </row>
    <row r="1101" spans="1:9">
      <c r="A1101" s="433"/>
      <c r="B1101" s="433"/>
      <c r="C1101" s="433"/>
      <c r="D1101" s="1335"/>
      <c r="E1101" s="1335"/>
      <c r="F1101" s="1335"/>
      <c r="I1101" s="524"/>
    </row>
    <row r="1102" spans="1:9">
      <c r="A1102" s="433"/>
      <c r="B1102" s="433"/>
      <c r="C1102" s="433"/>
      <c r="D1102" s="561"/>
      <c r="I1102" s="524"/>
    </row>
    <row r="1103" spans="1:9">
      <c r="A1103" s="433"/>
      <c r="B1103" s="519" t="s">
        <v>308</v>
      </c>
      <c r="C1103" s="433"/>
      <c r="D1103" s="1279" t="s">
        <v>2168</v>
      </c>
      <c r="E1103" s="1279"/>
      <c r="F1103" s="1279"/>
      <c r="I1103" s="524" t="s">
        <v>2125</v>
      </c>
    </row>
    <row r="1104" spans="1:9">
      <c r="A1104" s="433"/>
      <c r="B1104" s="433"/>
      <c r="C1104" s="433"/>
      <c r="D1104" s="1279"/>
      <c r="E1104" s="1279"/>
      <c r="F1104" s="1279"/>
      <c r="I1104" s="524"/>
    </row>
    <row r="1105" spans="1:9">
      <c r="A1105" s="433"/>
      <c r="B1105" s="433"/>
      <c r="C1105" s="433"/>
      <c r="D1105" s="1279"/>
      <c r="E1105" s="1279"/>
      <c r="F1105" s="1279"/>
      <c r="I1105" s="524"/>
    </row>
    <row r="1106" spans="1:9">
      <c r="A1106" s="433"/>
      <c r="B1106" s="433"/>
      <c r="C1106" s="433"/>
      <c r="D1106" s="1015"/>
      <c r="E1106" s="1015"/>
      <c r="F1106" s="1015"/>
      <c r="I1106" s="524"/>
    </row>
    <row r="1107" spans="1:9" ht="15.75" customHeight="1">
      <c r="A1107" s="433"/>
      <c r="B1107" s="519" t="s">
        <v>308</v>
      </c>
      <c r="C1107" s="433"/>
      <c r="D1107" s="1275" t="s">
        <v>2170</v>
      </c>
      <c r="E1107" s="1275"/>
      <c r="F1107" s="1275"/>
      <c r="I1107" s="524" t="s">
        <v>2169</v>
      </c>
    </row>
    <row r="1108" spans="1:9">
      <c r="A1108" s="433"/>
      <c r="B1108" s="433"/>
      <c r="C1108" s="433"/>
      <c r="D1108" s="1275"/>
      <c r="E1108" s="1275"/>
      <c r="F1108" s="1275"/>
      <c r="I1108" s="524"/>
    </row>
    <row r="1109" spans="1:9">
      <c r="A1109" s="433"/>
      <c r="B1109" s="433"/>
      <c r="C1109" s="433"/>
      <c r="D1109" s="1275"/>
      <c r="E1109" s="1275"/>
      <c r="F1109" s="1275"/>
      <c r="I1109" s="524"/>
    </row>
    <row r="1110" spans="1:9">
      <c r="A1110" s="433"/>
      <c r="B1110" s="433"/>
      <c r="C1110" s="433"/>
      <c r="D1110" s="1275"/>
      <c r="E1110" s="1275"/>
      <c r="F1110" s="1275"/>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301"/>
      <c r="H1525" s="1301"/>
      <c r="I1525" s="130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13" zoomScaleNormal="100" workbookViewId="0">
      <selection activeCell="AA340" sqref="AA340:AF34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04" t="s">
        <v>100</v>
      </c>
      <c r="B8" s="1504"/>
      <c r="C8" s="1504"/>
      <c r="D8" s="1504"/>
      <c r="E8" s="1504"/>
      <c r="F8" s="1504"/>
      <c r="G8" s="1504"/>
      <c r="H8" s="1504"/>
      <c r="I8" s="1504"/>
      <c r="J8" s="1504"/>
      <c r="K8" s="1504"/>
      <c r="L8" s="1504"/>
      <c r="M8" s="1504"/>
      <c r="N8" s="1504"/>
      <c r="O8" s="1504"/>
      <c r="P8" s="1504"/>
      <c r="Q8" s="1504"/>
      <c r="R8" s="1504"/>
      <c r="S8" s="1504"/>
      <c r="T8" s="1504"/>
      <c r="U8" s="1504"/>
      <c r="V8" s="1504"/>
      <c r="W8" s="1504"/>
      <c r="X8" s="1504"/>
      <c r="Y8" s="1504"/>
      <c r="Z8" s="1504"/>
      <c r="AA8" s="1504"/>
      <c r="AB8" s="1504"/>
      <c r="AC8" s="1504"/>
      <c r="AD8" s="1504"/>
      <c r="AE8" s="1504"/>
      <c r="AF8" s="1504"/>
      <c r="AG8" s="1504"/>
      <c r="AH8" s="1504"/>
      <c r="AI8" s="1504"/>
      <c r="AJ8" s="1504"/>
      <c r="AK8" s="1504"/>
      <c r="AL8" s="1504"/>
      <c r="AM8" s="1504"/>
      <c r="AN8" s="1504"/>
      <c r="AO8" s="1504"/>
      <c r="AP8" s="1504"/>
      <c r="AQ8" s="1504"/>
      <c r="AR8" s="1504"/>
      <c r="AS8" s="1504"/>
      <c r="AT8" s="1504"/>
      <c r="AU8" s="933"/>
      <c r="AV8" s="933"/>
      <c r="AW8" s="933"/>
      <c r="AX8" s="933"/>
      <c r="AY8" s="933"/>
    </row>
    <row r="9" spans="1:51" ht="12.95" customHeight="1">
      <c r="A9" s="1311" t="s">
        <v>2394</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3"/>
      <c r="AV9" s="13"/>
      <c r="AW9" s="13"/>
      <c r="AX9" s="13"/>
      <c r="AY9" s="13"/>
    </row>
    <row r="10" spans="1:51" ht="12.95" customHeight="1">
      <c r="A10" s="1311" t="s">
        <v>2585</v>
      </c>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3"/>
      <c r="AV10" s="13"/>
      <c r="AW10" s="13"/>
      <c r="AX10" s="13"/>
      <c r="AY10" s="13"/>
    </row>
    <row r="11" spans="1:51" ht="12.95" customHeight="1">
      <c r="A11" s="1311" t="s">
        <v>1772</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
      <c r="AV11" s="13"/>
      <c r="AW11" s="13"/>
      <c r="AX11" s="13"/>
      <c r="AY11" s="13"/>
    </row>
    <row r="12" spans="1:51" ht="12.95" customHeight="1">
      <c r="A12" s="1505" t="s">
        <v>2638</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c r="AM12" s="1505"/>
      <c r="AN12" s="1505"/>
      <c r="AO12" s="1505"/>
      <c r="AP12" s="1505"/>
      <c r="AQ12" s="1505"/>
      <c r="AR12" s="1505"/>
      <c r="AS12" s="1505"/>
      <c r="AT12" s="1505"/>
      <c r="AU12" s="6"/>
      <c r="AV12" s="6"/>
      <c r="AW12" s="6"/>
      <c r="AX12" s="6"/>
      <c r="AY12" s="6"/>
    </row>
    <row r="13" spans="1:51" ht="12.95" customHeight="1">
      <c r="A13" s="1273" t="s">
        <v>2395</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2.95"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805" t="s">
        <v>2640</v>
      </c>
      <c r="I16" s="1798"/>
      <c r="J16" s="1798"/>
      <c r="K16" s="1798"/>
      <c r="L16" s="1798"/>
      <c r="M16" s="1798"/>
      <c r="N16" s="1798"/>
      <c r="O16" s="1798"/>
      <c r="P16" s="1798"/>
      <c r="Q16" s="1798"/>
      <c r="R16" s="1798"/>
      <c r="S16" s="1798"/>
      <c r="T16" s="1798"/>
      <c r="U16" s="1798"/>
      <c r="V16" s="1798"/>
      <c r="W16" s="1798"/>
      <c r="X16" s="1798"/>
      <c r="Y16" s="1798"/>
      <c r="Z16" s="1798"/>
      <c r="AA16" s="1798"/>
      <c r="AB16" s="1798"/>
      <c r="AC16" s="1798"/>
      <c r="AD16" s="1798"/>
      <c r="AE16" s="1798"/>
      <c r="AF16" s="1798"/>
      <c r="AG16" s="1798"/>
      <c r="AH16" s="1798"/>
      <c r="AI16" s="1798"/>
      <c r="AJ16" s="1798"/>
    </row>
    <row r="17" spans="1:52" ht="12.95" customHeight="1"/>
    <row r="18" spans="1:52" ht="12.95" customHeight="1">
      <c r="A18" s="57" t="s">
        <v>101</v>
      </c>
      <c r="C18" s="4"/>
      <c r="D18" s="4"/>
      <c r="E18" s="4"/>
      <c r="F18" s="4"/>
      <c r="G18" s="4"/>
      <c r="H18" s="1792" t="s">
        <v>2639</v>
      </c>
      <c r="I18" s="1794"/>
      <c r="J18" s="1794"/>
      <c r="K18" s="1794"/>
      <c r="L18" s="1794"/>
      <c r="M18" s="1794"/>
      <c r="N18" s="1794"/>
      <c r="O18" s="1794"/>
      <c r="P18" s="1794"/>
      <c r="Q18" s="1794"/>
      <c r="R18" s="1794"/>
      <c r="S18" s="1794"/>
      <c r="T18" s="1794"/>
      <c r="U18" s="1794"/>
      <c r="V18" s="1794"/>
      <c r="W18" s="1794"/>
      <c r="X18" s="1794"/>
      <c r="Y18" s="1794"/>
      <c r="Z18" s="1794"/>
      <c r="AA18" s="1794"/>
      <c r="AB18" s="1794"/>
      <c r="AC18" s="1794"/>
      <c r="AD18" s="1794"/>
      <c r="AE18" s="1794"/>
      <c r="AF18" s="1794"/>
      <c r="AG18" s="1794"/>
      <c r="AH18" s="1794"/>
      <c r="AI18" s="1794"/>
      <c r="AJ18" s="1794"/>
    </row>
    <row r="19" spans="1:52" ht="12.95" customHeight="1"/>
    <row r="20" spans="1:52" ht="12.95" customHeight="1">
      <c r="A20" s="1506" t="s">
        <v>885</v>
      </c>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c r="AM20" s="1506"/>
      <c r="AN20" s="1506"/>
      <c r="AO20" s="1506"/>
      <c r="AP20" s="1506"/>
      <c r="AQ20" s="1506"/>
      <c r="AR20" s="1506"/>
      <c r="AS20" s="1506"/>
      <c r="AT20" s="1506"/>
      <c r="AU20" s="935"/>
      <c r="AV20" s="935"/>
      <c r="AW20" s="935"/>
      <c r="AX20" s="935"/>
      <c r="AY20" s="935"/>
    </row>
    <row r="21" spans="1:52" ht="12.95" customHeight="1">
      <c r="A21" s="1808" t="s">
        <v>1034</v>
      </c>
      <c r="B21" s="1808"/>
      <c r="C21" s="1808"/>
      <c r="D21" s="1808"/>
      <c r="E21" s="1808"/>
      <c r="F21" s="1808"/>
      <c r="G21" s="1808"/>
      <c r="H21" s="1808"/>
      <c r="I21" s="1808"/>
      <c r="J21" s="1808"/>
      <c r="K21" s="1808"/>
      <c r="L21" s="1808"/>
      <c r="M21" s="1808"/>
      <c r="N21" s="1808"/>
      <c r="O21" s="1808"/>
      <c r="P21" s="1808"/>
      <c r="Q21" s="1808"/>
      <c r="R21" s="1808"/>
      <c r="S21" s="1808"/>
      <c r="T21" s="1808"/>
      <c r="U21" s="1808"/>
      <c r="V21" s="1808"/>
      <c r="W21" s="1808"/>
      <c r="X21" s="1808"/>
      <c r="Y21" s="1808"/>
      <c r="Z21" s="1808"/>
      <c r="AA21" s="1808"/>
      <c r="AB21" s="1808"/>
      <c r="AC21" s="1808"/>
      <c r="AD21" s="1808"/>
      <c r="AE21" s="1808"/>
      <c r="AF21" s="1808"/>
      <c r="AG21" s="1808"/>
      <c r="AH21" s="1808"/>
      <c r="AI21" s="1808"/>
      <c r="AJ21" s="1808"/>
      <c r="AK21" s="1808"/>
      <c r="AL21" s="1808"/>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7" t="s">
        <v>2510</v>
      </c>
      <c r="B23" s="1337"/>
      <c r="C23" s="1337"/>
      <c r="D23" s="1337"/>
      <c r="E23" s="1337"/>
      <c r="F23" s="1337"/>
      <c r="G23" s="1337"/>
      <c r="H23" s="1337"/>
      <c r="I23" s="1337"/>
      <c r="J23" s="1337"/>
      <c r="K23" s="1337"/>
      <c r="L23" s="1337"/>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c r="AT23" s="1337"/>
      <c r="AU23" s="18"/>
      <c r="AV23" s="18"/>
      <c r="AW23" s="18"/>
      <c r="AX23" s="18"/>
      <c r="AY23" s="18"/>
      <c r="AZ23" s="18"/>
    </row>
    <row r="24" spans="1:52" ht="12.95" customHeight="1">
      <c r="A24" s="1337"/>
      <c r="B24" s="1337"/>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7"/>
      <c r="AL24" s="1337"/>
      <c r="AM24" s="1337"/>
      <c r="AN24" s="1337"/>
      <c r="AO24" s="1337"/>
      <c r="AP24" s="1337"/>
      <c r="AQ24" s="1337"/>
      <c r="AR24" s="1337"/>
      <c r="AS24" s="1337"/>
      <c r="AT24" s="1337"/>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07">
        <f>'Basis &amp; Credits'!AB56</f>
        <v>4131931</v>
      </c>
      <c r="N26" s="1807"/>
      <c r="O26" s="1807"/>
      <c r="P26" s="1807"/>
      <c r="Q26" s="1807"/>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18">
        <f>'Basis &amp; Credits'!AB77</f>
        <v>0</v>
      </c>
      <c r="N27" s="1418"/>
      <c r="O27" s="1418"/>
      <c r="P27" s="1418"/>
      <c r="Q27" s="1418"/>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507" t="s">
        <v>2511</v>
      </c>
      <c r="B29" s="1507"/>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row>
    <row r="30" spans="1:52" ht="12.95" customHeight="1">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7"/>
      <c r="AR30" s="1507"/>
      <c r="AS30" s="1507"/>
      <c r="AT30" s="1507"/>
      <c r="AZ30" s="20"/>
    </row>
    <row r="31" spans="1:52" ht="12.95" customHeight="1">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c r="AQ31" s="1507"/>
      <c r="AR31" s="1507"/>
      <c r="AS31" s="1507"/>
      <c r="AT31" s="1507"/>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99" t="s">
        <v>678</v>
      </c>
      <c r="P33" s="1499"/>
      <c r="Q33" s="1508" t="s">
        <v>2512</v>
      </c>
      <c r="R33" s="1508"/>
      <c r="S33" s="1508"/>
      <c r="T33" s="1508"/>
      <c r="U33" s="1508"/>
      <c r="V33" s="1508"/>
      <c r="W33" s="1508"/>
      <c r="X33" s="1508"/>
      <c r="Y33" s="1508"/>
      <c r="Z33" s="1508"/>
      <c r="AA33" s="1508"/>
      <c r="AB33" s="1508"/>
      <c r="AC33" s="1508"/>
      <c r="AD33" s="1508"/>
      <c r="AE33" s="1508"/>
      <c r="AF33" s="1508"/>
      <c r="AG33" s="1508"/>
      <c r="AH33" s="1508"/>
      <c r="AI33" s="1508"/>
      <c r="AJ33" s="1508"/>
      <c r="AK33" s="1508"/>
      <c r="AL33" s="1508"/>
      <c r="AM33" s="1508"/>
      <c r="AN33" s="1508"/>
      <c r="AO33" s="1508"/>
      <c r="AP33" s="1508"/>
      <c r="AQ33" s="1508"/>
      <c r="AR33" s="1508"/>
      <c r="AS33" s="1508"/>
      <c r="AT33" s="1508"/>
      <c r="AU33" s="20"/>
      <c r="AV33" s="20"/>
      <c r="AW33" s="20"/>
      <c r="AX33" s="20"/>
      <c r="AY33" s="20"/>
    </row>
    <row r="34" spans="1:52" ht="12.95" customHeight="1">
      <c r="A34" s="1507" t="s">
        <v>2513</v>
      </c>
      <c r="B34" s="1507"/>
      <c r="C34" s="1507"/>
      <c r="D34" s="1507"/>
      <c r="E34" s="1507"/>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20"/>
      <c r="AV34" s="20"/>
      <c r="AW34" s="20"/>
      <c r="AX34" s="20"/>
      <c r="AY34" s="20"/>
      <c r="AZ34" s="20"/>
    </row>
    <row r="35" spans="1:52" ht="12.95" customHeight="1">
      <c r="A35" s="1507"/>
      <c r="B35" s="1507"/>
      <c r="C35" s="1507"/>
      <c r="D35" s="1507"/>
      <c r="E35" s="1507"/>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20"/>
      <c r="AV35" s="20"/>
      <c r="AW35" s="20"/>
      <c r="AX35" s="20"/>
      <c r="AY35" s="20"/>
      <c r="AZ35" s="20"/>
    </row>
    <row r="36" spans="1:52" ht="12.95" customHeight="1">
      <c r="A36" s="1507"/>
      <c r="B36" s="1507"/>
      <c r="C36" s="1507"/>
      <c r="D36" s="1507"/>
      <c r="E36" s="1507"/>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20"/>
      <c r="AV36" s="20"/>
      <c r="AW36" s="20"/>
      <c r="AX36" s="20"/>
      <c r="AY36" s="20"/>
      <c r="AZ36" s="20"/>
    </row>
    <row r="37" spans="1:52" ht="12.95" customHeight="1">
      <c r="A37" s="1507"/>
      <c r="B37" s="1507"/>
      <c r="C37" s="1507"/>
      <c r="D37" s="1507"/>
      <c r="E37" s="1507"/>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Z37" s="20"/>
    </row>
    <row r="38" spans="1:52" ht="12.95" customHeight="1">
      <c r="A38" s="3"/>
      <c r="AZ38" s="20"/>
    </row>
    <row r="39" spans="1:52" ht="12.95" customHeight="1">
      <c r="A39" s="1275" t="s">
        <v>2514</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row>
    <row r="40" spans="1:52" ht="12.9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row>
    <row r="41" spans="1:52" ht="12.95"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row>
    <row r="42" spans="1:52" ht="12.9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row>
    <row r="43" spans="1:52" ht="12.95"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row>
    <row r="44" spans="1:52" ht="12.95"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7" t="s">
        <v>2515</v>
      </c>
      <c r="B46" s="1337"/>
      <c r="C46" s="1337"/>
      <c r="D46" s="1337"/>
      <c r="E46" s="1337"/>
      <c r="F46" s="1337"/>
      <c r="G46" s="1337"/>
      <c r="H46" s="1337"/>
      <c r="I46" s="1337"/>
      <c r="J46" s="1337"/>
      <c r="K46" s="1337"/>
      <c r="L46" s="1337"/>
      <c r="M46" s="1337"/>
      <c r="N46" s="1337"/>
      <c r="O46" s="1337"/>
      <c r="P46" s="1337"/>
      <c r="Q46" s="1337"/>
      <c r="R46" s="1337"/>
      <c r="S46" s="1337"/>
      <c r="T46" s="1337"/>
      <c r="U46" s="1337"/>
      <c r="V46" s="1337"/>
      <c r="W46" s="1337"/>
      <c r="X46" s="1337"/>
      <c r="Y46" s="1337"/>
      <c r="Z46" s="1337"/>
      <c r="AA46" s="1337"/>
      <c r="AB46" s="1337"/>
      <c r="AC46" s="1337"/>
      <c r="AD46" s="1337"/>
      <c r="AE46" s="1337"/>
      <c r="AF46" s="1337"/>
      <c r="AG46" s="1337"/>
      <c r="AH46" s="1337"/>
      <c r="AI46" s="1337"/>
      <c r="AJ46" s="1337"/>
      <c r="AK46" s="1337"/>
      <c r="AL46" s="1337"/>
      <c r="AM46" s="1337"/>
      <c r="AN46" s="1337"/>
      <c r="AO46" s="1337"/>
      <c r="AP46" s="1337"/>
      <c r="AQ46" s="1337"/>
      <c r="AR46" s="1337"/>
      <c r="AS46" s="1337"/>
      <c r="AT46" s="1337"/>
      <c r="AU46" s="20"/>
      <c r="AV46" s="20"/>
      <c r="AW46" s="20"/>
      <c r="AX46" s="20"/>
      <c r="AY46" s="20"/>
      <c r="AZ46" s="20"/>
    </row>
    <row r="47" spans="1:52" ht="12.95" customHeight="1">
      <c r="A47" s="1337"/>
      <c r="B47" s="1337"/>
      <c r="C47" s="1337"/>
      <c r="D47" s="1337"/>
      <c r="E47" s="1337"/>
      <c r="F47" s="1337"/>
      <c r="G47" s="1337"/>
      <c r="H47" s="1337"/>
      <c r="I47" s="1337"/>
      <c r="J47" s="1337"/>
      <c r="K47" s="1337"/>
      <c r="L47" s="1337"/>
      <c r="M47" s="1337"/>
      <c r="N47" s="1337"/>
      <c r="O47" s="1337"/>
      <c r="P47" s="1337"/>
      <c r="Q47" s="1337"/>
      <c r="R47" s="1337"/>
      <c r="S47" s="1337"/>
      <c r="T47" s="1337"/>
      <c r="U47" s="1337"/>
      <c r="V47" s="1337"/>
      <c r="W47" s="1337"/>
      <c r="X47" s="1337"/>
      <c r="Y47" s="1337"/>
      <c r="Z47" s="1337"/>
      <c r="AA47" s="1337"/>
      <c r="AB47" s="1337"/>
      <c r="AC47" s="1337"/>
      <c r="AD47" s="1337"/>
      <c r="AE47" s="1337"/>
      <c r="AF47" s="1337"/>
      <c r="AG47" s="1337"/>
      <c r="AH47" s="1337"/>
      <c r="AI47" s="1337"/>
      <c r="AJ47" s="1337"/>
      <c r="AK47" s="1337"/>
      <c r="AL47" s="1337"/>
      <c r="AM47" s="1337"/>
      <c r="AN47" s="1337"/>
      <c r="AO47" s="1337"/>
      <c r="AP47" s="1337"/>
      <c r="AQ47" s="1337"/>
      <c r="AR47" s="1337"/>
      <c r="AS47" s="1337"/>
      <c r="AT47" s="1337"/>
      <c r="AU47" s="20"/>
      <c r="AV47" s="20"/>
      <c r="AW47" s="20"/>
      <c r="AX47" s="20"/>
      <c r="AY47" s="20"/>
      <c r="AZ47" s="20"/>
    </row>
    <row r="48" spans="1:52" ht="12.95" customHeight="1">
      <c r="A48" s="1337"/>
      <c r="B48" s="1337"/>
      <c r="C48" s="1337"/>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7"/>
      <c r="AL48" s="1337"/>
      <c r="AM48" s="1337"/>
      <c r="AN48" s="1337"/>
      <c r="AO48" s="1337"/>
      <c r="AP48" s="1337"/>
      <c r="AQ48" s="1337"/>
      <c r="AR48" s="1337"/>
      <c r="AS48" s="1337"/>
      <c r="AT48" s="1337"/>
      <c r="AU48" s="20"/>
      <c r="AV48" s="20"/>
      <c r="AW48" s="20"/>
      <c r="AX48" s="20"/>
      <c r="AY48" s="20"/>
      <c r="AZ48" s="20"/>
    </row>
    <row r="49" spans="1:52" ht="12.95" customHeight="1">
      <c r="A49" s="1337"/>
      <c r="B49" s="1337"/>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7"/>
      <c r="AH49" s="1337"/>
      <c r="AI49" s="1337"/>
      <c r="AJ49" s="1337"/>
      <c r="AK49" s="1337"/>
      <c r="AL49" s="1337"/>
      <c r="AM49" s="1337"/>
      <c r="AN49" s="1337"/>
      <c r="AO49" s="1337"/>
      <c r="AP49" s="1337"/>
      <c r="AQ49" s="1337"/>
      <c r="AR49" s="1337"/>
      <c r="AS49" s="1337"/>
      <c r="AT49" s="1337"/>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5" t="s">
        <v>2516</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row>
    <row r="52" spans="1:52" ht="12.95"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5" t="s">
        <v>2517</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row>
    <row r="55" spans="1:52" ht="12.95"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row>
    <row r="56" spans="1:52" ht="12.95"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row>
    <row r="57" spans="1:52" ht="12.95"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row>
    <row r="58" spans="1:52" ht="12.95"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5" t="s">
        <v>2518</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row>
    <row r="61" spans="1:52" ht="12.95"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09" t="s">
        <v>2520</v>
      </c>
      <c r="B65" s="1509"/>
      <c r="C65" s="1509"/>
      <c r="D65" s="1509"/>
      <c r="E65" s="1509"/>
      <c r="F65" s="1509"/>
      <c r="G65" s="1509"/>
      <c r="H65" s="1509"/>
      <c r="I65" s="1509"/>
      <c r="J65" s="1509"/>
      <c r="K65" s="1509"/>
      <c r="L65" s="1509"/>
      <c r="M65" s="1509"/>
      <c r="N65" s="1509"/>
      <c r="O65" s="1509"/>
      <c r="P65" s="1509"/>
      <c r="Q65" s="1509"/>
      <c r="R65" s="1509"/>
      <c r="S65" s="1509"/>
      <c r="T65" s="1509"/>
      <c r="U65" s="1509"/>
      <c r="V65" s="1509"/>
      <c r="W65" s="1509"/>
      <c r="X65" s="1509"/>
      <c r="Y65" s="1509"/>
      <c r="Z65" s="1509"/>
      <c r="AA65" s="1509"/>
      <c r="AB65" s="1509"/>
      <c r="AC65" s="1509"/>
      <c r="AD65" s="1509"/>
      <c r="AE65" s="1509"/>
      <c r="AF65" s="1509"/>
      <c r="AG65" s="1509"/>
      <c r="AH65" s="1509"/>
      <c r="AI65" s="1509"/>
      <c r="AJ65" s="1509"/>
      <c r="AK65" s="1509"/>
      <c r="AL65" s="1509"/>
      <c r="AM65" s="1509"/>
      <c r="AN65" s="1509"/>
      <c r="AO65" s="1509"/>
      <c r="AP65" s="1509"/>
      <c r="AQ65" s="1509"/>
      <c r="AR65" s="1509"/>
      <c r="AS65" s="1509"/>
      <c r="AT65" s="1509"/>
      <c r="AU65" s="21"/>
      <c r="AV65" s="21"/>
      <c r="AW65" s="21"/>
      <c r="AX65" s="21"/>
      <c r="AY65" s="21"/>
      <c r="AZ65" s="20"/>
    </row>
    <row r="66" spans="1:52" ht="12.95" customHeight="1">
      <c r="A66" s="1509"/>
      <c r="B66" s="1509"/>
      <c r="C66" s="1509"/>
      <c r="D66" s="1509"/>
      <c r="E66" s="1509"/>
      <c r="F66" s="1509"/>
      <c r="G66" s="1509"/>
      <c r="H66" s="1509"/>
      <c r="I66" s="1509"/>
      <c r="J66" s="1509"/>
      <c r="K66" s="1509"/>
      <c r="L66" s="1509"/>
      <c r="M66" s="1509"/>
      <c r="N66" s="1509"/>
      <c r="O66" s="1509"/>
      <c r="P66" s="1509"/>
      <c r="Q66" s="1509"/>
      <c r="R66" s="1509"/>
      <c r="S66" s="1509"/>
      <c r="T66" s="1509"/>
      <c r="U66" s="1509"/>
      <c r="V66" s="1509"/>
      <c r="W66" s="1509"/>
      <c r="X66" s="1509"/>
      <c r="Y66" s="1509"/>
      <c r="Z66" s="1509"/>
      <c r="AA66" s="1509"/>
      <c r="AB66" s="1509"/>
      <c r="AC66" s="1509"/>
      <c r="AD66" s="1509"/>
      <c r="AE66" s="1509"/>
      <c r="AF66" s="1509"/>
      <c r="AG66" s="1509"/>
      <c r="AH66" s="1509"/>
      <c r="AI66" s="1509"/>
      <c r="AJ66" s="1509"/>
      <c r="AK66" s="1509"/>
      <c r="AL66" s="1509"/>
      <c r="AM66" s="1509"/>
      <c r="AN66" s="1509"/>
      <c r="AO66" s="1509"/>
      <c r="AP66" s="1509"/>
      <c r="AQ66" s="1509"/>
      <c r="AR66" s="1509"/>
      <c r="AS66" s="1509"/>
      <c r="AT66" s="1509"/>
      <c r="AU66" s="21"/>
      <c r="AV66" s="21"/>
      <c r="AW66" s="21"/>
      <c r="AX66" s="21"/>
      <c r="AY66" s="21"/>
      <c r="AZ66" s="20"/>
    </row>
    <row r="67" spans="1:52" ht="12.95" customHeight="1">
      <c r="A67" s="1509"/>
      <c r="B67" s="1509"/>
      <c r="C67" s="1509"/>
      <c r="D67" s="1509"/>
      <c r="E67" s="1509"/>
      <c r="F67" s="1509"/>
      <c r="G67" s="1509"/>
      <c r="H67" s="1509"/>
      <c r="I67" s="1509"/>
      <c r="J67" s="1509"/>
      <c r="K67" s="1509"/>
      <c r="L67" s="1509"/>
      <c r="M67" s="1509"/>
      <c r="N67" s="1509"/>
      <c r="O67" s="1509"/>
      <c r="P67" s="1509"/>
      <c r="Q67" s="1509"/>
      <c r="R67" s="1509"/>
      <c r="S67" s="1509"/>
      <c r="T67" s="1509"/>
      <c r="U67" s="1509"/>
      <c r="V67" s="1509"/>
      <c r="W67" s="1509"/>
      <c r="X67" s="1509"/>
      <c r="Y67" s="1509"/>
      <c r="Z67" s="1509"/>
      <c r="AA67" s="1509"/>
      <c r="AB67" s="1509"/>
      <c r="AC67" s="1509"/>
      <c r="AD67" s="1509"/>
      <c r="AE67" s="1509"/>
      <c r="AF67" s="1509"/>
      <c r="AG67" s="1509"/>
      <c r="AH67" s="1509"/>
      <c r="AI67" s="1509"/>
      <c r="AJ67" s="1509"/>
      <c r="AK67" s="1509"/>
      <c r="AL67" s="1509"/>
      <c r="AM67" s="1509"/>
      <c r="AN67" s="1509"/>
      <c r="AO67" s="1509"/>
      <c r="AP67" s="1509"/>
      <c r="AQ67" s="1509"/>
      <c r="AR67" s="1509"/>
      <c r="AS67" s="1509"/>
      <c r="AT67" s="150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09" t="s">
        <v>2521</v>
      </c>
      <c r="B69" s="1509"/>
      <c r="C69" s="1509"/>
      <c r="D69" s="1509"/>
      <c r="E69" s="1509"/>
      <c r="F69" s="1509"/>
      <c r="G69" s="1509"/>
      <c r="H69" s="1509"/>
      <c r="I69" s="1509"/>
      <c r="J69" s="1509"/>
      <c r="K69" s="1509"/>
      <c r="L69" s="1509"/>
      <c r="M69" s="1509"/>
      <c r="N69" s="1509"/>
      <c r="O69" s="1509"/>
      <c r="P69" s="1509"/>
      <c r="Q69" s="1509"/>
      <c r="R69" s="1509"/>
      <c r="S69" s="1509"/>
      <c r="T69" s="1509"/>
      <c r="U69" s="1509"/>
      <c r="V69" s="1509"/>
      <c r="W69" s="1509"/>
      <c r="X69" s="1509"/>
      <c r="Y69" s="1509"/>
      <c r="Z69" s="1509"/>
      <c r="AA69" s="1509"/>
      <c r="AB69" s="1509"/>
      <c r="AC69" s="1509"/>
      <c r="AD69" s="1509"/>
      <c r="AE69" s="1509"/>
      <c r="AF69" s="1509"/>
      <c r="AG69" s="1509"/>
      <c r="AH69" s="1509"/>
      <c r="AI69" s="1509"/>
      <c r="AJ69" s="1509"/>
      <c r="AK69" s="1509"/>
      <c r="AL69" s="1509"/>
      <c r="AM69" s="1509"/>
      <c r="AN69" s="1509"/>
      <c r="AO69" s="1509"/>
      <c r="AP69" s="1509"/>
      <c r="AQ69" s="1509"/>
      <c r="AR69" s="1509"/>
      <c r="AS69" s="1509"/>
      <c r="AT69" s="1509"/>
      <c r="AZ69" s="20"/>
    </row>
    <row r="70" spans="1:52" ht="12.95" customHeight="1">
      <c r="A70" s="1509"/>
      <c r="B70" s="1509"/>
      <c r="C70" s="1509"/>
      <c r="D70" s="1509"/>
      <c r="E70" s="1509"/>
      <c r="F70" s="1509"/>
      <c r="G70" s="1509"/>
      <c r="H70" s="1509"/>
      <c r="I70" s="1509"/>
      <c r="J70" s="1509"/>
      <c r="K70" s="1509"/>
      <c r="L70" s="1509"/>
      <c r="M70" s="1509"/>
      <c r="N70" s="1509"/>
      <c r="O70" s="1509"/>
      <c r="P70" s="1509"/>
      <c r="Q70" s="1509"/>
      <c r="R70" s="1509"/>
      <c r="S70" s="1509"/>
      <c r="T70" s="1509"/>
      <c r="U70" s="1509"/>
      <c r="V70" s="1509"/>
      <c r="W70" s="1509"/>
      <c r="X70" s="1509"/>
      <c r="Y70" s="1509"/>
      <c r="Z70" s="1509"/>
      <c r="AA70" s="1509"/>
      <c r="AB70" s="1509"/>
      <c r="AC70" s="1509"/>
      <c r="AD70" s="1509"/>
      <c r="AE70" s="1509"/>
      <c r="AF70" s="1509"/>
      <c r="AG70" s="1509"/>
      <c r="AH70" s="1509"/>
      <c r="AI70" s="1509"/>
      <c r="AJ70" s="1509"/>
      <c r="AK70" s="1509"/>
      <c r="AL70" s="1509"/>
      <c r="AM70" s="1509"/>
      <c r="AN70" s="1509"/>
      <c r="AO70" s="1509"/>
      <c r="AP70" s="1509"/>
      <c r="AQ70" s="1509"/>
      <c r="AR70" s="1509"/>
      <c r="AS70" s="1509"/>
      <c r="AT70" s="150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507" t="s">
        <v>2522</v>
      </c>
      <c r="B72" s="1507"/>
      <c r="C72" s="1507"/>
      <c r="D72" s="1507"/>
      <c r="E72" s="1507"/>
      <c r="F72" s="1507"/>
      <c r="G72" s="1507"/>
      <c r="H72" s="150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c r="AH72" s="1507"/>
      <c r="AI72" s="1507"/>
      <c r="AJ72" s="1507"/>
      <c r="AK72" s="1507"/>
      <c r="AL72" s="1507"/>
      <c r="AM72" s="1507"/>
      <c r="AN72" s="1507"/>
      <c r="AO72" s="1507"/>
      <c r="AP72" s="1507"/>
      <c r="AQ72" s="1507"/>
      <c r="AR72" s="1507"/>
      <c r="AS72" s="1507"/>
      <c r="AT72" s="1507"/>
      <c r="AU72" s="20"/>
      <c r="AV72" s="20"/>
      <c r="AW72" s="20"/>
      <c r="AX72" s="20"/>
      <c r="AY72" s="20"/>
      <c r="AZ72" s="20"/>
    </row>
    <row r="73" spans="1:52" ht="12.95" customHeight="1">
      <c r="A73" s="1507"/>
      <c r="B73" s="1507"/>
      <c r="C73" s="1507"/>
      <c r="D73" s="1507"/>
      <c r="E73" s="1507"/>
      <c r="F73" s="1507"/>
      <c r="G73" s="1507"/>
      <c r="H73" s="150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07"/>
      <c r="AE73" s="1507"/>
      <c r="AF73" s="1507"/>
      <c r="AG73" s="1507"/>
      <c r="AH73" s="1507"/>
      <c r="AI73" s="1507"/>
      <c r="AJ73" s="1507"/>
      <c r="AK73" s="1507"/>
      <c r="AL73" s="1507"/>
      <c r="AM73" s="1507"/>
      <c r="AN73" s="1507"/>
      <c r="AO73" s="1507"/>
      <c r="AP73" s="1507"/>
      <c r="AQ73" s="1507"/>
      <c r="AR73" s="1507"/>
      <c r="AS73" s="1507"/>
      <c r="AT73" s="1507"/>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20" t="s">
        <v>2523</v>
      </c>
      <c r="B75" s="1820"/>
      <c r="C75" s="1820"/>
      <c r="D75" s="1820"/>
      <c r="E75" s="1820"/>
      <c r="F75" s="1820"/>
      <c r="G75" s="1820"/>
      <c r="H75" s="1820"/>
      <c r="I75" s="1820"/>
      <c r="J75" s="1820"/>
      <c r="K75" s="1820"/>
      <c r="L75" s="1820"/>
      <c r="M75" s="1820"/>
      <c r="N75" s="1820"/>
      <c r="O75" s="1820"/>
      <c r="P75" s="1820"/>
      <c r="Q75" s="1820"/>
      <c r="R75" s="1820"/>
      <c r="S75" s="1820"/>
      <c r="T75" s="1820"/>
      <c r="U75" s="1820"/>
      <c r="V75" s="1820"/>
      <c r="W75" s="1820"/>
      <c r="X75" s="1820"/>
      <c r="Y75" s="1820"/>
      <c r="Z75" s="1820"/>
      <c r="AA75" s="1820"/>
      <c r="AB75" s="1820"/>
      <c r="AC75" s="1820"/>
      <c r="AD75" s="1820"/>
      <c r="AE75" s="1820"/>
      <c r="AF75" s="1820"/>
      <c r="AG75" s="1820"/>
      <c r="AH75" s="1820"/>
      <c r="AI75" s="1820"/>
      <c r="AJ75" s="1820"/>
      <c r="AK75" s="1820"/>
      <c r="AL75" s="1820"/>
      <c r="AM75" s="1820"/>
      <c r="AN75" s="1820"/>
      <c r="AO75" s="1820"/>
      <c r="AP75" s="1820"/>
      <c r="AQ75" s="1820"/>
      <c r="AR75" s="1820"/>
      <c r="AS75" s="1820"/>
      <c r="AT75" s="1820"/>
      <c r="AU75" s="20"/>
      <c r="AV75" s="20"/>
      <c r="AW75" s="20"/>
      <c r="AX75" s="20"/>
      <c r="AY75" s="20"/>
      <c r="AZ75" s="20"/>
    </row>
    <row r="76" spans="1:52" ht="12.95" customHeight="1">
      <c r="A76" s="1820"/>
      <c r="B76" s="1820"/>
      <c r="C76" s="1820"/>
      <c r="D76" s="1820"/>
      <c r="E76" s="1820"/>
      <c r="F76" s="1820"/>
      <c r="G76" s="1820"/>
      <c r="H76" s="1820"/>
      <c r="I76" s="1820"/>
      <c r="J76" s="1820"/>
      <c r="K76" s="1820"/>
      <c r="L76" s="1820"/>
      <c r="M76" s="1820"/>
      <c r="N76" s="1820"/>
      <c r="O76" s="1820"/>
      <c r="P76" s="1820"/>
      <c r="Q76" s="1820"/>
      <c r="R76" s="1820"/>
      <c r="S76" s="1820"/>
      <c r="T76" s="1820"/>
      <c r="U76" s="1820"/>
      <c r="V76" s="1820"/>
      <c r="W76" s="1820"/>
      <c r="X76" s="1820"/>
      <c r="Y76" s="1820"/>
      <c r="Z76" s="1820"/>
      <c r="AA76" s="1820"/>
      <c r="AB76" s="1820"/>
      <c r="AC76" s="1820"/>
      <c r="AD76" s="1820"/>
      <c r="AE76" s="1820"/>
      <c r="AF76" s="1820"/>
      <c r="AG76" s="1820"/>
      <c r="AH76" s="1820"/>
      <c r="AI76" s="1820"/>
      <c r="AJ76" s="1820"/>
      <c r="AK76" s="1820"/>
      <c r="AL76" s="1820"/>
      <c r="AM76" s="1820"/>
      <c r="AN76" s="1820"/>
      <c r="AO76" s="1820"/>
      <c r="AP76" s="1820"/>
      <c r="AQ76" s="1820"/>
      <c r="AR76" s="1820"/>
      <c r="AS76" s="1820"/>
      <c r="AT76" s="1820"/>
      <c r="AU76" s="20"/>
      <c r="AV76" s="20"/>
      <c r="AW76" s="20"/>
      <c r="AX76" s="20"/>
      <c r="AY76" s="20"/>
      <c r="AZ76" s="17"/>
    </row>
    <row r="77" spans="1:52" ht="12.95" customHeight="1">
      <c r="A77" s="1820"/>
      <c r="B77" s="1820"/>
      <c r="C77" s="1820"/>
      <c r="D77" s="1820"/>
      <c r="E77" s="1820"/>
      <c r="F77" s="1820"/>
      <c r="G77" s="1820"/>
      <c r="H77" s="1820"/>
      <c r="I77" s="1820"/>
      <c r="J77" s="1820"/>
      <c r="K77" s="1820"/>
      <c r="L77" s="1820"/>
      <c r="M77" s="1820"/>
      <c r="N77" s="1820"/>
      <c r="O77" s="1820"/>
      <c r="P77" s="1820"/>
      <c r="Q77" s="1820"/>
      <c r="R77" s="1820"/>
      <c r="S77" s="1820"/>
      <c r="T77" s="1820"/>
      <c r="U77" s="1820"/>
      <c r="V77" s="1820"/>
      <c r="W77" s="1820"/>
      <c r="X77" s="1820"/>
      <c r="Y77" s="1820"/>
      <c r="Z77" s="1820"/>
      <c r="AA77" s="1820"/>
      <c r="AB77" s="1820"/>
      <c r="AC77" s="1820"/>
      <c r="AD77" s="1820"/>
      <c r="AE77" s="1820"/>
      <c r="AF77" s="1820"/>
      <c r="AG77" s="1820"/>
      <c r="AH77" s="1820"/>
      <c r="AI77" s="1820"/>
      <c r="AJ77" s="1820"/>
      <c r="AK77" s="1820"/>
      <c r="AL77" s="1820"/>
      <c r="AM77" s="1820"/>
      <c r="AN77" s="1820"/>
      <c r="AO77" s="1820"/>
      <c r="AP77" s="1820"/>
      <c r="AQ77" s="1820"/>
      <c r="AR77" s="1820"/>
      <c r="AS77" s="1820"/>
      <c r="AT77" s="18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09" t="s">
        <v>2524</v>
      </c>
      <c r="B79" s="1509"/>
      <c r="C79" s="1509"/>
      <c r="D79" s="1509"/>
      <c r="E79" s="1509"/>
      <c r="F79" s="1509"/>
      <c r="G79" s="1509"/>
      <c r="H79" s="1509"/>
      <c r="I79" s="1509"/>
      <c r="J79" s="1509"/>
      <c r="K79" s="1509"/>
      <c r="L79" s="1509"/>
      <c r="M79" s="1509"/>
      <c r="N79" s="1509"/>
      <c r="O79" s="1509"/>
      <c r="P79" s="1509"/>
      <c r="Q79" s="1509"/>
      <c r="R79" s="1509"/>
      <c r="S79" s="1509"/>
      <c r="T79" s="1509"/>
      <c r="U79" s="1509"/>
      <c r="V79" s="1509"/>
      <c r="W79" s="1509"/>
      <c r="X79" s="1509"/>
      <c r="Y79" s="1509"/>
      <c r="Z79" s="1509"/>
      <c r="AA79" s="1509"/>
      <c r="AB79" s="1509"/>
      <c r="AC79" s="1509"/>
      <c r="AD79" s="1509"/>
      <c r="AE79" s="1509"/>
      <c r="AF79" s="1509"/>
      <c r="AG79" s="1509"/>
      <c r="AH79" s="1509"/>
      <c r="AI79" s="1509"/>
      <c r="AJ79" s="1509"/>
      <c r="AK79" s="1509"/>
      <c r="AL79" s="1509"/>
      <c r="AM79" s="1509"/>
      <c r="AN79" s="1509"/>
      <c r="AO79" s="1509"/>
      <c r="AP79" s="1509"/>
      <c r="AQ79" s="1509"/>
      <c r="AR79" s="1509"/>
      <c r="AS79" s="1509"/>
      <c r="AT79" s="1509"/>
      <c r="AU79" s="20"/>
      <c r="AV79" s="20"/>
      <c r="AW79" s="20"/>
      <c r="AX79" s="20"/>
      <c r="AY79" s="20"/>
      <c r="AZ79" s="20"/>
    </row>
    <row r="80" spans="1:52" ht="12.95" customHeight="1">
      <c r="A80" s="1509"/>
      <c r="B80" s="1509"/>
      <c r="C80" s="1509"/>
      <c r="D80" s="1509"/>
      <c r="E80" s="1509"/>
      <c r="F80" s="1509"/>
      <c r="G80" s="1509"/>
      <c r="H80" s="1509"/>
      <c r="I80" s="1509"/>
      <c r="J80" s="1509"/>
      <c r="K80" s="1509"/>
      <c r="L80" s="1509"/>
      <c r="M80" s="1509"/>
      <c r="N80" s="1509"/>
      <c r="O80" s="1509"/>
      <c r="P80" s="1509"/>
      <c r="Q80" s="1509"/>
      <c r="R80" s="1509"/>
      <c r="S80" s="1509"/>
      <c r="T80" s="1509"/>
      <c r="U80" s="1509"/>
      <c r="V80" s="1509"/>
      <c r="W80" s="1509"/>
      <c r="X80" s="1509"/>
      <c r="Y80" s="1509"/>
      <c r="Z80" s="1509"/>
      <c r="AA80" s="1509"/>
      <c r="AB80" s="1509"/>
      <c r="AC80" s="1509"/>
      <c r="AD80" s="1509"/>
      <c r="AE80" s="1509"/>
      <c r="AF80" s="1509"/>
      <c r="AG80" s="1509"/>
      <c r="AH80" s="1509"/>
      <c r="AI80" s="1509"/>
      <c r="AJ80" s="1509"/>
      <c r="AK80" s="1509"/>
      <c r="AL80" s="1509"/>
      <c r="AM80" s="1509"/>
      <c r="AN80" s="1509"/>
      <c r="AO80" s="1509"/>
      <c r="AP80" s="1509"/>
      <c r="AQ80" s="1509"/>
      <c r="AR80" s="1509"/>
      <c r="AS80" s="1509"/>
      <c r="AT80" s="1509"/>
      <c r="AU80" s="20"/>
      <c r="AV80" s="20"/>
      <c r="AW80" s="20"/>
      <c r="AX80" s="20"/>
      <c r="AY80" s="20"/>
      <c r="AZ80" s="20"/>
    </row>
    <row r="81" spans="1:52" ht="12.95" customHeight="1">
      <c r="A81" s="1509"/>
      <c r="B81" s="1509"/>
      <c r="C81" s="1509"/>
      <c r="D81" s="1509"/>
      <c r="E81" s="1509"/>
      <c r="F81" s="1509"/>
      <c r="G81" s="1509"/>
      <c r="H81" s="1509"/>
      <c r="I81" s="1509"/>
      <c r="J81" s="1509"/>
      <c r="K81" s="1509"/>
      <c r="L81" s="1509"/>
      <c r="M81" s="1509"/>
      <c r="N81" s="1509"/>
      <c r="O81" s="1509"/>
      <c r="P81" s="1509"/>
      <c r="Q81" s="1509"/>
      <c r="R81" s="1509"/>
      <c r="S81" s="1509"/>
      <c r="T81" s="1509"/>
      <c r="U81" s="1509"/>
      <c r="V81" s="1509"/>
      <c r="W81" s="1509"/>
      <c r="X81" s="1509"/>
      <c r="Y81" s="1509"/>
      <c r="Z81" s="1509"/>
      <c r="AA81" s="1509"/>
      <c r="AB81" s="1509"/>
      <c r="AC81" s="1509"/>
      <c r="AD81" s="1509"/>
      <c r="AE81" s="1509"/>
      <c r="AF81" s="1509"/>
      <c r="AG81" s="1509"/>
      <c r="AH81" s="1509"/>
      <c r="AI81" s="1509"/>
      <c r="AJ81" s="1509"/>
      <c r="AK81" s="1509"/>
      <c r="AL81" s="1509"/>
      <c r="AM81" s="1509"/>
      <c r="AN81" s="1509"/>
      <c r="AO81" s="1509"/>
      <c r="AP81" s="1509"/>
      <c r="AQ81" s="1509"/>
      <c r="AR81" s="1509"/>
      <c r="AS81" s="1509"/>
      <c r="AT81" s="150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5" t="s">
        <v>2525</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row>
    <row r="84" spans="1:52" ht="12.95"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5" t="s">
        <v>2526</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row>
    <row r="87" spans="1:52" ht="12.95"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9" t="s">
        <v>2527</v>
      </c>
      <c r="B89" s="1819"/>
      <c r="C89" s="1819"/>
      <c r="D89" s="1819"/>
      <c r="E89" s="1819"/>
      <c r="F89" s="1819"/>
      <c r="G89" s="1819"/>
      <c r="H89" s="1819"/>
      <c r="I89" s="1819"/>
      <c r="J89" s="1819"/>
      <c r="K89" s="1819"/>
      <c r="L89" s="1819"/>
      <c r="M89" s="1819"/>
      <c r="N89" s="1819"/>
      <c r="O89" s="1819"/>
      <c r="P89" s="1819"/>
      <c r="Q89" s="1819"/>
      <c r="R89" s="1819"/>
      <c r="S89" s="1819"/>
      <c r="T89" s="1819"/>
      <c r="U89" s="1819"/>
      <c r="V89" s="1819"/>
      <c r="W89" s="1819"/>
      <c r="X89" s="1819"/>
      <c r="Y89" s="1819"/>
      <c r="Z89" s="1819"/>
      <c r="AA89" s="1819"/>
      <c r="AB89" s="1819"/>
      <c r="AC89" s="1819"/>
      <c r="AD89" s="1819"/>
      <c r="AE89" s="1819"/>
      <c r="AF89" s="1819"/>
      <c r="AG89" s="1819"/>
      <c r="AH89" s="1819"/>
      <c r="AI89" s="1819"/>
      <c r="AJ89" s="1819"/>
      <c r="AK89" s="1819"/>
      <c r="AL89" s="1819"/>
      <c r="AM89" s="1819"/>
      <c r="AN89" s="1819"/>
      <c r="AO89" s="1819"/>
      <c r="AP89" s="1819"/>
      <c r="AQ89" s="1819"/>
      <c r="AR89" s="1819"/>
      <c r="AS89" s="1819"/>
      <c r="AT89" s="1819"/>
      <c r="AU89" s="17"/>
      <c r="AV89" s="17"/>
      <c r="AW89" s="17"/>
      <c r="AX89" s="17"/>
      <c r="AY89" s="17"/>
      <c r="AZ89" s="20"/>
    </row>
    <row r="90" spans="1:52" ht="12.95" customHeight="1">
      <c r="A90" s="1819"/>
      <c r="B90" s="1819"/>
      <c r="C90" s="1819"/>
      <c r="D90" s="1819"/>
      <c r="E90" s="1819"/>
      <c r="F90" s="1819"/>
      <c r="G90" s="1819"/>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c r="AL90" s="1819"/>
      <c r="AM90" s="1819"/>
      <c r="AN90" s="1819"/>
      <c r="AO90" s="1819"/>
      <c r="AP90" s="1819"/>
      <c r="AQ90" s="1819"/>
      <c r="AR90" s="1819"/>
      <c r="AS90" s="1819"/>
      <c r="AT90" s="181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20" t="s">
        <v>2528</v>
      </c>
      <c r="B92" s="1820"/>
      <c r="C92" s="1820"/>
      <c r="D92" s="1820"/>
      <c r="E92" s="1820"/>
      <c r="F92" s="1820"/>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c r="AL92" s="1820"/>
      <c r="AM92" s="1820"/>
      <c r="AN92" s="1820"/>
      <c r="AO92" s="1820"/>
      <c r="AP92" s="1820"/>
      <c r="AQ92" s="1820"/>
      <c r="AR92" s="1820"/>
      <c r="AS92" s="1820"/>
      <c r="AT92" s="1820"/>
      <c r="AU92" s="20"/>
      <c r="AV92" s="20"/>
      <c r="AW92" s="20"/>
      <c r="AX92" s="20"/>
      <c r="AY92" s="20"/>
      <c r="AZ92" s="20"/>
    </row>
    <row r="93" spans="1:52" ht="12.95" customHeight="1">
      <c r="A93" s="1820"/>
      <c r="B93" s="1820"/>
      <c r="C93" s="1820"/>
      <c r="D93" s="1820"/>
      <c r="E93" s="1820"/>
      <c r="F93" s="1820"/>
      <c r="G93" s="1820"/>
      <c r="H93" s="1820"/>
      <c r="I93" s="1820"/>
      <c r="J93" s="1820"/>
      <c r="K93" s="1820"/>
      <c r="L93" s="1820"/>
      <c r="M93" s="1820"/>
      <c r="N93" s="1820"/>
      <c r="O93" s="1820"/>
      <c r="P93" s="1820"/>
      <c r="Q93" s="1820"/>
      <c r="R93" s="1820"/>
      <c r="S93" s="1820"/>
      <c r="T93" s="1820"/>
      <c r="U93" s="1820"/>
      <c r="V93" s="1820"/>
      <c r="W93" s="1820"/>
      <c r="X93" s="1820"/>
      <c r="Y93" s="1820"/>
      <c r="Z93" s="1820"/>
      <c r="AA93" s="1820"/>
      <c r="AB93" s="1820"/>
      <c r="AC93" s="1820"/>
      <c r="AD93" s="1820"/>
      <c r="AE93" s="1820"/>
      <c r="AF93" s="1820"/>
      <c r="AG93" s="1820"/>
      <c r="AH93" s="1820"/>
      <c r="AI93" s="1820"/>
      <c r="AJ93" s="1820"/>
      <c r="AK93" s="1820"/>
      <c r="AL93" s="1820"/>
      <c r="AM93" s="1820"/>
      <c r="AN93" s="1820"/>
      <c r="AO93" s="1820"/>
      <c r="AP93" s="1820"/>
      <c r="AQ93" s="1820"/>
      <c r="AR93" s="1820"/>
      <c r="AS93" s="1820"/>
      <c r="AT93" s="1820"/>
      <c r="AU93" s="20"/>
      <c r="AV93" s="20"/>
      <c r="AW93" s="20"/>
      <c r="AX93" s="20"/>
      <c r="AY93" s="20"/>
      <c r="AZ93" s="20"/>
    </row>
    <row r="94" spans="1:52" ht="12.95" customHeight="1">
      <c r="A94" s="1820"/>
      <c r="B94" s="1820"/>
      <c r="C94" s="1820"/>
      <c r="D94" s="1820"/>
      <c r="E94" s="1820"/>
      <c r="F94" s="1820"/>
      <c r="G94" s="1820"/>
      <c r="H94" s="1820"/>
      <c r="I94" s="1820"/>
      <c r="J94" s="1820"/>
      <c r="K94" s="1820"/>
      <c r="L94" s="1820"/>
      <c r="M94" s="1820"/>
      <c r="N94" s="1820"/>
      <c r="O94" s="1820"/>
      <c r="P94" s="1820"/>
      <c r="Q94" s="1820"/>
      <c r="R94" s="1820"/>
      <c r="S94" s="1820"/>
      <c r="T94" s="1820"/>
      <c r="U94" s="1820"/>
      <c r="V94" s="1820"/>
      <c r="W94" s="1820"/>
      <c r="X94" s="1820"/>
      <c r="Y94" s="1820"/>
      <c r="Z94" s="1820"/>
      <c r="AA94" s="1820"/>
      <c r="AB94" s="1820"/>
      <c r="AC94" s="1820"/>
      <c r="AD94" s="1820"/>
      <c r="AE94" s="1820"/>
      <c r="AF94" s="1820"/>
      <c r="AG94" s="1820"/>
      <c r="AH94" s="1820"/>
      <c r="AI94" s="1820"/>
      <c r="AJ94" s="1820"/>
      <c r="AK94" s="1820"/>
      <c r="AL94" s="1820"/>
      <c r="AM94" s="1820"/>
      <c r="AN94" s="1820"/>
      <c r="AO94" s="1820"/>
      <c r="AP94" s="1820"/>
      <c r="AQ94" s="1820"/>
      <c r="AR94" s="1820"/>
      <c r="AS94" s="1820"/>
      <c r="AT94" s="1820"/>
      <c r="AU94" s="20"/>
      <c r="AV94" s="20"/>
      <c r="AW94" s="20"/>
      <c r="AX94" s="20"/>
      <c r="AY94" s="20"/>
      <c r="AZ94" s="20"/>
    </row>
    <row r="95" spans="1:52" ht="12.95" customHeight="1">
      <c r="A95" s="1820"/>
      <c r="B95" s="1820"/>
      <c r="C95" s="1820"/>
      <c r="D95" s="1820"/>
      <c r="E95" s="1820"/>
      <c r="F95" s="1820"/>
      <c r="G95" s="1820"/>
      <c r="H95" s="1820"/>
      <c r="I95" s="1820"/>
      <c r="J95" s="1820"/>
      <c r="K95" s="1820"/>
      <c r="L95" s="1820"/>
      <c r="M95" s="1820"/>
      <c r="N95" s="1820"/>
      <c r="O95" s="1820"/>
      <c r="P95" s="1820"/>
      <c r="Q95" s="1820"/>
      <c r="R95" s="1820"/>
      <c r="S95" s="1820"/>
      <c r="T95" s="1820"/>
      <c r="U95" s="1820"/>
      <c r="V95" s="1820"/>
      <c r="W95" s="1820"/>
      <c r="X95" s="1820"/>
      <c r="Y95" s="1820"/>
      <c r="Z95" s="1820"/>
      <c r="AA95" s="1820"/>
      <c r="AB95" s="1820"/>
      <c r="AC95" s="1820"/>
      <c r="AD95" s="1820"/>
      <c r="AE95" s="1820"/>
      <c r="AF95" s="1820"/>
      <c r="AG95" s="1820"/>
      <c r="AH95" s="1820"/>
      <c r="AI95" s="1820"/>
      <c r="AJ95" s="1820"/>
      <c r="AK95" s="1820"/>
      <c r="AL95" s="1820"/>
      <c r="AM95" s="1820"/>
      <c r="AN95" s="1820"/>
      <c r="AO95" s="1820"/>
      <c r="AP95" s="1820"/>
      <c r="AQ95" s="1820"/>
      <c r="AR95" s="1820"/>
      <c r="AS95" s="1820"/>
      <c r="AT95" s="1820"/>
      <c r="AU95" s="20"/>
      <c r="AV95" s="20"/>
      <c r="AW95" s="20"/>
      <c r="AX95" s="20"/>
      <c r="AY95" s="20"/>
      <c r="AZ95" s="20"/>
    </row>
    <row r="96" spans="1:52" ht="12.95" customHeight="1">
      <c r="A96" s="1820"/>
      <c r="B96" s="1820"/>
      <c r="C96" s="1820"/>
      <c r="D96" s="1820"/>
      <c r="E96" s="1820"/>
      <c r="F96" s="1820"/>
      <c r="G96" s="1820"/>
      <c r="H96" s="1820"/>
      <c r="I96" s="1820"/>
      <c r="J96" s="1820"/>
      <c r="K96" s="1820"/>
      <c r="L96" s="1820"/>
      <c r="M96" s="1820"/>
      <c r="N96" s="1820"/>
      <c r="O96" s="1820"/>
      <c r="P96" s="1820"/>
      <c r="Q96" s="1820"/>
      <c r="R96" s="1820"/>
      <c r="S96" s="1820"/>
      <c r="T96" s="1820"/>
      <c r="U96" s="1820"/>
      <c r="V96" s="1820"/>
      <c r="W96" s="1820"/>
      <c r="X96" s="1820"/>
      <c r="Y96" s="1820"/>
      <c r="Z96" s="1820"/>
      <c r="AA96" s="1820"/>
      <c r="AB96" s="1820"/>
      <c r="AC96" s="1820"/>
      <c r="AD96" s="1820"/>
      <c r="AE96" s="1820"/>
      <c r="AF96" s="1820"/>
      <c r="AG96" s="1820"/>
      <c r="AH96" s="1820"/>
      <c r="AI96" s="1820"/>
      <c r="AJ96" s="1820"/>
      <c r="AK96" s="1820"/>
      <c r="AL96" s="1820"/>
      <c r="AM96" s="1820"/>
      <c r="AN96" s="1820"/>
      <c r="AO96" s="1820"/>
      <c r="AP96" s="1820"/>
      <c r="AQ96" s="1820"/>
      <c r="AR96" s="1820"/>
      <c r="AS96" s="1820"/>
      <c r="AT96" s="1820"/>
      <c r="AU96" s="20"/>
      <c r="AV96" s="20"/>
      <c r="AW96" s="20"/>
      <c r="AX96" s="20"/>
      <c r="AY96" s="20"/>
      <c r="AZ96" s="20"/>
    </row>
    <row r="97" spans="1:52" ht="12.95" customHeight="1">
      <c r="A97" s="1820"/>
      <c r="B97" s="1820"/>
      <c r="C97" s="1820"/>
      <c r="D97" s="1820"/>
      <c r="E97" s="1820"/>
      <c r="F97" s="1820"/>
      <c r="G97" s="1820"/>
      <c r="H97" s="1820"/>
      <c r="I97" s="1820"/>
      <c r="J97" s="1820"/>
      <c r="K97" s="1820"/>
      <c r="L97" s="1820"/>
      <c r="M97" s="1820"/>
      <c r="N97" s="1820"/>
      <c r="O97" s="1820"/>
      <c r="P97" s="1820"/>
      <c r="Q97" s="1820"/>
      <c r="R97" s="1820"/>
      <c r="S97" s="1820"/>
      <c r="T97" s="1820"/>
      <c r="U97" s="1820"/>
      <c r="V97" s="1820"/>
      <c r="W97" s="1820"/>
      <c r="X97" s="1820"/>
      <c r="Y97" s="1820"/>
      <c r="Z97" s="1820"/>
      <c r="AA97" s="1820"/>
      <c r="AB97" s="1820"/>
      <c r="AC97" s="1820"/>
      <c r="AD97" s="1820"/>
      <c r="AE97" s="1820"/>
      <c r="AF97" s="1820"/>
      <c r="AG97" s="1820"/>
      <c r="AH97" s="1820"/>
      <c r="AI97" s="1820"/>
      <c r="AJ97" s="1820"/>
      <c r="AK97" s="1820"/>
      <c r="AL97" s="1820"/>
      <c r="AM97" s="1820"/>
      <c r="AN97" s="1820"/>
      <c r="AO97" s="1820"/>
      <c r="AP97" s="1820"/>
      <c r="AQ97" s="1820"/>
      <c r="AR97" s="1820"/>
      <c r="AS97" s="1820"/>
      <c r="AT97" s="1820"/>
      <c r="AU97" s="20"/>
      <c r="AV97" s="20"/>
      <c r="AW97" s="20"/>
      <c r="AX97" s="20"/>
      <c r="AY97" s="20"/>
      <c r="AZ97" s="20"/>
    </row>
    <row r="98" spans="1:52" ht="12.95" customHeight="1">
      <c r="A98" s="1820"/>
      <c r="B98" s="1820"/>
      <c r="C98" s="1820"/>
      <c r="D98" s="1820"/>
      <c r="E98" s="1820"/>
      <c r="F98" s="1820"/>
      <c r="G98" s="1820"/>
      <c r="H98" s="1820"/>
      <c r="I98" s="1820"/>
      <c r="J98" s="1820"/>
      <c r="K98" s="1820"/>
      <c r="L98" s="1820"/>
      <c r="M98" s="1820"/>
      <c r="N98" s="1820"/>
      <c r="O98" s="1820"/>
      <c r="P98" s="1820"/>
      <c r="Q98" s="1820"/>
      <c r="R98" s="1820"/>
      <c r="S98" s="1820"/>
      <c r="T98" s="1820"/>
      <c r="U98" s="1820"/>
      <c r="V98" s="1820"/>
      <c r="W98" s="1820"/>
      <c r="X98" s="1820"/>
      <c r="Y98" s="1820"/>
      <c r="Z98" s="1820"/>
      <c r="AA98" s="1820"/>
      <c r="AB98" s="1820"/>
      <c r="AC98" s="1820"/>
      <c r="AD98" s="1820"/>
      <c r="AE98" s="1820"/>
      <c r="AF98" s="1820"/>
      <c r="AG98" s="1820"/>
      <c r="AH98" s="1820"/>
      <c r="AI98" s="1820"/>
      <c r="AJ98" s="1820"/>
      <c r="AK98" s="1820"/>
      <c r="AL98" s="1820"/>
      <c r="AM98" s="1820"/>
      <c r="AN98" s="1820"/>
      <c r="AO98" s="1820"/>
      <c r="AP98" s="1820"/>
      <c r="AQ98" s="1820"/>
      <c r="AR98" s="1820"/>
      <c r="AS98" s="1820"/>
      <c r="AT98" s="18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6" t="s">
        <v>2529</v>
      </c>
      <c r="B100" s="1306"/>
      <c r="C100" s="1306"/>
      <c r="D100" s="1306"/>
      <c r="E100" s="1306"/>
      <c r="F100" s="1306"/>
      <c r="G100" s="1306"/>
      <c r="H100" s="1306"/>
      <c r="I100" s="1306"/>
      <c r="J100" s="1306"/>
      <c r="K100" s="1306"/>
      <c r="L100" s="1306"/>
      <c r="M100" s="1306"/>
      <c r="N100" s="1306"/>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1306"/>
      <c r="AJ100" s="1306"/>
      <c r="AK100" s="1306"/>
      <c r="AL100" s="1306"/>
      <c r="AM100" s="1306"/>
      <c r="AN100" s="1306"/>
      <c r="AO100" s="1306"/>
      <c r="AP100" s="1306"/>
      <c r="AQ100" s="1306"/>
      <c r="AR100" s="1306"/>
      <c r="AS100" s="1306"/>
      <c r="AT100" s="1306"/>
      <c r="AU100" s="20"/>
      <c r="AV100" s="20"/>
      <c r="AW100" s="20"/>
      <c r="AX100" s="20"/>
      <c r="AY100" s="20"/>
      <c r="AZ100" s="20"/>
    </row>
    <row r="101" spans="1:52" ht="12.95" customHeight="1">
      <c r="A101" s="1306"/>
      <c r="B101" s="1306"/>
      <c r="C101" s="1306"/>
      <c r="D101" s="1306"/>
      <c r="E101" s="1306"/>
      <c r="F101" s="1306"/>
      <c r="G101" s="1306"/>
      <c r="H101" s="1306"/>
      <c r="I101" s="1306"/>
      <c r="J101" s="1306"/>
      <c r="K101" s="1306"/>
      <c r="L101" s="1306"/>
      <c r="M101" s="1306"/>
      <c r="N101" s="1306"/>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1306"/>
      <c r="AJ101" s="1306"/>
      <c r="AK101" s="1306"/>
      <c r="AL101" s="1306"/>
      <c r="AM101" s="1306"/>
      <c r="AN101" s="1306"/>
      <c r="AO101" s="1306"/>
      <c r="AP101" s="1306"/>
      <c r="AQ101" s="1306"/>
      <c r="AR101" s="1306"/>
      <c r="AS101" s="1306"/>
      <c r="AT101" s="1306"/>
      <c r="AU101" s="20"/>
      <c r="AV101" s="20"/>
      <c r="AW101" s="20"/>
      <c r="AX101" s="20"/>
      <c r="AY101" s="20"/>
      <c r="AZ101" s="20"/>
    </row>
    <row r="102" spans="1:52" ht="12.95" customHeight="1">
      <c r="A102" s="1306"/>
      <c r="B102" s="1306"/>
      <c r="C102" s="1306"/>
      <c r="D102" s="1306"/>
      <c r="E102" s="1306"/>
      <c r="F102" s="1306"/>
      <c r="G102" s="1306"/>
      <c r="H102" s="1306"/>
      <c r="I102" s="1306"/>
      <c r="J102" s="1306"/>
      <c r="K102" s="1306"/>
      <c r="L102" s="1306"/>
      <c r="M102" s="1306"/>
      <c r="N102" s="1306"/>
      <c r="O102" s="1306"/>
      <c r="P102" s="1306"/>
      <c r="Q102" s="1306"/>
      <c r="R102" s="1306"/>
      <c r="S102" s="1306"/>
      <c r="T102" s="1306"/>
      <c r="U102" s="1306"/>
      <c r="V102" s="1306"/>
      <c r="W102" s="1306"/>
      <c r="X102" s="1306"/>
      <c r="Y102" s="1306"/>
      <c r="Z102" s="1306"/>
      <c r="AA102" s="1306"/>
      <c r="AB102" s="1306"/>
      <c r="AC102" s="1306"/>
      <c r="AD102" s="1306"/>
      <c r="AE102" s="1306"/>
      <c r="AF102" s="1306"/>
      <c r="AG102" s="1306"/>
      <c r="AH102" s="1306"/>
      <c r="AI102" s="1306"/>
      <c r="AJ102" s="1306"/>
      <c r="AK102" s="1306"/>
      <c r="AL102" s="1306"/>
      <c r="AM102" s="1306"/>
      <c r="AN102" s="1306"/>
      <c r="AO102" s="1306"/>
      <c r="AP102" s="1306"/>
      <c r="AQ102" s="1306"/>
      <c r="AR102" s="1306"/>
      <c r="AS102" s="1306"/>
      <c r="AT102" s="1306"/>
      <c r="AU102" s="20"/>
      <c r="AV102" s="20"/>
      <c r="AW102" s="20"/>
      <c r="AX102" s="20"/>
      <c r="AY102" s="20"/>
      <c r="AZ102" s="20"/>
    </row>
    <row r="103" spans="1:52" ht="12.95" customHeight="1">
      <c r="A103" s="1306"/>
      <c r="B103" s="1306"/>
      <c r="C103" s="1306"/>
      <c r="D103" s="1306"/>
      <c r="E103" s="1306"/>
      <c r="F103" s="1306"/>
      <c r="G103" s="1306"/>
      <c r="H103" s="1306"/>
      <c r="I103" s="1306"/>
      <c r="J103" s="1306"/>
      <c r="K103" s="1306"/>
      <c r="L103" s="1306"/>
      <c r="M103" s="1306"/>
      <c r="N103" s="1306"/>
      <c r="O103" s="1306"/>
      <c r="P103" s="1306"/>
      <c r="Q103" s="1306"/>
      <c r="R103" s="1306"/>
      <c r="S103" s="1306"/>
      <c r="T103" s="1306"/>
      <c r="U103" s="1306"/>
      <c r="V103" s="1306"/>
      <c r="W103" s="1306"/>
      <c r="X103" s="1306"/>
      <c r="Y103" s="1306"/>
      <c r="Z103" s="1306"/>
      <c r="AA103" s="1306"/>
      <c r="AB103" s="1306"/>
      <c r="AC103" s="1306"/>
      <c r="AD103" s="1306"/>
      <c r="AE103" s="1306"/>
      <c r="AF103" s="1306"/>
      <c r="AG103" s="1306"/>
      <c r="AH103" s="1306"/>
      <c r="AI103" s="1306"/>
      <c r="AJ103" s="1306"/>
      <c r="AK103" s="1306"/>
      <c r="AL103" s="1306"/>
      <c r="AM103" s="1306"/>
      <c r="AN103" s="1306"/>
      <c r="AO103" s="1306"/>
      <c r="AP103" s="1306"/>
      <c r="AQ103" s="1306"/>
      <c r="AR103" s="1306"/>
      <c r="AS103" s="1306"/>
      <c r="AT103" s="1306"/>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6" t="s">
        <v>2530</v>
      </c>
      <c r="B105" s="1306"/>
      <c r="C105" s="1306"/>
      <c r="D105" s="1306"/>
      <c r="E105" s="1306"/>
      <c r="F105" s="1306"/>
      <c r="G105" s="1306"/>
      <c r="H105" s="1306"/>
      <c r="I105" s="1306"/>
      <c r="J105" s="1306"/>
      <c r="K105" s="1306"/>
      <c r="L105" s="1306"/>
      <c r="M105" s="1306"/>
      <c r="N105" s="1306"/>
      <c r="O105" s="1306"/>
      <c r="P105" s="1306"/>
      <c r="Q105" s="1306"/>
      <c r="R105" s="1306"/>
      <c r="S105" s="1306"/>
      <c r="T105" s="1306"/>
      <c r="U105" s="1306"/>
      <c r="V105" s="1306"/>
      <c r="W105" s="1306"/>
      <c r="X105" s="1306"/>
      <c r="Y105" s="1306"/>
      <c r="Z105" s="1306"/>
      <c r="AA105" s="1306"/>
      <c r="AB105" s="1306"/>
      <c r="AC105" s="1306"/>
      <c r="AD105" s="1306"/>
      <c r="AE105" s="1306"/>
      <c r="AF105" s="1306"/>
      <c r="AG105" s="1306"/>
      <c r="AH105" s="1306"/>
      <c r="AI105" s="1306"/>
      <c r="AJ105" s="1306"/>
      <c r="AK105" s="1306"/>
      <c r="AL105" s="1306"/>
      <c r="AM105" s="1306"/>
      <c r="AN105" s="1306"/>
      <c r="AO105" s="1306"/>
      <c r="AP105" s="1306"/>
      <c r="AQ105" s="1306"/>
      <c r="AR105" s="1306"/>
      <c r="AS105" s="1306"/>
      <c r="AT105" s="1306"/>
      <c r="AU105" s="20"/>
      <c r="AV105" s="20"/>
      <c r="AW105" s="20"/>
      <c r="AX105" s="20"/>
      <c r="AY105" s="20"/>
    </row>
    <row r="106" spans="1:52" ht="12.95" customHeight="1">
      <c r="A106" s="1306"/>
      <c r="B106" s="1306"/>
      <c r="C106" s="1306"/>
      <c r="D106" s="1306"/>
      <c r="E106" s="1306"/>
      <c r="F106" s="1306"/>
      <c r="G106" s="1306"/>
      <c r="H106" s="1306"/>
      <c r="I106" s="1306"/>
      <c r="J106" s="1306"/>
      <c r="K106" s="1306"/>
      <c r="L106" s="1306"/>
      <c r="M106" s="1306"/>
      <c r="N106" s="1306"/>
      <c r="O106" s="1306"/>
      <c r="P106" s="1306"/>
      <c r="Q106" s="1306"/>
      <c r="R106" s="1306"/>
      <c r="S106" s="1306"/>
      <c r="T106" s="1306"/>
      <c r="U106" s="1306"/>
      <c r="V106" s="1306"/>
      <c r="W106" s="1306"/>
      <c r="X106" s="1306"/>
      <c r="Y106" s="1306"/>
      <c r="Z106" s="1306"/>
      <c r="AA106" s="1306"/>
      <c r="AB106" s="1306"/>
      <c r="AC106" s="1306"/>
      <c r="AD106" s="1306"/>
      <c r="AE106" s="1306"/>
      <c r="AF106" s="1306"/>
      <c r="AG106" s="1306"/>
      <c r="AH106" s="1306"/>
      <c r="AI106" s="1306"/>
      <c r="AJ106" s="1306"/>
      <c r="AK106" s="1306"/>
      <c r="AL106" s="1306"/>
      <c r="AM106" s="1306"/>
      <c r="AN106" s="1306"/>
      <c r="AO106" s="1306"/>
      <c r="AP106" s="1306"/>
      <c r="AQ106" s="1306"/>
      <c r="AR106" s="1306"/>
      <c r="AS106" s="1306"/>
      <c r="AT106" s="1306"/>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5"/>
      <c r="H113" s="1815"/>
      <c r="I113" s="3" t="s">
        <v>182</v>
      </c>
      <c r="L113" s="1815"/>
      <c r="M113" s="1815"/>
      <c r="N113" s="1815"/>
      <c r="O113" s="1815"/>
      <c r="P113" s="1797" t="s">
        <v>2532</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22"/>
      <c r="D115" s="1822"/>
      <c r="E115" s="1822"/>
      <c r="F115" s="1822"/>
      <c r="G115" s="1822"/>
      <c r="H115" s="1822"/>
      <c r="I115" s="1822"/>
      <c r="J115" s="1822"/>
      <c r="K115" s="182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815"/>
      <c r="Z117" s="1815"/>
      <c r="AA117" s="1815"/>
      <c r="AB117" s="1815"/>
      <c r="AC117" s="1815"/>
      <c r="AD117" s="1815"/>
      <c r="AE117" s="1815"/>
      <c r="AF117" s="1815"/>
      <c r="AG117" s="1815"/>
      <c r="AH117" s="1815"/>
      <c r="AI117" s="1815"/>
      <c r="AJ117" s="1815"/>
      <c r="AK117" s="1815"/>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5" t="s">
        <v>2735</v>
      </c>
      <c r="Z120" s="1815"/>
      <c r="AA120" s="1815"/>
      <c r="AB120" s="1815"/>
      <c r="AC120" s="1815"/>
      <c r="AD120" s="1815"/>
      <c r="AE120" s="1815"/>
      <c r="AF120" s="1815"/>
      <c r="AG120" s="1815"/>
      <c r="AH120" s="1815"/>
      <c r="AI120" s="1815"/>
      <c r="AJ120" s="1815"/>
      <c r="AK120" s="181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5" t="s">
        <v>2736</v>
      </c>
      <c r="Z123" s="1815"/>
      <c r="AA123" s="1815"/>
      <c r="AB123" s="1815"/>
      <c r="AC123" s="1815"/>
      <c r="AD123" s="1815"/>
      <c r="AE123" s="1815"/>
      <c r="AF123" s="1815"/>
      <c r="AG123" s="1815"/>
      <c r="AH123" s="1815"/>
      <c r="AI123" s="1815"/>
      <c r="AJ123" s="1815"/>
      <c r="AK123" s="181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10"/>
      <c r="G150" s="1310"/>
      <c r="H150" s="1310"/>
      <c r="I150" s="1310"/>
      <c r="J150" s="1310"/>
      <c r="K150" s="1310"/>
      <c r="L150" s="1310"/>
      <c r="M150" s="1310"/>
      <c r="N150" s="1310"/>
      <c r="O150" s="1310"/>
      <c r="P150" s="1310"/>
      <c r="Q150" s="1310"/>
      <c r="R150" s="1310"/>
      <c r="S150" s="1310"/>
      <c r="T150" s="131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792" t="s">
        <v>2641</v>
      </c>
      <c r="P153" s="1794"/>
      <c r="Q153" s="1794"/>
      <c r="R153" s="1794"/>
      <c r="S153" s="1794"/>
      <c r="T153" s="1794"/>
      <c r="U153" s="1794"/>
      <c r="V153" s="1794"/>
      <c r="W153" s="1794"/>
      <c r="X153" s="1794"/>
      <c r="Y153" s="1794"/>
      <c r="Z153" s="1794"/>
      <c r="AA153" s="1794"/>
      <c r="AB153" s="1794"/>
      <c r="AC153" s="1794"/>
      <c r="AD153" s="1794"/>
      <c r="AE153" s="1794"/>
      <c r="AF153" s="1794"/>
      <c r="AG153" s="1794"/>
      <c r="AH153" s="1794"/>
    </row>
    <row r="154" spans="1:72" ht="12.95" customHeight="1">
      <c r="D154" s="325" t="s">
        <v>442</v>
      </c>
      <c r="O154" s="1449" t="s">
        <v>2642</v>
      </c>
      <c r="P154" s="1520"/>
      <c r="Q154" s="1520"/>
      <c r="R154" s="1520"/>
      <c r="S154" s="1520"/>
      <c r="T154" s="1520"/>
      <c r="U154" s="1520"/>
      <c r="V154" s="1520"/>
      <c r="W154" s="1520"/>
      <c r="X154" s="1520"/>
      <c r="Y154" s="1520"/>
      <c r="Z154" s="1520"/>
      <c r="AA154" s="1520"/>
      <c r="AB154" s="1520"/>
      <c r="AC154" s="1520"/>
      <c r="AD154" s="1520"/>
      <c r="AE154" s="1520"/>
      <c r="AF154" s="1520"/>
      <c r="AG154" s="1520"/>
      <c r="AH154" s="1520"/>
    </row>
    <row r="155" spans="1:72" ht="12.95" customHeight="1">
      <c r="D155" s="8" t="s">
        <v>444</v>
      </c>
      <c r="F155" s="8"/>
      <c r="G155" s="8"/>
      <c r="H155" s="8"/>
      <c r="I155" s="8"/>
      <c r="J155" s="8"/>
      <c r="K155" s="8"/>
      <c r="L155" s="8"/>
      <c r="M155" s="8"/>
      <c r="N155" s="8"/>
      <c r="O155" s="1810" t="s">
        <v>443</v>
      </c>
      <c r="P155" s="1810"/>
      <c r="Q155" s="1810"/>
      <c r="R155" s="1810"/>
      <c r="S155" s="1810"/>
      <c r="T155" s="1810"/>
      <c r="U155" s="1810"/>
      <c r="V155" s="1810"/>
      <c r="W155" s="1810"/>
      <c r="X155" s="1810"/>
      <c r="Y155" s="1810"/>
      <c r="Z155" s="1810"/>
      <c r="AA155" s="1810"/>
      <c r="AB155" s="1810"/>
      <c r="AC155" s="1810"/>
      <c r="AD155" s="1810"/>
      <c r="AE155" s="1810"/>
      <c r="AF155" s="1810"/>
      <c r="AG155" s="1810"/>
      <c r="AH155" s="1810"/>
    </row>
    <row r="156" spans="1:72" ht="12.95" customHeight="1">
      <c r="D156" t="s">
        <v>314</v>
      </c>
      <c r="O156" s="1493" t="s">
        <v>2643</v>
      </c>
      <c r="P156" s="1493"/>
      <c r="Q156" s="1493"/>
      <c r="R156" s="1493"/>
      <c r="S156" s="1493"/>
      <c r="T156" s="1493"/>
      <c r="U156" s="1493"/>
      <c r="V156" s="1493"/>
      <c r="W156" s="1493"/>
      <c r="X156" s="1493"/>
      <c r="Y156" s="1493"/>
      <c r="Z156" s="1493"/>
      <c r="AA156" s="1493"/>
      <c r="AB156" s="1493"/>
      <c r="AC156" s="1493"/>
      <c r="AD156" s="1493"/>
      <c r="AE156" s="1493"/>
      <c r="AF156" s="1493"/>
      <c r="AG156" s="1493"/>
      <c r="AH156" s="1493"/>
      <c r="BT156" t="s">
        <v>308</v>
      </c>
    </row>
    <row r="157" spans="1:72" ht="12.95" customHeight="1">
      <c r="D157" t="s">
        <v>315</v>
      </c>
      <c r="O157" s="1792" t="s">
        <v>2644</v>
      </c>
      <c r="P157" s="1794"/>
      <c r="Q157" s="1794"/>
      <c r="R157" s="1794"/>
      <c r="S157" s="1794"/>
      <c r="T157" s="1794"/>
      <c r="U157" s="1794"/>
      <c r="V157" s="1794"/>
      <c r="W157" s="1794"/>
      <c r="X157" s="1794"/>
      <c r="Y157" s="8"/>
      <c r="Z157" s="8"/>
      <c r="AA157" s="8"/>
      <c r="AB157" s="8"/>
      <c r="AC157" s="8"/>
      <c r="AD157" s="8"/>
      <c r="AE157" s="8"/>
      <c r="AF157" s="8"/>
      <c r="BN157" s="23" t="s">
        <v>645</v>
      </c>
      <c r="BT157" t="s">
        <v>485</v>
      </c>
    </row>
    <row r="158" spans="1:72" ht="12.95" customHeight="1">
      <c r="D158" t="s">
        <v>316</v>
      </c>
      <c r="O158" s="1811">
        <v>95113</v>
      </c>
      <c r="P158" s="1811"/>
      <c r="Q158" s="1811"/>
      <c r="R158" s="1811"/>
      <c r="S158" s="9"/>
      <c r="T158" s="9"/>
      <c r="U158" s="9"/>
      <c r="V158" s="9"/>
      <c r="W158" s="9"/>
      <c r="X158" s="9"/>
      <c r="Y158" s="9"/>
      <c r="Z158" s="9"/>
      <c r="AA158" s="9"/>
      <c r="AB158" s="9"/>
      <c r="AC158" s="9"/>
      <c r="AD158" s="9"/>
      <c r="AE158" s="9"/>
      <c r="AF158" s="9"/>
      <c r="BN158" s="23" t="s">
        <v>646</v>
      </c>
      <c r="BT158" t="s">
        <v>486</v>
      </c>
    </row>
    <row r="159" spans="1:72" ht="12.95" customHeight="1">
      <c r="D159" t="s">
        <v>317</v>
      </c>
      <c r="O159" s="1813" t="s">
        <v>2645</v>
      </c>
      <c r="P159" s="1813"/>
      <c r="Q159" s="1813"/>
      <c r="R159" s="1813"/>
      <c r="S159" s="1813"/>
      <c r="T159" s="1813"/>
      <c r="V159" s="97" t="s">
        <v>272</v>
      </c>
      <c r="W159" s="1812"/>
      <c r="X159" s="1812"/>
      <c r="Y159" s="10"/>
      <c r="Z159" s="10"/>
      <c r="AA159" s="10"/>
      <c r="AB159" s="10"/>
      <c r="AC159" s="10"/>
      <c r="AD159" s="10"/>
      <c r="AE159" s="10"/>
      <c r="AF159" s="10"/>
      <c r="BN159" s="23" t="s">
        <v>340</v>
      </c>
      <c r="BT159" t="s">
        <v>487</v>
      </c>
    </row>
    <row r="160" spans="1:72" ht="12.95" customHeight="1">
      <c r="D160" t="s">
        <v>318</v>
      </c>
      <c r="O160" s="1813" t="s">
        <v>2646</v>
      </c>
      <c r="P160" s="1813"/>
      <c r="Q160" s="1813"/>
      <c r="R160" s="1813"/>
      <c r="S160" s="1813"/>
      <c r="T160" s="1813"/>
      <c r="U160" s="10"/>
      <c r="V160" s="10"/>
      <c r="W160" s="10"/>
      <c r="X160" s="10"/>
      <c r="Y160" s="10"/>
      <c r="Z160" s="10"/>
      <c r="AA160" s="10"/>
      <c r="AB160" s="10"/>
      <c r="AC160" s="10"/>
      <c r="AD160" s="10"/>
      <c r="AE160" s="10"/>
      <c r="AF160" s="10"/>
      <c r="BN160" s="23" t="s">
        <v>669</v>
      </c>
      <c r="BT160" t="s">
        <v>488</v>
      </c>
    </row>
    <row r="161" spans="1:72" ht="12.95" customHeight="1">
      <c r="D161" t="s">
        <v>319</v>
      </c>
      <c r="O161" s="1795" t="s">
        <v>2647</v>
      </c>
      <c r="P161" s="1795"/>
      <c r="Q161" s="1795"/>
      <c r="R161" s="1795"/>
      <c r="S161" s="1795"/>
      <c r="T161" s="1795"/>
      <c r="U161" s="1795"/>
      <c r="V161" s="1795"/>
      <c r="W161" s="1795"/>
      <c r="X161" s="1795"/>
      <c r="Y161" s="1795"/>
      <c r="Z161" s="1795"/>
      <c r="AA161" s="1795"/>
      <c r="AB161" s="1795"/>
      <c r="AC161" s="1795"/>
      <c r="AD161" s="1795"/>
      <c r="AE161" s="1795"/>
      <c r="AF161" s="1795"/>
      <c r="AG161" s="1795"/>
      <c r="AH161" s="179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3" t="s">
        <v>2627</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394" t="s">
        <v>548</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AM169" s="1394"/>
      <c r="AN169" s="1394"/>
      <c r="AO169" s="1394"/>
      <c r="AP169" s="1394"/>
      <c r="AQ169" s="1394"/>
      <c r="AR169" s="1394"/>
      <c r="AS169" s="1394"/>
      <c r="AT169" s="1394"/>
      <c r="AU169" s="95"/>
      <c r="AV169" s="95"/>
      <c r="AW169" s="95"/>
      <c r="AX169" s="95"/>
      <c r="AY169" s="95"/>
      <c r="BN169" s="23" t="s">
        <v>682</v>
      </c>
      <c r="BT169" t="s">
        <v>497</v>
      </c>
    </row>
    <row r="170" spans="1:72" ht="12.95" customHeight="1">
      <c r="A170" s="1394"/>
      <c r="B170" s="1394"/>
      <c r="C170" s="1394"/>
      <c r="D170" s="1394"/>
      <c r="E170" s="1394"/>
      <c r="F170" s="1394"/>
      <c r="G170" s="1394"/>
      <c r="H170" s="1394"/>
      <c r="I170" s="1394"/>
      <c r="J170" s="1394"/>
      <c r="K170" s="1394"/>
      <c r="L170" s="1394"/>
      <c r="M170" s="1394"/>
      <c r="N170" s="1394"/>
      <c r="O170" s="1394"/>
      <c r="P170" s="1394"/>
      <c r="Q170" s="1394"/>
      <c r="R170" s="1394"/>
      <c r="S170" s="1394"/>
      <c r="T170" s="1394"/>
      <c r="U170" s="1394"/>
      <c r="V170" s="1394"/>
      <c r="W170" s="1394"/>
      <c r="X170" s="1394"/>
      <c r="Y170" s="1394"/>
      <c r="Z170" s="1394"/>
      <c r="AA170" s="1394"/>
      <c r="AB170" s="1394"/>
      <c r="AC170" s="1394"/>
      <c r="AD170" s="1394"/>
      <c r="AE170" s="1394"/>
      <c r="AF170" s="1394"/>
      <c r="AG170" s="1394"/>
      <c r="AH170" s="1394"/>
      <c r="AI170" s="1394"/>
      <c r="AJ170" s="1394"/>
      <c r="AK170" s="1394"/>
      <c r="AL170" s="1394"/>
      <c r="AM170" s="1394"/>
      <c r="AN170" s="1394"/>
      <c r="AO170" s="1394"/>
      <c r="AP170" s="1394"/>
      <c r="AQ170" s="1394"/>
      <c r="AR170" s="1394"/>
      <c r="AS170" s="1394"/>
      <c r="AT170" s="1394"/>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09" t="s">
        <v>372</v>
      </c>
      <c r="K173" s="1809"/>
      <c r="L173" s="1809"/>
      <c r="M173" s="1809"/>
      <c r="N173" s="1809"/>
      <c r="O173" s="1809"/>
      <c r="P173" s="1809"/>
      <c r="Q173" s="1809"/>
      <c r="R173" s="1809"/>
      <c r="S173" s="1809"/>
      <c r="U173" s="25"/>
      <c r="X173" s="25"/>
      <c r="BB173" s="3" t="s">
        <v>308</v>
      </c>
      <c r="BN173" s="23" t="s">
        <v>215</v>
      </c>
      <c r="BT173" t="s">
        <v>501</v>
      </c>
    </row>
    <row r="174" spans="1:72" ht="12.95" customHeight="1">
      <c r="C174" s="24"/>
      <c r="D174" s="3" t="s">
        <v>1309</v>
      </c>
      <c r="J174" s="1493" t="s">
        <v>2422</v>
      </c>
      <c r="K174" s="1493"/>
      <c r="L174" s="1493"/>
      <c r="M174" s="1493"/>
      <c r="N174" s="1493"/>
      <c r="O174" s="1493"/>
      <c r="P174" s="1493"/>
      <c r="Q174" s="1493"/>
      <c r="R174" s="1493"/>
      <c r="S174" s="1493"/>
      <c r="T174" s="1493"/>
      <c r="U174" s="1493"/>
      <c r="V174" s="1493"/>
      <c r="W174" s="1493"/>
      <c r="X174" s="1493"/>
      <c r="Y174" s="1493"/>
      <c r="Z174" s="1493"/>
      <c r="AA174" s="1493"/>
      <c r="AB174" s="1493"/>
      <c r="BB174" t="s">
        <v>2275</v>
      </c>
      <c r="BN174" s="23" t="s">
        <v>217</v>
      </c>
      <c r="BT174" t="s">
        <v>502</v>
      </c>
    </row>
    <row r="175" spans="1:72" ht="12.95" customHeight="1">
      <c r="C175" s="8"/>
      <c r="D175" s="3" t="s">
        <v>323</v>
      </c>
      <c r="O175" s="27"/>
      <c r="U175" s="1499" t="s">
        <v>678</v>
      </c>
      <c r="V175" s="1499"/>
      <c r="BB175" t="s">
        <v>2239</v>
      </c>
      <c r="BN175" s="23" t="s">
        <v>218</v>
      </c>
      <c r="BT175" t="s">
        <v>503</v>
      </c>
    </row>
    <row r="176" spans="1:72" ht="12.95" customHeight="1">
      <c r="C176" s="8"/>
      <c r="D176" s="26"/>
      <c r="E176" t="s">
        <v>305</v>
      </c>
      <c r="O176" s="27"/>
      <c r="P176" t="s">
        <v>2397</v>
      </c>
      <c r="T176" s="27" t="s">
        <v>306</v>
      </c>
      <c r="U176" s="1486"/>
      <c r="V176" s="1486"/>
      <c r="W176" s="1" t="s">
        <v>307</v>
      </c>
      <c r="X176" s="1821"/>
      <c r="Y176" s="1821"/>
      <c r="BB176" t="s">
        <v>2276</v>
      </c>
      <c r="BN176" s="23" t="s">
        <v>220</v>
      </c>
      <c r="BT176" t="s">
        <v>504</v>
      </c>
    </row>
    <row r="177" spans="1:72" ht="12.95" customHeight="1">
      <c r="C177" s="24"/>
      <c r="D177" t="s">
        <v>250</v>
      </c>
      <c r="R177" s="1499" t="s">
        <v>678</v>
      </c>
      <c r="S177" s="1499"/>
      <c r="BB177" t="s">
        <v>2581</v>
      </c>
      <c r="BN177" s="23" t="s">
        <v>221</v>
      </c>
      <c r="BT177" t="s">
        <v>505</v>
      </c>
    </row>
    <row r="178" spans="1:72" ht="12.95" customHeight="1">
      <c r="C178" s="24"/>
      <c r="D178" s="3" t="s">
        <v>1310</v>
      </c>
      <c r="AA178" t="s">
        <v>2397</v>
      </c>
      <c r="AE178" s="27" t="s">
        <v>306</v>
      </c>
      <c r="AF178" s="1806"/>
      <c r="AG178" s="1806"/>
      <c r="AH178" s="1" t="s">
        <v>307</v>
      </c>
      <c r="AI178" s="1500"/>
      <c r="AJ178" s="1500"/>
      <c r="AK178" s="1500"/>
      <c r="BB178" t="s">
        <v>2582</v>
      </c>
      <c r="BN178" s="23" t="s">
        <v>222</v>
      </c>
      <c r="BT178" t="s">
        <v>53</v>
      </c>
    </row>
    <row r="179" spans="1:72" ht="12.95" customHeight="1">
      <c r="C179" s="24"/>
      <c r="BN179" s="23" t="s">
        <v>223</v>
      </c>
      <c r="BT179" t="s">
        <v>54</v>
      </c>
    </row>
    <row r="180" spans="1:72" ht="12.95" customHeight="1">
      <c r="C180" s="24"/>
      <c r="D180" t="s">
        <v>2398</v>
      </c>
      <c r="X180" s="1499" t="s">
        <v>678</v>
      </c>
      <c r="Y180" s="149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88" t="str">
        <f>H18</f>
        <v>Moreland Apartments</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596</v>
      </c>
      <c r="BN184" s="23" t="s">
        <v>231</v>
      </c>
      <c r="BT184" t="s">
        <v>62</v>
      </c>
    </row>
    <row r="185" spans="1:72" ht="12.95" customHeight="1">
      <c r="C185" s="21"/>
      <c r="D185" t="s">
        <v>588</v>
      </c>
      <c r="I185" s="1516" t="s">
        <v>2756</v>
      </c>
      <c r="J185" s="1516"/>
      <c r="K185" s="1516"/>
      <c r="L185" s="1516"/>
      <c r="M185" s="1516"/>
      <c r="N185" s="1516"/>
      <c r="O185" s="1516"/>
      <c r="P185" s="1516"/>
      <c r="Q185" s="1516"/>
      <c r="R185" s="1516"/>
      <c r="S185" s="1516"/>
      <c r="T185" s="1516"/>
      <c r="U185" s="1516"/>
      <c r="V185" s="1516"/>
      <c r="W185" s="1516"/>
      <c r="X185" s="1516"/>
      <c r="Y185" s="1516"/>
      <c r="Z185" s="1516"/>
      <c r="AA185" s="1516"/>
      <c r="AB185" s="1516"/>
      <c r="AC185" s="1516"/>
      <c r="AD185" s="1516"/>
      <c r="AE185" s="1516"/>
      <c r="BC185" t="s">
        <v>597</v>
      </c>
      <c r="BN185" s="23" t="s">
        <v>232</v>
      </c>
      <c r="BT185" t="s">
        <v>63</v>
      </c>
    </row>
    <row r="186" spans="1:72" ht="12.95" customHeight="1">
      <c r="C186" s="21"/>
      <c r="E186" t="s">
        <v>168</v>
      </c>
      <c r="BN186" s="23" t="s">
        <v>233</v>
      </c>
      <c r="BT186" t="s">
        <v>64</v>
      </c>
    </row>
    <row r="187" spans="1:72" ht="12.95"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234</v>
      </c>
      <c r="BT187" t="s">
        <v>65</v>
      </c>
    </row>
    <row r="188" spans="1:72" ht="12.95" customHeight="1">
      <c r="C188" s="21"/>
      <c r="E188" s="1725"/>
      <c r="F188" s="1725"/>
      <c r="G188" s="1725"/>
      <c r="H188" s="1725"/>
      <c r="I188" s="1725"/>
      <c r="J188" s="1725"/>
      <c r="K188" s="1725"/>
      <c r="L188" s="1725"/>
      <c r="M188" s="1725"/>
      <c r="N188" s="1725"/>
      <c r="O188" s="1725"/>
      <c r="P188" s="1725"/>
      <c r="Q188" s="1725"/>
      <c r="R188" s="1725"/>
      <c r="S188" s="1725"/>
      <c r="T188" s="1725"/>
      <c r="U188" s="1725"/>
      <c r="V188" s="1725"/>
      <c r="W188" s="1725"/>
      <c r="X188" s="1725"/>
      <c r="Y188" s="1725"/>
      <c r="Z188" s="1725"/>
      <c r="AA188" s="1725"/>
      <c r="AB188" s="1725"/>
      <c r="AC188" s="1725"/>
      <c r="AD188" s="1725"/>
      <c r="AE188" s="1725"/>
      <c r="BN188" s="23" t="s">
        <v>236</v>
      </c>
      <c r="BT188" t="s">
        <v>66</v>
      </c>
    </row>
    <row r="189" spans="1:72" ht="12.95" customHeight="1">
      <c r="C189" s="21"/>
      <c r="D189" t="s">
        <v>589</v>
      </c>
      <c r="I189" s="1493" t="s">
        <v>2648</v>
      </c>
      <c r="J189" s="1493"/>
      <c r="K189" s="1493"/>
      <c r="L189" s="1493"/>
      <c r="M189" s="1493"/>
      <c r="N189" s="1493"/>
      <c r="O189" s="1493"/>
      <c r="P189" s="1493"/>
      <c r="Q189" t="s">
        <v>591</v>
      </c>
      <c r="T189" s="1493" t="s">
        <v>193</v>
      </c>
      <c r="U189" s="1493"/>
      <c r="V189" s="1493"/>
      <c r="W189" s="1493"/>
      <c r="X189" s="1493"/>
      <c r="Y189" s="1493"/>
      <c r="Z189" s="1493"/>
      <c r="AA189" s="1493"/>
      <c r="AB189" s="1493"/>
      <c r="AC189" s="1493"/>
      <c r="AD189" s="1493"/>
      <c r="AE189" s="1493"/>
      <c r="BC189" t="s">
        <v>308</v>
      </c>
      <c r="BH189" s="3" t="s">
        <v>600</v>
      </c>
      <c r="BN189" s="23" t="s">
        <v>237</v>
      </c>
      <c r="BT189" t="s">
        <v>67</v>
      </c>
    </row>
    <row r="190" spans="1:72" ht="12.95" customHeight="1">
      <c r="C190" s="21"/>
      <c r="D190" t="s">
        <v>592</v>
      </c>
      <c r="I190" s="1516">
        <v>95117</v>
      </c>
      <c r="J190" s="1516"/>
      <c r="K190" s="1516"/>
      <c r="L190" s="1516"/>
      <c r="M190" s="1516"/>
      <c r="N190" s="1516"/>
      <c r="O190" t="s">
        <v>594</v>
      </c>
      <c r="T190" s="1825">
        <v>5063.05</v>
      </c>
      <c r="U190" s="1825"/>
      <c r="V190" s="1825"/>
      <c r="W190" s="1825"/>
      <c r="X190" s="1825"/>
      <c r="Y190" s="1825"/>
      <c r="Z190" s="1825"/>
      <c r="AA190" s="1825"/>
      <c r="AB190" s="1825"/>
      <c r="AC190" s="1825"/>
      <c r="AD190" s="1825"/>
      <c r="AE190" s="1825"/>
      <c r="BC190" t="s">
        <v>1066</v>
      </c>
      <c r="BH190" t="s">
        <v>1066</v>
      </c>
      <c r="BN190" s="23" t="s">
        <v>644</v>
      </c>
      <c r="BT190" t="s">
        <v>68</v>
      </c>
    </row>
    <row r="191" spans="1:72" ht="12.95" customHeight="1">
      <c r="C191" s="21"/>
      <c r="D191" t="s">
        <v>471</v>
      </c>
      <c r="N191" s="1814">
        <v>29912001</v>
      </c>
      <c r="O191" s="1814"/>
      <c r="P191" s="1814"/>
      <c r="Q191" s="1814"/>
      <c r="R191" s="1814"/>
      <c r="S191" s="1814"/>
      <c r="T191" s="1814"/>
      <c r="U191" s="1814"/>
      <c r="V191" s="1814"/>
      <c r="W191" s="1814"/>
      <c r="X191" s="1814"/>
      <c r="Y191" s="1814"/>
      <c r="Z191" s="1814"/>
      <c r="AA191" s="1814"/>
      <c r="AB191" s="1814"/>
      <c r="AC191" s="1814"/>
      <c r="AD191" s="1814"/>
      <c r="AE191" s="1814"/>
      <c r="BC191" t="s">
        <v>1065</v>
      </c>
      <c r="BH191" t="s">
        <v>1065</v>
      </c>
      <c r="BN191" s="23" t="s">
        <v>698</v>
      </c>
      <c r="BT191" t="s">
        <v>737</v>
      </c>
    </row>
    <row r="192" spans="1:72" ht="12.95" customHeight="1">
      <c r="C192" s="21"/>
      <c r="M192" s="40"/>
      <c r="N192" s="1725"/>
      <c r="O192" s="1725"/>
      <c r="P192" s="1725"/>
      <c r="Q192" s="1725"/>
      <c r="R192" s="1725"/>
      <c r="S192" s="1725"/>
      <c r="T192" s="1725"/>
      <c r="U192" s="1725"/>
      <c r="V192" s="1725"/>
      <c r="W192" s="1725"/>
      <c r="X192" s="1725"/>
      <c r="Y192" s="1725"/>
      <c r="Z192" s="1725"/>
      <c r="AA192" s="1725"/>
      <c r="AB192" s="1725"/>
      <c r="AC192" s="1725"/>
      <c r="AD192" s="1725"/>
      <c r="AE192" s="1725"/>
      <c r="BC192" t="s">
        <v>1068</v>
      </c>
      <c r="BH192" s="3" t="s">
        <v>1476</v>
      </c>
      <c r="BN192" s="23" t="s">
        <v>699</v>
      </c>
      <c r="BT192" t="s">
        <v>738</v>
      </c>
    </row>
    <row r="193" spans="1:74" ht="12.95" customHeight="1">
      <c r="C193" s="21"/>
      <c r="D193" t="s">
        <v>2399</v>
      </c>
      <c r="M193" s="40"/>
      <c r="N193" s="928"/>
      <c r="O193" s="928"/>
      <c r="P193" s="928"/>
      <c r="Q193" s="928"/>
      <c r="R193" s="928"/>
      <c r="S193" s="928"/>
      <c r="T193" s="1818" t="s">
        <v>2239</v>
      </c>
      <c r="U193" s="1818"/>
      <c r="V193" s="1818"/>
      <c r="W193" s="1818"/>
      <c r="X193" s="1818"/>
      <c r="Y193" s="1818"/>
      <c r="Z193" s="1818"/>
      <c r="AA193" s="1818"/>
      <c r="AB193" s="1818"/>
      <c r="AC193" s="1818"/>
      <c r="AD193" s="1818"/>
      <c r="AE193" s="1818"/>
      <c r="AF193" s="1818"/>
      <c r="AG193" s="1818"/>
      <c r="AH193" s="1818"/>
      <c r="AI193" s="1818"/>
      <c r="BC193" t="s">
        <v>1067</v>
      </c>
      <c r="BH193" s="3" t="s">
        <v>1743</v>
      </c>
      <c r="BN193" s="23" t="s">
        <v>700</v>
      </c>
      <c r="BT193" t="s">
        <v>739</v>
      </c>
    </row>
    <row r="194" spans="1:74" ht="12.95" customHeight="1">
      <c r="C194" s="21"/>
      <c r="D194" s="3" t="s">
        <v>2583</v>
      </c>
      <c r="M194" s="40"/>
      <c r="N194" s="928"/>
      <c r="O194" s="928"/>
      <c r="P194" s="928"/>
      <c r="Q194" s="928"/>
      <c r="R194" s="928"/>
      <c r="S194" s="928"/>
      <c r="AH194" s="1499" t="s">
        <v>678</v>
      </c>
      <c r="AI194" s="1499"/>
      <c r="BC194" t="s">
        <v>1476</v>
      </c>
      <c r="BN194" s="23" t="s">
        <v>701</v>
      </c>
      <c r="BT194" t="s">
        <v>740</v>
      </c>
    </row>
    <row r="195" spans="1:74" ht="12.95" customHeight="1">
      <c r="C195" s="21"/>
      <c r="D195" t="s">
        <v>332</v>
      </c>
      <c r="T195" s="1499" t="s">
        <v>678</v>
      </c>
      <c r="U195" s="1499"/>
      <c r="W195" t="s">
        <v>694</v>
      </c>
      <c r="AH195" s="1499">
        <v>17</v>
      </c>
      <c r="AI195" s="1499"/>
      <c r="BC195" t="s">
        <v>2049</v>
      </c>
      <c r="BN195" s="23" t="s">
        <v>243</v>
      </c>
      <c r="BT195" t="s">
        <v>741</v>
      </c>
    </row>
    <row r="196" spans="1:74" ht="12.95" customHeight="1">
      <c r="C196" s="21"/>
      <c r="D196" t="s">
        <v>387</v>
      </c>
      <c r="T196" s="1389" t="s">
        <v>554</v>
      </c>
      <c r="U196" s="1389"/>
      <c r="W196" t="s">
        <v>695</v>
      </c>
      <c r="AH196" s="1499">
        <v>25</v>
      </c>
      <c r="AI196" s="1499"/>
      <c r="BN196" s="23" t="s">
        <v>244</v>
      </c>
      <c r="BT196" t="s">
        <v>69</v>
      </c>
    </row>
    <row r="197" spans="1:74" ht="12.95" customHeight="1">
      <c r="C197" s="21"/>
      <c r="D197" s="3" t="s">
        <v>169</v>
      </c>
      <c r="T197" s="1389" t="s">
        <v>678</v>
      </c>
      <c r="U197" s="1389"/>
      <c r="W197" t="s">
        <v>696</v>
      </c>
      <c r="AH197" s="1499">
        <v>15</v>
      </c>
      <c r="AI197" s="1499"/>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389"/>
      <c r="U198" s="138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99" t="s">
        <v>678</v>
      </c>
      <c r="AA199" s="149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88" t="s">
        <v>386</v>
      </c>
      <c r="E204" s="1488"/>
      <c r="F204" s="1488"/>
      <c r="G204" s="1488"/>
      <c r="H204" s="1488"/>
      <c r="I204" s="1488"/>
      <c r="J204" s="1488"/>
      <c r="K204" s="1488"/>
      <c r="L204" s="1488"/>
      <c r="M204" s="1488"/>
      <c r="P204" s="1803">
        <f>M26</f>
        <v>4131931</v>
      </c>
      <c r="Q204" s="1802"/>
      <c r="R204" s="1802"/>
      <c r="S204" s="1802"/>
      <c r="T204" s="1802"/>
      <c r="U204" s="1802"/>
      <c r="Z204" s="1800" t="s">
        <v>1291</v>
      </c>
      <c r="AA204" s="1800"/>
      <c r="AB204" s="1800"/>
      <c r="AC204" s="1800"/>
      <c r="AD204" s="1800"/>
      <c r="AE204" s="1800"/>
      <c r="AF204" s="1800"/>
      <c r="BC204" t="s">
        <v>619</v>
      </c>
      <c r="BN204" s="23" t="s">
        <v>713</v>
      </c>
      <c r="BT204" s="32" t="s">
        <v>198</v>
      </c>
      <c r="BU204" s="14"/>
    </row>
    <row r="205" spans="1:74" ht="12.95" customHeight="1">
      <c r="C205" s="21"/>
      <c r="D205" s="1799" t="s">
        <v>1356</v>
      </c>
      <c r="E205" s="1488"/>
      <c r="F205" s="1488"/>
      <c r="G205" s="1488"/>
      <c r="H205" s="1488"/>
      <c r="I205" s="1488"/>
      <c r="J205" s="1488"/>
      <c r="K205" s="1488"/>
      <c r="L205" s="1488"/>
      <c r="M205" s="1488"/>
      <c r="P205" s="1802">
        <f>M27</f>
        <v>0</v>
      </c>
      <c r="Q205" s="1802"/>
      <c r="R205" s="1802"/>
      <c r="S205" s="1802"/>
      <c r="T205" s="1802"/>
      <c r="U205" s="1802"/>
      <c r="V205" s="28"/>
      <c r="W205" s="3" t="s">
        <v>1911</v>
      </c>
      <c r="Z205" s="1800"/>
      <c r="AA205" s="1800"/>
      <c r="AB205" s="1800"/>
      <c r="AC205" s="1800"/>
      <c r="AD205" s="1800"/>
      <c r="AE205" s="1800"/>
      <c r="AF205" s="1800"/>
      <c r="AG205" t="s">
        <v>1357</v>
      </c>
      <c r="AP205" s="1499" t="s">
        <v>678</v>
      </c>
      <c r="AQ205" s="1499"/>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801"/>
      <c r="AA206" s="1801"/>
      <c r="AB206" s="1801"/>
      <c r="AC206" s="1801"/>
      <c r="AD206" s="1801"/>
      <c r="AE206" s="1801"/>
      <c r="AF206" s="1801"/>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794" t="s">
        <v>2755</v>
      </c>
      <c r="E208" s="1794"/>
      <c r="F208" s="1794"/>
      <c r="G208" s="1794"/>
      <c r="H208" s="1794"/>
      <c r="I208" s="1794"/>
      <c r="J208" s="1794"/>
      <c r="K208" s="1794"/>
      <c r="L208" s="1794"/>
      <c r="M208" s="1794"/>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794" t="s">
        <v>2049</v>
      </c>
      <c r="E211" s="1794"/>
      <c r="F211" s="1794"/>
      <c r="G211" s="1794"/>
      <c r="H211" s="1794"/>
      <c r="I211" s="1794"/>
      <c r="J211" s="1794"/>
      <c r="K211" s="1794"/>
      <c r="L211" s="1794"/>
      <c r="M211" s="1794"/>
      <c r="BN211" s="23" t="s">
        <v>129</v>
      </c>
      <c r="BT211" s="32" t="s">
        <v>130</v>
      </c>
    </row>
    <row r="212" spans="1:72" ht="12.95" customHeight="1">
      <c r="C212" s="21"/>
      <c r="D212" t="s">
        <v>1353</v>
      </c>
      <c r="Y212" s="1499"/>
      <c r="Z212" s="1499"/>
      <c r="AB212" s="1816">
        <f>IFERROR(Y212/AG440,"")</f>
        <v>0</v>
      </c>
      <c r="AC212" s="1817"/>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41" t="s">
        <v>600</v>
      </c>
      <c r="E214" s="1841"/>
      <c r="F214" s="1841"/>
      <c r="G214" s="1841"/>
      <c r="H214" s="1841"/>
      <c r="I214" s="1841"/>
      <c r="J214" s="1841"/>
      <c r="K214" s="1841"/>
      <c r="L214" s="1841"/>
      <c r="M214" s="1841"/>
      <c r="N214" s="1841"/>
      <c r="O214" s="1841"/>
      <c r="P214" s="1841"/>
      <c r="Q214" s="1841"/>
      <c r="R214" s="1841"/>
      <c r="S214" s="1841"/>
      <c r="T214" s="1841"/>
      <c r="U214" s="1841"/>
      <c r="V214" s="1841"/>
      <c r="W214" s="1841"/>
      <c r="X214" s="1841"/>
      <c r="Y214" s="1841"/>
      <c r="Z214" s="1841"/>
      <c r="AU214" s="21"/>
      <c r="AV214" s="21"/>
      <c r="AW214" s="21"/>
      <c r="AX214" s="21"/>
      <c r="AY214" s="21"/>
      <c r="BC214" t="s">
        <v>539</v>
      </c>
      <c r="BI214" t="s">
        <v>2637</v>
      </c>
      <c r="BN214" s="23" t="s">
        <v>327</v>
      </c>
      <c r="BT214" s="32" t="s">
        <v>206</v>
      </c>
    </row>
    <row r="215" spans="1:72" ht="12.95" customHeight="1">
      <c r="D215" s="3" t="s">
        <v>1767</v>
      </c>
      <c r="Z215" s="40"/>
      <c r="AB215" s="1836"/>
      <c r="AC215" s="1836"/>
      <c r="AD215" s="1836"/>
      <c r="AE215" s="1836"/>
      <c r="AF215" s="1836"/>
      <c r="AG215" s="1836"/>
      <c r="AH215" s="1836"/>
      <c r="AI215" s="1836"/>
      <c r="AJ215" s="1836"/>
      <c r="AK215" s="1836"/>
      <c r="AL215" s="1836"/>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36"/>
      <c r="AC216" s="1836"/>
      <c r="AD216" s="1836"/>
      <c r="AE216" s="1836"/>
      <c r="AF216" s="1836"/>
      <c r="AG216" s="1836"/>
      <c r="AH216" s="1836"/>
      <c r="AI216" s="1836"/>
      <c r="AJ216" s="1836"/>
      <c r="AK216" s="1836"/>
      <c r="AL216" s="1836"/>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794" t="s">
        <v>1051</v>
      </c>
      <c r="E220" s="1794"/>
      <c r="F220" s="1794"/>
      <c r="G220" s="1794"/>
      <c r="H220" s="1794"/>
      <c r="I220" s="1794"/>
      <c r="J220" s="1794"/>
      <c r="K220" s="1794"/>
      <c r="L220" s="1794"/>
      <c r="M220" s="1794"/>
      <c r="N220" s="1794"/>
      <c r="O220" s="1794"/>
      <c r="P220" s="1794"/>
      <c r="Q220" s="1794"/>
      <c r="R220" s="1794"/>
      <c r="S220" s="1794"/>
      <c r="T220" s="1794"/>
      <c r="U220" s="1794"/>
      <c r="V220" s="1794"/>
      <c r="W220" s="1794"/>
      <c r="X220" s="1794"/>
      <c r="Y220" s="1794"/>
      <c r="Z220" s="1794"/>
      <c r="BA220" s="3"/>
      <c r="BC220" t="s">
        <v>301</v>
      </c>
    </row>
    <row r="221" spans="1:72" ht="12.95" customHeight="1">
      <c r="A221" s="2"/>
      <c r="B221" s="14"/>
      <c r="C221" s="2"/>
      <c r="AU221" s="95"/>
      <c r="AV221" s="95"/>
      <c r="AW221" s="95"/>
      <c r="AX221" s="95"/>
      <c r="AY221" s="95"/>
      <c r="BA221" s="3"/>
    </row>
    <row r="222" spans="1:72" ht="12.95" customHeight="1">
      <c r="A222" s="1394" t="s">
        <v>549</v>
      </c>
      <c r="B222" s="1394"/>
      <c r="C222" s="1394"/>
      <c r="D222" s="1394"/>
      <c r="E222" s="1394"/>
      <c r="F222" s="1394"/>
      <c r="G222" s="1394"/>
      <c r="H222" s="1394"/>
      <c r="I222" s="1394"/>
      <c r="J222" s="1394"/>
      <c r="K222" s="1394"/>
      <c r="L222" s="1394"/>
      <c r="M222" s="1394"/>
      <c r="N222" s="1394"/>
      <c r="O222" s="1394"/>
      <c r="P222" s="1394"/>
      <c r="Q222" s="1394"/>
      <c r="R222" s="1394"/>
      <c r="S222" s="1394"/>
      <c r="T222" s="1394"/>
      <c r="U222" s="1394"/>
      <c r="V222" s="1394"/>
      <c r="W222" s="1394"/>
      <c r="X222" s="1394"/>
      <c r="Y222" s="1394"/>
      <c r="Z222" s="1394"/>
      <c r="AA222" s="1394"/>
      <c r="AB222" s="1394"/>
      <c r="AC222" s="1394"/>
      <c r="AD222" s="1394"/>
      <c r="AE222" s="1394"/>
      <c r="AF222" s="1394"/>
      <c r="AG222" s="1394"/>
      <c r="AH222" s="1394"/>
      <c r="AI222" s="1394"/>
      <c r="AJ222" s="1394"/>
      <c r="AK222" s="1394"/>
      <c r="AL222" s="1394"/>
      <c r="AM222" s="1394"/>
      <c r="AN222" s="1394"/>
      <c r="AO222" s="1394"/>
      <c r="AP222" s="1394"/>
      <c r="AQ222" s="1394"/>
      <c r="AR222" s="1394"/>
      <c r="AS222" s="1394"/>
      <c r="AT222" s="1394"/>
      <c r="AU222" s="95"/>
      <c r="AV222" s="95"/>
      <c r="AW222" s="95"/>
      <c r="AX222" s="95"/>
      <c r="AY222" s="95"/>
      <c r="AZ222" s="3"/>
      <c r="BA222" s="3"/>
      <c r="BP222" s="34"/>
    </row>
    <row r="223" spans="1:72" ht="12.95" customHeight="1">
      <c r="A223" s="1394"/>
      <c r="B223" s="1394"/>
      <c r="C223" s="1394"/>
      <c r="D223" s="1394"/>
      <c r="E223" s="1394"/>
      <c r="F223" s="1394"/>
      <c r="G223" s="1394"/>
      <c r="H223" s="1394"/>
      <c r="I223" s="1394"/>
      <c r="J223" s="1394"/>
      <c r="K223" s="1394"/>
      <c r="L223" s="1394"/>
      <c r="M223" s="1394"/>
      <c r="N223" s="1394"/>
      <c r="O223" s="1394"/>
      <c r="P223" s="1394"/>
      <c r="Q223" s="1394"/>
      <c r="R223" s="1394"/>
      <c r="S223" s="1394"/>
      <c r="T223" s="1394"/>
      <c r="U223" s="1394"/>
      <c r="V223" s="1394"/>
      <c r="W223" s="1394"/>
      <c r="X223" s="1394"/>
      <c r="Y223" s="1394"/>
      <c r="Z223" s="1394"/>
      <c r="AA223" s="1394"/>
      <c r="AB223" s="1394"/>
      <c r="AC223" s="1394"/>
      <c r="AD223" s="1394"/>
      <c r="AE223" s="1394"/>
      <c r="AF223" s="1394"/>
      <c r="AG223" s="1394"/>
      <c r="AH223" s="1394"/>
      <c r="AI223" s="1394"/>
      <c r="AJ223" s="1394"/>
      <c r="AK223" s="1394"/>
      <c r="AL223" s="1394"/>
      <c r="AM223" s="1394"/>
      <c r="AN223" s="1394"/>
      <c r="AO223" s="1394"/>
      <c r="AP223" s="1394"/>
      <c r="AQ223" s="1394"/>
      <c r="AR223" s="1394"/>
      <c r="AS223" s="1394"/>
      <c r="AT223" s="1394"/>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99" t="s">
        <v>600</v>
      </c>
      <c r="AJ226" s="149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99" t="s">
        <v>600</v>
      </c>
      <c r="AJ227" s="149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99" t="s">
        <v>600</v>
      </c>
      <c r="AJ228" s="149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99" t="s">
        <v>600</v>
      </c>
      <c r="AJ229" s="1499"/>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26" t="str">
        <f>H16</f>
        <v>Reliant - Moreland, LP</v>
      </c>
      <c r="N232" s="1826"/>
      <c r="O232" s="1826"/>
      <c r="P232" s="1826"/>
      <c r="Q232" s="1826"/>
      <c r="R232" s="1826"/>
      <c r="S232" s="1826"/>
      <c r="T232" s="1826"/>
      <c r="U232" s="1826"/>
      <c r="V232" s="1826"/>
      <c r="W232" s="1826"/>
      <c r="X232" s="1826"/>
      <c r="Y232" s="1826"/>
      <c r="Z232" s="1826"/>
      <c r="AA232" s="1826"/>
      <c r="AB232" s="1826"/>
      <c r="AC232" s="1826"/>
      <c r="AD232" s="1826"/>
      <c r="AE232" s="1826"/>
      <c r="AF232" s="1826"/>
      <c r="AG232" s="1826"/>
      <c r="AH232" s="1826"/>
      <c r="AI232" s="1826"/>
      <c r="AJ232" s="1826"/>
      <c r="AK232" s="182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792" t="s">
        <v>2650</v>
      </c>
      <c r="N233" s="1792"/>
      <c r="O233" s="1792"/>
      <c r="P233" s="1792"/>
      <c r="Q233" s="1792"/>
      <c r="R233" s="1792"/>
      <c r="S233" s="1792"/>
      <c r="T233" s="1792"/>
      <c r="U233" s="1792"/>
      <c r="V233" s="1792"/>
      <c r="W233" s="1792"/>
      <c r="X233" s="1792"/>
      <c r="Y233" s="1792"/>
      <c r="Z233" s="1792"/>
      <c r="AA233" s="1792"/>
      <c r="AB233" s="1792"/>
      <c r="AC233" s="1792"/>
      <c r="AD233" s="1792"/>
      <c r="AE233" s="1792"/>
      <c r="BB233" s="219" t="s">
        <v>547</v>
      </c>
      <c r="BG233" s="259">
        <f>IF(AND(AND($M$249="nonprofit",$M$257="for profit",$M$265="nonprofit")),2,0)</f>
        <v>0</v>
      </c>
    </row>
    <row r="234" spans="1:69" ht="12.95" customHeight="1">
      <c r="D234" s="4" t="s">
        <v>589</v>
      </c>
      <c r="E234" s="4"/>
      <c r="M234" s="1792" t="s">
        <v>740</v>
      </c>
      <c r="N234" s="1792"/>
      <c r="O234" s="1792"/>
      <c r="P234" s="1792"/>
      <c r="Q234" s="1792"/>
      <c r="R234" s="1792"/>
      <c r="S234" s="1792"/>
      <c r="T234" s="1792"/>
      <c r="V234" s="33" t="s">
        <v>86</v>
      </c>
      <c r="W234" s="1449" t="s">
        <v>2651</v>
      </c>
      <c r="X234" s="1520"/>
      <c r="Y234" s="4" t="s">
        <v>592</v>
      </c>
      <c r="AC234" s="1794">
        <v>94108</v>
      </c>
      <c r="AD234" s="1794"/>
      <c r="AE234" s="1794"/>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792" t="s">
        <v>2652</v>
      </c>
      <c r="N235" s="1792"/>
      <c r="O235" s="1792"/>
      <c r="P235" s="1792"/>
      <c r="Q235" s="1792"/>
      <c r="R235" s="1792"/>
      <c r="S235" s="1792"/>
      <c r="T235" s="1792"/>
      <c r="U235" s="1792"/>
      <c r="V235" s="1792"/>
      <c r="W235" s="1792"/>
      <c r="X235" s="1792"/>
      <c r="Y235" s="1792"/>
      <c r="Z235" s="1792"/>
      <c r="AA235" s="1792"/>
      <c r="AB235" s="1792"/>
      <c r="AC235" s="1792"/>
      <c r="AD235" s="1792"/>
      <c r="AE235" s="1792"/>
      <c r="AI235" s="4"/>
      <c r="AJ235" s="4"/>
      <c r="AK235" s="4"/>
      <c r="AL235" s="4"/>
      <c r="AM235" s="4"/>
      <c r="AN235" s="4"/>
      <c r="AO235" s="4"/>
      <c r="AP235" s="4"/>
      <c r="AQ235" s="4"/>
      <c r="AR235" s="4"/>
      <c r="AS235" s="4"/>
      <c r="AT235" s="4"/>
      <c r="BB235" s="219"/>
      <c r="BG235" s="218"/>
    </row>
    <row r="236" spans="1:69" ht="12.95" customHeight="1">
      <c r="D236" s="4" t="s">
        <v>88</v>
      </c>
      <c r="E236" s="4"/>
      <c r="F236" s="4"/>
      <c r="M236" s="1701" t="s">
        <v>2653</v>
      </c>
      <c r="N236" s="1701"/>
      <c r="O236" s="1701"/>
      <c r="P236" s="1701"/>
      <c r="Q236" s="1701"/>
      <c r="R236" s="1701"/>
      <c r="S236" s="4" t="s">
        <v>207</v>
      </c>
      <c r="T236" s="4"/>
      <c r="U236" s="1520"/>
      <c r="V236" s="1520"/>
      <c r="W236" s="1520"/>
      <c r="X236" s="4" t="s">
        <v>89</v>
      </c>
      <c r="Z236" s="1492"/>
      <c r="AA236" s="1492"/>
      <c r="AB236" s="1492"/>
      <c r="AC236" s="1492"/>
      <c r="AD236" s="1492"/>
      <c r="AE236" s="1492"/>
      <c r="AU236" s="4"/>
      <c r="AV236" s="4"/>
      <c r="AW236" s="4"/>
      <c r="AX236" s="4"/>
      <c r="AY236" s="4"/>
      <c r="AZ236" s="4"/>
      <c r="BB236" s="218" t="s">
        <v>546</v>
      </c>
      <c r="BG236" s="259">
        <f>IF(AND(AND($M$249="nonprofit",$M$257="nonprofit",$M$265="(select one)")),1,0)</f>
        <v>0</v>
      </c>
    </row>
    <row r="237" spans="1:69" ht="12.95" customHeight="1">
      <c r="D237" s="4" t="s">
        <v>90</v>
      </c>
      <c r="E237" s="4"/>
      <c r="F237" s="4"/>
      <c r="M237" s="1795" t="s">
        <v>2654</v>
      </c>
      <c r="N237" s="1795"/>
      <c r="O237" s="1795"/>
      <c r="P237" s="1795"/>
      <c r="Q237" s="1795"/>
      <c r="R237" s="1795"/>
      <c r="S237" s="1795"/>
      <c r="T237" s="1795"/>
      <c r="U237" s="1795"/>
      <c r="V237" s="1795"/>
      <c r="W237" s="1795"/>
      <c r="X237" s="1795"/>
      <c r="Y237" s="1795"/>
      <c r="Z237" s="1795"/>
      <c r="AA237" s="1795"/>
      <c r="AB237" s="1795"/>
      <c r="AC237" s="1795"/>
      <c r="AD237" s="1795"/>
      <c r="AE237" s="179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516" t="s">
        <v>537</v>
      </c>
      <c r="N238" s="1516"/>
      <c r="O238" s="1516"/>
      <c r="P238" s="1516"/>
      <c r="Q238" s="1516"/>
      <c r="R238" s="1516"/>
      <c r="S238" s="1516"/>
      <c r="T238" s="1516"/>
      <c r="U238" s="218" t="s">
        <v>922</v>
      </c>
      <c r="V238" s="218"/>
      <c r="W238" s="218"/>
      <c r="X238" s="218"/>
      <c r="Y238" s="218"/>
      <c r="Z238" s="218"/>
      <c r="AA238" s="1804" t="s">
        <v>2655</v>
      </c>
      <c r="AB238" s="1804"/>
      <c r="AC238" s="1804"/>
      <c r="AD238" s="1804"/>
      <c r="AE238" s="1804"/>
      <c r="AF238" s="1804"/>
      <c r="AG238" s="1804"/>
      <c r="AH238" s="1804"/>
      <c r="AI238" s="1804"/>
      <c r="AJ238" s="1804"/>
      <c r="AK238" s="1804"/>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93"/>
      <c r="N239" s="1493"/>
      <c r="O239" s="1493"/>
      <c r="P239" s="1493"/>
      <c r="Q239" s="1493"/>
      <c r="R239" s="1493"/>
      <c r="S239" s="1493"/>
      <c r="T239" s="1493"/>
      <c r="U239" s="1493"/>
      <c r="V239" s="1493"/>
      <c r="W239" s="1493"/>
      <c r="X239" s="1493"/>
      <c r="Y239" s="1493"/>
      <c r="Z239" s="1493"/>
      <c r="AA239" s="1493"/>
      <c r="AB239" s="1493"/>
      <c r="AC239" s="1493"/>
      <c r="AD239" s="1493"/>
      <c r="AE239" s="1493"/>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805" t="s">
        <v>2657</v>
      </c>
      <c r="N243" s="1805"/>
      <c r="O243" s="1805"/>
      <c r="P243" s="1805"/>
      <c r="Q243" s="1805"/>
      <c r="R243" s="1805"/>
      <c r="S243" s="1805"/>
      <c r="T243" s="1805"/>
      <c r="U243" s="1805"/>
      <c r="V243" s="1805"/>
      <c r="W243" s="1805"/>
      <c r="X243" s="1805"/>
      <c r="Y243" s="1805"/>
      <c r="Z243" s="1805"/>
      <c r="AA243" s="1805"/>
      <c r="AB243" s="1805"/>
      <c r="AC243" s="1805"/>
      <c r="AD243" s="1805"/>
      <c r="AE243" s="1805"/>
      <c r="AF243" s="1798" t="s">
        <v>2656</v>
      </c>
      <c r="AG243" s="1798"/>
      <c r="AH243" s="1798"/>
      <c r="AI243" s="1798"/>
      <c r="AJ243" s="1798"/>
      <c r="AK243" s="179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792" t="s">
        <v>2650</v>
      </c>
      <c r="N244" s="1792"/>
      <c r="O244" s="1792"/>
      <c r="P244" s="1792"/>
      <c r="Q244" s="1792"/>
      <c r="R244" s="1792"/>
      <c r="S244" s="1792"/>
      <c r="T244" s="1792"/>
      <c r="U244" s="1792"/>
      <c r="V244" s="1792"/>
      <c r="W244" s="1792"/>
      <c r="X244" s="1792"/>
      <c r="Y244" s="1792"/>
      <c r="Z244" s="1792"/>
      <c r="AA244" s="1792"/>
      <c r="AB244" s="1792"/>
      <c r="AC244" s="1792"/>
      <c r="AD244" s="1792"/>
      <c r="AE244" s="1792"/>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792" t="s">
        <v>740</v>
      </c>
      <c r="N245" s="1792"/>
      <c r="O245" s="1792"/>
      <c r="P245" s="1792"/>
      <c r="Q245" s="1792"/>
      <c r="R245" s="1792"/>
      <c r="S245" s="1792"/>
      <c r="T245" s="1792"/>
      <c r="V245" s="33" t="s">
        <v>86</v>
      </c>
      <c r="W245" s="1449" t="s">
        <v>2651</v>
      </c>
      <c r="X245" s="1520"/>
      <c r="Y245" s="4" t="s">
        <v>592</v>
      </c>
      <c r="AC245" s="1792">
        <v>94108</v>
      </c>
      <c r="AD245" s="1792"/>
      <c r="AE245" s="1792"/>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792" t="s">
        <v>2652</v>
      </c>
      <c r="N246" s="1792"/>
      <c r="O246" s="1792"/>
      <c r="P246" s="1792"/>
      <c r="Q246" s="1792"/>
      <c r="R246" s="1792"/>
      <c r="S246" s="1792"/>
      <c r="T246" s="1792"/>
      <c r="U246" s="1792"/>
      <c r="V246" s="1792"/>
      <c r="W246" s="1792"/>
      <c r="X246" s="1792"/>
      <c r="Y246" s="1792"/>
      <c r="Z246" s="1792"/>
      <c r="AA246" s="1792"/>
      <c r="AB246" s="1792"/>
      <c r="AC246" s="1792"/>
      <c r="AD246" s="1792"/>
      <c r="AE246" s="1792"/>
      <c r="AH246" s="1796">
        <v>5.0000000000000001E-3</v>
      </c>
      <c r="AI246" s="1796"/>
      <c r="AJ246" s="1796"/>
      <c r="AK246" s="1796"/>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701" t="s">
        <v>2653</v>
      </c>
      <c r="N247" s="1701"/>
      <c r="O247" s="1701"/>
      <c r="P247" s="1701"/>
      <c r="Q247" s="1701"/>
      <c r="R247" s="1701"/>
      <c r="S247" s="4" t="s">
        <v>207</v>
      </c>
      <c r="T247" s="4"/>
      <c r="U247" s="1520"/>
      <c r="V247" s="1520"/>
      <c r="W247" s="1520"/>
      <c r="X247" s="4" t="s">
        <v>89</v>
      </c>
      <c r="Z247" s="1492"/>
      <c r="AA247" s="1492"/>
      <c r="AB247" s="1492"/>
      <c r="AC247" s="1492"/>
      <c r="AD247" s="1492"/>
      <c r="AE247" s="1492"/>
      <c r="AU247" s="4"/>
      <c r="AV247" s="4"/>
      <c r="AW247" s="4"/>
      <c r="AX247" s="4"/>
      <c r="AY247" s="4"/>
      <c r="BG247">
        <v>0</v>
      </c>
      <c r="BH247" s="3"/>
      <c r="BN247" s="34"/>
    </row>
    <row r="248" spans="1:71" ht="12.95" customHeight="1">
      <c r="A248" s="19"/>
      <c r="B248" s="4"/>
      <c r="C248" s="4"/>
      <c r="D248" s="4" t="s">
        <v>90</v>
      </c>
      <c r="E248" s="4"/>
      <c r="F248" s="4"/>
      <c r="M248" s="1795" t="s">
        <v>2654</v>
      </c>
      <c r="N248" s="1795"/>
      <c r="O248" s="1795"/>
      <c r="P248" s="1795"/>
      <c r="Q248" s="1795"/>
      <c r="R248" s="1795"/>
      <c r="S248" s="1795"/>
      <c r="T248" s="1795"/>
      <c r="U248" s="1795"/>
      <c r="V248" s="1795"/>
      <c r="W248" s="1795"/>
      <c r="X248" s="1795"/>
      <c r="Y248" s="1795"/>
      <c r="Z248" s="1795"/>
      <c r="AA248" s="1795"/>
      <c r="AB248" s="1795"/>
      <c r="AC248" s="1795"/>
      <c r="AD248" s="1795"/>
      <c r="AE248" s="179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516" t="s">
        <v>545</v>
      </c>
      <c r="N249" s="1516"/>
      <c r="O249" s="1516"/>
      <c r="P249" s="1516"/>
      <c r="Q249" s="1516"/>
      <c r="R249" s="1516"/>
      <c r="S249" s="1516"/>
      <c r="T249" s="1516"/>
      <c r="U249" s="218" t="s">
        <v>922</v>
      </c>
      <c r="V249" s="218"/>
      <c r="W249" s="218"/>
      <c r="X249" s="218"/>
      <c r="Y249" s="218"/>
      <c r="Z249" s="218"/>
      <c r="AA249" s="1804" t="s">
        <v>2655</v>
      </c>
      <c r="AB249" s="1804"/>
      <c r="AC249" s="1804"/>
      <c r="AD249" s="1804"/>
      <c r="AE249" s="1804"/>
      <c r="AF249" s="1804"/>
      <c r="AG249" s="1804"/>
      <c r="AH249" s="1804"/>
      <c r="AI249" s="1804"/>
      <c r="AJ249" s="1804"/>
      <c r="AK249" s="180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805" t="s">
        <v>2658</v>
      </c>
      <c r="N251" s="1805"/>
      <c r="O251" s="1805"/>
      <c r="P251" s="1805"/>
      <c r="Q251" s="1805"/>
      <c r="R251" s="1805"/>
      <c r="S251" s="1805"/>
      <c r="T251" s="1805"/>
      <c r="U251" s="1805"/>
      <c r="V251" s="1805"/>
      <c r="W251" s="1805"/>
      <c r="X251" s="1805"/>
      <c r="Y251" s="1805"/>
      <c r="Z251" s="1805"/>
      <c r="AA251" s="1805"/>
      <c r="AB251" s="1805"/>
      <c r="AC251" s="1805"/>
      <c r="AD251" s="1805"/>
      <c r="AE251" s="1805"/>
      <c r="AF251" s="1798" t="s">
        <v>2660</v>
      </c>
      <c r="AG251" s="1798"/>
      <c r="AH251" s="1798"/>
      <c r="AI251" s="1798"/>
      <c r="AJ251" s="1798"/>
      <c r="AK251" s="1798"/>
      <c r="AU251" s="4"/>
      <c r="AV251" s="4"/>
      <c r="AW251" s="4"/>
      <c r="AX251" s="4"/>
      <c r="AY251" s="4"/>
      <c r="BN251" s="34"/>
    </row>
    <row r="252" spans="1:71" ht="12.95" customHeight="1">
      <c r="A252" s="19"/>
      <c r="B252" s="4"/>
      <c r="C252" s="4"/>
      <c r="D252" s="4" t="s">
        <v>85</v>
      </c>
      <c r="E252" s="4"/>
      <c r="F252" s="4"/>
      <c r="G252" s="4"/>
      <c r="H252" s="4"/>
      <c r="I252" s="4"/>
      <c r="J252" s="4"/>
      <c r="K252" s="4"/>
      <c r="L252" s="4"/>
      <c r="M252" s="1792" t="s">
        <v>2659</v>
      </c>
      <c r="N252" s="1792"/>
      <c r="O252" s="1792"/>
      <c r="P252" s="1792"/>
      <c r="Q252" s="1792"/>
      <c r="R252" s="1792"/>
      <c r="S252" s="1792"/>
      <c r="T252" s="1792"/>
      <c r="U252" s="1792"/>
      <c r="V252" s="1792"/>
      <c r="W252" s="1792"/>
      <c r="X252" s="1792"/>
      <c r="Y252" s="1792"/>
      <c r="Z252" s="1792"/>
      <c r="AA252" s="1792"/>
      <c r="AB252" s="1792"/>
      <c r="AC252" s="1792"/>
      <c r="AD252" s="1792"/>
      <c r="AE252" s="1792"/>
      <c r="AF252" s="3" t="s">
        <v>1286</v>
      </c>
      <c r="AL252" s="4"/>
      <c r="AM252" s="4"/>
      <c r="AN252" s="4"/>
      <c r="AO252" s="4"/>
      <c r="AP252" s="4"/>
      <c r="AQ252" s="4"/>
      <c r="AR252" s="4"/>
      <c r="AS252" s="4"/>
      <c r="AT252" s="4"/>
      <c r="BN252" s="34"/>
    </row>
    <row r="253" spans="1:71" ht="12.95" customHeight="1">
      <c r="A253" s="19"/>
      <c r="B253" s="4"/>
      <c r="C253" s="4"/>
      <c r="D253" s="4" t="s">
        <v>589</v>
      </c>
      <c r="E253" s="4"/>
      <c r="M253" s="1792" t="s">
        <v>2661</v>
      </c>
      <c r="N253" s="1794"/>
      <c r="O253" s="1794"/>
      <c r="P253" s="1794"/>
      <c r="Q253" s="1794"/>
      <c r="R253" s="1794"/>
      <c r="S253" s="1794"/>
      <c r="T253" s="1794"/>
      <c r="V253" s="33" t="s">
        <v>86</v>
      </c>
      <c r="W253" s="1449" t="s">
        <v>2662</v>
      </c>
      <c r="X253" s="1520"/>
      <c r="Y253" s="4" t="s">
        <v>592</v>
      </c>
      <c r="AC253" s="1794">
        <v>85308</v>
      </c>
      <c r="AD253" s="1794"/>
      <c r="AE253" s="1794"/>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268" t="s">
        <v>2663</v>
      </c>
      <c r="N254" s="1267"/>
      <c r="O254" s="1267"/>
      <c r="P254" s="1267"/>
      <c r="Q254" s="1267"/>
      <c r="R254" s="1267"/>
      <c r="S254" s="1267"/>
      <c r="T254" s="1267"/>
      <c r="U254" s="1267"/>
      <c r="V254" s="1267"/>
      <c r="W254" s="1267"/>
      <c r="X254" s="1267"/>
      <c r="Y254" s="1267"/>
      <c r="Z254" s="1267"/>
      <c r="AA254" s="1267"/>
      <c r="AB254" s="1267"/>
      <c r="AC254" s="1267"/>
      <c r="AD254" s="1267"/>
      <c r="AE254" s="1267"/>
      <c r="AH254" s="1796">
        <v>5.0000000000000001E-3</v>
      </c>
      <c r="AI254" s="1796"/>
      <c r="AJ254" s="1796"/>
      <c r="AK254" s="1796"/>
      <c r="AL254" s="4"/>
      <c r="AM254" s="4"/>
      <c r="AN254" s="4"/>
      <c r="AO254" s="4"/>
      <c r="AP254" s="4"/>
      <c r="AQ254" s="4"/>
      <c r="AR254" s="4"/>
      <c r="AS254" s="4"/>
      <c r="AT254" s="4"/>
    </row>
    <row r="255" spans="1:71" ht="12.95" customHeight="1">
      <c r="A255" s="19"/>
      <c r="B255" s="4"/>
      <c r="C255" s="4"/>
      <c r="D255" s="4" t="s">
        <v>88</v>
      </c>
      <c r="E255" s="4"/>
      <c r="F255" s="4"/>
      <c r="M255" s="1269" t="s">
        <v>2664</v>
      </c>
      <c r="N255" s="1266"/>
      <c r="O255" s="1266"/>
      <c r="P255" s="1266"/>
      <c r="Q255" s="1266"/>
      <c r="R255" s="1266"/>
      <c r="S255" s="4" t="s">
        <v>207</v>
      </c>
      <c r="T255" s="4"/>
      <c r="U255" s="1520"/>
      <c r="V255" s="1520"/>
      <c r="W255" s="1520"/>
      <c r="X255" s="4" t="s">
        <v>89</v>
      </c>
      <c r="Z255" s="1492"/>
      <c r="AA255" s="1492"/>
      <c r="AB255" s="1492"/>
      <c r="AC255" s="1492"/>
      <c r="AD255" s="1492"/>
      <c r="AE255" s="1492"/>
      <c r="AU255" s="4"/>
      <c r="AV255" s="4"/>
      <c r="AW255" s="4"/>
      <c r="AX255" s="4"/>
      <c r="AY255" s="4"/>
      <c r="BN255" s="34"/>
    </row>
    <row r="256" spans="1:71" ht="12.95" customHeight="1">
      <c r="A256" s="19"/>
      <c r="B256" s="4"/>
      <c r="C256" s="4"/>
      <c r="D256" s="4" t="s">
        <v>90</v>
      </c>
      <c r="E256" s="4"/>
      <c r="F256" s="4"/>
      <c r="M256" s="1795" t="s">
        <v>2665</v>
      </c>
      <c r="N256" s="1795"/>
      <c r="O256" s="1795"/>
      <c r="P256" s="1795"/>
      <c r="Q256" s="1795"/>
      <c r="R256" s="1795"/>
      <c r="S256" s="1795"/>
      <c r="T256" s="1795"/>
      <c r="U256" s="1795"/>
      <c r="V256" s="1795"/>
      <c r="W256" s="1795"/>
      <c r="X256" s="1795"/>
      <c r="Y256" s="1795"/>
      <c r="Z256" s="1795"/>
      <c r="AA256" s="1795"/>
      <c r="AB256" s="1795"/>
      <c r="AC256" s="1795"/>
      <c r="AD256" s="1795"/>
      <c r="AE256" s="179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516" t="s">
        <v>543</v>
      </c>
      <c r="N257" s="1516"/>
      <c r="O257" s="1516"/>
      <c r="P257" s="1516"/>
      <c r="Q257" s="1516"/>
      <c r="R257" s="1516"/>
      <c r="S257" s="1516"/>
      <c r="T257" s="1516"/>
      <c r="U257" s="218" t="s">
        <v>922</v>
      </c>
      <c r="V257" s="218"/>
      <c r="W257" s="218"/>
      <c r="X257" s="218"/>
      <c r="Y257" s="218"/>
      <c r="Z257" s="218"/>
      <c r="AA257" s="1827" t="s">
        <v>2666</v>
      </c>
      <c r="AB257" s="1827"/>
      <c r="AC257" s="1827"/>
      <c r="AD257" s="1827"/>
      <c r="AE257" s="1827"/>
      <c r="AF257" s="1827"/>
      <c r="AG257" s="1827"/>
      <c r="AH257" s="1827"/>
      <c r="AI257" s="1827"/>
      <c r="AJ257" s="1827"/>
      <c r="AK257" s="182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98"/>
      <c r="N259" s="1798"/>
      <c r="O259" s="1798"/>
      <c r="P259" s="1798"/>
      <c r="Q259" s="1798"/>
      <c r="R259" s="1798"/>
      <c r="S259" s="1798"/>
      <c r="T259" s="1798"/>
      <c r="U259" s="1798"/>
      <c r="V259" s="1798"/>
      <c r="W259" s="1798"/>
      <c r="X259" s="1798"/>
      <c r="Y259" s="1798"/>
      <c r="Z259" s="1798"/>
      <c r="AA259" s="1798"/>
      <c r="AB259" s="1798"/>
      <c r="AC259" s="1798"/>
      <c r="AD259" s="1798"/>
      <c r="AE259" s="1798"/>
      <c r="AF259" s="1798" t="s">
        <v>308</v>
      </c>
      <c r="AG259" s="1798"/>
      <c r="AH259" s="1798"/>
      <c r="AI259" s="1798"/>
      <c r="AJ259" s="1798"/>
      <c r="AK259" s="179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794"/>
      <c r="N260" s="1794"/>
      <c r="O260" s="1794"/>
      <c r="P260" s="1794"/>
      <c r="Q260" s="1794"/>
      <c r="R260" s="1794"/>
      <c r="S260" s="1794"/>
      <c r="T260" s="1794"/>
      <c r="U260" s="1794"/>
      <c r="V260" s="1794"/>
      <c r="W260" s="1794"/>
      <c r="X260" s="1794"/>
      <c r="Y260" s="1794"/>
      <c r="Z260" s="1794"/>
      <c r="AA260" s="1794"/>
      <c r="AB260" s="1794"/>
      <c r="AC260" s="1794"/>
      <c r="AD260" s="1794"/>
      <c r="AE260" s="1794"/>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794"/>
      <c r="N261" s="1794"/>
      <c r="O261" s="1794"/>
      <c r="P261" s="1794"/>
      <c r="Q261" s="1794"/>
      <c r="R261" s="1794"/>
      <c r="S261" s="1794"/>
      <c r="T261" s="1794"/>
      <c r="V261" s="33" t="s">
        <v>86</v>
      </c>
      <c r="W261" s="1520"/>
      <c r="X261" s="1520"/>
      <c r="Y261" s="4" t="s">
        <v>592</v>
      </c>
      <c r="AC261" s="1794"/>
      <c r="AD261" s="1794"/>
      <c r="AE261" s="1794"/>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794"/>
      <c r="N262" s="1794"/>
      <c r="O262" s="1794"/>
      <c r="P262" s="1794"/>
      <c r="Q262" s="1794"/>
      <c r="R262" s="1794"/>
      <c r="S262" s="1794"/>
      <c r="T262" s="1794"/>
      <c r="U262" s="1794"/>
      <c r="V262" s="1794"/>
      <c r="W262" s="1794"/>
      <c r="X262" s="1794"/>
      <c r="Y262" s="1794"/>
      <c r="Z262" s="1794"/>
      <c r="AA262" s="1794"/>
      <c r="AB262" s="1794"/>
      <c r="AC262" s="1794"/>
      <c r="AD262" s="1794"/>
      <c r="AE262" s="1794"/>
      <c r="AH262" s="1796"/>
      <c r="AI262" s="1796"/>
      <c r="AJ262" s="1796"/>
      <c r="AK262" s="179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92"/>
      <c r="N263" s="1492"/>
      <c r="O263" s="1492"/>
      <c r="P263" s="1492"/>
      <c r="Q263" s="1492"/>
      <c r="R263" s="1492"/>
      <c r="S263" s="4" t="s">
        <v>207</v>
      </c>
      <c r="T263" s="4"/>
      <c r="U263" s="1520"/>
      <c r="V263" s="1520"/>
      <c r="W263" s="1520"/>
      <c r="X263" s="4" t="s">
        <v>89</v>
      </c>
      <c r="Z263" s="1492"/>
      <c r="AA263" s="1492"/>
      <c r="AB263" s="1492"/>
      <c r="AC263" s="1492"/>
      <c r="AD263" s="1492"/>
      <c r="AE263" s="149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95"/>
      <c r="N264" s="1795"/>
      <c r="O264" s="1795"/>
      <c r="P264" s="1795"/>
      <c r="Q264" s="1795"/>
      <c r="R264" s="1795"/>
      <c r="S264" s="1795"/>
      <c r="T264" s="1795"/>
      <c r="U264" s="1795"/>
      <c r="V264" s="1795"/>
      <c r="W264" s="1795"/>
      <c r="X264" s="1795"/>
      <c r="Y264" s="1795"/>
      <c r="Z264" s="1795"/>
      <c r="AA264" s="1829"/>
      <c r="AB264" s="1829"/>
      <c r="AC264" s="1829"/>
      <c r="AD264" s="1829"/>
      <c r="AE264" s="182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516" t="s">
        <v>308</v>
      </c>
      <c r="N265" s="1516"/>
      <c r="O265" s="1516"/>
      <c r="P265" s="1516"/>
      <c r="Q265" s="1516"/>
      <c r="R265" s="1516"/>
      <c r="S265" s="1516"/>
      <c r="T265" s="1516"/>
      <c r="U265" s="218" t="s">
        <v>922</v>
      </c>
      <c r="V265" s="218"/>
      <c r="W265" s="218"/>
      <c r="X265" s="218"/>
      <c r="Y265" s="218"/>
      <c r="Z265" s="218"/>
      <c r="AA265" s="1828"/>
      <c r="AB265" s="1828"/>
      <c r="AC265" s="1828"/>
      <c r="AD265" s="1828"/>
      <c r="AE265" s="1828"/>
      <c r="AF265" s="1828"/>
      <c r="AG265" s="1828"/>
      <c r="AH265" s="1828"/>
      <c r="AI265" s="1828"/>
      <c r="AJ265" s="1828"/>
      <c r="AK265" s="182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24" t="str">
        <f>IFERROR(BO245,"")</f>
        <v>Joint Venture</v>
      </c>
      <c r="U267" s="1824"/>
      <c r="V267" s="1824"/>
      <c r="W267" s="1824"/>
      <c r="X267" s="1824"/>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794" t="s">
        <v>281</v>
      </c>
      <c r="E270" s="1794"/>
      <c r="F270" s="1794"/>
      <c r="G270" s="1794"/>
      <c r="H270" s="1794"/>
      <c r="J270" t="s">
        <v>280</v>
      </c>
      <c r="X270" s="1538"/>
      <c r="Y270" s="1538"/>
      <c r="Z270" s="1538"/>
      <c r="AA270" s="1538"/>
      <c r="AB270" s="1538"/>
      <c r="AC270" s="1538"/>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805" t="s">
        <v>2657</v>
      </c>
      <c r="M274" s="1798"/>
      <c r="N274" s="1798"/>
      <c r="O274" s="1798"/>
      <c r="P274" s="1798"/>
      <c r="Q274" s="1798"/>
      <c r="R274" s="1798"/>
      <c r="S274" s="1798"/>
      <c r="T274" s="1798"/>
      <c r="U274" s="1798"/>
      <c r="V274" s="1798"/>
      <c r="W274" s="1798"/>
      <c r="X274" s="1798"/>
      <c r="Y274" s="1798"/>
      <c r="Z274" s="1798"/>
      <c r="AA274" s="1798"/>
      <c r="AB274" s="1798"/>
      <c r="AC274" s="1798"/>
      <c r="AD274" s="1798"/>
      <c r="AE274" s="1798"/>
      <c r="AF274" s="1798"/>
      <c r="AG274" s="1798"/>
      <c r="AH274" s="1798"/>
      <c r="AI274" s="1798"/>
      <c r="AJ274" s="179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792" t="s">
        <v>2650</v>
      </c>
      <c r="M275" s="1794"/>
      <c r="N275" s="1794"/>
      <c r="O275" s="1794"/>
      <c r="P275" s="1794"/>
      <c r="Q275" s="1794"/>
      <c r="R275" s="1794"/>
      <c r="S275" s="1794"/>
      <c r="T275" s="1794"/>
      <c r="U275" s="1794"/>
      <c r="V275" s="1794"/>
      <c r="W275" s="1794"/>
      <c r="X275" s="1794"/>
      <c r="Y275" s="1794"/>
      <c r="Z275" s="1794"/>
      <c r="AA275" s="1794"/>
      <c r="AB275" s="1794"/>
      <c r="AC275" s="1794"/>
      <c r="AD275" s="1794"/>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792" t="s">
        <v>740</v>
      </c>
      <c r="M276" s="1794"/>
      <c r="N276" s="1794"/>
      <c r="O276" s="1794"/>
      <c r="P276" s="1794"/>
      <c r="Q276" s="1794"/>
      <c r="R276" s="1794"/>
      <c r="S276" s="1794"/>
      <c r="U276" s="33" t="s">
        <v>86</v>
      </c>
      <c r="V276" s="1449" t="s">
        <v>2651</v>
      </c>
      <c r="W276" s="1520"/>
      <c r="X276" s="4" t="s">
        <v>592</v>
      </c>
      <c r="AB276" s="1794">
        <v>94108</v>
      </c>
      <c r="AC276" s="1794"/>
      <c r="AD276" s="1794"/>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792" t="s">
        <v>2652</v>
      </c>
      <c r="M277" s="1794"/>
      <c r="N277" s="1794"/>
      <c r="O277" s="1794"/>
      <c r="P277" s="1794"/>
      <c r="Q277" s="1794"/>
      <c r="R277" s="1794"/>
      <c r="S277" s="1794"/>
      <c r="T277" s="1794"/>
      <c r="U277" s="1794"/>
      <c r="V277" s="1794"/>
      <c r="W277" s="1794"/>
      <c r="X277" s="1794"/>
      <c r="Y277" s="1794"/>
      <c r="Z277" s="1794"/>
      <c r="AA277" s="1794"/>
      <c r="AB277" s="1794"/>
      <c r="AC277" s="1794"/>
      <c r="AD277" s="1794"/>
      <c r="AI277" s="4"/>
      <c r="AJ277" s="4"/>
      <c r="AK277" s="3"/>
      <c r="AL277" s="3"/>
      <c r="AM277" s="3"/>
      <c r="AN277" s="3"/>
      <c r="AO277" s="3"/>
      <c r="AP277" s="3"/>
      <c r="AQ277" s="3"/>
      <c r="AR277" s="3"/>
      <c r="AS277" s="3"/>
      <c r="AT277" s="3"/>
      <c r="BN277" s="34"/>
    </row>
    <row r="278" spans="1:66" ht="12.95" customHeight="1">
      <c r="D278" s="4" t="s">
        <v>88</v>
      </c>
      <c r="E278" s="4"/>
      <c r="F278" s="4"/>
      <c r="L278" s="1701" t="s">
        <v>2653</v>
      </c>
      <c r="M278" s="1492"/>
      <c r="N278" s="1492"/>
      <c r="O278" s="1492"/>
      <c r="P278" s="1492"/>
      <c r="Q278" s="1492"/>
      <c r="R278" s="4" t="s">
        <v>207</v>
      </c>
      <c r="S278" s="4"/>
      <c r="T278" s="1520"/>
      <c r="U278" s="1520"/>
      <c r="V278" s="1520"/>
      <c r="W278" s="4" t="s">
        <v>89</v>
      </c>
      <c r="Y278" s="1492"/>
      <c r="Z278" s="1492"/>
      <c r="AA278" s="1492"/>
      <c r="AB278" s="1492"/>
      <c r="AC278" s="1492"/>
      <c r="AD278" s="1492"/>
      <c r="BN278" s="34"/>
    </row>
    <row r="279" spans="1:66" ht="12.95" customHeight="1">
      <c r="D279" s="4" t="s">
        <v>90</v>
      </c>
      <c r="E279" s="4"/>
      <c r="F279" s="4"/>
      <c r="L279" s="1795" t="s">
        <v>2654</v>
      </c>
      <c r="M279" s="1795"/>
      <c r="N279" s="1795"/>
      <c r="O279" s="1795"/>
      <c r="P279" s="1795"/>
      <c r="Q279" s="1795"/>
      <c r="R279" s="1795"/>
      <c r="S279" s="1795"/>
      <c r="T279" s="1795"/>
      <c r="U279" s="1795"/>
      <c r="V279" s="1795"/>
      <c r="W279" s="1795"/>
      <c r="X279" s="1795"/>
      <c r="Y279" s="1795"/>
      <c r="Z279" s="1795"/>
      <c r="AA279" s="1795"/>
      <c r="AB279" s="1795"/>
      <c r="AC279" s="1795"/>
      <c r="AD279" s="1795"/>
      <c r="AF279" s="4"/>
      <c r="AG279" s="4"/>
      <c r="AH279" s="4"/>
      <c r="AI279" s="4"/>
      <c r="AJ279" s="4"/>
      <c r="AU279" s="3"/>
      <c r="AV279" s="3"/>
      <c r="AW279" s="3"/>
      <c r="AX279" s="3"/>
      <c r="AY279" s="3"/>
      <c r="BN279" s="34"/>
    </row>
    <row r="280" spans="1:66" ht="12.95" customHeight="1">
      <c r="D280" s="3" t="s">
        <v>632</v>
      </c>
      <c r="E280" s="3"/>
      <c r="F280" s="3"/>
      <c r="G280" s="3"/>
      <c r="H280" s="3"/>
      <c r="I280" s="3"/>
      <c r="L280" s="1449" t="s">
        <v>2752</v>
      </c>
      <c r="M280" s="1449"/>
      <c r="N280" s="1449"/>
      <c r="O280" s="1449"/>
      <c r="P280" s="1449"/>
      <c r="Q280" s="1449"/>
      <c r="R280" s="1449"/>
      <c r="S280" s="1449"/>
      <c r="T280" s="1449"/>
      <c r="U280" s="1449"/>
      <c r="V280" s="1449"/>
      <c r="W280" s="1449"/>
      <c r="X280" s="1449"/>
      <c r="Y280" s="1449"/>
      <c r="Z280" s="1449"/>
      <c r="AA280" s="1449"/>
      <c r="AB280" s="1449"/>
      <c r="AC280" s="1449"/>
      <c r="AD280" s="144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394" t="s">
        <v>550</v>
      </c>
      <c r="B282" s="1394"/>
      <c r="C282" s="1394"/>
      <c r="D282" s="1394"/>
      <c r="E282" s="1394"/>
      <c r="F282" s="1394"/>
      <c r="G282" s="1394"/>
      <c r="H282" s="1394"/>
      <c r="I282" s="1394"/>
      <c r="J282" s="1394"/>
      <c r="K282" s="1394"/>
      <c r="L282" s="1394"/>
      <c r="M282" s="1394"/>
      <c r="N282" s="1394"/>
      <c r="O282" s="1394"/>
      <c r="P282" s="1394"/>
      <c r="Q282" s="1394"/>
      <c r="R282" s="1394"/>
      <c r="S282" s="1394"/>
      <c r="T282" s="1394"/>
      <c r="U282" s="1394"/>
      <c r="V282" s="1394"/>
      <c r="W282" s="1394"/>
      <c r="X282" s="1394"/>
      <c r="Y282" s="1394"/>
      <c r="Z282" s="1394"/>
      <c r="AA282" s="1394"/>
      <c r="AB282" s="1394"/>
      <c r="AC282" s="1394"/>
      <c r="AD282" s="1394"/>
      <c r="AE282" s="1394"/>
      <c r="AF282" s="1394"/>
      <c r="AG282" s="1394"/>
      <c r="AH282" s="1394"/>
      <c r="AI282" s="1394"/>
      <c r="AJ282" s="1394"/>
      <c r="AK282" s="1394"/>
      <c r="AL282" s="1394"/>
      <c r="AM282" s="1394"/>
      <c r="AN282" s="1394"/>
      <c r="AO282" s="1394"/>
      <c r="AP282" s="1394"/>
      <c r="AQ282" s="1394"/>
      <c r="AR282" s="1394"/>
      <c r="AS282" s="1394"/>
      <c r="AT282" s="1394"/>
      <c r="AU282" s="95"/>
      <c r="AV282" s="95"/>
      <c r="AW282" s="95"/>
      <c r="AX282" s="95"/>
      <c r="AY282" s="95"/>
      <c r="BN282" s="34"/>
    </row>
    <row r="283" spans="1:66" ht="12.95" customHeight="1">
      <c r="A283" s="1394"/>
      <c r="B283" s="1394"/>
      <c r="C283" s="1394"/>
      <c r="D283" s="1394"/>
      <c r="E283" s="1394"/>
      <c r="F283" s="1394"/>
      <c r="G283" s="1394"/>
      <c r="H283" s="1394"/>
      <c r="I283" s="1394"/>
      <c r="J283" s="1394"/>
      <c r="K283" s="1394"/>
      <c r="L283" s="1394"/>
      <c r="M283" s="1394"/>
      <c r="N283" s="1394"/>
      <c r="O283" s="1394"/>
      <c r="P283" s="1394"/>
      <c r="Q283" s="1394"/>
      <c r="R283" s="1394"/>
      <c r="S283" s="1394"/>
      <c r="T283" s="1394"/>
      <c r="U283" s="1394"/>
      <c r="V283" s="1394"/>
      <c r="W283" s="1394"/>
      <c r="X283" s="1394"/>
      <c r="Y283" s="1394"/>
      <c r="Z283" s="1394"/>
      <c r="AA283" s="1394"/>
      <c r="AB283" s="1394"/>
      <c r="AC283" s="1394"/>
      <c r="AD283" s="1394"/>
      <c r="AE283" s="1394"/>
      <c r="AF283" s="1394"/>
      <c r="AG283" s="1394"/>
      <c r="AH283" s="1394"/>
      <c r="AI283" s="1394"/>
      <c r="AJ283" s="1394"/>
      <c r="AK283" s="1394"/>
      <c r="AL283" s="1394"/>
      <c r="AM283" s="1394"/>
      <c r="AN283" s="1394"/>
      <c r="AO283" s="1394"/>
      <c r="AP283" s="1394"/>
      <c r="AQ283" s="1394"/>
      <c r="AR283" s="1394"/>
      <c r="AS283" s="1394"/>
      <c r="AT283" s="139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93" t="s">
        <v>2657</v>
      </c>
      <c r="I287" s="1493"/>
      <c r="J287" s="1493"/>
      <c r="K287" s="1493"/>
      <c r="L287" s="1493"/>
      <c r="M287" s="1493"/>
      <c r="N287" s="1493"/>
      <c r="O287" s="1493"/>
      <c r="P287" s="1493"/>
      <c r="Q287" s="1493"/>
      <c r="R287" s="1493"/>
      <c r="T287" s="3" t="s">
        <v>576</v>
      </c>
      <c r="V287" s="3"/>
      <c r="W287" s="3"/>
      <c r="X287" s="3"/>
      <c r="Y287" s="3"/>
      <c r="AA287" s="1493" t="s">
        <v>2668</v>
      </c>
      <c r="AB287" s="1493"/>
      <c r="AC287" s="1493"/>
      <c r="AD287" s="1493"/>
      <c r="AE287" s="1493"/>
      <c r="AF287" s="1493"/>
      <c r="AG287" s="1493"/>
      <c r="AH287" s="1493"/>
      <c r="AI287" s="1493"/>
      <c r="AJ287" s="1493"/>
      <c r="AK287" s="1493"/>
      <c r="BN287" s="34"/>
    </row>
    <row r="288" spans="1:66" ht="12.95" customHeight="1">
      <c r="B288" s="3" t="s">
        <v>480</v>
      </c>
      <c r="C288" s="3"/>
      <c r="D288" s="3"/>
      <c r="E288" s="3"/>
      <c r="F288" s="3"/>
      <c r="H288" s="1516" t="s">
        <v>2650</v>
      </c>
      <c r="I288" s="1516"/>
      <c r="J288" s="1516"/>
      <c r="K288" s="1516"/>
      <c r="L288" s="1516"/>
      <c r="M288" s="1516"/>
      <c r="N288" s="1516"/>
      <c r="O288" s="1516"/>
      <c r="P288" s="1516"/>
      <c r="Q288" s="1516"/>
      <c r="R288" s="1516"/>
      <c r="T288" s="3" t="s">
        <v>480</v>
      </c>
      <c r="V288" s="3"/>
      <c r="W288" s="3"/>
      <c r="X288" s="3"/>
      <c r="Y288" s="3"/>
      <c r="AA288" s="1516" t="s">
        <v>2669</v>
      </c>
      <c r="AB288" s="1516"/>
      <c r="AC288" s="1516"/>
      <c r="AD288" s="1516"/>
      <c r="AE288" s="1516"/>
      <c r="AF288" s="1516"/>
      <c r="AG288" s="1516"/>
      <c r="AH288" s="1516"/>
      <c r="AI288" s="1516"/>
      <c r="AJ288" s="1516"/>
      <c r="AK288" s="1516"/>
      <c r="BN288" s="34"/>
    </row>
    <row r="289" spans="2:66" ht="12.95" customHeight="1">
      <c r="B289" s="3" t="s">
        <v>481</v>
      </c>
      <c r="C289" s="3"/>
      <c r="D289" s="3"/>
      <c r="E289" s="3"/>
      <c r="F289" s="3"/>
      <c r="H289" s="1516" t="s">
        <v>2667</v>
      </c>
      <c r="I289" s="1516"/>
      <c r="J289" s="1516"/>
      <c r="K289" s="1516"/>
      <c r="L289" s="1516"/>
      <c r="M289" s="1516"/>
      <c r="N289" s="1516"/>
      <c r="O289" s="1516"/>
      <c r="P289" s="1516"/>
      <c r="Q289" s="1516"/>
      <c r="R289" s="1516"/>
      <c r="T289" s="3" t="s">
        <v>75</v>
      </c>
      <c r="V289" s="3"/>
      <c r="W289" s="3"/>
      <c r="X289" s="3"/>
      <c r="Y289" s="3"/>
      <c r="AA289" s="1516" t="s">
        <v>2670</v>
      </c>
      <c r="AB289" s="1516"/>
      <c r="AC289" s="1516"/>
      <c r="AD289" s="1516"/>
      <c r="AE289" s="1516"/>
      <c r="AF289" s="1516"/>
      <c r="AG289" s="1516"/>
      <c r="AH289" s="1516"/>
      <c r="AI289" s="1516"/>
      <c r="AJ289" s="1516"/>
      <c r="AK289" s="1516"/>
      <c r="BN289" s="34"/>
    </row>
    <row r="290" spans="2:66" ht="12.95" customHeight="1">
      <c r="B290" s="3" t="s">
        <v>87</v>
      </c>
      <c r="C290" s="3"/>
      <c r="D290" s="3"/>
      <c r="E290" s="3"/>
      <c r="F290" s="3"/>
      <c r="H290" s="1516" t="s">
        <v>2652</v>
      </c>
      <c r="I290" s="1516"/>
      <c r="J290" s="1516"/>
      <c r="K290" s="1516"/>
      <c r="L290" s="1516"/>
      <c r="M290" s="1516"/>
      <c r="N290" s="1516"/>
      <c r="O290" s="1516"/>
      <c r="P290" s="1516"/>
      <c r="Q290" s="1516"/>
      <c r="R290" s="1516"/>
      <c r="T290" s="3" t="s">
        <v>87</v>
      </c>
      <c r="V290" s="3"/>
      <c r="W290" s="3"/>
      <c r="X290" s="3"/>
      <c r="Y290" s="3"/>
      <c r="AA290" s="1516" t="s">
        <v>2671</v>
      </c>
      <c r="AB290" s="1516"/>
      <c r="AC290" s="1516"/>
      <c r="AD290" s="1516"/>
      <c r="AE290" s="1516"/>
      <c r="AF290" s="1516"/>
      <c r="AG290" s="1516"/>
      <c r="AH290" s="1516"/>
      <c r="AI290" s="1516"/>
      <c r="AJ290" s="1516"/>
      <c r="AK290" s="1516"/>
      <c r="BN290" s="34"/>
    </row>
    <row r="291" spans="2:66" ht="12.95" customHeight="1">
      <c r="B291" s="3" t="s">
        <v>88</v>
      </c>
      <c r="C291" s="3"/>
      <c r="D291" s="3"/>
      <c r="E291" s="3"/>
      <c r="F291" s="3"/>
      <c r="G291" s="3"/>
      <c r="H291" s="1706" t="s">
        <v>2653</v>
      </c>
      <c r="I291" s="1706"/>
      <c r="J291" s="1706"/>
      <c r="K291" s="1706"/>
      <c r="L291" s="1706"/>
      <c r="M291" s="1706"/>
      <c r="N291" s="4" t="s">
        <v>207</v>
      </c>
      <c r="O291" s="4"/>
      <c r="P291" s="1794"/>
      <c r="Q291" s="1794"/>
      <c r="R291" s="1794"/>
      <c r="S291" s="3"/>
      <c r="T291" s="3" t="s">
        <v>88</v>
      </c>
      <c r="V291" s="3"/>
      <c r="W291" s="3"/>
      <c r="X291" s="3"/>
      <c r="Y291" s="3"/>
      <c r="AA291" s="1706" t="s">
        <v>2672</v>
      </c>
      <c r="AB291" s="1706"/>
      <c r="AC291" s="1706"/>
      <c r="AD291" s="1706"/>
      <c r="AE291" s="1706"/>
      <c r="AF291" s="1706"/>
      <c r="AG291" s="4" t="s">
        <v>207</v>
      </c>
      <c r="AH291" s="4"/>
      <c r="AI291" s="1794"/>
      <c r="AJ291" s="1794"/>
      <c r="AK291" s="1794"/>
      <c r="BN291" s="34"/>
    </row>
    <row r="292" spans="2:66" ht="12.95" customHeight="1">
      <c r="B292" s="3" t="s">
        <v>89</v>
      </c>
      <c r="C292" s="3"/>
      <c r="D292" s="3"/>
      <c r="E292" s="3"/>
      <c r="F292" s="3"/>
      <c r="G292" s="3"/>
      <c r="H292" s="1492"/>
      <c r="I292" s="1492"/>
      <c r="J292" s="1492"/>
      <c r="K292" s="1492"/>
      <c r="L292" s="1492"/>
      <c r="M292" s="1492"/>
      <c r="N292" s="4"/>
      <c r="O292" s="4"/>
      <c r="P292" s="35"/>
      <c r="Q292" s="35"/>
      <c r="R292" s="35"/>
      <c r="S292" s="3"/>
      <c r="T292" s="3" t="s">
        <v>89</v>
      </c>
      <c r="V292" s="3"/>
      <c r="W292" s="3"/>
      <c r="X292" s="3"/>
      <c r="Y292" s="3"/>
      <c r="AA292" s="1492"/>
      <c r="AB292" s="1492"/>
      <c r="AC292" s="1492"/>
      <c r="AD292" s="1492"/>
      <c r="AE292" s="1492"/>
      <c r="AF292" s="1492"/>
      <c r="AG292" s="4"/>
      <c r="AH292" s="4"/>
      <c r="AI292" s="35"/>
      <c r="AJ292" s="35"/>
      <c r="AK292" s="35"/>
      <c r="BN292" s="34"/>
    </row>
    <row r="293" spans="2:66" ht="12.95" customHeight="1">
      <c r="B293" s="3" t="s">
        <v>76</v>
      </c>
      <c r="C293" s="3"/>
      <c r="D293" s="3"/>
      <c r="E293" s="3"/>
      <c r="F293" s="3"/>
      <c r="G293" s="3"/>
      <c r="H293" s="1516" t="s">
        <v>2654</v>
      </c>
      <c r="I293" s="1516"/>
      <c r="J293" s="1516"/>
      <c r="K293" s="1516"/>
      <c r="L293" s="1516"/>
      <c r="M293" s="1516"/>
      <c r="N293" s="1493"/>
      <c r="O293" s="1493"/>
      <c r="P293" s="1493"/>
      <c r="Q293" s="1493"/>
      <c r="R293" s="1493"/>
      <c r="S293" s="3"/>
      <c r="T293" s="3" t="s">
        <v>76</v>
      </c>
      <c r="V293" s="3"/>
      <c r="W293" s="3"/>
      <c r="X293" s="3"/>
      <c r="Y293" s="3"/>
      <c r="AA293" s="1516" t="s">
        <v>2673</v>
      </c>
      <c r="AB293" s="1516"/>
      <c r="AC293" s="1516"/>
      <c r="AD293" s="1516"/>
      <c r="AE293" s="1516"/>
      <c r="AF293" s="1516"/>
      <c r="AG293" s="1493"/>
      <c r="AH293" s="1493"/>
      <c r="AI293" s="1493"/>
      <c r="AJ293" s="1493"/>
      <c r="AK293" s="1493"/>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93" t="s">
        <v>2737</v>
      </c>
      <c r="I295" s="1493"/>
      <c r="J295" s="1493"/>
      <c r="K295" s="1493"/>
      <c r="L295" s="1493"/>
      <c r="M295" s="1493"/>
      <c r="N295" s="1493"/>
      <c r="O295" s="1493"/>
      <c r="P295" s="1493"/>
      <c r="Q295" s="1493"/>
      <c r="R295" s="1493"/>
      <c r="T295" s="3" t="s">
        <v>365</v>
      </c>
      <c r="V295" s="3"/>
      <c r="W295" s="3"/>
      <c r="X295" s="3"/>
      <c r="Y295" s="3"/>
      <c r="AA295" s="1493" t="s">
        <v>2742</v>
      </c>
      <c r="AB295" s="1493"/>
      <c r="AC295" s="1493"/>
      <c r="AD295" s="1493"/>
      <c r="AE295" s="1493"/>
      <c r="AF295" s="1493"/>
      <c r="AG295" s="1493"/>
      <c r="AH295" s="1493"/>
      <c r="AI295" s="1493"/>
      <c r="AJ295" s="1493"/>
      <c r="AK295" s="1493"/>
      <c r="BN295" s="34"/>
    </row>
    <row r="296" spans="2:66" ht="12.95" customHeight="1">
      <c r="B296" s="3" t="s">
        <v>480</v>
      </c>
      <c r="C296" s="3"/>
      <c r="D296" s="3"/>
      <c r="E296" s="3"/>
      <c r="F296" s="3"/>
      <c r="H296" s="1516" t="s">
        <v>2738</v>
      </c>
      <c r="I296" s="1516"/>
      <c r="J296" s="1516"/>
      <c r="K296" s="1516"/>
      <c r="L296" s="1516"/>
      <c r="M296" s="1516"/>
      <c r="N296" s="1516"/>
      <c r="O296" s="1516"/>
      <c r="P296" s="1516"/>
      <c r="Q296" s="1516"/>
      <c r="R296" s="1516"/>
      <c r="T296" s="3" t="s">
        <v>480</v>
      </c>
      <c r="V296" s="3"/>
      <c r="W296" s="3"/>
      <c r="X296" s="3"/>
      <c r="Y296" s="3"/>
      <c r="AA296" s="1516"/>
      <c r="AB296" s="1516"/>
      <c r="AC296" s="1516"/>
      <c r="AD296" s="1516"/>
      <c r="AE296" s="1516"/>
      <c r="AF296" s="1516"/>
      <c r="AG296" s="1516"/>
      <c r="AH296" s="1516"/>
      <c r="AI296" s="1516"/>
      <c r="AJ296" s="1516"/>
      <c r="AK296" s="1516"/>
      <c r="BN296" s="34"/>
    </row>
    <row r="297" spans="2:66" ht="12.95" customHeight="1">
      <c r="B297" s="3" t="s">
        <v>481</v>
      </c>
      <c r="C297" s="3"/>
      <c r="D297" s="3"/>
      <c r="E297" s="3"/>
      <c r="F297" s="3"/>
      <c r="H297" s="1516" t="s">
        <v>2729</v>
      </c>
      <c r="I297" s="1516"/>
      <c r="J297" s="1516"/>
      <c r="K297" s="1516"/>
      <c r="L297" s="1516"/>
      <c r="M297" s="1516"/>
      <c r="N297" s="1516"/>
      <c r="O297" s="1516"/>
      <c r="P297" s="1516"/>
      <c r="Q297" s="1516"/>
      <c r="R297" s="1516"/>
      <c r="T297" s="3" t="s">
        <v>75</v>
      </c>
      <c r="V297" s="3"/>
      <c r="W297" s="3"/>
      <c r="X297" s="3"/>
      <c r="Y297" s="3"/>
      <c r="AA297" s="1516"/>
      <c r="AB297" s="1516"/>
      <c r="AC297" s="1516"/>
      <c r="AD297" s="1516"/>
      <c r="AE297" s="1516"/>
      <c r="AF297" s="1516"/>
      <c r="AG297" s="1516"/>
      <c r="AH297" s="1516"/>
      <c r="AI297" s="1516"/>
      <c r="AJ297" s="1516"/>
      <c r="AK297" s="1516"/>
      <c r="BN297" s="34"/>
    </row>
    <row r="298" spans="2:66" ht="12.95" customHeight="1">
      <c r="B298" s="3" t="s">
        <v>87</v>
      </c>
      <c r="C298" s="3"/>
      <c r="D298" s="3"/>
      <c r="E298" s="3"/>
      <c r="F298" s="3"/>
      <c r="H298" s="1516" t="s">
        <v>2739</v>
      </c>
      <c r="I298" s="1516"/>
      <c r="J298" s="1516"/>
      <c r="K298" s="1516"/>
      <c r="L298" s="1516"/>
      <c r="M298" s="1516"/>
      <c r="N298" s="1516"/>
      <c r="O298" s="1516"/>
      <c r="P298" s="1516"/>
      <c r="Q298" s="1516"/>
      <c r="R298" s="1516"/>
      <c r="T298" s="3" t="s">
        <v>87</v>
      </c>
      <c r="V298" s="3"/>
      <c r="W298" s="3"/>
      <c r="X298" s="3"/>
      <c r="Y298" s="3"/>
      <c r="AA298" s="1516"/>
      <c r="AB298" s="1516"/>
      <c r="AC298" s="1516"/>
      <c r="AD298" s="1516"/>
      <c r="AE298" s="1516"/>
      <c r="AF298" s="1516"/>
      <c r="AG298" s="1516"/>
      <c r="AH298" s="1516"/>
      <c r="AI298" s="1516"/>
      <c r="AJ298" s="1516"/>
      <c r="AK298" s="1516"/>
      <c r="BN298" s="34"/>
    </row>
    <row r="299" spans="2:66" ht="12.95" customHeight="1">
      <c r="B299" s="3" t="s">
        <v>88</v>
      </c>
      <c r="C299" s="3"/>
      <c r="D299" s="3"/>
      <c r="E299" s="3"/>
      <c r="F299" s="3"/>
      <c r="G299" s="3"/>
      <c r="H299" s="1793" t="s">
        <v>2740</v>
      </c>
      <c r="I299" s="1706"/>
      <c r="J299" s="1706"/>
      <c r="K299" s="1706"/>
      <c r="L299" s="1706"/>
      <c r="M299" s="1706"/>
      <c r="N299" s="4" t="s">
        <v>207</v>
      </c>
      <c r="O299" s="4"/>
      <c r="P299" s="1794"/>
      <c r="Q299" s="1794"/>
      <c r="R299" s="1794"/>
      <c r="S299" s="3"/>
      <c r="T299" s="3" t="s">
        <v>88</v>
      </c>
      <c r="V299" s="3"/>
      <c r="W299" s="3"/>
      <c r="X299" s="3"/>
      <c r="Y299" s="3"/>
      <c r="AA299" s="1706"/>
      <c r="AB299" s="1706"/>
      <c r="AC299" s="1706"/>
      <c r="AD299" s="1706"/>
      <c r="AE299" s="1706"/>
      <c r="AF299" s="1706"/>
      <c r="AG299" s="4" t="s">
        <v>207</v>
      </c>
      <c r="AH299" s="4"/>
      <c r="AI299" s="1794"/>
      <c r="AJ299" s="1794"/>
      <c r="AK299" s="1794"/>
      <c r="BN299" s="34"/>
    </row>
    <row r="300" spans="2:66" ht="12.95" customHeight="1">
      <c r="B300" s="3" t="s">
        <v>89</v>
      </c>
      <c r="C300" s="3"/>
      <c r="D300" s="3"/>
      <c r="E300" s="3"/>
      <c r="F300" s="3"/>
      <c r="G300" s="3"/>
      <c r="H300" s="1492"/>
      <c r="I300" s="1492"/>
      <c r="J300" s="1492"/>
      <c r="K300" s="1492"/>
      <c r="L300" s="1492"/>
      <c r="M300" s="1492"/>
      <c r="N300" s="4"/>
      <c r="O300" s="4"/>
      <c r="P300" s="35"/>
      <c r="Q300" s="35"/>
      <c r="R300" s="35"/>
      <c r="S300" s="3"/>
      <c r="T300" s="3" t="s">
        <v>89</v>
      </c>
      <c r="V300" s="3"/>
      <c r="W300" s="3"/>
      <c r="X300" s="3"/>
      <c r="Y300" s="3"/>
      <c r="AA300" s="1492"/>
      <c r="AB300" s="1492"/>
      <c r="AC300" s="1492"/>
      <c r="AD300" s="1492"/>
      <c r="AE300" s="1492"/>
      <c r="AF300" s="1492"/>
      <c r="AG300" s="4"/>
      <c r="AH300" s="4"/>
      <c r="AI300" s="35"/>
      <c r="AJ300" s="35"/>
      <c r="AK300" s="35"/>
      <c r="BN300" s="34"/>
    </row>
    <row r="301" spans="2:66" ht="12.95" customHeight="1">
      <c r="B301" s="3" t="s">
        <v>76</v>
      </c>
      <c r="C301" s="3"/>
      <c r="D301" s="3"/>
      <c r="E301" s="3"/>
      <c r="F301" s="3"/>
      <c r="G301" s="3"/>
      <c r="H301" s="1516" t="s">
        <v>2741</v>
      </c>
      <c r="I301" s="1516"/>
      <c r="J301" s="1516"/>
      <c r="K301" s="1516"/>
      <c r="L301" s="1516"/>
      <c r="M301" s="1516"/>
      <c r="N301" s="1493"/>
      <c r="O301" s="1493"/>
      <c r="P301" s="1493"/>
      <c r="Q301" s="1493"/>
      <c r="R301" s="1493"/>
      <c r="S301" s="3"/>
      <c r="T301" s="3" t="s">
        <v>76</v>
      </c>
      <c r="V301" s="3"/>
      <c r="W301" s="3"/>
      <c r="X301" s="3"/>
      <c r="Y301" s="3"/>
      <c r="AA301" s="1516"/>
      <c r="AB301" s="1516"/>
      <c r="AC301" s="1516"/>
      <c r="AD301" s="1516"/>
      <c r="AE301" s="1516"/>
      <c r="AF301" s="1516"/>
      <c r="AG301" s="1493"/>
      <c r="AH301" s="1493"/>
      <c r="AI301" s="1493"/>
      <c r="AJ301" s="1493"/>
      <c r="AK301" s="1493"/>
      <c r="BN301" s="34"/>
    </row>
    <row r="302" spans="2:66" ht="12.95" customHeight="1">
      <c r="BN302" s="34"/>
    </row>
    <row r="303" spans="2:66" ht="12.95" customHeight="1">
      <c r="B303" s="3" t="s">
        <v>77</v>
      </c>
      <c r="C303" s="3"/>
      <c r="D303" s="3"/>
      <c r="E303" s="3"/>
      <c r="F303" s="3"/>
      <c r="H303" s="1493" t="s">
        <v>2742</v>
      </c>
      <c r="I303" s="1493"/>
      <c r="J303" s="1493"/>
      <c r="K303" s="1493"/>
      <c r="L303" s="1493"/>
      <c r="M303" s="1493"/>
      <c r="N303" s="1493"/>
      <c r="O303" s="1493"/>
      <c r="P303" s="1493"/>
      <c r="Q303" s="1493"/>
      <c r="R303" s="1493"/>
      <c r="T303" s="4" t="s">
        <v>891</v>
      </c>
      <c r="V303" s="3"/>
      <c r="W303" s="3"/>
      <c r="X303" s="3"/>
      <c r="Y303" s="3"/>
      <c r="AA303" s="1493" t="s">
        <v>2674</v>
      </c>
      <c r="AB303" s="1493"/>
      <c r="AC303" s="1493"/>
      <c r="AD303" s="1493"/>
      <c r="AE303" s="1493"/>
      <c r="AF303" s="1493"/>
      <c r="AG303" s="1493"/>
      <c r="AH303" s="1493"/>
      <c r="AI303" s="1493"/>
      <c r="AJ303" s="1493"/>
      <c r="AK303" s="1493"/>
      <c r="BN303" s="34"/>
    </row>
    <row r="304" spans="2:66" ht="12.95" customHeight="1">
      <c r="B304" s="3" t="s">
        <v>480</v>
      </c>
      <c r="C304" s="3"/>
      <c r="D304" s="3"/>
      <c r="E304" s="3"/>
      <c r="F304" s="3"/>
      <c r="H304" s="1516"/>
      <c r="I304" s="1516"/>
      <c r="J304" s="1516"/>
      <c r="K304" s="1516"/>
      <c r="L304" s="1516"/>
      <c r="M304" s="1516"/>
      <c r="N304" s="1516"/>
      <c r="O304" s="1516"/>
      <c r="P304" s="1516"/>
      <c r="Q304" s="1516"/>
      <c r="R304" s="1516"/>
      <c r="T304" s="3" t="s">
        <v>480</v>
      </c>
      <c r="V304" s="3"/>
      <c r="W304" s="3"/>
      <c r="X304" s="3"/>
      <c r="Y304" s="3"/>
      <c r="AA304" s="1516" t="s">
        <v>2693</v>
      </c>
      <c r="AB304" s="1516"/>
      <c r="AC304" s="1516"/>
      <c r="AD304" s="1516"/>
      <c r="AE304" s="1516"/>
      <c r="AF304" s="1516"/>
      <c r="AG304" s="1516"/>
      <c r="AH304" s="1516"/>
      <c r="AI304" s="1516"/>
      <c r="AJ304" s="1516"/>
      <c r="AK304" s="1516"/>
      <c r="BN304" s="34"/>
    </row>
    <row r="305" spans="2:66" ht="12.95" customHeight="1">
      <c r="B305" s="3" t="s">
        <v>481</v>
      </c>
      <c r="C305" s="3"/>
      <c r="D305" s="3"/>
      <c r="E305" s="3"/>
      <c r="F305" s="3"/>
      <c r="H305" s="1516"/>
      <c r="I305" s="1516"/>
      <c r="J305" s="1516"/>
      <c r="K305" s="1516"/>
      <c r="L305" s="1516"/>
      <c r="M305" s="1516"/>
      <c r="N305" s="1516"/>
      <c r="O305" s="1516"/>
      <c r="P305" s="1516"/>
      <c r="Q305" s="1516"/>
      <c r="R305" s="1516"/>
      <c r="T305" s="3" t="s">
        <v>75</v>
      </c>
      <c r="V305" s="3"/>
      <c r="W305" s="3"/>
      <c r="X305" s="3"/>
      <c r="Y305" s="3"/>
      <c r="AA305" s="1516" t="s">
        <v>2706</v>
      </c>
      <c r="AB305" s="1516"/>
      <c r="AC305" s="1516"/>
      <c r="AD305" s="1516"/>
      <c r="AE305" s="1516"/>
      <c r="AF305" s="1516"/>
      <c r="AG305" s="1516"/>
      <c r="AH305" s="1516"/>
      <c r="AI305" s="1516"/>
      <c r="AJ305" s="1516"/>
      <c r="AK305" s="1516"/>
      <c r="BN305" s="34"/>
    </row>
    <row r="306" spans="2:66" ht="12.95" customHeight="1">
      <c r="B306" s="3" t="s">
        <v>87</v>
      </c>
      <c r="C306" s="3"/>
      <c r="D306" s="3"/>
      <c r="E306" s="3"/>
      <c r="F306" s="3"/>
      <c r="H306" s="1516"/>
      <c r="I306" s="1516"/>
      <c r="J306" s="1516"/>
      <c r="K306" s="1516"/>
      <c r="L306" s="1516"/>
      <c r="M306" s="1516"/>
      <c r="N306" s="1516"/>
      <c r="O306" s="1516"/>
      <c r="P306" s="1516"/>
      <c r="Q306" s="1516"/>
      <c r="R306" s="1516"/>
      <c r="T306" s="3" t="s">
        <v>87</v>
      </c>
      <c r="V306" s="3"/>
      <c r="W306" s="3"/>
      <c r="X306" s="3"/>
      <c r="Y306" s="3"/>
      <c r="AA306" s="1516" t="s">
        <v>2704</v>
      </c>
      <c r="AB306" s="1516"/>
      <c r="AC306" s="1516"/>
      <c r="AD306" s="1516"/>
      <c r="AE306" s="1516"/>
      <c r="AF306" s="1516"/>
      <c r="AG306" s="1516"/>
      <c r="AH306" s="1516"/>
      <c r="AI306" s="1516"/>
      <c r="AJ306" s="1516"/>
      <c r="AK306" s="1516"/>
      <c r="BN306" s="34"/>
    </row>
    <row r="307" spans="2:66" ht="12.95" customHeight="1">
      <c r="B307" s="3" t="s">
        <v>88</v>
      </c>
      <c r="C307" s="3"/>
      <c r="D307" s="3"/>
      <c r="E307" s="3"/>
      <c r="F307" s="3"/>
      <c r="G307" s="3"/>
      <c r="H307" s="1706"/>
      <c r="I307" s="1706"/>
      <c r="J307" s="1706"/>
      <c r="K307" s="1706"/>
      <c r="L307" s="1706"/>
      <c r="M307" s="1706"/>
      <c r="N307" s="4" t="s">
        <v>207</v>
      </c>
      <c r="O307" s="4"/>
      <c r="P307" s="1794"/>
      <c r="Q307" s="1794"/>
      <c r="R307" s="1794"/>
      <c r="S307" s="3"/>
      <c r="T307" s="3" t="s">
        <v>88</v>
      </c>
      <c r="V307" s="3"/>
      <c r="W307" s="3"/>
      <c r="X307" s="3"/>
      <c r="Y307" s="3"/>
      <c r="AA307" s="1793" t="s">
        <v>2707</v>
      </c>
      <c r="AB307" s="1706"/>
      <c r="AC307" s="1706"/>
      <c r="AD307" s="1706"/>
      <c r="AE307" s="1706"/>
      <c r="AF307" s="1706"/>
      <c r="AG307" s="4" t="s">
        <v>207</v>
      </c>
      <c r="AH307" s="4"/>
      <c r="AI307" s="1794"/>
      <c r="AJ307" s="1794"/>
      <c r="AK307" s="1794"/>
      <c r="BN307" s="34"/>
    </row>
    <row r="308" spans="2:66" ht="12.95" customHeight="1">
      <c r="B308" s="3" t="s">
        <v>89</v>
      </c>
      <c r="C308" s="3"/>
      <c r="D308" s="3"/>
      <c r="E308" s="3"/>
      <c r="F308" s="3"/>
      <c r="G308" s="3"/>
      <c r="H308" s="1492"/>
      <c r="I308" s="1492"/>
      <c r="J308" s="1492"/>
      <c r="K308" s="1492"/>
      <c r="L308" s="1492"/>
      <c r="M308" s="1492"/>
      <c r="N308" s="4"/>
      <c r="O308" s="4"/>
      <c r="P308" s="35"/>
      <c r="Q308" s="35"/>
      <c r="R308" s="35"/>
      <c r="S308" s="3"/>
      <c r="T308" s="3" t="s">
        <v>89</v>
      </c>
      <c r="V308" s="3"/>
      <c r="W308" s="3"/>
      <c r="X308" s="3"/>
      <c r="Y308" s="3"/>
      <c r="AA308" s="1492"/>
      <c r="AB308" s="1492"/>
      <c r="AC308" s="1492"/>
      <c r="AD308" s="1492"/>
      <c r="AE308" s="1492"/>
      <c r="AF308" s="1492"/>
      <c r="AG308" s="4"/>
      <c r="AH308" s="4"/>
      <c r="AI308" s="35"/>
      <c r="AJ308" s="35"/>
      <c r="AK308" s="35"/>
      <c r="BN308" s="34"/>
    </row>
    <row r="309" spans="2:66" ht="12.95" customHeight="1">
      <c r="B309" s="3" t="s">
        <v>76</v>
      </c>
      <c r="C309" s="3"/>
      <c r="D309" s="3"/>
      <c r="E309" s="3"/>
      <c r="F309" s="3"/>
      <c r="G309" s="3"/>
      <c r="H309" s="1516"/>
      <c r="I309" s="1516"/>
      <c r="J309" s="1516"/>
      <c r="K309" s="1516"/>
      <c r="L309" s="1516"/>
      <c r="M309" s="1516"/>
      <c r="N309" s="1493"/>
      <c r="O309" s="1493"/>
      <c r="P309" s="1493"/>
      <c r="Q309" s="1493"/>
      <c r="R309" s="1493"/>
      <c r="S309" s="3"/>
      <c r="T309" s="3" t="s">
        <v>76</v>
      </c>
      <c r="V309" s="3"/>
      <c r="W309" s="3"/>
      <c r="X309" s="3"/>
      <c r="Y309" s="3"/>
      <c r="AA309" s="1516" t="s">
        <v>2705</v>
      </c>
      <c r="AB309" s="1516"/>
      <c r="AC309" s="1516"/>
      <c r="AD309" s="1516"/>
      <c r="AE309" s="1516"/>
      <c r="AF309" s="1516"/>
      <c r="AG309" s="1493"/>
      <c r="AH309" s="1493"/>
      <c r="AI309" s="1493"/>
      <c r="AJ309" s="1493"/>
      <c r="AK309" s="1493"/>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93" t="s">
        <v>2725</v>
      </c>
      <c r="I311" s="1493"/>
      <c r="J311" s="1493"/>
      <c r="K311" s="1493"/>
      <c r="L311" s="1493"/>
      <c r="M311" s="1493"/>
      <c r="N311" s="1493"/>
      <c r="O311" s="1493"/>
      <c r="P311" s="1493"/>
      <c r="Q311" s="1493"/>
      <c r="R311" s="1493"/>
      <c r="S311" s="3"/>
      <c r="T311" s="3" t="s">
        <v>366</v>
      </c>
      <c r="V311" s="3"/>
      <c r="W311" s="3"/>
      <c r="X311" s="3"/>
      <c r="Y311" s="3"/>
      <c r="AA311" s="1493" t="s">
        <v>2708</v>
      </c>
      <c r="AB311" s="1493"/>
      <c r="AC311" s="1493"/>
      <c r="AD311" s="1493"/>
      <c r="AE311" s="1493"/>
      <c r="AF311" s="1493"/>
      <c r="AG311" s="1493"/>
      <c r="AH311" s="1493"/>
      <c r="AI311" s="1493"/>
      <c r="AJ311" s="1493"/>
      <c r="AK311" s="1493"/>
      <c r="BN311" s="34"/>
    </row>
    <row r="312" spans="2:66" ht="12.95" customHeight="1">
      <c r="B312" s="3" t="s">
        <v>480</v>
      </c>
      <c r="C312" s="3"/>
      <c r="D312" s="3"/>
      <c r="E312" s="3"/>
      <c r="F312" s="3"/>
      <c r="H312" s="1516" t="s">
        <v>2743</v>
      </c>
      <c r="I312" s="1516"/>
      <c r="J312" s="1516"/>
      <c r="K312" s="1516"/>
      <c r="L312" s="1516"/>
      <c r="M312" s="1516"/>
      <c r="N312" s="1516"/>
      <c r="O312" s="1516"/>
      <c r="P312" s="1516"/>
      <c r="Q312" s="1516"/>
      <c r="R312" s="1516"/>
      <c r="S312" s="3"/>
      <c r="T312" s="3" t="s">
        <v>480</v>
      </c>
      <c r="V312" s="3"/>
      <c r="W312" s="3"/>
      <c r="X312" s="3"/>
      <c r="Y312" s="3"/>
      <c r="AA312" s="1516" t="s">
        <v>2709</v>
      </c>
      <c r="AB312" s="1516"/>
      <c r="AC312" s="1516"/>
      <c r="AD312" s="1516"/>
      <c r="AE312" s="1516"/>
      <c r="AF312" s="1516"/>
      <c r="AG312" s="1516"/>
      <c r="AH312" s="1516"/>
      <c r="AI312" s="1516"/>
      <c r="AJ312" s="1516"/>
      <c r="AK312" s="1516"/>
      <c r="BN312" s="34"/>
    </row>
    <row r="313" spans="2:66" ht="12.95" customHeight="1">
      <c r="B313" s="3" t="s">
        <v>481</v>
      </c>
      <c r="C313" s="3"/>
      <c r="D313" s="3"/>
      <c r="E313" s="3"/>
      <c r="F313" s="3"/>
      <c r="H313" s="1516" t="s">
        <v>2744</v>
      </c>
      <c r="I313" s="1516"/>
      <c r="J313" s="1516"/>
      <c r="K313" s="1516"/>
      <c r="L313" s="1516"/>
      <c r="M313" s="1516"/>
      <c r="N313" s="1516"/>
      <c r="O313" s="1516"/>
      <c r="P313" s="1516"/>
      <c r="Q313" s="1516"/>
      <c r="R313" s="1516"/>
      <c r="S313" s="3"/>
      <c r="T313" s="3" t="s">
        <v>75</v>
      </c>
      <c r="V313" s="3"/>
      <c r="W313" s="3"/>
      <c r="X313" s="3"/>
      <c r="Y313" s="3"/>
      <c r="AA313" s="1516" t="s">
        <v>2710</v>
      </c>
      <c r="AB313" s="1516"/>
      <c r="AC313" s="1516"/>
      <c r="AD313" s="1516"/>
      <c r="AE313" s="1516"/>
      <c r="AF313" s="1516"/>
      <c r="AG313" s="1516"/>
      <c r="AH313" s="1516"/>
      <c r="AI313" s="1516"/>
      <c r="AJ313" s="1516"/>
      <c r="AK313" s="1516"/>
      <c r="BN313" s="34"/>
    </row>
    <row r="314" spans="2:66" ht="12.95" customHeight="1">
      <c r="B314" s="3" t="s">
        <v>87</v>
      </c>
      <c r="C314" s="3"/>
      <c r="D314" s="3"/>
      <c r="E314" s="3"/>
      <c r="F314" s="3"/>
      <c r="H314" s="1516" t="s">
        <v>2724</v>
      </c>
      <c r="I314" s="1516"/>
      <c r="J314" s="1516"/>
      <c r="K314" s="1516"/>
      <c r="L314" s="1516"/>
      <c r="M314" s="1516"/>
      <c r="N314" s="1516"/>
      <c r="O314" s="1516"/>
      <c r="P314" s="1516"/>
      <c r="Q314" s="1516"/>
      <c r="R314" s="1516"/>
      <c r="S314" s="3"/>
      <c r="T314" s="3" t="s">
        <v>87</v>
      </c>
      <c r="V314" s="3"/>
      <c r="W314" s="3"/>
      <c r="X314" s="3"/>
      <c r="Y314" s="3"/>
      <c r="AA314" s="1516" t="s">
        <v>2722</v>
      </c>
      <c r="AB314" s="1516"/>
      <c r="AC314" s="1516"/>
      <c r="AD314" s="1516"/>
      <c r="AE314" s="1516"/>
      <c r="AF314" s="1516"/>
      <c r="AG314" s="1516"/>
      <c r="AH314" s="1516"/>
      <c r="AI314" s="1516"/>
      <c r="AJ314" s="1516"/>
      <c r="AK314" s="1516"/>
      <c r="BN314" s="34"/>
    </row>
    <row r="315" spans="2:66" ht="12.95" customHeight="1">
      <c r="B315" s="3" t="s">
        <v>88</v>
      </c>
      <c r="C315" s="3"/>
      <c r="D315" s="3"/>
      <c r="E315" s="3"/>
      <c r="F315" s="3"/>
      <c r="G315" s="3"/>
      <c r="H315" s="1793" t="s">
        <v>2726</v>
      </c>
      <c r="I315" s="1706"/>
      <c r="J315" s="1706"/>
      <c r="K315" s="1706"/>
      <c r="L315" s="1706"/>
      <c r="M315" s="1706"/>
      <c r="N315" s="4" t="s">
        <v>207</v>
      </c>
      <c r="O315" s="4"/>
      <c r="P315" s="1794"/>
      <c r="Q315" s="1794"/>
      <c r="R315" s="1794"/>
      <c r="S315" s="3"/>
      <c r="T315" s="3" t="s">
        <v>88</v>
      </c>
      <c r="V315" s="3"/>
      <c r="W315" s="3"/>
      <c r="X315" s="3"/>
      <c r="Y315" s="3"/>
      <c r="AA315" s="1793" t="s">
        <v>2723</v>
      </c>
      <c r="AB315" s="1706"/>
      <c r="AC315" s="1706"/>
      <c r="AD315" s="1706"/>
      <c r="AE315" s="1706"/>
      <c r="AF315" s="1706"/>
      <c r="AG315" s="4" t="s">
        <v>207</v>
      </c>
      <c r="AH315" s="4"/>
      <c r="AI315" s="1794"/>
      <c r="AJ315" s="1794"/>
      <c r="AK315" s="1794"/>
      <c r="BN315" s="34"/>
    </row>
    <row r="316" spans="2:66" ht="12.95" customHeight="1">
      <c r="B316" s="3" t="s">
        <v>89</v>
      </c>
      <c r="C316" s="3"/>
      <c r="D316" s="3"/>
      <c r="E316" s="3"/>
      <c r="F316" s="3"/>
      <c r="G316" s="3"/>
      <c r="H316" s="1492"/>
      <c r="I316" s="1492"/>
      <c r="J316" s="1492"/>
      <c r="K316" s="1492"/>
      <c r="L316" s="1492"/>
      <c r="M316" s="1492"/>
      <c r="N316" s="4"/>
      <c r="O316" s="4"/>
      <c r="P316" s="35"/>
      <c r="Q316" s="35"/>
      <c r="R316" s="35"/>
      <c r="S316" s="3"/>
      <c r="T316" s="3" t="s">
        <v>89</v>
      </c>
      <c r="V316" s="3"/>
      <c r="W316" s="3"/>
      <c r="X316" s="3"/>
      <c r="Y316" s="3"/>
      <c r="AA316" s="1492"/>
      <c r="AB316" s="1492"/>
      <c r="AC316" s="1492"/>
      <c r="AD316" s="1492"/>
      <c r="AE316" s="1492"/>
      <c r="AF316" s="1492"/>
      <c r="AG316" s="4"/>
      <c r="AH316" s="4"/>
      <c r="AI316" s="35"/>
      <c r="AJ316" s="35"/>
      <c r="AK316" s="35"/>
      <c r="BN316" s="34"/>
    </row>
    <row r="317" spans="2:66" ht="12.95" customHeight="1">
      <c r="B317" s="3" t="s">
        <v>76</v>
      </c>
      <c r="C317" s="3"/>
      <c r="D317" s="3"/>
      <c r="E317" s="3"/>
      <c r="F317" s="3"/>
      <c r="G317" s="3"/>
      <c r="H317" s="1516" t="s">
        <v>2745</v>
      </c>
      <c r="I317" s="1516"/>
      <c r="J317" s="1516"/>
      <c r="K317" s="1516"/>
      <c r="L317" s="1516"/>
      <c r="M317" s="1516"/>
      <c r="N317" s="1493"/>
      <c r="O317" s="1493"/>
      <c r="P317" s="1493"/>
      <c r="Q317" s="1493"/>
      <c r="R317" s="1493"/>
      <c r="S317" s="3"/>
      <c r="T317" s="3" t="s">
        <v>76</v>
      </c>
      <c r="V317" s="3"/>
      <c r="W317" s="3"/>
      <c r="X317" s="3"/>
      <c r="Y317" s="3"/>
      <c r="AA317" s="1516" t="s">
        <v>2746</v>
      </c>
      <c r="AB317" s="1516"/>
      <c r="AC317" s="1516"/>
      <c r="AD317" s="1516"/>
      <c r="AE317" s="1516"/>
      <c r="AF317" s="1516"/>
      <c r="AG317" s="1493"/>
      <c r="AH317" s="1493"/>
      <c r="AI317" s="1493"/>
      <c r="AJ317" s="1493"/>
      <c r="AK317" s="1493"/>
      <c r="BN317" s="34"/>
    </row>
    <row r="318" spans="2:66" ht="12.95" customHeight="1">
      <c r="BN318" s="34"/>
    </row>
    <row r="319" spans="2:66" ht="12.95" customHeight="1">
      <c r="B319" s="4" t="s">
        <v>924</v>
      </c>
      <c r="C319" s="3"/>
      <c r="D319" s="3"/>
      <c r="E319" s="3"/>
      <c r="F319" s="3"/>
      <c r="H319" s="1493"/>
      <c r="I319" s="1493"/>
      <c r="J319" s="1493"/>
      <c r="K319" s="1493"/>
      <c r="L319" s="1493"/>
      <c r="M319" s="1493"/>
      <c r="N319" s="1493"/>
      <c r="O319" s="1493"/>
      <c r="P319" s="1493"/>
      <c r="Q319" s="1493"/>
      <c r="R319" s="1493"/>
      <c r="T319" s="3" t="s">
        <v>367</v>
      </c>
      <c r="V319" s="3"/>
      <c r="W319" s="3"/>
      <c r="X319" s="3"/>
      <c r="Y319" s="3"/>
      <c r="AA319" s="1516" t="s">
        <v>2675</v>
      </c>
      <c r="AB319" s="1516"/>
      <c r="AC319" s="1516"/>
      <c r="AD319" s="1516"/>
      <c r="AE319" s="1516"/>
      <c r="AF319" s="1516"/>
      <c r="AG319" s="1516"/>
      <c r="AH319" s="1516"/>
      <c r="AI319" s="1516"/>
      <c r="AJ319" s="1516"/>
      <c r="AK319" s="1516"/>
      <c r="BN319" s="34"/>
    </row>
    <row r="320" spans="2:66" ht="12.95" customHeight="1">
      <c r="B320" s="3" t="s">
        <v>480</v>
      </c>
      <c r="C320" s="3"/>
      <c r="D320" s="3"/>
      <c r="E320" s="3"/>
      <c r="F320" s="3"/>
      <c r="H320" s="1516"/>
      <c r="I320" s="1516"/>
      <c r="J320" s="1516"/>
      <c r="K320" s="1516"/>
      <c r="L320" s="1516"/>
      <c r="M320" s="1516"/>
      <c r="N320" s="1516"/>
      <c r="O320" s="1516"/>
      <c r="P320" s="1516"/>
      <c r="Q320" s="1516"/>
      <c r="R320" s="1516"/>
      <c r="T320" s="3" t="s">
        <v>480</v>
      </c>
      <c r="V320" s="3"/>
      <c r="W320" s="3"/>
      <c r="X320" s="3"/>
      <c r="Y320" s="3"/>
      <c r="AA320" s="325" t="s">
        <v>2691</v>
      </c>
      <c r="AB320" s="325"/>
      <c r="AC320" s="325"/>
      <c r="AD320" s="325"/>
      <c r="AE320" s="325"/>
      <c r="AF320" s="325"/>
      <c r="AG320" s="325"/>
      <c r="AH320" s="325"/>
      <c r="AI320" s="325"/>
      <c r="AJ320" s="325"/>
      <c r="AK320" s="325"/>
      <c r="BN320" s="34"/>
    </row>
    <row r="321" spans="2:66" ht="12.95" customHeight="1">
      <c r="B321" s="3" t="s">
        <v>481</v>
      </c>
      <c r="C321" s="3"/>
      <c r="D321" s="3"/>
      <c r="E321" s="3"/>
      <c r="F321" s="3"/>
      <c r="H321" s="1516"/>
      <c r="I321" s="1516"/>
      <c r="J321" s="1516"/>
      <c r="K321" s="1516"/>
      <c r="L321" s="1516"/>
      <c r="M321" s="1516"/>
      <c r="N321" s="1516"/>
      <c r="O321" s="1516"/>
      <c r="P321" s="1516"/>
      <c r="Q321" s="1516"/>
      <c r="R321" s="1516"/>
      <c r="T321" s="3" t="s">
        <v>75</v>
      </c>
      <c r="V321" s="3"/>
      <c r="W321" s="3"/>
      <c r="X321" s="3"/>
      <c r="Y321" s="3"/>
      <c r="AA321" s="1516" t="s">
        <v>2692</v>
      </c>
      <c r="AB321" s="1516"/>
      <c r="AC321" s="1516"/>
      <c r="AD321" s="1516"/>
      <c r="AE321" s="1516"/>
      <c r="AF321" s="1516"/>
      <c r="AG321" s="1516"/>
      <c r="AH321" s="1516"/>
      <c r="AI321" s="1516"/>
      <c r="AJ321" s="1516"/>
      <c r="AK321" s="1516"/>
      <c r="BN321" s="34"/>
    </row>
    <row r="322" spans="2:66" ht="12.95" customHeight="1">
      <c r="B322" s="3" t="s">
        <v>87</v>
      </c>
      <c r="C322" s="3"/>
      <c r="D322" s="3"/>
      <c r="E322" s="3"/>
      <c r="F322" s="3"/>
      <c r="H322" s="1516"/>
      <c r="I322" s="1516"/>
      <c r="J322" s="1516"/>
      <c r="K322" s="1516"/>
      <c r="L322" s="1516"/>
      <c r="M322" s="1516"/>
      <c r="N322" s="1516"/>
      <c r="O322" s="1516"/>
      <c r="P322" s="1516"/>
      <c r="Q322" s="1516"/>
      <c r="R322" s="1516"/>
      <c r="T322" s="3" t="s">
        <v>87</v>
      </c>
      <c r="V322" s="3"/>
      <c r="W322" s="3"/>
      <c r="X322" s="3"/>
      <c r="Y322" s="3"/>
      <c r="AA322" s="1493" t="s">
        <v>2688</v>
      </c>
      <c r="AB322" s="1493"/>
      <c r="AC322" s="1493"/>
      <c r="AD322" s="1493"/>
      <c r="AE322" s="1493"/>
      <c r="AF322" s="1493"/>
      <c r="AG322" s="1493"/>
      <c r="AH322" s="1493"/>
      <c r="AI322" s="1493"/>
      <c r="AJ322" s="1493"/>
      <c r="AK322" s="1493"/>
      <c r="BN322" s="34"/>
    </row>
    <row r="323" spans="2:66" ht="12.95" customHeight="1">
      <c r="B323" s="3" t="s">
        <v>88</v>
      </c>
      <c r="C323" s="3"/>
      <c r="D323" s="3"/>
      <c r="E323" s="3"/>
      <c r="F323" s="3"/>
      <c r="G323" s="3"/>
      <c r="H323" s="1706"/>
      <c r="I323" s="1706"/>
      <c r="J323" s="1706"/>
      <c r="K323" s="1706"/>
      <c r="L323" s="1706"/>
      <c r="M323" s="1706"/>
      <c r="N323" s="4" t="s">
        <v>207</v>
      </c>
      <c r="O323" s="4"/>
      <c r="P323" s="1794"/>
      <c r="Q323" s="1794"/>
      <c r="R323" s="1794"/>
      <c r="S323" s="3"/>
      <c r="T323" s="3" t="s">
        <v>88</v>
      </c>
      <c r="V323" s="3"/>
      <c r="W323" s="3"/>
      <c r="X323" s="3"/>
      <c r="Y323" s="3"/>
      <c r="AA323" s="1793" t="s">
        <v>2689</v>
      </c>
      <c r="AB323" s="1706"/>
      <c r="AC323" s="1706"/>
      <c r="AD323" s="1706"/>
      <c r="AE323" s="1706"/>
      <c r="AF323" s="1706"/>
      <c r="AG323" s="4" t="s">
        <v>207</v>
      </c>
      <c r="AH323" s="4"/>
      <c r="AI323" s="1794"/>
      <c r="AJ323" s="1794"/>
      <c r="AK323" s="1794"/>
    </row>
    <row r="324" spans="2:66" ht="12.95" customHeight="1">
      <c r="B324" s="3" t="s">
        <v>89</v>
      </c>
      <c r="C324" s="3"/>
      <c r="D324" s="3"/>
      <c r="E324" s="3"/>
      <c r="F324" s="3"/>
      <c r="G324" s="3"/>
      <c r="H324" s="1492"/>
      <c r="I324" s="1492"/>
      <c r="J324" s="1492"/>
      <c r="K324" s="1492"/>
      <c r="L324" s="1492"/>
      <c r="M324" s="1492"/>
      <c r="N324" s="4"/>
      <c r="O324" s="4"/>
      <c r="P324" s="35"/>
      <c r="Q324" s="35"/>
      <c r="R324" s="35"/>
      <c r="S324" s="3"/>
      <c r="T324" s="3" t="s">
        <v>89</v>
      </c>
      <c r="V324" s="3"/>
      <c r="W324" s="3"/>
      <c r="X324" s="3"/>
      <c r="Y324" s="3"/>
      <c r="AA324" s="1492"/>
      <c r="AB324" s="1492"/>
      <c r="AC324" s="1492"/>
      <c r="AD324" s="1492"/>
      <c r="AE324" s="1492"/>
      <c r="AF324" s="1492"/>
      <c r="AG324" s="4"/>
      <c r="AH324" s="4"/>
      <c r="AI324" s="35"/>
      <c r="AJ324" s="35"/>
      <c r="AK324" s="35"/>
    </row>
    <row r="325" spans="2:66" ht="12.95" customHeight="1">
      <c r="B325" s="3" t="s">
        <v>76</v>
      </c>
      <c r="C325" s="3"/>
      <c r="D325" s="3"/>
      <c r="E325" s="3"/>
      <c r="F325" s="3"/>
      <c r="G325" s="3"/>
      <c r="H325" s="1516"/>
      <c r="I325" s="1516"/>
      <c r="J325" s="1516"/>
      <c r="K325" s="1516"/>
      <c r="L325" s="1516"/>
      <c r="M325" s="1516"/>
      <c r="N325" s="1493"/>
      <c r="O325" s="1493"/>
      <c r="P325" s="1493"/>
      <c r="Q325" s="1493"/>
      <c r="R325" s="1493"/>
      <c r="S325" s="3"/>
      <c r="T325" s="3" t="s">
        <v>76</v>
      </c>
      <c r="V325" s="3"/>
      <c r="W325" s="3"/>
      <c r="X325" s="3"/>
      <c r="Y325" s="3"/>
      <c r="AA325" s="1516" t="s">
        <v>2690</v>
      </c>
      <c r="AB325" s="1516"/>
      <c r="AC325" s="1516"/>
      <c r="AD325" s="1516"/>
      <c r="AE325" s="1516"/>
      <c r="AF325" s="1516"/>
      <c r="AG325" s="1493"/>
      <c r="AH325" s="1493"/>
      <c r="AI325" s="1493"/>
      <c r="AJ325" s="1493"/>
      <c r="AK325" s="1493"/>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93" t="str">
        <f>AA319</f>
        <v>Novogradac &amp; Company LLP</v>
      </c>
      <c r="I327" s="1493"/>
      <c r="J327" s="1493"/>
      <c r="K327" s="1493"/>
      <c r="L327" s="1493"/>
      <c r="M327" s="1493"/>
      <c r="N327" s="1493"/>
      <c r="O327" s="1493"/>
      <c r="P327" s="1493"/>
      <c r="Q327" s="1493"/>
      <c r="R327" s="1493"/>
      <c r="T327" s="3" t="s">
        <v>369</v>
      </c>
      <c r="V327" s="3"/>
      <c r="W327" s="3"/>
      <c r="X327" s="3"/>
      <c r="Y327" s="3"/>
      <c r="AA327" s="1493" t="s">
        <v>2674</v>
      </c>
      <c r="AB327" s="1493"/>
      <c r="AC327" s="1493"/>
      <c r="AD327" s="1493"/>
      <c r="AE327" s="1493"/>
      <c r="AF327" s="1493"/>
      <c r="AG327" s="1493"/>
      <c r="AH327" s="1493"/>
      <c r="AI327" s="1493"/>
      <c r="AJ327" s="1493"/>
      <c r="AK327" s="1493"/>
    </row>
    <row r="328" spans="2:66" ht="12.95" customHeight="1">
      <c r="B328" s="3" t="s">
        <v>480</v>
      </c>
      <c r="C328" s="3"/>
      <c r="D328" s="3"/>
      <c r="E328" s="3"/>
      <c r="F328" s="3"/>
      <c r="H328" s="1516" t="str">
        <f>AA320</f>
        <v>6700 Antioch Rd #450</v>
      </c>
      <c r="I328" s="1516"/>
      <c r="J328" s="1516"/>
      <c r="K328" s="1516"/>
      <c r="L328" s="1516"/>
      <c r="M328" s="1516"/>
      <c r="N328" s="1516"/>
      <c r="O328" s="1516"/>
      <c r="P328" s="1516"/>
      <c r="Q328" s="1516"/>
      <c r="R328" s="1516"/>
      <c r="T328" s="3" t="s">
        <v>480</v>
      </c>
      <c r="V328" s="3"/>
      <c r="W328" s="3"/>
      <c r="X328" s="3"/>
      <c r="Y328" s="3"/>
      <c r="AA328" s="1516" t="s">
        <v>2693</v>
      </c>
      <c r="AB328" s="1516"/>
      <c r="AC328" s="1516"/>
      <c r="AD328" s="1516"/>
      <c r="AE328" s="1516"/>
      <c r="AF328" s="1516"/>
      <c r="AG328" s="1516"/>
      <c r="AH328" s="1516"/>
      <c r="AI328" s="1516"/>
      <c r="AJ328" s="1516"/>
      <c r="AK328" s="1516"/>
    </row>
    <row r="329" spans="2:66" ht="12.95" customHeight="1">
      <c r="B329" s="3" t="s">
        <v>481</v>
      </c>
      <c r="C329" s="3"/>
      <c r="D329" s="3"/>
      <c r="E329" s="3"/>
      <c r="F329" s="3"/>
      <c r="H329" s="1516" t="str">
        <f>AA321</f>
        <v>Merriam, KS, 66204</v>
      </c>
      <c r="I329" s="1516"/>
      <c r="J329" s="1516"/>
      <c r="K329" s="1516"/>
      <c r="L329" s="1516"/>
      <c r="M329" s="1516"/>
      <c r="N329" s="1516"/>
      <c r="O329" s="1516"/>
      <c r="P329" s="1516"/>
      <c r="Q329" s="1516"/>
      <c r="R329" s="1516"/>
      <c r="T329" s="3" t="s">
        <v>75</v>
      </c>
      <c r="V329" s="3"/>
      <c r="W329" s="3"/>
      <c r="X329" s="3"/>
      <c r="Y329" s="3"/>
      <c r="AA329" s="1516" t="str">
        <f>AA305</f>
        <v>St. Louis Park, MN 55416</v>
      </c>
      <c r="AB329" s="1516"/>
      <c r="AC329" s="1516"/>
      <c r="AD329" s="1516"/>
      <c r="AE329" s="1516"/>
      <c r="AF329" s="1516"/>
      <c r="AG329" s="1516"/>
      <c r="AH329" s="1516"/>
      <c r="AI329" s="1516"/>
      <c r="AJ329" s="1516"/>
      <c r="AK329" s="1516"/>
    </row>
    <row r="330" spans="2:66" ht="12.95" customHeight="1">
      <c r="B330" s="3" t="s">
        <v>87</v>
      </c>
      <c r="C330" s="3"/>
      <c r="D330" s="3"/>
      <c r="E330" s="3"/>
      <c r="F330" s="3"/>
      <c r="H330" s="1516" t="str">
        <f>AA322</f>
        <v>Rachel Denton</v>
      </c>
      <c r="I330" s="1516"/>
      <c r="J330" s="1516"/>
      <c r="K330" s="1516"/>
      <c r="L330" s="1516"/>
      <c r="M330" s="1516"/>
      <c r="N330" s="1516"/>
      <c r="O330" s="1516"/>
      <c r="P330" s="1516"/>
      <c r="Q330" s="1516"/>
      <c r="R330" s="1516"/>
      <c r="T330" s="3" t="s">
        <v>87</v>
      </c>
      <c r="V330" s="3"/>
      <c r="W330" s="3"/>
      <c r="X330" s="3"/>
      <c r="Y330" s="3"/>
      <c r="AA330" s="1516" t="str">
        <f>AA306</f>
        <v>Kristin Tate</v>
      </c>
      <c r="AB330" s="1516"/>
      <c r="AC330" s="1516"/>
      <c r="AD330" s="1516"/>
      <c r="AE330" s="1516"/>
      <c r="AF330" s="1516"/>
      <c r="AG330" s="1516"/>
      <c r="AH330" s="1516"/>
      <c r="AI330" s="1516"/>
      <c r="AJ330" s="1516"/>
      <c r="AK330" s="1516"/>
    </row>
    <row r="331" spans="2:66" ht="12.95" customHeight="1">
      <c r="B331" s="3" t="s">
        <v>88</v>
      </c>
      <c r="C331" s="3"/>
      <c r="D331" s="3"/>
      <c r="E331" s="3"/>
      <c r="F331" s="3"/>
      <c r="G331" s="3"/>
      <c r="H331" s="1706" t="str">
        <f>AA323</f>
        <v>913-312-4612</v>
      </c>
      <c r="I331" s="1706"/>
      <c r="J331" s="1706"/>
      <c r="K331" s="1706"/>
      <c r="L331" s="1706"/>
      <c r="M331" s="1706"/>
      <c r="N331" s="4" t="s">
        <v>207</v>
      </c>
      <c r="O331" s="4"/>
      <c r="P331" s="1794"/>
      <c r="Q331" s="1794"/>
      <c r="R331" s="1794"/>
      <c r="S331" s="3"/>
      <c r="T331" s="3" t="s">
        <v>88</v>
      </c>
      <c r="V331" s="3"/>
      <c r="W331" s="3"/>
      <c r="X331" s="3"/>
      <c r="Y331" s="3"/>
      <c r="AA331" s="1706" t="str">
        <f>AA307</f>
        <v>(832) 541-4487</v>
      </c>
      <c r="AB331" s="1706"/>
      <c r="AC331" s="1706"/>
      <c r="AD331" s="1706"/>
      <c r="AE331" s="1706"/>
      <c r="AF331" s="1706"/>
      <c r="AG331" s="4" t="s">
        <v>207</v>
      </c>
      <c r="AH331" s="4"/>
      <c r="AI331" s="1794"/>
      <c r="AJ331" s="1794"/>
      <c r="AK331" s="1794"/>
    </row>
    <row r="332" spans="2:66" ht="12.95" customHeight="1">
      <c r="B332" s="3" t="s">
        <v>89</v>
      </c>
      <c r="C332" s="3"/>
      <c r="D332" s="3"/>
      <c r="E332" s="3"/>
      <c r="F332" s="3"/>
      <c r="G332" s="3"/>
      <c r="H332" s="1492"/>
      <c r="I332" s="1492"/>
      <c r="J332" s="1492"/>
      <c r="K332" s="1492"/>
      <c r="L332" s="1492"/>
      <c r="M332" s="1492"/>
      <c r="N332" s="4"/>
      <c r="O332" s="4"/>
      <c r="P332" s="35"/>
      <c r="Q332" s="35"/>
      <c r="R332" s="35"/>
      <c r="S332" s="3"/>
      <c r="T332" s="3" t="s">
        <v>89</v>
      </c>
      <c r="V332" s="3"/>
      <c r="W332" s="3"/>
      <c r="X332" s="3"/>
      <c r="Y332" s="3"/>
      <c r="AA332" s="1492"/>
      <c r="AB332" s="1492"/>
      <c r="AC332" s="1492"/>
      <c r="AD332" s="1492"/>
      <c r="AE332" s="1492"/>
      <c r="AF332" s="1492"/>
      <c r="AG332" s="4"/>
      <c r="AH332" s="4"/>
      <c r="AI332" s="35"/>
      <c r="AJ332" s="35"/>
      <c r="AK332" s="35"/>
    </row>
    <row r="333" spans="2:66" ht="12.95" customHeight="1">
      <c r="B333" s="3" t="s">
        <v>76</v>
      </c>
      <c r="C333" s="3"/>
      <c r="D333" s="3"/>
      <c r="E333" s="3"/>
      <c r="F333" s="3"/>
      <c r="G333" s="3"/>
      <c r="H333" s="1516" t="str">
        <f>AA325</f>
        <v>Rachel.Denton@novoco.com</v>
      </c>
      <c r="I333" s="1516"/>
      <c r="J333" s="1516"/>
      <c r="K333" s="1516"/>
      <c r="L333" s="1516"/>
      <c r="M333" s="1516"/>
      <c r="N333" s="1493"/>
      <c r="O333" s="1493"/>
      <c r="P333" s="1493"/>
      <c r="Q333" s="1493"/>
      <c r="R333" s="1493"/>
      <c r="S333" s="3"/>
      <c r="T333" s="3" t="s">
        <v>76</v>
      </c>
      <c r="V333" s="3"/>
      <c r="W333" s="3"/>
      <c r="X333" s="3"/>
      <c r="Y333" s="3"/>
      <c r="AA333" s="1516" t="s">
        <v>2705</v>
      </c>
      <c r="AB333" s="1516"/>
      <c r="AC333" s="1516"/>
      <c r="AD333" s="1516"/>
      <c r="AE333" s="1516"/>
      <c r="AF333" s="1516"/>
      <c r="AG333" s="1493"/>
      <c r="AH333" s="1493"/>
      <c r="AI333" s="1493"/>
      <c r="AJ333" s="1493"/>
      <c r="AK333" s="1493"/>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93" t="s">
        <v>2711</v>
      </c>
      <c r="I335" s="1493"/>
      <c r="J335" s="1493"/>
      <c r="K335" s="1493"/>
      <c r="L335" s="1493"/>
      <c r="M335" s="1493"/>
      <c r="N335" s="1493"/>
      <c r="O335" s="1493"/>
      <c r="P335" s="1493"/>
      <c r="Q335" s="1493"/>
      <c r="R335" s="1493"/>
      <c r="T335" s="218" t="s">
        <v>900</v>
      </c>
      <c r="V335" s="3"/>
      <c r="W335" s="3"/>
      <c r="X335" s="3"/>
      <c r="Y335" s="3"/>
      <c r="AA335" s="1493" t="s">
        <v>2764</v>
      </c>
      <c r="AB335" s="1493"/>
      <c r="AC335" s="1493"/>
      <c r="AD335" s="1493"/>
      <c r="AE335" s="1493"/>
      <c r="AF335" s="1493"/>
      <c r="AG335" s="1493"/>
      <c r="AH335" s="1493"/>
      <c r="AI335" s="1493"/>
      <c r="AJ335" s="1493"/>
      <c r="AK335" s="1493"/>
    </row>
    <row r="336" spans="2:66" ht="12.95" customHeight="1">
      <c r="B336" s="3" t="s">
        <v>480</v>
      </c>
      <c r="C336" s="3"/>
      <c r="D336" s="3"/>
      <c r="E336" s="3"/>
      <c r="F336" s="3"/>
      <c r="H336" s="1516" t="s">
        <v>2712</v>
      </c>
      <c r="I336" s="1516"/>
      <c r="J336" s="1516"/>
      <c r="K336" s="1516"/>
      <c r="L336" s="1516"/>
      <c r="M336" s="1516"/>
      <c r="N336" s="1516"/>
      <c r="O336" s="1516"/>
      <c r="P336" s="1516"/>
      <c r="Q336" s="1516"/>
      <c r="R336" s="1516"/>
      <c r="T336" s="3" t="s">
        <v>480</v>
      </c>
      <c r="V336" s="3"/>
      <c r="W336" s="3"/>
      <c r="X336" s="3"/>
      <c r="Y336" s="3"/>
      <c r="AA336" s="1516" t="s">
        <v>2650</v>
      </c>
      <c r="AB336" s="1516"/>
      <c r="AC336" s="1516"/>
      <c r="AD336" s="1516"/>
      <c r="AE336" s="1516"/>
      <c r="AF336" s="1516"/>
      <c r="AG336" s="1516"/>
      <c r="AH336" s="1516"/>
      <c r="AI336" s="1516"/>
      <c r="AJ336" s="1516"/>
      <c r="AK336" s="1516"/>
    </row>
    <row r="337" spans="1:66" ht="12.95" customHeight="1">
      <c r="B337" s="3" t="s">
        <v>75</v>
      </c>
      <c r="C337" s="3"/>
      <c r="D337" s="3"/>
      <c r="E337" s="3"/>
      <c r="F337" s="3"/>
      <c r="H337" s="1516" t="s">
        <v>2713</v>
      </c>
      <c r="I337" s="1516"/>
      <c r="J337" s="1516"/>
      <c r="K337" s="1516"/>
      <c r="L337" s="1516"/>
      <c r="M337" s="1516"/>
      <c r="N337" s="1516"/>
      <c r="O337" s="1516"/>
      <c r="P337" s="1516"/>
      <c r="Q337" s="1516"/>
      <c r="R337" s="1516"/>
      <c r="T337" s="3" t="s">
        <v>75</v>
      </c>
      <c r="V337" s="3"/>
      <c r="W337" s="3"/>
      <c r="X337" s="3"/>
      <c r="Y337" s="3"/>
      <c r="AA337" s="1516" t="s">
        <v>2667</v>
      </c>
      <c r="AB337" s="1516"/>
      <c r="AC337" s="1516"/>
      <c r="AD337" s="1516"/>
      <c r="AE337" s="1516"/>
      <c r="AF337" s="1516"/>
      <c r="AG337" s="1516"/>
      <c r="AH337" s="1516"/>
      <c r="AI337" s="1516"/>
      <c r="AJ337" s="1516"/>
      <c r="AK337" s="1516"/>
    </row>
    <row r="338" spans="1:66" ht="12.95" customHeight="1">
      <c r="B338" s="3" t="s">
        <v>87</v>
      </c>
      <c r="C338" s="3"/>
      <c r="D338" s="3"/>
      <c r="E338" s="3"/>
      <c r="F338" s="3"/>
      <c r="G338" s="3"/>
      <c r="H338" s="1516" t="s">
        <v>2715</v>
      </c>
      <c r="I338" s="1516"/>
      <c r="J338" s="1516"/>
      <c r="K338" s="1516"/>
      <c r="L338" s="1516"/>
      <c r="M338" s="1516"/>
      <c r="N338" s="1516"/>
      <c r="O338" s="1516"/>
      <c r="P338" s="1516"/>
      <c r="Q338" s="1516"/>
      <c r="R338" s="1516"/>
      <c r="T338" s="3" t="s">
        <v>87</v>
      </c>
      <c r="V338" s="3"/>
      <c r="W338" s="3"/>
      <c r="X338" s="3"/>
      <c r="Y338" s="3"/>
      <c r="AA338" s="1516" t="s">
        <v>2762</v>
      </c>
      <c r="AB338" s="1516"/>
      <c r="AC338" s="1516"/>
      <c r="AD338" s="1516"/>
      <c r="AE338" s="1516"/>
      <c r="AF338" s="1516"/>
      <c r="AG338" s="1516"/>
      <c r="AH338" s="1516"/>
      <c r="AI338" s="1516"/>
      <c r="AJ338" s="1516"/>
      <c r="AK338" s="1516"/>
    </row>
    <row r="339" spans="1:66" ht="12.95" customHeight="1">
      <c r="B339" s="3" t="s">
        <v>88</v>
      </c>
      <c r="C339" s="3"/>
      <c r="D339" s="3"/>
      <c r="E339" s="3"/>
      <c r="F339" s="3"/>
      <c r="G339" s="3"/>
      <c r="H339" s="1793" t="s">
        <v>2714</v>
      </c>
      <c r="I339" s="1706"/>
      <c r="J339" s="1706"/>
      <c r="K339" s="1706"/>
      <c r="L339" s="1706"/>
      <c r="M339" s="1706"/>
      <c r="N339" s="4" t="s">
        <v>207</v>
      </c>
      <c r="O339" s="4"/>
      <c r="P339" s="1794"/>
      <c r="Q339" s="1794"/>
      <c r="R339" s="1794"/>
      <c r="S339" s="3"/>
      <c r="T339" s="3" t="s">
        <v>88</v>
      </c>
      <c r="V339" s="3"/>
      <c r="W339" s="3"/>
      <c r="X339" s="3"/>
      <c r="Y339" s="3"/>
      <c r="AA339" s="1793" t="s">
        <v>2765</v>
      </c>
      <c r="AB339" s="1706"/>
      <c r="AC339" s="1706"/>
      <c r="AD339" s="1706"/>
      <c r="AE339" s="1706"/>
      <c r="AF339" s="1706"/>
      <c r="AG339" s="4" t="s">
        <v>207</v>
      </c>
      <c r="AH339" s="4"/>
      <c r="AI339" s="1794"/>
      <c r="AJ339" s="1794"/>
      <c r="AK339" s="1794"/>
    </row>
    <row r="340" spans="1:66" ht="12.95" customHeight="1">
      <c r="B340" s="3" t="s">
        <v>89</v>
      </c>
      <c r="C340" s="3"/>
      <c r="D340" s="3"/>
      <c r="E340" s="3"/>
      <c r="F340" s="3"/>
      <c r="G340" s="3"/>
      <c r="H340" s="1492"/>
      <c r="I340" s="1492"/>
      <c r="J340" s="1492"/>
      <c r="K340" s="1492"/>
      <c r="L340" s="1492"/>
      <c r="M340" s="1492"/>
      <c r="N340" s="4"/>
      <c r="O340" s="4"/>
      <c r="P340" s="35"/>
      <c r="Q340" s="35"/>
      <c r="R340" s="35"/>
      <c r="S340" s="3"/>
      <c r="T340" s="3" t="s">
        <v>89</v>
      </c>
      <c r="V340" s="3"/>
      <c r="W340" s="3"/>
      <c r="X340" s="3"/>
      <c r="Y340" s="3"/>
      <c r="AA340" s="1492"/>
      <c r="AB340" s="1492"/>
      <c r="AC340" s="1492"/>
      <c r="AD340" s="1492"/>
      <c r="AE340" s="1492"/>
      <c r="AF340" s="1492"/>
      <c r="AG340" s="4"/>
      <c r="AH340" s="4"/>
      <c r="AI340" s="35"/>
      <c r="AJ340" s="35"/>
      <c r="AK340" s="35"/>
    </row>
    <row r="341" spans="1:66" ht="12.95" customHeight="1">
      <c r="B341" s="3" t="s">
        <v>76</v>
      </c>
      <c r="C341" s="3"/>
      <c r="D341" s="3"/>
      <c r="E341" s="3"/>
      <c r="F341" s="3"/>
      <c r="G341" s="3"/>
      <c r="H341" s="1516" t="s">
        <v>2716</v>
      </c>
      <c r="I341" s="1516"/>
      <c r="J341" s="1516"/>
      <c r="K341" s="1516"/>
      <c r="L341" s="1516"/>
      <c r="M341" s="1516"/>
      <c r="N341" s="1493"/>
      <c r="O341" s="1493"/>
      <c r="P341" s="1493"/>
      <c r="Q341" s="1493"/>
      <c r="R341" s="1493"/>
      <c r="S341" s="3"/>
      <c r="T341" s="3" t="s">
        <v>76</v>
      </c>
      <c r="V341" s="3"/>
      <c r="W341" s="3"/>
      <c r="X341" s="3"/>
      <c r="Y341" s="3"/>
      <c r="AA341" s="1516" t="s">
        <v>2763</v>
      </c>
      <c r="AB341" s="1516"/>
      <c r="AC341" s="1516"/>
      <c r="AD341" s="1516"/>
      <c r="AE341" s="1516"/>
      <c r="AF341" s="1516"/>
      <c r="AG341" s="1493"/>
      <c r="AH341" s="1493"/>
      <c r="AI341" s="1493"/>
      <c r="AJ341" s="1493"/>
      <c r="AK341" s="1493"/>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93"/>
      <c r="Q343" s="1493"/>
      <c r="R343" s="1493"/>
      <c r="S343" s="1493"/>
      <c r="T343" s="1493"/>
      <c r="U343" s="1493"/>
      <c r="V343" s="1493"/>
      <c r="W343" s="1493"/>
      <c r="X343" s="1493"/>
      <c r="Y343" s="1493"/>
      <c r="Z343" s="1493"/>
      <c r="AA343" s="1493"/>
      <c r="AB343" s="1493"/>
      <c r="AC343" s="1493"/>
      <c r="AD343" s="1493"/>
      <c r="AE343" s="1493"/>
      <c r="BN343" t="s">
        <v>678</v>
      </c>
    </row>
    <row r="344" spans="1:66" ht="12.95" customHeight="1">
      <c r="B344" s="4"/>
      <c r="C344" s="4"/>
      <c r="D344" s="4"/>
      <c r="E344" s="4"/>
      <c r="F344" s="4"/>
      <c r="I344" s="4" t="s">
        <v>480</v>
      </c>
      <c r="P344" s="1516"/>
      <c r="Q344" s="1516"/>
      <c r="R344" s="1516"/>
      <c r="S344" s="1516"/>
      <c r="T344" s="1516"/>
      <c r="U344" s="1516"/>
      <c r="V344" s="1516"/>
      <c r="W344" s="1516"/>
      <c r="X344" s="1516"/>
      <c r="Y344" s="1516"/>
      <c r="Z344" s="1516"/>
      <c r="AA344" s="1516"/>
      <c r="AB344" s="1516"/>
      <c r="AC344" s="1516"/>
      <c r="AD344" s="1516"/>
      <c r="AE344" s="1516"/>
      <c r="BN344" t="s">
        <v>554</v>
      </c>
    </row>
    <row r="345" spans="1:66" ht="12.95" customHeight="1">
      <c r="B345" s="4"/>
      <c r="C345" s="4"/>
      <c r="D345" s="4"/>
      <c r="E345" s="4"/>
      <c r="F345" s="4"/>
      <c r="I345" s="4" t="s">
        <v>75</v>
      </c>
      <c r="P345" s="1516"/>
      <c r="Q345" s="1516"/>
      <c r="R345" s="1516"/>
      <c r="S345" s="1516"/>
      <c r="T345" s="1516"/>
      <c r="U345" s="1516"/>
      <c r="V345" s="1516"/>
      <c r="W345" s="1516"/>
      <c r="X345" s="1516"/>
      <c r="Y345" s="1516"/>
      <c r="Z345" s="1516"/>
      <c r="AA345" s="1516"/>
      <c r="AB345" s="1516"/>
      <c r="AC345" s="1516"/>
      <c r="AD345" s="1516"/>
      <c r="AE345" s="1516"/>
    </row>
    <row r="346" spans="1:66" ht="12.95" customHeight="1">
      <c r="B346" s="4"/>
      <c r="C346" s="4"/>
      <c r="D346" s="4"/>
      <c r="E346" s="4"/>
      <c r="F346" s="4"/>
      <c r="G346" s="4"/>
      <c r="I346" s="4" t="s">
        <v>87</v>
      </c>
      <c r="P346" s="1516"/>
      <c r="Q346" s="1516"/>
      <c r="R346" s="1516"/>
      <c r="S346" s="1516"/>
      <c r="T346" s="1516"/>
      <c r="U346" s="1516"/>
      <c r="V346" s="1516"/>
      <c r="W346" s="1516"/>
      <c r="X346" s="1516"/>
      <c r="Y346" s="1516"/>
      <c r="Z346" s="1516"/>
      <c r="AA346" s="1516"/>
      <c r="AB346" s="1516"/>
      <c r="AC346" s="1516"/>
      <c r="AD346" s="1516"/>
      <c r="AE346" s="1516"/>
    </row>
    <row r="347" spans="1:66" ht="12.95" customHeight="1">
      <c r="B347" s="4"/>
      <c r="C347" s="4"/>
      <c r="D347" s="4"/>
      <c r="E347" s="4"/>
      <c r="F347" s="4"/>
      <c r="G347" s="4"/>
      <c r="H347" s="324"/>
      <c r="I347" s="4" t="s">
        <v>88</v>
      </c>
      <c r="P347" s="1492"/>
      <c r="Q347" s="1492"/>
      <c r="R347" s="1492"/>
      <c r="S347" s="1492"/>
      <c r="T347" s="1492"/>
      <c r="U347" s="1492"/>
      <c r="V347" s="1492"/>
      <c r="W347" s="1492"/>
      <c r="X347" s="1492"/>
      <c r="Y347" s="1492"/>
      <c r="Z347" s="1492"/>
      <c r="AA347" s="4" t="s">
        <v>207</v>
      </c>
      <c r="AB347" s="4"/>
      <c r="AC347" s="1520"/>
      <c r="AD347" s="1520"/>
      <c r="AE347" s="1520"/>
      <c r="AF347" s="324"/>
      <c r="AG347" s="4"/>
      <c r="AH347" s="4"/>
      <c r="AI347" s="4"/>
      <c r="AJ347" s="4"/>
      <c r="AK347" s="4"/>
    </row>
    <row r="348" spans="1:66" ht="12.95" customHeight="1">
      <c r="B348" s="4"/>
      <c r="C348" s="4"/>
      <c r="D348" s="4"/>
      <c r="E348" s="4"/>
      <c r="F348" s="4"/>
      <c r="G348" s="4"/>
      <c r="H348" s="324"/>
      <c r="I348" s="4" t="s">
        <v>89</v>
      </c>
      <c r="P348" s="1492"/>
      <c r="Q348" s="1492"/>
      <c r="R348" s="1492"/>
      <c r="S348" s="1492"/>
      <c r="T348" s="1492"/>
      <c r="U348" s="1492"/>
      <c r="V348" s="1492"/>
      <c r="W348" s="1492"/>
      <c r="X348" s="1492"/>
      <c r="Y348" s="1492"/>
      <c r="Z348" s="1492"/>
      <c r="AF348" s="324"/>
      <c r="AG348" s="4"/>
      <c r="AH348" s="4"/>
      <c r="AI348" s="35"/>
      <c r="AJ348" s="35"/>
      <c r="AK348" s="35"/>
    </row>
    <row r="349" spans="1:66" ht="12.95" customHeight="1">
      <c r="B349" s="4"/>
      <c r="C349" s="4"/>
      <c r="D349" s="4"/>
      <c r="E349" s="4"/>
      <c r="F349" s="4"/>
      <c r="G349" s="4"/>
      <c r="I349" s="4" t="s">
        <v>76</v>
      </c>
      <c r="P349" s="1493"/>
      <c r="Q349" s="1493"/>
      <c r="R349" s="1493"/>
      <c r="S349" s="1493"/>
      <c r="T349" s="1493"/>
      <c r="U349" s="1493"/>
      <c r="V349" s="1493"/>
      <c r="W349" s="1493"/>
      <c r="X349" s="1493"/>
      <c r="Y349" s="1493"/>
      <c r="Z349" s="1493"/>
      <c r="AA349" s="1493"/>
      <c r="AB349" s="1493"/>
      <c r="AC349" s="1493"/>
      <c r="AD349" s="1493"/>
      <c r="AE349" s="1493"/>
    </row>
    <row r="350" spans="1:66" ht="12.95" customHeight="1">
      <c r="T350" s="8"/>
      <c r="U350" s="8"/>
      <c r="V350" s="8"/>
      <c r="W350" s="8"/>
      <c r="X350" s="8"/>
      <c r="Y350" s="8"/>
      <c r="Z350" s="8"/>
      <c r="AU350" s="95"/>
      <c r="AV350" s="95"/>
      <c r="AW350" s="95"/>
      <c r="AX350" s="95"/>
      <c r="AY350" s="95"/>
    </row>
    <row r="351" spans="1:66" ht="12.95" customHeight="1">
      <c r="A351" s="1394" t="s">
        <v>551</v>
      </c>
      <c r="B351" s="1394"/>
      <c r="C351" s="1394"/>
      <c r="D351" s="1394"/>
      <c r="E351" s="1394"/>
      <c r="F351" s="1394"/>
      <c r="G351" s="1394"/>
      <c r="H351" s="1394"/>
      <c r="I351" s="1394"/>
      <c r="J351" s="1394"/>
      <c r="K351" s="1394"/>
      <c r="L351" s="1394"/>
      <c r="M351" s="1394"/>
      <c r="N351" s="1394"/>
      <c r="O351" s="1394"/>
      <c r="P351" s="1394"/>
      <c r="Q351" s="1394"/>
      <c r="R351" s="1394"/>
      <c r="S351" s="1394"/>
      <c r="T351" s="1394"/>
      <c r="U351" s="1394"/>
      <c r="V351" s="1394"/>
      <c r="W351" s="1394"/>
      <c r="X351" s="1394"/>
      <c r="Y351" s="1394"/>
      <c r="Z351" s="1394"/>
      <c r="AA351" s="1394"/>
      <c r="AB351" s="1394"/>
      <c r="AC351" s="1394"/>
      <c r="AD351" s="1394"/>
      <c r="AE351" s="1394"/>
      <c r="AF351" s="1394"/>
      <c r="AG351" s="1394"/>
      <c r="AH351" s="1394"/>
      <c r="AI351" s="1394"/>
      <c r="AJ351" s="1394"/>
      <c r="AK351" s="1394"/>
      <c r="AL351" s="1394"/>
      <c r="AM351" s="1394"/>
      <c r="AN351" s="1394"/>
      <c r="AO351" s="1394"/>
      <c r="AP351" s="1394"/>
      <c r="AQ351" s="1394"/>
      <c r="AR351" s="1394"/>
      <c r="AS351" s="1394"/>
      <c r="AT351" s="1394"/>
      <c r="AU351" s="95"/>
      <c r="AV351" s="95"/>
      <c r="AW351" s="95"/>
      <c r="AX351" s="95"/>
      <c r="AY351" s="95"/>
    </row>
    <row r="352" spans="1:66" ht="12.95" customHeight="1">
      <c r="A352" s="1394"/>
      <c r="B352" s="1394"/>
      <c r="C352" s="1394"/>
      <c r="D352" s="1394"/>
      <c r="E352" s="1394"/>
      <c r="F352" s="1394"/>
      <c r="G352" s="1394"/>
      <c r="H352" s="1394"/>
      <c r="I352" s="1394"/>
      <c r="J352" s="1394"/>
      <c r="K352" s="1394"/>
      <c r="L352" s="1394"/>
      <c r="M352" s="1394"/>
      <c r="N352" s="1394"/>
      <c r="O352" s="1394"/>
      <c r="P352" s="1394"/>
      <c r="Q352" s="1394"/>
      <c r="R352" s="1394"/>
      <c r="S352" s="1394"/>
      <c r="T352" s="1394"/>
      <c r="U352" s="1394"/>
      <c r="V352" s="1394"/>
      <c r="W352" s="1394"/>
      <c r="X352" s="1394"/>
      <c r="Y352" s="1394"/>
      <c r="Z352" s="1394"/>
      <c r="AA352" s="1394"/>
      <c r="AB352" s="1394"/>
      <c r="AC352" s="1394"/>
      <c r="AD352" s="1394"/>
      <c r="AE352" s="1394"/>
      <c r="AF352" s="1394"/>
      <c r="AG352" s="1394"/>
      <c r="AH352" s="1394"/>
      <c r="AI352" s="1394"/>
      <c r="AJ352" s="1394"/>
      <c r="AK352" s="1394"/>
      <c r="AL352" s="1394"/>
      <c r="AM352" s="1394"/>
      <c r="AN352" s="1394"/>
      <c r="AO352" s="1394"/>
      <c r="AP352" s="1394"/>
      <c r="AQ352" s="1394"/>
      <c r="AR352" s="1394"/>
      <c r="AS352" s="1394"/>
      <c r="AT352" s="139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99" t="s">
        <v>600</v>
      </c>
      <c r="N355" s="1499"/>
      <c r="P355" t="s">
        <v>1764</v>
      </c>
      <c r="AJ355" s="1499" t="s">
        <v>678</v>
      </c>
      <c r="AK355" s="1499"/>
    </row>
    <row r="356" spans="1:46" ht="12.95" customHeight="1">
      <c r="D356" s="3" t="s">
        <v>1753</v>
      </c>
      <c r="M356" s="1499" t="s">
        <v>600</v>
      </c>
      <c r="N356" s="1499"/>
      <c r="P356" s="3" t="s">
        <v>1910</v>
      </c>
      <c r="AJ356" s="1511"/>
      <c r="AK356" s="1511"/>
    </row>
    <row r="357" spans="1:46" ht="12.95" customHeight="1">
      <c r="D357" s="3" t="s">
        <v>714</v>
      </c>
      <c r="M357" s="1499" t="s">
        <v>600</v>
      </c>
      <c r="N357" s="1499"/>
      <c r="P357" t="s">
        <v>1763</v>
      </c>
      <c r="AJ357" s="1499" t="s">
        <v>554</v>
      </c>
      <c r="AK357" s="1499"/>
    </row>
    <row r="358" spans="1:46" ht="12.95" customHeight="1">
      <c r="D358" s="3" t="s">
        <v>715</v>
      </c>
      <c r="M358" s="1499" t="s">
        <v>554</v>
      </c>
      <c r="N358" s="149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99" t="s">
        <v>554</v>
      </c>
      <c r="O363" s="1499"/>
      <c r="P363" s="40"/>
      <c r="Q363" s="40"/>
      <c r="R363" s="40"/>
      <c r="S363" s="40"/>
      <c r="T363" s="40"/>
      <c r="U363" s="40"/>
      <c r="V363" s="40"/>
      <c r="W363" s="40"/>
      <c r="X363" s="40"/>
      <c r="Y363" s="40"/>
      <c r="Z363" s="40"/>
      <c r="AC363" s="40"/>
      <c r="AD363" s="40"/>
      <c r="AE363" s="40"/>
    </row>
    <row r="364" spans="1:46" ht="12.95" customHeight="1">
      <c r="E364" t="s">
        <v>371</v>
      </c>
      <c r="Y364" s="1499" t="s">
        <v>600</v>
      </c>
      <c r="Z364" s="1499"/>
    </row>
    <row r="365" spans="1:46" ht="12.95" customHeight="1">
      <c r="D365" s="4" t="s">
        <v>998</v>
      </c>
      <c r="Q365" s="1493" t="s">
        <v>2676</v>
      </c>
      <c r="R365" s="1493"/>
      <c r="S365" s="1493"/>
      <c r="T365" s="1493"/>
      <c r="U365" s="1493"/>
      <c r="V365" s="1493"/>
      <c r="W365" s="1493"/>
      <c r="X365" s="1493"/>
      <c r="Y365" s="1493"/>
      <c r="Z365" s="1493"/>
      <c r="AA365" s="1493"/>
      <c r="AB365" s="1493"/>
      <c r="AC365" s="1493"/>
      <c r="AD365" s="1493"/>
      <c r="AE365" s="1493"/>
      <c r="AF365" s="1493"/>
      <c r="AG365" s="1493"/>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99" t="s">
        <v>554</v>
      </c>
      <c r="K367" s="1499"/>
      <c r="L367" s="40"/>
      <c r="M367" s="40"/>
      <c r="N367" s="40"/>
      <c r="O367" s="40"/>
      <c r="P367" s="40"/>
      <c r="Q367" s="40"/>
      <c r="R367" s="40"/>
      <c r="S367" s="40"/>
      <c r="T367" s="40"/>
      <c r="U367" s="40"/>
      <c r="V367" s="40"/>
      <c r="W367" s="40"/>
      <c r="X367" s="40"/>
      <c r="Y367" s="40"/>
      <c r="Z367" s="40"/>
      <c r="AC367" s="40"/>
      <c r="AD367" s="40"/>
      <c r="AE367" s="40"/>
    </row>
    <row r="368" spans="1:46" ht="12.95" customHeight="1">
      <c r="E368" s="1509" t="s">
        <v>716</v>
      </c>
      <c r="F368" s="1509"/>
      <c r="G368" s="1509"/>
      <c r="H368" s="1509"/>
      <c r="I368" s="1509"/>
      <c r="J368" s="1509"/>
      <c r="K368" s="1509"/>
      <c r="L368" s="1509"/>
      <c r="M368" s="1509"/>
      <c r="N368" s="1509"/>
      <c r="O368" s="1509"/>
      <c r="P368" s="1509"/>
      <c r="Q368" s="1509"/>
      <c r="R368" s="1509"/>
      <c r="S368" s="1509"/>
      <c r="T368" s="1509"/>
      <c r="U368" s="1509"/>
      <c r="V368" s="1509"/>
      <c r="W368" s="1509"/>
      <c r="X368" s="1509"/>
      <c r="Y368" s="1509"/>
      <c r="Z368" s="1509"/>
      <c r="AA368" s="1509"/>
      <c r="AB368" s="1509"/>
      <c r="AC368" s="1509"/>
      <c r="AD368" s="1509"/>
      <c r="AE368" s="1509"/>
      <c r="AF368" s="1509"/>
      <c r="AG368" s="1509"/>
      <c r="AH368" s="1509"/>
    </row>
    <row r="369" spans="1:34" ht="12.95" customHeight="1">
      <c r="E369" s="1509"/>
      <c r="F369" s="1509"/>
      <c r="G369" s="1509"/>
      <c r="H369" s="1509"/>
      <c r="I369" s="1509"/>
      <c r="J369" s="1509"/>
      <c r="K369" s="1509"/>
      <c r="L369" s="1509"/>
      <c r="M369" s="1509"/>
      <c r="N369" s="1509"/>
      <c r="O369" s="1509"/>
      <c r="P369" s="1509"/>
      <c r="Q369" s="1509"/>
      <c r="R369" s="1509"/>
      <c r="S369" s="1509"/>
      <c r="T369" s="1509"/>
      <c r="U369" s="1509"/>
      <c r="V369" s="1509"/>
      <c r="W369" s="1509"/>
      <c r="X369" s="1509"/>
      <c r="Y369" s="1509"/>
      <c r="Z369" s="1509"/>
      <c r="AA369" s="1509"/>
      <c r="AB369" s="1509"/>
      <c r="AC369" s="1509"/>
      <c r="AD369" s="1509"/>
      <c r="AE369" s="1509"/>
      <c r="AF369" s="1509"/>
      <c r="AG369" s="1509"/>
      <c r="AH369" s="1509"/>
    </row>
    <row r="370" spans="1:34" ht="12.95" customHeight="1">
      <c r="E370" s="4" t="s">
        <v>457</v>
      </c>
      <c r="F370" s="4"/>
      <c r="G370" s="4"/>
      <c r="H370" s="4"/>
      <c r="I370" s="4"/>
      <c r="J370" s="4"/>
      <c r="K370" s="4"/>
      <c r="L370" s="4"/>
      <c r="N370" s="1682">
        <v>42</v>
      </c>
      <c r="O370" s="1682"/>
      <c r="P370" s="1682"/>
      <c r="Q370" s="1682"/>
      <c r="R370" s="4"/>
      <c r="U370" s="4" t="s">
        <v>458</v>
      </c>
      <c r="V370" s="4"/>
      <c r="W370" s="4"/>
      <c r="X370" s="4"/>
      <c r="Y370" s="4"/>
      <c r="Z370" s="4"/>
      <c r="AA370" s="4"/>
      <c r="AB370" s="4"/>
      <c r="AC370" s="1682">
        <v>10</v>
      </c>
      <c r="AD370" s="1682"/>
      <c r="AE370" s="1682"/>
      <c r="AF370" s="1682"/>
    </row>
    <row r="371" spans="1:34" ht="12.95" customHeight="1">
      <c r="E371" s="4" t="s">
        <v>459</v>
      </c>
      <c r="F371" s="4"/>
      <c r="G371" s="4"/>
      <c r="H371" s="4"/>
      <c r="I371" s="4"/>
      <c r="J371" s="4"/>
      <c r="K371" s="4"/>
      <c r="L371" s="4"/>
      <c r="N371" s="1682">
        <v>8</v>
      </c>
      <c r="O371" s="1682"/>
      <c r="P371" s="1682"/>
      <c r="Q371" s="1682"/>
      <c r="R371" s="4"/>
      <c r="U371" s="4" t="s">
        <v>0</v>
      </c>
      <c r="V371" s="4"/>
      <c r="W371" s="4"/>
      <c r="X371" s="4"/>
      <c r="Y371" s="4"/>
      <c r="Z371" s="4"/>
      <c r="AA371" s="4"/>
      <c r="AB371" s="4"/>
      <c r="AC371" s="1682">
        <v>160</v>
      </c>
      <c r="AD371" s="1682"/>
      <c r="AE371" s="1682"/>
      <c r="AF371" s="1682"/>
    </row>
    <row r="372" spans="1:34" ht="12.95" customHeight="1">
      <c r="E372" s="4" t="s">
        <v>1</v>
      </c>
      <c r="F372" s="4"/>
      <c r="G372" s="4"/>
      <c r="H372" s="4"/>
      <c r="I372" s="4"/>
      <c r="J372" s="4"/>
      <c r="K372" s="4"/>
      <c r="L372" s="4"/>
      <c r="N372" s="1682">
        <v>2</v>
      </c>
      <c r="O372" s="1682"/>
      <c r="P372" s="1682"/>
      <c r="Q372" s="1682"/>
      <c r="R372" s="4"/>
      <c r="V372" s="4"/>
      <c r="W372" s="4"/>
      <c r="X372" s="4"/>
      <c r="Y372" s="4"/>
      <c r="Z372" s="4"/>
      <c r="AA372" s="4"/>
      <c r="AB372" s="4"/>
    </row>
    <row r="373" spans="1:34" ht="12.95" customHeight="1">
      <c r="E373" s="4" t="s">
        <v>2</v>
      </c>
      <c r="F373" s="4"/>
      <c r="G373" s="4"/>
      <c r="H373" s="4"/>
      <c r="I373" s="4"/>
      <c r="J373" s="4"/>
      <c r="K373" s="4"/>
      <c r="L373" s="4"/>
      <c r="N373" s="1851" t="s">
        <v>2694</v>
      </c>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2.9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96"/>
      <c r="T377" s="1696"/>
      <c r="U377" s="1" t="s">
        <v>307</v>
      </c>
      <c r="V377" s="1696"/>
      <c r="W377" s="1696"/>
      <c r="Y377" t="s">
        <v>2397</v>
      </c>
      <c r="AC377" s="27" t="s">
        <v>306</v>
      </c>
      <c r="AD377" s="1696"/>
      <c r="AE377" s="1696"/>
      <c r="AF377" s="1" t="s">
        <v>307</v>
      </c>
      <c r="AG377" s="1696"/>
      <c r="AH377" s="1696"/>
    </row>
    <row r="378" spans="1:34" ht="12.95" customHeight="1">
      <c r="E378" s="4" t="s">
        <v>1012</v>
      </c>
      <c r="F378" s="4"/>
      <c r="G378" s="4"/>
      <c r="H378" s="4"/>
      <c r="I378" s="4"/>
      <c r="J378" s="4"/>
      <c r="K378" s="4"/>
      <c r="L378" s="4"/>
      <c r="N378" s="1696"/>
      <c r="O378" s="1696"/>
      <c r="P378" s="1696"/>
    </row>
    <row r="379" spans="1:34" ht="12.95" customHeight="1">
      <c r="E379" s="218" t="s">
        <v>2403</v>
      </c>
      <c r="F379" s="4"/>
      <c r="G379" s="4"/>
      <c r="H379" s="4"/>
      <c r="I379" s="4"/>
      <c r="J379" s="4"/>
      <c r="K379" s="4"/>
      <c r="L379" s="4"/>
      <c r="AG379" s="1500" t="s">
        <v>600</v>
      </c>
      <c r="AH379" s="1500"/>
    </row>
    <row r="380" spans="1:34" ht="12.95" customHeight="1">
      <c r="E380" s="4"/>
      <c r="F380" s="4"/>
      <c r="G380" s="4" t="s">
        <v>2404</v>
      </c>
      <c r="H380" s="4"/>
      <c r="I380" s="4"/>
      <c r="J380" s="4"/>
      <c r="K380" s="4"/>
      <c r="L380" s="4"/>
      <c r="AG380" s="1500" t="s">
        <v>600</v>
      </c>
      <c r="AH380" s="1500"/>
    </row>
    <row r="381" spans="1:34" ht="12.95" customHeight="1">
      <c r="E381" s="4"/>
      <c r="F381" s="4"/>
      <c r="G381" s="348" t="s">
        <v>1013</v>
      </c>
      <c r="H381" s="4"/>
      <c r="I381" s="4"/>
      <c r="J381" s="4"/>
      <c r="K381" s="4"/>
      <c r="L381" s="4"/>
      <c r="V381" s="1499" t="s">
        <v>600</v>
      </c>
      <c r="W381" s="1499"/>
      <c r="Y381" s="22" t="s">
        <v>1000</v>
      </c>
    </row>
    <row r="382" spans="1:34" ht="12.95" customHeight="1">
      <c r="E382" s="4" t="s">
        <v>1001</v>
      </c>
      <c r="F382" s="4"/>
      <c r="G382" s="4"/>
      <c r="H382" s="4"/>
      <c r="I382" s="4"/>
      <c r="J382" s="4"/>
      <c r="K382" s="4"/>
      <c r="L382" s="4"/>
      <c r="V382" s="1499" t="s">
        <v>600</v>
      </c>
      <c r="W382" s="1499"/>
      <c r="Y382" s="4" t="s">
        <v>1002</v>
      </c>
    </row>
    <row r="383" spans="1:34" ht="12.95" customHeight="1"/>
    <row r="384" spans="1:34" ht="12.95" customHeight="1">
      <c r="A384" s="2" t="s">
        <v>78</v>
      </c>
      <c r="B384" s="2"/>
    </row>
    <row r="385" spans="4:36" ht="12.95" customHeight="1">
      <c r="D385" t="s">
        <v>429</v>
      </c>
      <c r="J385" s="1493" t="s">
        <v>2679</v>
      </c>
      <c r="K385" s="1493"/>
      <c r="L385" s="1493"/>
      <c r="M385" s="1493"/>
      <c r="N385" s="1493"/>
      <c r="O385" s="1493"/>
      <c r="P385" s="1493"/>
      <c r="Q385" s="1493"/>
      <c r="R385" s="1493"/>
      <c r="S385" s="1493"/>
      <c r="T385" s="1493"/>
      <c r="U385" s="1493"/>
      <c r="V385" s="8" t="s">
        <v>83</v>
      </c>
      <c r="W385" s="8"/>
      <c r="X385" s="8"/>
      <c r="Y385" s="8"/>
      <c r="Z385" s="8"/>
      <c r="AA385" s="8"/>
      <c r="AB385" s="8"/>
      <c r="AC385" s="1493" t="s">
        <v>2695</v>
      </c>
      <c r="AD385" s="1493"/>
      <c r="AE385" s="1493"/>
      <c r="AF385" s="1493"/>
      <c r="AG385" s="1493"/>
      <c r="AH385" s="1493"/>
      <c r="AI385" s="1493"/>
      <c r="AJ385" s="1493"/>
    </row>
    <row r="386" spans="4:36" ht="12.95" customHeight="1">
      <c r="D386" s="3" t="s">
        <v>1289</v>
      </c>
      <c r="J386" s="1516" t="s">
        <v>2695</v>
      </c>
      <c r="K386" s="1516"/>
      <c r="L386" s="1516"/>
      <c r="M386" s="1516"/>
      <c r="N386" s="1516"/>
      <c r="O386" s="1516"/>
      <c r="P386" s="1516"/>
      <c r="Q386" s="1516"/>
      <c r="R386" s="1516"/>
      <c r="S386" s="1516"/>
      <c r="T386" s="1516"/>
      <c r="U386" s="1516"/>
      <c r="V386" s="3" t="s">
        <v>1289</v>
      </c>
      <c r="W386" s="8"/>
      <c r="X386" s="8"/>
      <c r="Y386" s="8"/>
      <c r="Z386" s="8"/>
      <c r="AA386" s="8"/>
      <c r="AB386" s="8"/>
      <c r="AC386" s="1493" t="s">
        <v>2695</v>
      </c>
      <c r="AD386" s="1493"/>
      <c r="AE386" s="1493"/>
      <c r="AF386" s="1493"/>
      <c r="AG386" s="1493"/>
      <c r="AH386" s="1493"/>
      <c r="AI386" s="1493"/>
      <c r="AJ386" s="1493"/>
    </row>
    <row r="387" spans="4:36" ht="12.95" customHeight="1">
      <c r="D387" s="3" t="s">
        <v>444</v>
      </c>
      <c r="J387" s="1516" t="s">
        <v>2696</v>
      </c>
      <c r="K387" s="1516"/>
      <c r="L387" s="1516"/>
      <c r="M387" s="1516"/>
      <c r="N387" s="1516"/>
      <c r="O387" s="1516"/>
      <c r="P387" s="1516"/>
      <c r="Q387" s="1516"/>
      <c r="R387" s="1516"/>
      <c r="S387" s="1516"/>
      <c r="T387" s="1516"/>
      <c r="U387" s="1516"/>
      <c r="V387" s="3" t="s">
        <v>444</v>
      </c>
      <c r="W387" s="8"/>
      <c r="X387" s="8"/>
      <c r="Y387" s="8"/>
      <c r="Z387" s="8"/>
      <c r="AA387" s="8"/>
      <c r="AB387" s="8"/>
      <c r="AC387" s="1493"/>
      <c r="AD387" s="1493"/>
      <c r="AE387" s="1493"/>
      <c r="AF387" s="1493"/>
      <c r="AG387" s="1493"/>
      <c r="AH387" s="1493"/>
      <c r="AI387" s="1493"/>
      <c r="AJ387" s="1493"/>
    </row>
    <row r="388" spans="4:36" ht="12.95" customHeight="1">
      <c r="D388" t="s">
        <v>1285</v>
      </c>
      <c r="J388" s="1389" t="s">
        <v>2680</v>
      </c>
      <c r="K388" s="1389"/>
      <c r="L388" s="1389"/>
      <c r="M388" s="1389"/>
      <c r="N388" s="1389"/>
      <c r="O388" s="1389"/>
      <c r="P388" s="1389"/>
      <c r="Q388" s="1389"/>
      <c r="R388" s="1389"/>
      <c r="S388" s="1389"/>
      <c r="T388" s="1389"/>
      <c r="U388" s="1389"/>
      <c r="V388" s="1493"/>
      <c r="W388" s="1493"/>
      <c r="X388" s="1493"/>
      <c r="Y388" s="1493"/>
      <c r="Z388" s="1493"/>
      <c r="AA388" s="1493"/>
      <c r="AB388" s="1493"/>
      <c r="AC388" s="1493"/>
      <c r="AD388" s="1493"/>
      <c r="AE388" s="1493"/>
      <c r="AF388" s="1493"/>
      <c r="AG388" s="1493"/>
      <c r="AH388" s="1493"/>
      <c r="AI388" s="1493"/>
      <c r="AJ388" s="1493"/>
    </row>
    <row r="389" spans="4:36" ht="12.95" customHeight="1">
      <c r="D389" t="s">
        <v>4</v>
      </c>
      <c r="Q389" s="1700">
        <v>45279</v>
      </c>
      <c r="R389" s="1700"/>
      <c r="S389" s="1700"/>
      <c r="T389" s="1700"/>
      <c r="U389" s="1700"/>
      <c r="V389" t="s">
        <v>310</v>
      </c>
      <c r="AI389" s="1499" t="s">
        <v>678</v>
      </c>
      <c r="AJ389" s="1499"/>
    </row>
    <row r="390" spans="4:36" ht="12.95" customHeight="1">
      <c r="D390" t="s">
        <v>5</v>
      </c>
      <c r="Q390" s="1374"/>
      <c r="R390" s="1697"/>
      <c r="S390" s="1697"/>
      <c r="T390" s="1697"/>
      <c r="U390" s="1697"/>
      <c r="W390" s="21" t="s">
        <v>74</v>
      </c>
      <c r="AG390" s="1694"/>
      <c r="AH390" s="1694"/>
      <c r="AI390" s="1694"/>
      <c r="AJ390" s="1694"/>
    </row>
    <row r="391" spans="4:36" ht="12.95" customHeight="1">
      <c r="D391" t="s">
        <v>428</v>
      </c>
      <c r="Q391" s="1695">
        <v>71000000</v>
      </c>
      <c r="R391" s="1695"/>
      <c r="S391" s="1695"/>
      <c r="T391" s="1695"/>
      <c r="U391" s="1695"/>
      <c r="V391" s="3" t="s">
        <v>1288</v>
      </c>
      <c r="AG391" s="1835"/>
      <c r="AH391" s="1835"/>
      <c r="AI391" s="1835"/>
      <c r="AJ391" s="1835"/>
    </row>
    <row r="392" spans="4:36" ht="12.95" customHeight="1">
      <c r="D392" t="s">
        <v>88</v>
      </c>
      <c r="I392" s="1706"/>
      <c r="J392" s="1706"/>
      <c r="K392" s="1706"/>
      <c r="L392" s="1706"/>
      <c r="M392" s="1706"/>
      <c r="N392" s="1706"/>
      <c r="Q392" s="4" t="s">
        <v>207</v>
      </c>
      <c r="S392" s="1699"/>
      <c r="T392" s="1699"/>
      <c r="U392" s="1699"/>
      <c r="V392" t="s">
        <v>73</v>
      </c>
      <c r="AI392" s="1499" t="s">
        <v>678</v>
      </c>
      <c r="AJ392" s="1499"/>
    </row>
    <row r="393" spans="4:36" ht="12.95" customHeight="1">
      <c r="D393" t="s">
        <v>311</v>
      </c>
      <c r="Q393" s="1380"/>
      <c r="R393" s="1380"/>
      <c r="S393" s="1380"/>
      <c r="T393" s="1380"/>
      <c r="U393" s="1380"/>
      <c r="V393" t="s">
        <v>312</v>
      </c>
      <c r="AG393" s="1694"/>
      <c r="AH393" s="1694"/>
      <c r="AI393" s="1694"/>
      <c r="AJ393" s="1694"/>
    </row>
    <row r="394" spans="4:36" ht="12.95" customHeight="1">
      <c r="D394" t="s">
        <v>313</v>
      </c>
      <c r="Q394" s="1787"/>
      <c r="R394" s="1787"/>
      <c r="S394" s="1787"/>
      <c r="T394" s="1787"/>
      <c r="U394" s="1787"/>
      <c r="V394" t="s">
        <v>1269</v>
      </c>
      <c r="AG394" s="1694"/>
      <c r="AH394" s="1694"/>
      <c r="AI394" s="1694"/>
      <c r="AJ394" s="1694"/>
    </row>
    <row r="395" spans="4:36" ht="12.95" customHeight="1">
      <c r="D395" t="s">
        <v>1268</v>
      </c>
      <c r="AG395" s="1694"/>
      <c r="AH395" s="1694"/>
      <c r="AI395" s="1694"/>
      <c r="AJ395" s="1694"/>
    </row>
    <row r="396" spans="4:36" ht="12.95" customHeight="1">
      <c r="AG396" s="490"/>
      <c r="AH396" s="490"/>
      <c r="AI396" s="490"/>
      <c r="AJ396" s="490"/>
    </row>
    <row r="397" spans="4:36" ht="12.95" customHeight="1">
      <c r="D397" s="3" t="s">
        <v>2503</v>
      </c>
      <c r="AG397" s="490"/>
      <c r="AH397" s="490"/>
      <c r="AI397" s="1499" t="s">
        <v>678</v>
      </c>
      <c r="AJ397" s="1499"/>
    </row>
    <row r="398" spans="4:36" ht="12.95" customHeight="1">
      <c r="D398" s="3" t="s">
        <v>1782</v>
      </c>
      <c r="T398" s="1731"/>
      <c r="U398" s="1731"/>
      <c r="V398" s="1731"/>
      <c r="W398" s="1731"/>
      <c r="X398" s="1731"/>
      <c r="Y398" s="1731"/>
      <c r="Z398" s="1731"/>
      <c r="AA398" s="1731"/>
      <c r="AB398" s="1731"/>
      <c r="AC398" s="1731"/>
      <c r="AD398" s="1731"/>
      <c r="AE398" s="1731"/>
      <c r="AF398" s="1731"/>
      <c r="AG398" s="1731"/>
      <c r="AH398" s="1731"/>
      <c r="AI398" s="1731"/>
      <c r="AJ398" s="1731"/>
    </row>
    <row r="399" spans="4:36" ht="12.95" customHeight="1">
      <c r="D399" s="3" t="s">
        <v>1781</v>
      </c>
      <c r="T399" s="1731"/>
      <c r="U399" s="1731"/>
      <c r="V399" s="1731"/>
      <c r="W399" s="1731"/>
      <c r="X399" s="1731"/>
      <c r="Y399" s="1731"/>
      <c r="Z399" s="1731"/>
      <c r="AA399" s="1731"/>
      <c r="AB399" s="1731"/>
      <c r="AC399" s="1731"/>
      <c r="AD399" s="1731"/>
      <c r="AE399" s="1731"/>
      <c r="AF399" s="1731"/>
      <c r="AG399" s="1731"/>
      <c r="AH399" s="1731"/>
      <c r="AI399" s="1731"/>
      <c r="AJ399" s="1731"/>
    </row>
    <row r="400" spans="4:36" ht="12.95" customHeight="1">
      <c r="AG400" s="490"/>
      <c r="AH400" s="490"/>
      <c r="AI400" s="490"/>
      <c r="AJ400" s="490"/>
    </row>
    <row r="401" spans="1:36" ht="12.95" customHeight="1">
      <c r="D401" s="3" t="s">
        <v>1775</v>
      </c>
      <c r="S401" s="1731" t="s">
        <v>678</v>
      </c>
      <c r="T401" s="1731"/>
      <c r="U401" s="1731"/>
      <c r="V401" t="s">
        <v>1776</v>
      </c>
      <c r="AG401" s="1848"/>
      <c r="AH401" s="1848"/>
      <c r="AI401" s="1848"/>
      <c r="AJ401" s="1848"/>
    </row>
    <row r="402" spans="1:36" ht="12.95" customHeight="1">
      <c r="D402" s="3" t="s">
        <v>1773</v>
      </c>
      <c r="S402" s="1731" t="s">
        <v>600</v>
      </c>
      <c r="T402" s="1731"/>
      <c r="U402" s="1731"/>
      <c r="V402" t="s">
        <v>1778</v>
      </c>
      <c r="AE402" s="1837"/>
      <c r="AF402" s="1837"/>
      <c r="AG402" s="1837"/>
      <c r="AH402" s="1837"/>
      <c r="AI402" s="1837"/>
      <c r="AJ402" s="1837"/>
    </row>
    <row r="403" spans="1:36" ht="12.95" customHeight="1">
      <c r="D403" s="3" t="s">
        <v>1774</v>
      </c>
      <c r="K403" s="1836"/>
      <c r="L403" s="1836"/>
      <c r="M403" s="1836"/>
      <c r="N403" s="1836"/>
      <c r="O403" s="1836"/>
      <c r="P403" s="1836"/>
      <c r="Q403" s="1836"/>
      <c r="R403" s="1836"/>
      <c r="S403" s="1836"/>
      <c r="T403" s="1836"/>
      <c r="U403" s="1836"/>
      <c r="V403" s="1836"/>
      <c r="W403" s="1836"/>
      <c r="X403" s="1836"/>
      <c r="Y403" s="1836"/>
      <c r="Z403" s="1836"/>
      <c r="AA403" s="1836"/>
      <c r="AB403" s="1836"/>
      <c r="AC403" s="1836"/>
      <c r="AD403" s="1836"/>
      <c r="AE403" s="1836"/>
      <c r="AF403" s="1836"/>
      <c r="AG403" s="1836"/>
      <c r="AH403" s="1836"/>
      <c r="AI403" s="1836"/>
      <c r="AJ403" s="1836"/>
    </row>
    <row r="404" spans="1:36" ht="12.95" customHeight="1">
      <c r="D404" s="3" t="s">
        <v>1777</v>
      </c>
      <c r="K404" s="1836"/>
      <c r="L404" s="1836"/>
      <c r="M404" s="1836"/>
      <c r="N404" s="1836"/>
      <c r="O404" s="1836"/>
      <c r="P404" s="1836"/>
      <c r="Q404" s="1836"/>
      <c r="R404" s="1836"/>
      <c r="S404" s="1836"/>
      <c r="T404" s="1836"/>
      <c r="U404" s="1836"/>
      <c r="V404" s="1836"/>
      <c r="W404" s="1836"/>
      <c r="X404" s="1836"/>
      <c r="Y404" s="1836"/>
      <c r="Z404" s="1836"/>
      <c r="AA404" s="1836"/>
      <c r="AB404" s="1836"/>
      <c r="AC404" s="1836"/>
      <c r="AD404" s="1836"/>
      <c r="AE404" s="1836"/>
      <c r="AF404" s="1836"/>
      <c r="AG404" s="1836"/>
      <c r="AH404" s="1836"/>
      <c r="AI404" s="1836"/>
      <c r="AJ404" s="1836"/>
    </row>
    <row r="405" spans="1:36" ht="12.95" customHeight="1">
      <c r="D405" s="3" t="s">
        <v>1780</v>
      </c>
      <c r="E405" s="511"/>
      <c r="F405" s="511"/>
      <c r="G405" s="511"/>
      <c r="H405" s="511"/>
      <c r="I405" s="511"/>
      <c r="J405" s="511"/>
      <c r="K405" s="511"/>
      <c r="L405" s="511"/>
      <c r="M405" s="511"/>
      <c r="N405" s="511"/>
      <c r="O405" s="511"/>
      <c r="P405" s="511"/>
      <c r="Q405" s="511"/>
      <c r="R405" s="511"/>
      <c r="S405" s="1790" t="s">
        <v>1291</v>
      </c>
      <c r="T405" s="1790"/>
      <c r="U405" s="1790"/>
      <c r="V405" s="1790"/>
      <c r="W405" s="1790"/>
      <c r="X405" s="1790"/>
      <c r="Y405" s="1790"/>
      <c r="Z405" s="1790"/>
      <c r="AA405" s="1790"/>
      <c r="AB405" s="1790"/>
      <c r="AC405" s="1790"/>
      <c r="AD405" s="1790"/>
      <c r="AE405" s="1790"/>
      <c r="AF405" s="1790"/>
      <c r="AG405" s="1790"/>
      <c r="AH405" s="1790"/>
      <c r="AI405" s="1790"/>
      <c r="AJ405" s="1790"/>
    </row>
    <row r="406" spans="1:36" ht="12.95" customHeight="1">
      <c r="D406" s="1279" t="s">
        <v>1779</v>
      </c>
      <c r="E406" s="1279"/>
      <c r="F406" s="1279"/>
      <c r="G406" s="1279"/>
      <c r="H406" s="1279"/>
      <c r="I406" s="1279"/>
      <c r="J406" s="1279"/>
      <c r="K406" s="1279"/>
      <c r="L406" s="1279"/>
      <c r="M406" s="1279"/>
      <c r="N406" s="1279"/>
      <c r="O406" s="1279"/>
      <c r="P406" s="1279"/>
      <c r="Q406" s="1279"/>
      <c r="R406" s="1279"/>
      <c r="S406" s="1279"/>
      <c r="T406" s="1279"/>
      <c r="U406" s="1279"/>
      <c r="V406" s="1279"/>
      <c r="W406" s="1279"/>
      <c r="X406" s="1279"/>
      <c r="Y406" s="1279"/>
      <c r="Z406" s="1279"/>
      <c r="AA406" s="1279"/>
      <c r="AB406" s="1279"/>
      <c r="AC406" s="1279"/>
      <c r="AD406" s="1279"/>
      <c r="AE406" s="1279"/>
      <c r="AF406" s="1279"/>
      <c r="AG406" s="1279"/>
      <c r="AH406" s="1279"/>
      <c r="AI406" s="1279"/>
      <c r="AJ406" s="1279"/>
    </row>
    <row r="407" spans="1:36" ht="12.95" customHeight="1">
      <c r="D407" s="1279"/>
      <c r="E407" s="1279"/>
      <c r="F407" s="1279"/>
      <c r="G407" s="1279"/>
      <c r="H407" s="1279"/>
      <c r="I407" s="1279"/>
      <c r="J407" s="1279"/>
      <c r="K407" s="1279"/>
      <c r="L407" s="1279"/>
      <c r="M407" s="1279"/>
      <c r="N407" s="1279"/>
      <c r="O407" s="1279"/>
      <c r="P407" s="1279"/>
      <c r="Q407" s="1279"/>
      <c r="R407" s="1279"/>
      <c r="S407" s="1279"/>
      <c r="T407" s="1279"/>
      <c r="U407" s="1279"/>
      <c r="V407" s="1279"/>
      <c r="W407" s="1279"/>
      <c r="X407" s="1279"/>
      <c r="Y407" s="1279"/>
      <c r="Z407" s="1279"/>
      <c r="AA407" s="1279"/>
      <c r="AB407" s="1279"/>
      <c r="AC407" s="1279"/>
      <c r="AD407" s="1279"/>
      <c r="AE407" s="1279"/>
      <c r="AF407" s="1279"/>
      <c r="AG407" s="1279"/>
      <c r="AH407" s="1279"/>
      <c r="AI407" s="1279"/>
      <c r="AJ407" s="1279"/>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792" t="s">
        <v>2678</v>
      </c>
      <c r="J410" s="1792"/>
      <c r="K410" s="1792"/>
      <c r="L410" s="1792"/>
      <c r="M410" s="1792"/>
      <c r="N410" s="1792"/>
      <c r="O410" s="1792"/>
      <c r="P410" s="1792"/>
      <c r="Q410" s="1792"/>
      <c r="R410" s="1792"/>
      <c r="S410" s="1792"/>
      <c r="T410" s="1792"/>
      <c r="U410" s="1792"/>
      <c r="V410" s="1792"/>
      <c r="W410" s="1792"/>
      <c r="X410" s="1792"/>
      <c r="Y410" s="1792"/>
      <c r="Z410" s="1792"/>
      <c r="AA410" s="1792"/>
      <c r="AB410" s="1792"/>
      <c r="AC410" s="1792"/>
      <c r="AD410" s="1792"/>
      <c r="AE410" s="1792"/>
    </row>
    <row r="411" spans="1:36" ht="12.95" customHeight="1">
      <c r="E411" t="s">
        <v>106</v>
      </c>
      <c r="R411" s="1499" t="s">
        <v>600</v>
      </c>
      <c r="S411" s="1499"/>
      <c r="AC411" s="27" t="s">
        <v>579</v>
      </c>
      <c r="AD411" s="1682"/>
      <c r="AE411" s="1682"/>
    </row>
    <row r="412" spans="1:36" ht="12.95" customHeight="1">
      <c r="E412" t="s">
        <v>107</v>
      </c>
      <c r="R412" s="1499" t="s">
        <v>600</v>
      </c>
      <c r="S412" s="1499"/>
      <c r="AC412" s="27" t="s">
        <v>579</v>
      </c>
      <c r="AD412" s="1682"/>
      <c r="AE412" s="1682"/>
    </row>
    <row r="413" spans="1:36" ht="12.95" customHeight="1">
      <c r="E413" t="s">
        <v>108</v>
      </c>
      <c r="S413" s="1499" t="s">
        <v>600</v>
      </c>
      <c r="T413" s="1499"/>
    </row>
    <row r="414" spans="1:36" ht="12.95" customHeight="1">
      <c r="E414" t="s">
        <v>170</v>
      </c>
      <c r="H414" s="1712"/>
      <c r="I414" s="1712"/>
      <c r="J414" s="1712"/>
      <c r="K414" s="1712"/>
      <c r="L414" s="1712"/>
      <c r="M414" s="1712"/>
      <c r="N414" s="1712"/>
      <c r="O414" s="1712"/>
      <c r="P414" s="1712"/>
      <c r="Q414" s="1712"/>
      <c r="R414" s="1712"/>
      <c r="S414" s="1712"/>
      <c r="T414" s="1712"/>
      <c r="U414" s="1712"/>
      <c r="V414" s="1712"/>
      <c r="W414" s="1712"/>
      <c r="X414" s="1712"/>
      <c r="Y414" s="1712"/>
      <c r="Z414" s="1712"/>
      <c r="AA414" s="1712"/>
      <c r="AB414" s="1712"/>
      <c r="AC414" s="1712"/>
      <c r="AD414" s="1712"/>
      <c r="AE414" s="1712"/>
    </row>
    <row r="415" spans="1:36" ht="12.95" customHeight="1">
      <c r="H415" s="1713"/>
      <c r="I415" s="1713"/>
      <c r="J415" s="1713"/>
      <c r="K415" s="1713"/>
      <c r="L415" s="1713"/>
      <c r="M415" s="1713"/>
      <c r="N415" s="1713"/>
      <c r="O415" s="1713"/>
      <c r="P415" s="1713"/>
      <c r="Q415" s="1713"/>
      <c r="R415" s="1713"/>
      <c r="S415" s="1713"/>
      <c r="T415" s="1713"/>
      <c r="U415" s="1713"/>
      <c r="V415" s="1713"/>
      <c r="W415" s="1713"/>
      <c r="X415" s="1713"/>
      <c r="Y415" s="1713"/>
      <c r="Z415" s="1713"/>
      <c r="AA415" s="1713"/>
      <c r="AB415" s="1713"/>
      <c r="AC415" s="1713"/>
      <c r="AD415" s="1713"/>
      <c r="AE415" s="1713"/>
    </row>
    <row r="416" spans="1:36" ht="12.95" customHeight="1"/>
    <row r="417" spans="1:39" ht="12.95" customHeight="1">
      <c r="A417" s="2" t="s">
        <v>599</v>
      </c>
      <c r="B417" s="2"/>
      <c r="C417" s="2"/>
      <c r="D417" s="2" t="s">
        <v>114</v>
      </c>
      <c r="AF417" s="2" t="s">
        <v>977</v>
      </c>
    </row>
    <row r="418" spans="1:39" ht="12.95" customHeight="1">
      <c r="E418" s="1696"/>
      <c r="F418" s="1696"/>
      <c r="G418" s="1696"/>
      <c r="H418" s="13" t="s">
        <v>115</v>
      </c>
      <c r="I418" s="1696"/>
      <c r="J418" s="1696"/>
      <c r="K418" s="1696"/>
      <c r="L418" t="s">
        <v>116</v>
      </c>
      <c r="N418" s="27" t="s">
        <v>584</v>
      </c>
      <c r="P418" s="1698">
        <v>7.08</v>
      </c>
      <c r="Q418" s="1698"/>
      <c r="R418" s="1698"/>
      <c r="S418" t="s">
        <v>117</v>
      </c>
      <c r="W418" s="1878">
        <f>IF(E418&gt;0,(E418*I418),(P418*43560))</f>
        <v>308404.8</v>
      </c>
      <c r="X418" s="1878"/>
      <c r="Y418" s="1878"/>
      <c r="Z418" t="s">
        <v>118</v>
      </c>
      <c r="AF418" s="1710">
        <f>IFERROR(IF(P418&gt;0,(AG437/P418),(AG437/(W418/43560))),0)</f>
        <v>22.598870056497177</v>
      </c>
      <c r="AG418" s="1710"/>
      <c r="AH418" s="1710"/>
      <c r="AM418" s="3"/>
    </row>
    <row r="419" spans="1:39" ht="12.95" customHeight="1">
      <c r="E419" t="s">
        <v>51</v>
      </c>
    </row>
    <row r="420" spans="1:39" ht="12.95" customHeight="1">
      <c r="E420" s="1866"/>
      <c r="F420" s="1866"/>
      <c r="G420" s="1866"/>
      <c r="H420" s="1866"/>
      <c r="I420" s="1866"/>
      <c r="J420" s="1866"/>
      <c r="K420" s="1866"/>
      <c r="L420" s="1866"/>
      <c r="M420" s="1866"/>
      <c r="N420" s="1866"/>
      <c r="O420" s="1866"/>
      <c r="P420" s="1866"/>
      <c r="Q420" s="1866"/>
      <c r="R420" s="1866"/>
      <c r="S420" s="1866"/>
      <c r="T420" s="1866"/>
      <c r="U420" s="1866"/>
      <c r="V420" s="1866"/>
      <c r="W420" s="1866"/>
      <c r="X420" s="1866"/>
      <c r="Y420" s="1866"/>
      <c r="Z420" s="1866"/>
      <c r="AA420" s="1866"/>
      <c r="AB420" s="1866"/>
      <c r="AC420" s="1866"/>
      <c r="AD420" s="1866"/>
      <c r="AE420" s="1866"/>
      <c r="AF420" s="1866"/>
      <c r="AG420" s="1866"/>
      <c r="AH420" s="1866"/>
      <c r="AI420" s="1866"/>
      <c r="AJ420" s="1866"/>
    </row>
    <row r="421" spans="1:39" ht="12.95" customHeight="1">
      <c r="E421" s="118" t="s">
        <v>1927</v>
      </c>
      <c r="F421" s="1048"/>
      <c r="G421" s="1048"/>
      <c r="H421" s="1048"/>
      <c r="I421" s="1791">
        <v>7.08</v>
      </c>
      <c r="J421" s="1791"/>
      <c r="K421" s="1791"/>
      <c r="L421" s="1048"/>
      <c r="M421" s="118"/>
      <c r="N421" s="1048"/>
      <c r="O421" s="1048"/>
      <c r="P421" s="1702">
        <f>(CS634+CS642+CS658)/I421</f>
        <v>33.898305084745765</v>
      </c>
      <c r="Q421" s="1702"/>
      <c r="R421" s="1702"/>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99">
        <v>10</v>
      </c>
      <c r="Q424" s="1499"/>
      <c r="S424" t="s">
        <v>190</v>
      </c>
      <c r="AE424" s="1499">
        <v>8</v>
      </c>
      <c r="AF424" s="1499"/>
    </row>
    <row r="425" spans="1:39" ht="12.95" customHeight="1">
      <c r="E425" t="s">
        <v>191</v>
      </c>
      <c r="P425" s="1499">
        <v>2</v>
      </c>
      <c r="Q425" s="1499"/>
      <c r="S425" t="s">
        <v>131</v>
      </c>
      <c r="AE425" s="1499" t="s">
        <v>600</v>
      </c>
      <c r="AF425" s="1499"/>
    </row>
    <row r="426" spans="1:39" ht="12.95" customHeight="1">
      <c r="F426" s="28" t="s">
        <v>132</v>
      </c>
    </row>
    <row r="427" spans="1:39" ht="12.95" customHeight="1">
      <c r="F427" s="1814"/>
      <c r="G427" s="1814"/>
      <c r="H427" s="1814"/>
      <c r="I427" s="1814"/>
      <c r="J427" s="1814"/>
      <c r="K427" s="1814"/>
      <c r="L427" s="1814"/>
      <c r="M427" s="1814"/>
      <c r="N427" s="1814"/>
      <c r="O427" s="1814"/>
      <c r="P427" s="1814"/>
      <c r="Q427" s="1814"/>
      <c r="R427" s="1814"/>
      <c r="S427" s="1814"/>
      <c r="T427" s="1814"/>
      <c r="U427" s="1814"/>
      <c r="V427" s="1814"/>
      <c r="W427" s="1814"/>
      <c r="X427" s="1814"/>
      <c r="Y427" s="1814"/>
      <c r="Z427" s="1814"/>
      <c r="AA427" s="1814"/>
      <c r="AB427" s="1814"/>
      <c r="AC427" s="1814"/>
      <c r="AD427" s="1814"/>
      <c r="AE427" s="1814"/>
      <c r="AF427" s="1814"/>
      <c r="AG427" s="1814"/>
      <c r="AH427" s="1814"/>
    </row>
    <row r="428" spans="1:39" ht="12.95" customHeight="1">
      <c r="F428" s="1725"/>
      <c r="G428" s="1725"/>
      <c r="H428" s="1725"/>
      <c r="I428" s="1725"/>
      <c r="J428" s="1725"/>
      <c r="K428" s="1725"/>
      <c r="L428" s="1725"/>
      <c r="M428" s="1725"/>
      <c r="N428" s="1725"/>
      <c r="O428" s="1725"/>
      <c r="P428" s="1725"/>
      <c r="Q428" s="1725"/>
      <c r="R428" s="1725"/>
      <c r="S428" s="1725"/>
      <c r="T428" s="1725"/>
      <c r="U428" s="1725"/>
      <c r="V428" s="1725"/>
      <c r="W428" s="1725"/>
      <c r="X428" s="1725"/>
      <c r="Y428" s="1725"/>
      <c r="Z428" s="1725"/>
      <c r="AA428" s="1725"/>
      <c r="AB428" s="1725"/>
      <c r="AC428" s="1725"/>
      <c r="AD428" s="1725"/>
      <c r="AE428" s="1725"/>
      <c r="AF428" s="1725"/>
      <c r="AG428" s="1725"/>
      <c r="AH428" s="1725"/>
    </row>
    <row r="429" spans="1:39" ht="12.95" customHeight="1">
      <c r="E429" t="s">
        <v>617</v>
      </c>
      <c r="P429" s="1"/>
      <c r="Q429" s="1499" t="s">
        <v>554</v>
      </c>
      <c r="R429" s="1499"/>
    </row>
    <row r="430" spans="1:39" ht="12.95" customHeight="1">
      <c r="F430" t="s">
        <v>618</v>
      </c>
      <c r="P430" s="1"/>
      <c r="Q430" s="1"/>
      <c r="AF430" s="1499" t="s">
        <v>600</v>
      </c>
      <c r="AG430" s="1875"/>
    </row>
    <row r="431" spans="1:39" ht="12.95" customHeight="1"/>
    <row r="432" spans="1:39" ht="12.95" customHeight="1">
      <c r="A432" s="2"/>
      <c r="B432" s="2"/>
      <c r="C432" s="2"/>
      <c r="E432" s="4" t="s">
        <v>309</v>
      </c>
      <c r="Z432" s="1499" t="s">
        <v>678</v>
      </c>
      <c r="AA432" s="149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99" t="s">
        <v>600</v>
      </c>
      <c r="AA434" s="1499"/>
    </row>
    <row r="435" spans="1:110" ht="12.95" customHeight="1"/>
    <row r="436" spans="1:110" ht="12.95" customHeight="1">
      <c r="A436" s="2" t="s">
        <v>476</v>
      </c>
      <c r="B436" s="2"/>
      <c r="C436" s="2"/>
      <c r="D436" s="2" t="s">
        <v>774</v>
      </c>
      <c r="AF436" s="48"/>
    </row>
    <row r="437" spans="1:110" ht="12.95" customHeight="1">
      <c r="D437" s="1648" t="s">
        <v>43</v>
      </c>
      <c r="E437" s="1649"/>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850"/>
      <c r="AG437" s="1727">
        <v>160</v>
      </c>
      <c r="AH437" s="1727"/>
      <c r="AI437" s="1727"/>
      <c r="AJ437" s="1727"/>
    </row>
    <row r="438" spans="1:110" ht="12.95" customHeight="1">
      <c r="D438" s="1703" t="s">
        <v>1330</v>
      </c>
      <c r="E438" s="1704"/>
      <c r="F438" s="1704"/>
      <c r="G438" s="1704"/>
      <c r="H438" s="1704"/>
      <c r="I438" s="1704"/>
      <c r="J438" s="1704"/>
      <c r="K438" s="1704"/>
      <c r="L438" s="1704"/>
      <c r="M438" s="1704"/>
      <c r="N438" s="1704"/>
      <c r="O438" s="1704"/>
      <c r="P438" s="1704"/>
      <c r="Q438" s="1704"/>
      <c r="R438" s="1704"/>
      <c r="S438" s="1704"/>
      <c r="T438" s="1704"/>
      <c r="U438" s="1704"/>
      <c r="V438" s="1704"/>
      <c r="W438" s="1704"/>
      <c r="X438" s="1704"/>
      <c r="Y438" s="1704"/>
      <c r="Z438" s="1704"/>
      <c r="AA438" s="1704"/>
      <c r="AB438" s="1704"/>
      <c r="AC438" s="1704"/>
      <c r="AD438" s="1704"/>
      <c r="AE438" s="1704"/>
      <c r="AF438" s="1705"/>
      <c r="AG438" s="1879">
        <v>0</v>
      </c>
      <c r="AH438" s="1664"/>
      <c r="AI438" s="1664"/>
      <c r="AJ438" s="1664"/>
    </row>
    <row r="439" spans="1:110" ht="12.95" customHeight="1">
      <c r="D439" s="1703" t="s">
        <v>1056</v>
      </c>
      <c r="E439" s="1704"/>
      <c r="F439" s="1704"/>
      <c r="G439" s="1704"/>
      <c r="H439" s="1704"/>
      <c r="I439" s="1704"/>
      <c r="J439" s="1704"/>
      <c r="K439" s="1704"/>
      <c r="L439" s="1704"/>
      <c r="M439" s="1704"/>
      <c r="N439" s="1704"/>
      <c r="O439" s="1704"/>
      <c r="P439" s="1704"/>
      <c r="Q439" s="1704"/>
      <c r="R439" s="1704"/>
      <c r="S439" s="1704"/>
      <c r="T439" s="1704"/>
      <c r="U439" s="1704"/>
      <c r="V439" s="1704"/>
      <c r="W439" s="1704"/>
      <c r="X439" s="1704"/>
      <c r="Y439" s="1704"/>
      <c r="Z439" s="1704"/>
      <c r="AA439" s="1704"/>
      <c r="AB439" s="1704"/>
      <c r="AC439" s="1704"/>
      <c r="AD439" s="1704"/>
      <c r="AE439" s="1704"/>
      <c r="AF439" s="1705"/>
      <c r="AG439" s="1727">
        <v>159</v>
      </c>
      <c r="AH439" s="1727"/>
      <c r="AI439" s="1727"/>
      <c r="AJ439" s="1727"/>
    </row>
    <row r="440" spans="1:110" ht="12.95" customHeight="1">
      <c r="D440" s="1703" t="s">
        <v>1057</v>
      </c>
      <c r="E440" s="1704"/>
      <c r="F440" s="1704"/>
      <c r="G440" s="1704"/>
      <c r="H440" s="1704"/>
      <c r="I440" s="1704"/>
      <c r="J440" s="1704"/>
      <c r="K440" s="1704"/>
      <c r="L440" s="1704"/>
      <c r="M440" s="1704"/>
      <c r="N440" s="1704"/>
      <c r="O440" s="1704"/>
      <c r="P440" s="1704"/>
      <c r="Q440" s="1704"/>
      <c r="R440" s="1704"/>
      <c r="S440" s="1704"/>
      <c r="T440" s="1704"/>
      <c r="U440" s="1704"/>
      <c r="V440" s="1704"/>
      <c r="W440" s="1704"/>
      <c r="X440" s="1704"/>
      <c r="Y440" s="1704"/>
      <c r="Z440" s="1704"/>
      <c r="AA440" s="1704"/>
      <c r="AB440" s="1704"/>
      <c r="AC440" s="1704"/>
      <c r="AD440" s="1704"/>
      <c r="AE440" s="1704"/>
      <c r="AF440" s="1705"/>
      <c r="AG440" s="1727">
        <v>159</v>
      </c>
      <c r="AH440" s="1727"/>
      <c r="AI440" s="1727"/>
      <c r="AJ440" s="1727"/>
    </row>
    <row r="441" spans="1:110" ht="12.95" customHeight="1">
      <c r="D441" s="1703" t="s">
        <v>1059</v>
      </c>
      <c r="E441" s="1704"/>
      <c r="F441" s="1704"/>
      <c r="G441" s="1704"/>
      <c r="H441" s="1704"/>
      <c r="I441" s="1704"/>
      <c r="J441" s="1704"/>
      <c r="K441" s="1704"/>
      <c r="L441" s="1704"/>
      <c r="M441" s="1704"/>
      <c r="N441" s="1704"/>
      <c r="O441" s="1704"/>
      <c r="P441" s="1704"/>
      <c r="Q441" s="1704"/>
      <c r="R441" s="1704"/>
      <c r="S441" s="1704"/>
      <c r="T441" s="1704"/>
      <c r="U441" s="1704"/>
      <c r="V441" s="1704"/>
      <c r="W441" s="1704"/>
      <c r="X441" s="1704"/>
      <c r="Y441" s="1704"/>
      <c r="Z441" s="1704"/>
      <c r="AA441" s="1704"/>
      <c r="AB441" s="1704"/>
      <c r="AC441" s="1704"/>
      <c r="AD441" s="1704"/>
      <c r="AE441" s="1704"/>
      <c r="AF441" s="1705"/>
      <c r="AG441" s="1840">
        <f>IF(ISERROR(AG440/AG439),"",AG440/AG439)</f>
        <v>1</v>
      </c>
      <c r="AH441" s="1840"/>
      <c r="AI441" s="1840"/>
      <c r="AJ441" s="1840"/>
    </row>
    <row r="442" spans="1:110" ht="12.95" customHeight="1">
      <c r="D442" s="1703" t="s">
        <v>1058</v>
      </c>
      <c r="E442" s="1704"/>
      <c r="F442" s="1704"/>
      <c r="G442" s="1704"/>
      <c r="H442" s="1704"/>
      <c r="I442" s="1704"/>
      <c r="J442" s="1704"/>
      <c r="K442" s="1704"/>
      <c r="L442" s="1704"/>
      <c r="M442" s="1704"/>
      <c r="N442" s="1704"/>
      <c r="O442" s="1704"/>
      <c r="P442" s="1704"/>
      <c r="Q442" s="1704"/>
      <c r="R442" s="1704"/>
      <c r="S442" s="1704"/>
      <c r="T442" s="1704"/>
      <c r="U442" s="1704"/>
      <c r="V442" s="1704"/>
      <c r="W442" s="1704"/>
      <c r="X442" s="1704"/>
      <c r="Y442" s="1704"/>
      <c r="Z442" s="1704"/>
      <c r="AA442" s="1704"/>
      <c r="AB442" s="1704"/>
      <c r="AC442" s="1704"/>
      <c r="AD442" s="1704"/>
      <c r="AE442" s="1704"/>
      <c r="AF442" s="1705"/>
      <c r="AG442" s="1847">
        <f>120000-1150</f>
        <v>118850</v>
      </c>
      <c r="AH442" s="1847"/>
      <c r="AI442" s="1847"/>
      <c r="AJ442" s="1847"/>
    </row>
    <row r="443" spans="1:110" ht="12.95" customHeight="1">
      <c r="D443" s="1703" t="s">
        <v>1060</v>
      </c>
      <c r="E443" s="1704"/>
      <c r="F443" s="1704"/>
      <c r="G443" s="1704"/>
      <c r="H443" s="1704"/>
      <c r="I443" s="1704"/>
      <c r="J443" s="1704"/>
      <c r="K443" s="1704"/>
      <c r="L443" s="1704"/>
      <c r="M443" s="1704"/>
      <c r="N443" s="1704"/>
      <c r="O443" s="1704"/>
      <c r="P443" s="1704"/>
      <c r="Q443" s="1704"/>
      <c r="R443" s="1704"/>
      <c r="S443" s="1704"/>
      <c r="T443" s="1704"/>
      <c r="U443" s="1704"/>
      <c r="V443" s="1704"/>
      <c r="W443" s="1704"/>
      <c r="X443" s="1704"/>
      <c r="Y443" s="1704"/>
      <c r="Z443" s="1704"/>
      <c r="AA443" s="1704"/>
      <c r="AB443" s="1704"/>
      <c r="AC443" s="1704"/>
      <c r="AD443" s="1704"/>
      <c r="AE443" s="1704"/>
      <c r="AF443" s="1705"/>
      <c r="AG443" s="1847">
        <v>118850</v>
      </c>
      <c r="AH443" s="1847"/>
      <c r="AI443" s="1847"/>
      <c r="AJ443" s="1847"/>
    </row>
    <row r="444" spans="1:110" ht="12.95" customHeight="1">
      <c r="D444" s="1703" t="s">
        <v>1061</v>
      </c>
      <c r="E444" s="1704"/>
      <c r="F444" s="1704"/>
      <c r="G444" s="1704"/>
      <c r="H444" s="1704"/>
      <c r="I444" s="1704"/>
      <c r="J444" s="1704"/>
      <c r="K444" s="1704"/>
      <c r="L444" s="1704"/>
      <c r="M444" s="1704"/>
      <c r="N444" s="1704"/>
      <c r="O444" s="1704"/>
      <c r="P444" s="1704"/>
      <c r="Q444" s="1704"/>
      <c r="R444" s="1704"/>
      <c r="S444" s="1704"/>
      <c r="T444" s="1704"/>
      <c r="U444" s="1704"/>
      <c r="V444" s="1704"/>
      <c r="W444" s="1704"/>
      <c r="X444" s="1704"/>
      <c r="Y444" s="1704"/>
      <c r="Z444" s="1704"/>
      <c r="AA444" s="1704"/>
      <c r="AB444" s="1704"/>
      <c r="AC444" s="1704"/>
      <c r="AD444" s="1704"/>
      <c r="AE444" s="1704"/>
      <c r="AF444" s="1705"/>
      <c r="AG444" s="1840">
        <f>IF(ISERROR(AG443/AG442),"",AG443/AG442)</f>
        <v>1</v>
      </c>
      <c r="AH444" s="1840"/>
      <c r="AI444" s="1840"/>
      <c r="AJ444" s="1840"/>
    </row>
    <row r="445" spans="1:110" ht="12.95" customHeight="1">
      <c r="D445" s="1703" t="s">
        <v>1062</v>
      </c>
      <c r="E445" s="1704"/>
      <c r="F445" s="1704"/>
      <c r="G445" s="1704"/>
      <c r="H445" s="1704"/>
      <c r="I445" s="1704"/>
      <c r="J445" s="1704"/>
      <c r="K445" s="1704"/>
      <c r="L445" s="1704"/>
      <c r="M445" s="1704"/>
      <c r="N445" s="1704"/>
      <c r="O445" s="1704"/>
      <c r="P445" s="1704"/>
      <c r="Q445" s="1704"/>
      <c r="R445" s="1704"/>
      <c r="S445" s="1704"/>
      <c r="T445" s="1704"/>
      <c r="U445" s="1704"/>
      <c r="V445" s="1704"/>
      <c r="W445" s="1704"/>
      <c r="X445" s="1704"/>
      <c r="Y445" s="1704"/>
      <c r="Z445" s="1704"/>
      <c r="AA445" s="1704"/>
      <c r="AB445" s="1704"/>
      <c r="AC445" s="1704"/>
      <c r="AD445" s="1704"/>
      <c r="AE445" s="1704"/>
      <c r="AF445" s="1705"/>
      <c r="AG445" s="1840">
        <f>MIN(IF(AG441&gt;AG444,AG444,AG441),1)</f>
        <v>1</v>
      </c>
      <c r="AH445" s="1840"/>
      <c r="AI445" s="1840"/>
      <c r="AJ445" s="1840"/>
    </row>
    <row r="446" spans="1:110" ht="12.95" customHeight="1">
      <c r="D446" s="1703" t="s">
        <v>2405</v>
      </c>
      <c r="E446" s="1649"/>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50"/>
      <c r="AG446" s="1847">
        <v>4000</v>
      </c>
      <c r="AH446" s="1847"/>
      <c r="AI446" s="1847"/>
      <c r="AJ446" s="184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8" t="s">
        <v>578</v>
      </c>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F447" s="1850"/>
      <c r="AG447" s="1847">
        <v>0</v>
      </c>
      <c r="AH447" s="1847"/>
      <c r="AI447" s="1847"/>
      <c r="AJ447" s="184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703" t="s">
        <v>1312</v>
      </c>
      <c r="E448" s="1649"/>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50"/>
      <c r="AG448" s="1847">
        <f>350+1150</f>
        <v>1500</v>
      </c>
      <c r="AH448" s="1847"/>
      <c r="AI448" s="1847"/>
      <c r="AJ448" s="184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3" t="s">
        <v>1063</v>
      </c>
      <c r="E449" s="1649"/>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50"/>
      <c r="AG449" s="1847">
        <v>0</v>
      </c>
      <c r="AH449" s="1847"/>
      <c r="AI449" s="1847"/>
      <c r="AJ449" s="184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30" t="s">
        <v>1064</v>
      </c>
      <c r="E450" s="1831"/>
      <c r="F450" s="1831"/>
      <c r="G450" s="1831"/>
      <c r="H450" s="1831"/>
      <c r="I450" s="1831"/>
      <c r="J450" s="1831"/>
      <c r="K450" s="1831"/>
      <c r="L450" s="1831"/>
      <c r="M450" s="1831"/>
      <c r="N450" s="1831"/>
      <c r="O450" s="1831"/>
      <c r="P450" s="1831"/>
      <c r="Q450" s="1831"/>
      <c r="R450" s="1831"/>
      <c r="S450" s="1831"/>
      <c r="T450" s="1831"/>
      <c r="U450" s="1831"/>
      <c r="V450" s="1831"/>
      <c r="W450" s="1831"/>
      <c r="X450" s="1831"/>
      <c r="Y450" s="1831"/>
      <c r="Z450" s="1831"/>
      <c r="AA450" s="1831"/>
      <c r="AB450" s="1831"/>
      <c r="AC450" s="1831"/>
      <c r="AD450" s="1831"/>
      <c r="AE450" s="1831"/>
      <c r="AF450" s="1832"/>
      <c r="AG450" s="1846">
        <f>AG442+AG446+AG448+AG449</f>
        <v>124350</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3" t="s">
        <v>1313</v>
      </c>
      <c r="E451" s="1833"/>
      <c r="F451" s="1833"/>
      <c r="G451" s="1833"/>
      <c r="H451" s="1833"/>
      <c r="I451" s="1833"/>
      <c r="J451" s="1833"/>
      <c r="K451" s="1833"/>
      <c r="L451" s="1833"/>
      <c r="M451" s="1833"/>
      <c r="N451" s="1833"/>
      <c r="O451" s="1833"/>
      <c r="P451" s="1833"/>
      <c r="Q451" s="1833"/>
      <c r="R451" s="1833"/>
      <c r="S451" s="1833"/>
      <c r="T451" s="1833"/>
      <c r="U451" s="1833"/>
      <c r="V451" s="1833"/>
      <c r="W451" s="1833"/>
      <c r="X451" s="1833"/>
      <c r="Y451" s="1833"/>
      <c r="Z451" s="1833"/>
      <c r="AA451" s="1833"/>
      <c r="AB451" s="1833"/>
      <c r="AC451" s="1833"/>
      <c r="AD451" s="1833"/>
      <c r="AE451" s="1833"/>
      <c r="AF451" s="1833"/>
      <c r="AG451" s="1833"/>
      <c r="AH451" s="1833"/>
      <c r="AI451" s="1833"/>
      <c r="AJ451" s="183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4"/>
      <c r="E452" s="1834"/>
      <c r="F452" s="1834"/>
      <c r="G452" s="1834"/>
      <c r="H452" s="1834"/>
      <c r="I452" s="1834"/>
      <c r="J452" s="1834"/>
      <c r="K452" s="1834"/>
      <c r="L452" s="1834"/>
      <c r="M452" s="1834"/>
      <c r="N452" s="1834"/>
      <c r="O452" s="1834"/>
      <c r="P452" s="1834"/>
      <c r="Q452" s="1834"/>
      <c r="R452" s="1834"/>
      <c r="S452" s="1834"/>
      <c r="T452" s="1834"/>
      <c r="U452" s="1834"/>
      <c r="V452" s="1834"/>
      <c r="W452" s="1834"/>
      <c r="X452" s="1834"/>
      <c r="Y452" s="1834"/>
      <c r="Z452" s="1834"/>
      <c r="AA452" s="1834"/>
      <c r="AB452" s="1834"/>
      <c r="AC452" s="1834"/>
      <c r="AD452" s="1834"/>
      <c r="AE452" s="1834"/>
      <c r="AF452" s="1834"/>
      <c r="AG452" s="1834"/>
      <c r="AH452" s="1834"/>
      <c r="AI452" s="1834"/>
      <c r="AJ452" s="183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5">
        <f>IF(AG437=0,"",'Sources and Uses Budget'!B105/Application!AG437)</f>
        <v>741438.28749999998</v>
      </c>
      <c r="AD454" s="1785"/>
      <c r="AE454" s="1785"/>
      <c r="AF454" s="178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5">
        <f>IF(AG437=0,"",'Sources and Uses Budget'!C105/Application!AG437)</f>
        <v>741438.28749999998</v>
      </c>
      <c r="AD455" s="1785"/>
      <c r="AE455" s="1785"/>
      <c r="AF455" s="178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5">
        <f>IF(AG437=0,"",('Sources and Uses Budget'!$S$107+'Sources and Uses Budget'!$T$107)/Application!AG437)</f>
        <v>598246.42500000005</v>
      </c>
      <c r="AD456" s="1785"/>
      <c r="AE456" s="1785"/>
      <c r="AF456" s="178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8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84"/>
      <c r="H457" s="1484"/>
      <c r="I457" s="1484"/>
      <c r="J457" s="1484"/>
      <c r="K457" s="1484"/>
      <c r="L457" s="1484"/>
      <c r="M457" s="1484"/>
      <c r="N457" s="1484"/>
      <c r="O457" s="1484"/>
      <c r="P457" s="1484"/>
      <c r="Q457" s="1484"/>
      <c r="R457" s="1484"/>
      <c r="S457" s="1484"/>
      <c r="T457" s="1484"/>
      <c r="U457" s="1484"/>
      <c r="V457" s="1484"/>
      <c r="W457" s="1484"/>
      <c r="X457" s="1484"/>
      <c r="Y457" s="1484"/>
      <c r="Z457" s="1484"/>
      <c r="AA457" s="1484"/>
      <c r="AB457" s="148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84"/>
      <c r="G458" s="1484"/>
      <c r="H458" s="1484"/>
      <c r="I458" s="1484"/>
      <c r="J458" s="1484"/>
      <c r="K458" s="1484"/>
      <c r="L458" s="1484"/>
      <c r="M458" s="1484"/>
      <c r="N458" s="1484"/>
      <c r="O458" s="1484"/>
      <c r="P458" s="1484"/>
      <c r="Q458" s="1484"/>
      <c r="R458" s="1484"/>
      <c r="S458" s="1484"/>
      <c r="T458" s="1484"/>
      <c r="U458" s="1484"/>
      <c r="V458" s="1484"/>
      <c r="W458" s="1484"/>
      <c r="X458" s="1484"/>
      <c r="Y458" s="1484"/>
      <c r="Z458" s="1484"/>
      <c r="AA458" s="1484"/>
      <c r="AB458" s="148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No</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45" t="s">
        <v>2419</v>
      </c>
      <c r="E465" s="1734"/>
      <c r="F465" s="1734"/>
      <c r="G465" s="1734"/>
      <c r="H465" s="1734"/>
      <c r="I465" s="1734"/>
      <c r="J465" s="1734"/>
      <c r="K465" s="1734"/>
      <c r="L465" s="1734"/>
      <c r="M465" s="1734"/>
      <c r="N465" s="1734"/>
      <c r="O465" s="1734"/>
      <c r="P465" s="1734"/>
      <c r="Q465" s="1734"/>
      <c r="R465" s="1734"/>
      <c r="S465" s="1734"/>
      <c r="T465" s="1734"/>
      <c r="U465" s="1734"/>
      <c r="V465" s="1735"/>
      <c r="W465" s="1496">
        <v>0</v>
      </c>
      <c r="X465" s="1497"/>
      <c r="Y465" s="149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33" t="s">
        <v>703</v>
      </c>
      <c r="E466" s="1734"/>
      <c r="F466" s="1734"/>
      <c r="G466" s="1734"/>
      <c r="H466" s="1734"/>
      <c r="I466" s="1734"/>
      <c r="J466" s="1734"/>
      <c r="K466" s="1734"/>
      <c r="L466" s="1734"/>
      <c r="M466" s="1734"/>
      <c r="N466" s="1734"/>
      <c r="O466" s="1734"/>
      <c r="P466" s="1734"/>
      <c r="Q466" s="1734"/>
      <c r="R466" s="1734"/>
      <c r="S466" s="1734"/>
      <c r="T466" s="1734"/>
      <c r="U466" s="1734"/>
      <c r="V466" s="1735"/>
      <c r="W466" s="1496">
        <v>0</v>
      </c>
      <c r="X466" s="1497"/>
      <c r="Y466" s="149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33" t="s">
        <v>704</v>
      </c>
      <c r="E467" s="1734"/>
      <c r="F467" s="1734"/>
      <c r="G467" s="1734"/>
      <c r="H467" s="1734"/>
      <c r="I467" s="1734"/>
      <c r="J467" s="1734"/>
      <c r="K467" s="1734"/>
      <c r="L467" s="1734"/>
      <c r="M467" s="1734"/>
      <c r="N467" s="1734"/>
      <c r="O467" s="1734"/>
      <c r="P467" s="1734"/>
      <c r="Q467" s="1734"/>
      <c r="R467" s="1734"/>
      <c r="S467" s="1734"/>
      <c r="T467" s="1734"/>
      <c r="U467" s="1734"/>
      <c r="V467" s="1735"/>
      <c r="W467" s="1496">
        <v>0</v>
      </c>
      <c r="X467" s="1497"/>
      <c r="Y467" s="149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33" t="s">
        <v>705</v>
      </c>
      <c r="E468" s="1734"/>
      <c r="F468" s="1734"/>
      <c r="G468" s="1734"/>
      <c r="H468" s="1734"/>
      <c r="I468" s="1734"/>
      <c r="J468" s="1734"/>
      <c r="K468" s="1734"/>
      <c r="L468" s="1734"/>
      <c r="M468" s="1734"/>
      <c r="N468" s="1734"/>
      <c r="O468" s="1734"/>
      <c r="P468" s="1734"/>
      <c r="Q468" s="1734"/>
      <c r="R468" s="1734"/>
      <c r="S468" s="1734"/>
      <c r="T468" s="1734"/>
      <c r="U468" s="1734"/>
      <c r="V468" s="1735"/>
      <c r="W468" s="1496">
        <v>0</v>
      </c>
      <c r="X468" s="1497"/>
      <c r="Y468" s="149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33" t="s">
        <v>894</v>
      </c>
      <c r="E469" s="1734"/>
      <c r="F469" s="1734"/>
      <c r="G469" s="1734"/>
      <c r="H469" s="1734"/>
      <c r="I469" s="1734"/>
      <c r="J469" s="1734"/>
      <c r="K469" s="1734"/>
      <c r="L469" s="1734"/>
      <c r="M469" s="1734"/>
      <c r="N469" s="1734"/>
      <c r="O469" s="1734"/>
      <c r="P469" s="1734"/>
      <c r="Q469" s="1734"/>
      <c r="R469" s="1734"/>
      <c r="S469" s="1734"/>
      <c r="T469" s="1734"/>
      <c r="U469" s="1734"/>
      <c r="V469" s="1735"/>
      <c r="W469" s="1496">
        <v>0</v>
      </c>
      <c r="X469" s="1497"/>
      <c r="Y469" s="149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33" t="s">
        <v>706</v>
      </c>
      <c r="E470" s="1734"/>
      <c r="F470" s="1734"/>
      <c r="G470" s="1734"/>
      <c r="H470" s="1734"/>
      <c r="I470" s="1734"/>
      <c r="J470" s="1734"/>
      <c r="K470" s="1734"/>
      <c r="L470" s="1734"/>
      <c r="M470" s="1734"/>
      <c r="N470" s="1734"/>
      <c r="O470" s="1734"/>
      <c r="P470" s="1734"/>
      <c r="Q470" s="1734"/>
      <c r="R470" s="1734"/>
      <c r="S470" s="1734"/>
      <c r="T470" s="1734"/>
      <c r="U470" s="1734"/>
      <c r="V470" s="1735"/>
      <c r="W470" s="1496">
        <v>0</v>
      </c>
      <c r="X470" s="1497"/>
      <c r="Y470" s="149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33" t="s">
        <v>1037</v>
      </c>
      <c r="E471" s="1734"/>
      <c r="F471" s="1734"/>
      <c r="G471" s="1734"/>
      <c r="H471" s="1734"/>
      <c r="I471" s="1734"/>
      <c r="J471" s="1734"/>
      <c r="K471" s="1734"/>
      <c r="L471" s="1734"/>
      <c r="M471" s="1734"/>
      <c r="N471" s="1734"/>
      <c r="O471" s="1734"/>
      <c r="P471" s="1734"/>
      <c r="Q471" s="1734"/>
      <c r="R471" s="1734"/>
      <c r="S471" s="1734"/>
      <c r="T471" s="1734"/>
      <c r="U471" s="1734"/>
      <c r="V471" s="1735"/>
      <c r="W471" s="1496">
        <v>0</v>
      </c>
      <c r="X471" s="1497"/>
      <c r="Y471" s="149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45" t="s">
        <v>2556</v>
      </c>
      <c r="E472" s="1876"/>
      <c r="F472" s="1876"/>
      <c r="G472" s="1876"/>
      <c r="H472" s="1876"/>
      <c r="I472" s="1876"/>
      <c r="J472" s="1876"/>
      <c r="K472" s="1876"/>
      <c r="L472" s="1876"/>
      <c r="M472" s="1876"/>
      <c r="N472" s="1876"/>
      <c r="O472" s="1876"/>
      <c r="P472" s="1876"/>
      <c r="Q472" s="1876"/>
      <c r="R472" s="1876"/>
      <c r="S472" s="1876"/>
      <c r="T472" s="1876"/>
      <c r="U472" s="1876"/>
      <c r="V472" s="1877"/>
      <c r="W472" s="1496">
        <v>0</v>
      </c>
      <c r="X472" s="1497"/>
      <c r="Y472" s="149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45" t="s">
        <v>1768</v>
      </c>
      <c r="E473" s="1734"/>
      <c r="F473" s="1734"/>
      <c r="G473" s="1734"/>
      <c r="H473" s="1734"/>
      <c r="I473" s="1734"/>
      <c r="J473" s="1734"/>
      <c r="K473" s="1734"/>
      <c r="L473" s="1734"/>
      <c r="M473" s="1734"/>
      <c r="N473" s="1734"/>
      <c r="O473" s="1734"/>
      <c r="P473" s="1734"/>
      <c r="Q473" s="1734"/>
      <c r="R473" s="1734"/>
      <c r="S473" s="1734"/>
      <c r="T473" s="1734"/>
      <c r="U473" s="1734"/>
      <c r="V473" s="1735"/>
      <c r="W473" s="1496">
        <v>0</v>
      </c>
      <c r="X473" s="1497"/>
      <c r="Y473" s="149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42"/>
      <c r="H474" s="1843"/>
      <c r="I474" s="1843"/>
      <c r="J474" s="1843"/>
      <c r="K474" s="1843"/>
      <c r="L474" s="1843"/>
      <c r="M474" s="1843"/>
      <c r="N474" s="1843"/>
      <c r="O474" s="1843"/>
      <c r="P474" s="1843"/>
      <c r="Q474" s="1843"/>
      <c r="R474" s="1843"/>
      <c r="S474" s="1843"/>
      <c r="T474" s="1843"/>
      <c r="U474" s="1843"/>
      <c r="V474" s="1844"/>
      <c r="W474" s="1496">
        <v>0</v>
      </c>
      <c r="X474" s="1497"/>
      <c r="Y474" s="149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94" t="s">
        <v>820</v>
      </c>
      <c r="B480" s="1394"/>
      <c r="C480" s="1394"/>
      <c r="D480" s="1394"/>
      <c r="E480" s="1394"/>
      <c r="F480" s="1394"/>
      <c r="G480" s="1394"/>
      <c r="H480" s="1394"/>
      <c r="I480" s="1394"/>
      <c r="J480" s="1394"/>
      <c r="K480" s="1394"/>
      <c r="L480" s="1394"/>
      <c r="M480" s="1394"/>
      <c r="N480" s="1394"/>
      <c r="O480" s="1394"/>
      <c r="P480" s="1394"/>
      <c r="Q480" s="1394"/>
      <c r="R480" s="1394"/>
      <c r="S480" s="1394"/>
      <c r="T480" s="1394"/>
      <c r="U480" s="1394"/>
      <c r="V480" s="1394"/>
      <c r="W480" s="1394"/>
      <c r="X480" s="1394"/>
      <c r="Y480" s="1394"/>
      <c r="Z480" s="1394"/>
      <c r="AA480" s="1394"/>
      <c r="AB480" s="1394"/>
      <c r="AC480" s="1394"/>
      <c r="AD480" s="1394"/>
      <c r="AE480" s="1394"/>
      <c r="AF480" s="1394"/>
      <c r="AG480" s="1394"/>
      <c r="AH480" s="1394"/>
      <c r="AI480" s="1394"/>
      <c r="AJ480" s="1394"/>
      <c r="AK480" s="1394"/>
      <c r="AL480" s="1394"/>
      <c r="AM480" s="1394"/>
      <c r="AN480" s="1394"/>
      <c r="AO480" s="1394"/>
      <c r="AP480" s="1394"/>
      <c r="AQ480" s="1394"/>
      <c r="AR480" s="1394"/>
      <c r="AS480" s="1394"/>
      <c r="AT480" s="139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94"/>
      <c r="B481" s="1394"/>
      <c r="C481" s="1394"/>
      <c r="D481" s="1394"/>
      <c r="E481" s="1394"/>
      <c r="F481" s="1394"/>
      <c r="G481" s="1394"/>
      <c r="H481" s="1394"/>
      <c r="I481" s="1394"/>
      <c r="J481" s="1394"/>
      <c r="K481" s="1394"/>
      <c r="L481" s="1394"/>
      <c r="M481" s="1394"/>
      <c r="N481" s="1394"/>
      <c r="O481" s="1394"/>
      <c r="P481" s="1394"/>
      <c r="Q481" s="1394"/>
      <c r="R481" s="1394"/>
      <c r="S481" s="1394"/>
      <c r="T481" s="1394"/>
      <c r="U481" s="1394"/>
      <c r="V481" s="1394"/>
      <c r="W481" s="1394"/>
      <c r="X481" s="1394"/>
      <c r="Y481" s="1394"/>
      <c r="Z481" s="1394"/>
      <c r="AA481" s="1394"/>
      <c r="AB481" s="1394"/>
      <c r="AC481" s="1394"/>
      <c r="AD481" s="1394"/>
      <c r="AE481" s="1394"/>
      <c r="AF481" s="1394"/>
      <c r="AG481" s="1394"/>
      <c r="AH481" s="1394"/>
      <c r="AI481" s="1394"/>
      <c r="AJ481" s="1394"/>
      <c r="AK481" s="1394"/>
      <c r="AL481" s="1394"/>
      <c r="AM481" s="1394"/>
      <c r="AN481" s="1394"/>
      <c r="AO481" s="1394"/>
      <c r="AP481" s="1394"/>
      <c r="AQ481" s="1394"/>
      <c r="AR481" s="1394"/>
      <c r="AS481" s="1394"/>
      <c r="AT481" s="139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28" t="s">
        <v>394</v>
      </c>
      <c r="R485" s="1729"/>
      <c r="S485" s="1729"/>
      <c r="T485" s="1729"/>
      <c r="U485" s="1729"/>
      <c r="V485" s="1729"/>
      <c r="W485" s="1729"/>
      <c r="X485" s="1729"/>
      <c r="Y485" s="1729"/>
      <c r="Z485" s="1729"/>
      <c r="AA485" s="1729"/>
      <c r="AB485" s="1729"/>
      <c r="AC485" s="1729"/>
      <c r="AD485" s="1729"/>
      <c r="AE485" s="1729"/>
      <c r="AF485" s="1729"/>
      <c r="AG485" s="1729"/>
      <c r="AH485" s="1729"/>
      <c r="AI485" s="1729"/>
      <c r="AJ485" s="1729"/>
      <c r="AK485" s="183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8" t="s">
        <v>2747</v>
      </c>
      <c r="R486" s="1516"/>
      <c r="S486" s="1516"/>
      <c r="T486" s="1516"/>
      <c r="U486" s="1516"/>
      <c r="V486" s="1516"/>
      <c r="W486" s="1516"/>
      <c r="X486" s="1516"/>
      <c r="Y486" s="1516"/>
      <c r="Z486" s="1516"/>
      <c r="AA486" s="1516"/>
      <c r="AB486" s="1516"/>
      <c r="AC486" s="1516"/>
      <c r="AD486" s="1516"/>
      <c r="AE486" s="1516"/>
      <c r="AF486" s="1516"/>
      <c r="AG486" s="1516"/>
      <c r="AH486" s="1516"/>
      <c r="AI486" s="1516"/>
      <c r="AJ486" s="1516"/>
      <c r="AK486" s="1709"/>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8" t="s">
        <v>2748</v>
      </c>
      <c r="R487" s="1516"/>
      <c r="S487" s="1516"/>
      <c r="T487" s="1516"/>
      <c r="U487" s="1516"/>
      <c r="V487" s="1516"/>
      <c r="W487" s="1516"/>
      <c r="X487" s="1516"/>
      <c r="Y487" s="1516"/>
      <c r="Z487" s="1516"/>
      <c r="AA487" s="1516"/>
      <c r="AB487" s="1516"/>
      <c r="AC487" s="1516"/>
      <c r="AD487" s="1516"/>
      <c r="AE487" s="1516"/>
      <c r="AF487" s="1516"/>
      <c r="AG487" s="1516"/>
      <c r="AH487" s="1516"/>
      <c r="AI487" s="1516"/>
      <c r="AJ487" s="1516"/>
      <c r="AK487" s="170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8" t="s">
        <v>600</v>
      </c>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70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4" t="s">
        <v>398</v>
      </c>
      <c r="C489" s="1855"/>
      <c r="D489" s="1855"/>
      <c r="E489" s="1855"/>
      <c r="F489" s="1855"/>
      <c r="G489" s="1855"/>
      <c r="H489" s="1855"/>
      <c r="I489" s="1855"/>
      <c r="J489" s="1855"/>
      <c r="K489" s="1855"/>
      <c r="L489" s="1855"/>
      <c r="M489" s="1855"/>
      <c r="N489" s="1855"/>
      <c r="O489" s="1855"/>
      <c r="P489" s="1856"/>
      <c r="Q489" s="1860" t="s">
        <v>678</v>
      </c>
      <c r="R489" s="1861"/>
      <c r="S489" s="1721" t="s">
        <v>166</v>
      </c>
      <c r="T489" s="1722"/>
      <c r="U489" s="1722"/>
      <c r="V489" s="1722"/>
      <c r="W489" s="1722"/>
      <c r="X489" s="1722"/>
      <c r="Y489" s="1722"/>
      <c r="Z489" s="1722"/>
      <c r="AA489" s="1722"/>
      <c r="AB489" s="1722"/>
      <c r="AC489" s="1722"/>
      <c r="AD489" s="1722"/>
      <c r="AE489" s="1722"/>
      <c r="AF489" s="1722"/>
      <c r="AG489" s="1722"/>
      <c r="AH489" s="1722"/>
      <c r="AI489" s="1722"/>
      <c r="AJ489" s="1722"/>
      <c r="AK489" s="172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7"/>
      <c r="C490" s="1858"/>
      <c r="D490" s="1858"/>
      <c r="E490" s="1858"/>
      <c r="F490" s="1858"/>
      <c r="G490" s="1858"/>
      <c r="H490" s="1858"/>
      <c r="I490" s="1858"/>
      <c r="J490" s="1858"/>
      <c r="K490" s="1858"/>
      <c r="L490" s="1858"/>
      <c r="M490" s="1858"/>
      <c r="N490" s="1858"/>
      <c r="O490" s="1858"/>
      <c r="P490" s="1859"/>
      <c r="Q490" s="1862"/>
      <c r="R490" s="1863"/>
      <c r="S490" s="1724"/>
      <c r="T490" s="1725"/>
      <c r="U490" s="1725"/>
      <c r="V490" s="1725"/>
      <c r="W490" s="1725"/>
      <c r="X490" s="1725"/>
      <c r="Y490" s="1725"/>
      <c r="Z490" s="1725"/>
      <c r="AA490" s="1725"/>
      <c r="AB490" s="1725"/>
      <c r="AC490" s="1725"/>
      <c r="AD490" s="1725"/>
      <c r="AE490" s="1725"/>
      <c r="AF490" s="1725"/>
      <c r="AG490" s="1725"/>
      <c r="AH490" s="1725"/>
      <c r="AI490" s="1725"/>
      <c r="AJ490" s="1725"/>
      <c r="AK490" s="172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7" t="s">
        <v>600</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8" t="s">
        <v>2749</v>
      </c>
      <c r="R492" s="1516"/>
      <c r="S492" s="1516"/>
      <c r="T492" s="1516"/>
      <c r="U492" s="1516"/>
      <c r="V492" s="1516"/>
      <c r="W492" s="1516"/>
      <c r="X492" s="1516"/>
      <c r="Y492" s="1516"/>
      <c r="Z492" s="1516"/>
      <c r="AA492" s="1516"/>
      <c r="AB492" s="1516"/>
      <c r="AC492" s="1516"/>
      <c r="AD492" s="1516"/>
      <c r="AE492" s="1516"/>
      <c r="AF492" s="1516"/>
      <c r="AG492" s="1516"/>
      <c r="AH492" s="1516"/>
      <c r="AI492" s="1516"/>
      <c r="AJ492" s="1516"/>
      <c r="AK492" s="170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8" t="s">
        <v>2750</v>
      </c>
      <c r="R493" s="1516"/>
      <c r="S493" s="1516"/>
      <c r="T493" s="1516"/>
      <c r="U493" s="1516"/>
      <c r="V493" s="1516"/>
      <c r="W493" s="1516"/>
      <c r="X493" s="1516"/>
      <c r="Y493" s="1516"/>
      <c r="Z493" s="1516"/>
      <c r="AA493" s="1516"/>
      <c r="AB493" s="1516"/>
      <c r="AC493" s="1516"/>
      <c r="AD493" s="1516"/>
      <c r="AE493" s="1516"/>
      <c r="AF493" s="1516"/>
      <c r="AG493" s="1516"/>
      <c r="AH493" s="1516"/>
      <c r="AI493" s="1516"/>
      <c r="AJ493" s="1516"/>
      <c r="AK493" s="170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08">
        <v>193</v>
      </c>
      <c r="R494" s="1516"/>
      <c r="S494" s="1516"/>
      <c r="T494" s="1516"/>
      <c r="U494" s="1516"/>
      <c r="V494" s="1516"/>
      <c r="W494" s="1516"/>
      <c r="X494" s="1516"/>
      <c r="Y494" s="1516"/>
      <c r="Z494" s="1516"/>
      <c r="AA494" s="1516"/>
      <c r="AB494" s="1516"/>
      <c r="AC494" s="1516"/>
      <c r="AD494" s="1516"/>
      <c r="AE494" s="1516"/>
      <c r="AF494" s="1516"/>
      <c r="AG494" s="1516"/>
      <c r="AH494" s="1516"/>
      <c r="AI494" s="1516"/>
      <c r="AJ494" s="1516"/>
      <c r="AK494" s="170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510">
        <v>191</v>
      </c>
      <c r="N495" s="1511"/>
      <c r="O495" s="1511"/>
      <c r="P495" s="1512"/>
      <c r="Q495" s="121" t="s">
        <v>1785</v>
      </c>
      <c r="R495" s="5"/>
      <c r="S495" s="5"/>
      <c r="T495" s="5"/>
      <c r="U495" s="5"/>
      <c r="V495" s="5"/>
      <c r="W495" s="5"/>
      <c r="X495" s="5"/>
      <c r="Y495" s="5"/>
      <c r="Z495" s="5"/>
      <c r="AA495" s="5"/>
      <c r="AB495" s="5"/>
      <c r="AC495" s="5"/>
      <c r="AD495" s="5"/>
      <c r="AE495" s="5"/>
      <c r="AF495" s="5"/>
      <c r="AG495" s="5"/>
      <c r="AH495" s="1510">
        <v>2</v>
      </c>
      <c r="AI495" s="1511"/>
      <c r="AJ495" s="1511"/>
      <c r="AK495" s="151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28" t="s">
        <v>402</v>
      </c>
      <c r="AD499" s="1729"/>
      <c r="AE499" s="1729"/>
      <c r="AF499" s="1729"/>
      <c r="AG499" s="1729"/>
      <c r="AH499" s="1729"/>
      <c r="AI499" s="1729"/>
      <c r="AJ499" s="1729"/>
      <c r="AK499" s="1839"/>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28" t="s">
        <v>403</v>
      </c>
      <c r="AD500" s="1729"/>
      <c r="AE500" s="1729"/>
      <c r="AF500" s="1729"/>
      <c r="AG500" s="50" t="s">
        <v>404</v>
      </c>
      <c r="AH500" s="1729" t="s">
        <v>405</v>
      </c>
      <c r="AI500" s="1729"/>
      <c r="AJ500" s="1729"/>
      <c r="AK500" s="1839"/>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8" t="s">
        <v>406</v>
      </c>
      <c r="C501" s="1556"/>
      <c r="D501" s="1556"/>
      <c r="E501" s="1556"/>
      <c r="F501" s="1556"/>
      <c r="G501" s="1556"/>
      <c r="H501" s="1557"/>
      <c r="I501" s="42" t="s">
        <v>407</v>
      </c>
      <c r="J501" s="42"/>
      <c r="K501" s="42"/>
      <c r="L501" s="42"/>
      <c r="M501" s="42"/>
      <c r="N501" s="42"/>
      <c r="O501" s="42"/>
      <c r="P501" s="42"/>
      <c r="Q501" s="42"/>
      <c r="R501" s="42"/>
      <c r="S501" s="42"/>
      <c r="T501" s="42"/>
      <c r="U501" s="42"/>
      <c r="V501" s="42"/>
      <c r="W501" s="42"/>
      <c r="AC501" s="1717" t="s">
        <v>600</v>
      </c>
      <c r="AD501" s="1682"/>
      <c r="AE501" s="1682"/>
      <c r="AF501" s="1682"/>
      <c r="AG501" s="13" t="s">
        <v>404</v>
      </c>
      <c r="AH501" s="1389">
        <v>0</v>
      </c>
      <c r="AI501" s="1389"/>
      <c r="AJ501" s="1389"/>
      <c r="AK501" s="139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9"/>
      <c r="C502" s="1558"/>
      <c r="D502" s="1558"/>
      <c r="E502" s="1558"/>
      <c r="F502" s="1558"/>
      <c r="G502" s="1558"/>
      <c r="H502" s="1559"/>
      <c r="I502" s="48" t="s">
        <v>408</v>
      </c>
      <c r="J502" s="48"/>
      <c r="K502" s="48"/>
      <c r="L502" s="48"/>
      <c r="M502" s="48"/>
      <c r="N502" s="48"/>
      <c r="O502" s="48"/>
      <c r="P502" s="48"/>
      <c r="Q502" s="48"/>
      <c r="R502" s="48"/>
      <c r="S502" s="48"/>
      <c r="T502" s="48"/>
      <c r="U502" s="48"/>
      <c r="V502" s="48"/>
      <c r="W502" s="48"/>
      <c r="X502" s="48"/>
      <c r="Y502" s="48"/>
      <c r="Z502" s="48"/>
      <c r="AA502" s="48"/>
      <c r="AB502" s="48"/>
      <c r="AC502" s="1717">
        <v>9</v>
      </c>
      <c r="AD502" s="1682"/>
      <c r="AE502" s="1682"/>
      <c r="AF502" s="1682"/>
      <c r="AG502" s="38" t="s">
        <v>404</v>
      </c>
      <c r="AH502" s="1389">
        <v>2024</v>
      </c>
      <c r="AI502" s="1389"/>
      <c r="AJ502" s="1389"/>
      <c r="AK502" s="139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8" t="s">
        <v>409</v>
      </c>
      <c r="C503" s="1556"/>
      <c r="D503" s="1556"/>
      <c r="E503" s="1556"/>
      <c r="F503" s="1556"/>
      <c r="G503" s="1556"/>
      <c r="H503" s="1557"/>
      <c r="I503" s="42" t="s">
        <v>410</v>
      </c>
      <c r="J503" s="42"/>
      <c r="K503" s="42"/>
      <c r="L503" s="42"/>
      <c r="M503" s="42"/>
      <c r="N503" s="42"/>
      <c r="O503" s="42"/>
      <c r="P503" s="42"/>
      <c r="Q503" s="42"/>
      <c r="R503" s="42"/>
      <c r="S503" s="42"/>
      <c r="T503" s="42"/>
      <c r="U503" s="42"/>
      <c r="V503" s="42"/>
      <c r="W503" s="42"/>
      <c r="AC503" s="1717" t="s">
        <v>600</v>
      </c>
      <c r="AD503" s="1682"/>
      <c r="AE503" s="1682"/>
      <c r="AF503" s="1682"/>
      <c r="AG503" s="13" t="s">
        <v>404</v>
      </c>
      <c r="AH503" s="1389"/>
      <c r="AI503" s="1389"/>
      <c r="AJ503" s="1389"/>
      <c r="AK503" s="139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9"/>
      <c r="C504" s="1558"/>
      <c r="D504" s="1558"/>
      <c r="E504" s="1558"/>
      <c r="F504" s="1558"/>
      <c r="G504" s="1558"/>
      <c r="H504" s="1559"/>
      <c r="I504" t="s">
        <v>411</v>
      </c>
      <c r="AC504" s="1717" t="s">
        <v>600</v>
      </c>
      <c r="AD504" s="1682"/>
      <c r="AE504" s="1682"/>
      <c r="AF504" s="1682"/>
      <c r="AG504" s="13" t="s">
        <v>404</v>
      </c>
      <c r="AH504" s="1389"/>
      <c r="AI504" s="1389"/>
      <c r="AJ504" s="1389"/>
      <c r="AK504" s="139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9"/>
      <c r="C505" s="1558"/>
      <c r="D505" s="1558"/>
      <c r="E505" s="1558"/>
      <c r="F505" s="1558"/>
      <c r="G505" s="1558"/>
      <c r="H505" s="1559"/>
      <c r="I505" t="s">
        <v>412</v>
      </c>
      <c r="AC505" s="1717" t="s">
        <v>600</v>
      </c>
      <c r="AD505" s="1682"/>
      <c r="AE505" s="1682"/>
      <c r="AF505" s="1682"/>
      <c r="AG505" s="13" t="s">
        <v>404</v>
      </c>
      <c r="AH505" s="1389"/>
      <c r="AI505" s="1389"/>
      <c r="AJ505" s="1389"/>
      <c r="AK505" s="139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9"/>
      <c r="C506" s="1558"/>
      <c r="D506" s="1558"/>
      <c r="E506" s="1558"/>
      <c r="F506" s="1558"/>
      <c r="G506" s="1558"/>
      <c r="H506" s="1559"/>
      <c r="I506" t="s">
        <v>413</v>
      </c>
      <c r="AC506" s="1717" t="s">
        <v>600</v>
      </c>
      <c r="AD506" s="1682"/>
      <c r="AE506" s="1682"/>
      <c r="AF506" s="1682"/>
      <c r="AG506" s="13" t="s">
        <v>404</v>
      </c>
      <c r="AH506" s="1389"/>
      <c r="AI506" s="1389"/>
      <c r="AJ506" s="1389"/>
      <c r="AK506" s="139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9"/>
      <c r="C507" s="1558"/>
      <c r="D507" s="1558"/>
      <c r="E507" s="1558"/>
      <c r="F507" s="1558"/>
      <c r="G507" s="1558"/>
      <c r="H507" s="1559"/>
      <c r="I507" s="3" t="s">
        <v>414</v>
      </c>
      <c r="AC507" s="1429">
        <v>9</v>
      </c>
      <c r="AD507" s="1430"/>
      <c r="AE507" s="1430"/>
      <c r="AF507" s="1430"/>
      <c r="AG507" s="13" t="s">
        <v>404</v>
      </c>
      <c r="AH507" s="1389">
        <v>2024</v>
      </c>
      <c r="AI507" s="1389"/>
      <c r="AJ507" s="1389"/>
      <c r="AK507" s="139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19"/>
      <c r="C508" s="1558"/>
      <c r="D508" s="1558"/>
      <c r="E508" s="1558"/>
      <c r="F508" s="1558"/>
      <c r="G508" s="1558"/>
      <c r="H508" s="1559"/>
      <c r="I508" s="931" t="s">
        <v>170</v>
      </c>
      <c r="J508" s="48"/>
      <c r="K508" s="48"/>
      <c r="L508" s="1730" t="s">
        <v>335</v>
      </c>
      <c r="M508" s="1731"/>
      <c r="N508" s="1731"/>
      <c r="O508" s="1731"/>
      <c r="P508" s="1731"/>
      <c r="Q508" s="1731"/>
      <c r="R508" s="1731"/>
      <c r="S508" s="1731"/>
      <c r="T508" s="1731"/>
      <c r="U508" s="1731"/>
      <c r="V508" s="1731"/>
      <c r="W508" s="1731"/>
      <c r="X508" s="1731"/>
      <c r="Y508" s="1731"/>
      <c r="Z508" s="1731"/>
      <c r="AA508" s="1731"/>
      <c r="AB508" s="1732"/>
      <c r="AC508" s="1717" t="s">
        <v>600</v>
      </c>
      <c r="AD508" s="1682"/>
      <c r="AE508" s="1682"/>
      <c r="AF508" s="1682"/>
      <c r="AG508" s="38" t="s">
        <v>404</v>
      </c>
      <c r="AH508" s="1389"/>
      <c r="AI508" s="1389"/>
      <c r="AJ508" s="1389"/>
      <c r="AK508" s="139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727" t="s">
        <v>1291</v>
      </c>
      <c r="AD509" s="1727"/>
      <c r="AE509" s="1727"/>
      <c r="AF509" s="1727"/>
      <c r="AG509" s="13"/>
      <c r="AH509" s="1310"/>
      <c r="AI509" s="1310"/>
      <c r="AJ509" s="1310"/>
      <c r="AK509" s="184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429"/>
      <c r="AD510" s="1430"/>
      <c r="AE510" s="1430"/>
      <c r="AF510" s="1431"/>
      <c r="AG510" s="13"/>
      <c r="AH510" s="1310"/>
      <c r="AI510" s="1310"/>
      <c r="AJ510" s="1310"/>
      <c r="AK510" s="184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70"/>
      <c r="AD512" s="1871"/>
      <c r="AE512" s="1871"/>
      <c r="AF512" s="1872"/>
      <c r="AG512" s="38"/>
      <c r="AH512" s="1873"/>
      <c r="AI512" s="1873"/>
      <c r="AJ512" s="1873"/>
      <c r="AK512" s="187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64" t="s">
        <v>403</v>
      </c>
      <c r="AD513" s="1438"/>
      <c r="AE513" s="1438"/>
      <c r="AF513" s="1438"/>
      <c r="AG513" s="38" t="s">
        <v>404</v>
      </c>
      <c r="AH513" s="1438" t="s">
        <v>405</v>
      </c>
      <c r="AI513" s="1438"/>
      <c r="AJ513" s="1438"/>
      <c r="AK513" s="1865"/>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18" t="s">
        <v>415</v>
      </c>
      <c r="C514" s="1556"/>
      <c r="D514" s="1556"/>
      <c r="E514" s="1556"/>
      <c r="F514" s="1556"/>
      <c r="G514" s="1556"/>
      <c r="H514" s="1557"/>
      <c r="I514" s="42" t="s">
        <v>416</v>
      </c>
      <c r="J514" s="42"/>
      <c r="K514" s="42"/>
      <c r="L514" s="42"/>
      <c r="M514" s="42"/>
      <c r="N514" s="42"/>
      <c r="O514" s="42"/>
      <c r="P514" s="42"/>
      <c r="Q514" s="42"/>
      <c r="R514" s="42"/>
      <c r="S514" s="42"/>
      <c r="T514" s="42"/>
      <c r="U514" s="42"/>
      <c r="V514" s="42"/>
      <c r="W514" s="42"/>
      <c r="AC514" s="1717">
        <v>1</v>
      </c>
      <c r="AD514" s="1682"/>
      <c r="AE514" s="1682"/>
      <c r="AF514" s="1682"/>
      <c r="AG514" s="13" t="s">
        <v>404</v>
      </c>
      <c r="AH514" s="1389">
        <v>2024</v>
      </c>
      <c r="AI514" s="1389"/>
      <c r="AJ514" s="1389"/>
      <c r="AK514" s="1390"/>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19"/>
      <c r="C515" s="1558"/>
      <c r="D515" s="1558"/>
      <c r="E515" s="1558"/>
      <c r="F515" s="1558"/>
      <c r="G515" s="1558"/>
      <c r="H515" s="1559"/>
      <c r="I515" t="s">
        <v>417</v>
      </c>
      <c r="AC515" s="1717">
        <v>4</v>
      </c>
      <c r="AD515" s="1682"/>
      <c r="AE515" s="1682"/>
      <c r="AF515" s="1682"/>
      <c r="AG515" s="13" t="s">
        <v>404</v>
      </c>
      <c r="AH515" s="1389">
        <v>2024</v>
      </c>
      <c r="AI515" s="1389"/>
      <c r="AJ515" s="1389"/>
      <c r="AK515" s="1390"/>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19"/>
      <c r="C516" s="1558"/>
      <c r="D516" s="1558"/>
      <c r="E516" s="1558"/>
      <c r="F516" s="1558"/>
      <c r="G516" s="1558"/>
      <c r="H516" s="1559"/>
      <c r="I516" s="48" t="s">
        <v>418</v>
      </c>
      <c r="J516" s="48"/>
      <c r="K516" s="48"/>
      <c r="L516" s="48"/>
      <c r="M516" s="48"/>
      <c r="N516" s="48"/>
      <c r="O516" s="48"/>
      <c r="P516" s="48"/>
      <c r="Q516" s="48"/>
      <c r="R516" s="48"/>
      <c r="S516" s="48"/>
      <c r="T516" s="48"/>
      <c r="U516" s="48"/>
      <c r="V516" s="48"/>
      <c r="W516" s="48"/>
      <c r="X516" s="48"/>
      <c r="Y516" s="48"/>
      <c r="Z516" s="48"/>
      <c r="AA516" s="48"/>
      <c r="AB516" s="48"/>
      <c r="AC516" s="1717">
        <v>9</v>
      </c>
      <c r="AD516" s="1682"/>
      <c r="AE516" s="1682"/>
      <c r="AF516" s="1682"/>
      <c r="AG516" s="38" t="s">
        <v>404</v>
      </c>
      <c r="AH516" s="1389">
        <v>2024</v>
      </c>
      <c r="AI516" s="1389"/>
      <c r="AJ516" s="1389"/>
      <c r="AK516" s="1390"/>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18" t="s">
        <v>419</v>
      </c>
      <c r="C517" s="1556"/>
      <c r="D517" s="1556"/>
      <c r="E517" s="1556"/>
      <c r="F517" s="1556"/>
      <c r="G517" s="1556"/>
      <c r="H517" s="1557"/>
      <c r="I517" s="42" t="s">
        <v>416</v>
      </c>
      <c r="J517" s="42"/>
      <c r="K517" s="42"/>
      <c r="L517" s="42"/>
      <c r="M517" s="42"/>
      <c r="N517" s="42"/>
      <c r="O517" s="42"/>
      <c r="P517" s="42"/>
      <c r="Q517" s="42"/>
      <c r="R517" s="42"/>
      <c r="S517" s="42"/>
      <c r="T517" s="42"/>
      <c r="U517" s="42"/>
      <c r="V517" s="42"/>
      <c r="W517" s="42"/>
      <c r="X517" s="42"/>
      <c r="Y517" s="42"/>
      <c r="Z517" s="42"/>
      <c r="AA517" s="42"/>
      <c r="AB517" s="42"/>
      <c r="AC517" s="1429">
        <v>1</v>
      </c>
      <c r="AD517" s="1430"/>
      <c r="AE517" s="1430"/>
      <c r="AF517" s="1430"/>
      <c r="AG517" s="129" t="s">
        <v>404</v>
      </c>
      <c r="AH517" s="1389">
        <v>2024</v>
      </c>
      <c r="AI517" s="1389"/>
      <c r="AJ517" s="1389"/>
      <c r="AK517" s="1390"/>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19"/>
      <c r="C518" s="1558"/>
      <c r="D518" s="1558"/>
      <c r="E518" s="1558"/>
      <c r="F518" s="1558"/>
      <c r="G518" s="1558"/>
      <c r="H518" s="1559"/>
      <c r="I518" t="s">
        <v>417</v>
      </c>
      <c r="AC518" s="1717">
        <v>4</v>
      </c>
      <c r="AD518" s="1682"/>
      <c r="AE518" s="1682"/>
      <c r="AF518" s="1682"/>
      <c r="AG518" s="13" t="s">
        <v>404</v>
      </c>
      <c r="AH518" s="1389">
        <v>2024</v>
      </c>
      <c r="AI518" s="1389"/>
      <c r="AJ518" s="1389"/>
      <c r="AK518" s="1390"/>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20"/>
      <c r="C519" s="1560"/>
      <c r="D519" s="1560"/>
      <c r="E519" s="1560"/>
      <c r="F519" s="1560"/>
      <c r="G519" s="1560"/>
      <c r="H519" s="1561"/>
      <c r="I519" s="48" t="s">
        <v>418</v>
      </c>
      <c r="J519" s="48"/>
      <c r="K519" s="48"/>
      <c r="L519" s="48"/>
      <c r="M519" s="48"/>
      <c r="N519" s="48"/>
      <c r="O519" s="48"/>
      <c r="P519" s="48"/>
      <c r="Q519" s="48"/>
      <c r="R519" s="48"/>
      <c r="S519" s="48"/>
      <c r="T519" s="48"/>
      <c r="U519" s="48"/>
      <c r="V519" s="48"/>
      <c r="W519" s="48"/>
      <c r="X519" s="48"/>
      <c r="Y519" s="48"/>
      <c r="Z519" s="48"/>
      <c r="AA519" s="48"/>
      <c r="AB519" s="48"/>
      <c r="AC519" s="1717">
        <v>9</v>
      </c>
      <c r="AD519" s="1682"/>
      <c r="AE519" s="1682"/>
      <c r="AF519" s="1682"/>
      <c r="AG519" s="38" t="s">
        <v>404</v>
      </c>
      <c r="AH519" s="1389">
        <v>2024</v>
      </c>
      <c r="AI519" s="1389"/>
      <c r="AJ519" s="1389"/>
      <c r="AK519" s="1390"/>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18" t="s">
        <v>420</v>
      </c>
      <c r="C520" s="1556"/>
      <c r="D520" s="1556"/>
      <c r="E520" s="1556"/>
      <c r="F520" s="1556"/>
      <c r="G520" s="1556"/>
      <c r="H520" s="1557"/>
      <c r="I520" s="41" t="s">
        <v>421</v>
      </c>
      <c r="J520" s="42"/>
      <c r="K520" s="42"/>
      <c r="L520" s="42"/>
      <c r="M520" s="42"/>
      <c r="N520" s="42"/>
      <c r="O520" s="1730" t="s">
        <v>2727</v>
      </c>
      <c r="P520" s="1731"/>
      <c r="Q520" s="1731"/>
      <c r="R520" s="1731"/>
      <c r="S520" s="1731"/>
      <c r="T520" s="1731"/>
      <c r="U520" s="1731"/>
      <c r="V520" s="1731"/>
      <c r="W520" s="1731"/>
      <c r="X520" s="1731"/>
      <c r="Y520" s="1731"/>
      <c r="Z520" s="1731"/>
      <c r="AA520" s="1731"/>
      <c r="AB520" s="58"/>
      <c r="AC520" s="1429">
        <v>1</v>
      </c>
      <c r="AD520" s="1430"/>
      <c r="AE520" s="1430"/>
      <c r="AF520" s="1430"/>
      <c r="AG520" s="129" t="s">
        <v>404</v>
      </c>
      <c r="AH520" s="1389">
        <v>2024</v>
      </c>
      <c r="AI520" s="1389"/>
      <c r="AJ520" s="1389"/>
      <c r="AK520" s="1390"/>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19"/>
      <c r="C521" s="1558"/>
      <c r="D521" s="1558"/>
      <c r="E521" s="1558"/>
      <c r="F521" s="1558"/>
      <c r="G521" s="1558"/>
      <c r="H521" s="1559"/>
      <c r="I521" s="114" t="s">
        <v>422</v>
      </c>
      <c r="AB521" s="65"/>
      <c r="AC521" s="1717">
        <v>4</v>
      </c>
      <c r="AD521" s="1682"/>
      <c r="AE521" s="1682"/>
      <c r="AF521" s="1682"/>
      <c r="AG521" s="13" t="s">
        <v>404</v>
      </c>
      <c r="AH521" s="1389">
        <v>2024</v>
      </c>
      <c r="AI521" s="1389"/>
      <c r="AJ521" s="1389"/>
      <c r="AK521" s="1390"/>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19"/>
      <c r="C522" s="1558"/>
      <c r="D522" s="1558"/>
      <c r="E522" s="1558"/>
      <c r="F522" s="1558"/>
      <c r="G522" s="1558"/>
      <c r="H522" s="1559"/>
      <c r="I522" s="47" t="s">
        <v>423</v>
      </c>
      <c r="J522" s="48"/>
      <c r="K522" s="48"/>
      <c r="L522" s="48"/>
      <c r="M522" s="48"/>
      <c r="N522" s="48"/>
      <c r="O522" s="48"/>
      <c r="P522" s="48"/>
      <c r="Q522" s="48"/>
      <c r="R522" s="48"/>
      <c r="S522" s="48"/>
      <c r="T522" s="48"/>
      <c r="U522" s="48"/>
      <c r="V522" s="48"/>
      <c r="W522" s="48"/>
      <c r="X522" s="48"/>
      <c r="Y522" s="48"/>
      <c r="Z522" s="48"/>
      <c r="AA522" s="48"/>
      <c r="AB522" s="49"/>
      <c r="AC522" s="1717">
        <v>9</v>
      </c>
      <c r="AD522" s="1682"/>
      <c r="AE522" s="1682"/>
      <c r="AF522" s="1682"/>
      <c r="AG522" s="38" t="s">
        <v>404</v>
      </c>
      <c r="AH522" s="1389">
        <v>2024</v>
      </c>
      <c r="AI522" s="1389"/>
      <c r="AJ522" s="1389"/>
      <c r="AK522" s="1390"/>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19"/>
      <c r="C523" s="1558"/>
      <c r="D523" s="1558"/>
      <c r="E523" s="1558"/>
      <c r="F523" s="1558"/>
      <c r="G523" s="1558"/>
      <c r="H523" s="1559"/>
      <c r="I523" s="42" t="s">
        <v>424</v>
      </c>
      <c r="J523" s="42"/>
      <c r="K523" s="42"/>
      <c r="L523" s="42"/>
      <c r="M523" s="42"/>
      <c r="N523" s="42"/>
      <c r="O523" s="1730" t="s">
        <v>335</v>
      </c>
      <c r="P523" s="1731"/>
      <c r="Q523" s="1731"/>
      <c r="R523" s="1731"/>
      <c r="S523" s="1731"/>
      <c r="T523" s="1731"/>
      <c r="U523" s="1731"/>
      <c r="V523" s="1731"/>
      <c r="W523" s="1731"/>
      <c r="X523" s="1731"/>
      <c r="Y523" s="1731"/>
      <c r="Z523" s="1731"/>
      <c r="AA523" s="1731"/>
      <c r="AC523" s="1717" t="s">
        <v>600</v>
      </c>
      <c r="AD523" s="1682"/>
      <c r="AE523" s="1682"/>
      <c r="AF523" s="1682"/>
      <c r="AG523" s="13" t="s">
        <v>404</v>
      </c>
      <c r="AH523" s="1389"/>
      <c r="AI523" s="1389"/>
      <c r="AJ523" s="1389"/>
      <c r="AK523" s="1390"/>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19"/>
      <c r="C524" s="1558"/>
      <c r="D524" s="1558"/>
      <c r="E524" s="1558"/>
      <c r="F524" s="1558"/>
      <c r="G524" s="1558"/>
      <c r="H524" s="1559"/>
      <c r="I524" t="s">
        <v>422</v>
      </c>
      <c r="AC524" s="1717" t="s">
        <v>600</v>
      </c>
      <c r="AD524" s="1682"/>
      <c r="AE524" s="1682"/>
      <c r="AF524" s="1682"/>
      <c r="AG524" s="13" t="s">
        <v>404</v>
      </c>
      <c r="AH524" s="1389"/>
      <c r="AI524" s="1389"/>
      <c r="AJ524" s="1389"/>
      <c r="AK524" s="1390"/>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19"/>
      <c r="C525" s="1558"/>
      <c r="D525" s="1558"/>
      <c r="E525" s="1558"/>
      <c r="F525" s="1558"/>
      <c r="G525" s="1558"/>
      <c r="H525" s="1559"/>
      <c r="I525" s="48" t="s">
        <v>423</v>
      </c>
      <c r="J525" s="48"/>
      <c r="K525" s="48"/>
      <c r="L525" s="48"/>
      <c r="M525" s="48"/>
      <c r="N525" s="48"/>
      <c r="O525" s="48"/>
      <c r="P525" s="48"/>
      <c r="Q525" s="48"/>
      <c r="R525" s="48"/>
      <c r="S525" s="48"/>
      <c r="T525" s="48"/>
      <c r="U525" s="48"/>
      <c r="V525" s="48"/>
      <c r="W525" s="48"/>
      <c r="X525" s="48"/>
      <c r="Y525" s="48"/>
      <c r="Z525" s="48"/>
      <c r="AA525" s="48"/>
      <c r="AB525" s="48"/>
      <c r="AC525" s="1717" t="s">
        <v>600</v>
      </c>
      <c r="AD525" s="1682"/>
      <c r="AE525" s="1682"/>
      <c r="AF525" s="1682"/>
      <c r="AG525" s="38" t="s">
        <v>404</v>
      </c>
      <c r="AH525" s="1389"/>
      <c r="AI525" s="1389"/>
      <c r="AJ525" s="1389"/>
      <c r="AK525" s="1390"/>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9"/>
      <c r="C526" s="1558"/>
      <c r="D526" s="1558"/>
      <c r="E526" s="1558"/>
      <c r="F526" s="1558"/>
      <c r="G526" s="1558"/>
      <c r="H526" s="1559"/>
      <c r="I526" s="42" t="s">
        <v>424</v>
      </c>
      <c r="J526" s="42"/>
      <c r="K526" s="42"/>
      <c r="L526" s="42"/>
      <c r="M526" s="42"/>
      <c r="N526" s="42"/>
      <c r="O526" s="1730" t="s">
        <v>335</v>
      </c>
      <c r="P526" s="1731"/>
      <c r="Q526" s="1731"/>
      <c r="R526" s="1731"/>
      <c r="S526" s="1731"/>
      <c r="T526" s="1731"/>
      <c r="U526" s="1731"/>
      <c r="V526" s="1731"/>
      <c r="W526" s="1731"/>
      <c r="X526" s="1731"/>
      <c r="Y526" s="1731"/>
      <c r="Z526" s="1731"/>
      <c r="AA526" s="1731"/>
      <c r="AC526" s="1717" t="s">
        <v>600</v>
      </c>
      <c r="AD526" s="1682"/>
      <c r="AE526" s="1682"/>
      <c r="AF526" s="1682"/>
      <c r="AG526" s="13" t="s">
        <v>404</v>
      </c>
      <c r="AH526" s="1389"/>
      <c r="AI526" s="1389"/>
      <c r="AJ526" s="1389"/>
      <c r="AK526" s="1390"/>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9"/>
      <c r="C527" s="1558"/>
      <c r="D527" s="1558"/>
      <c r="E527" s="1558"/>
      <c r="F527" s="1558"/>
      <c r="G527" s="1558"/>
      <c r="H527" s="1559"/>
      <c r="I527" t="s">
        <v>422</v>
      </c>
      <c r="AC527" s="1717" t="s">
        <v>600</v>
      </c>
      <c r="AD527" s="1682"/>
      <c r="AE527" s="1682"/>
      <c r="AF527" s="1682"/>
      <c r="AG527" s="13" t="s">
        <v>404</v>
      </c>
      <c r="AH527" s="1389"/>
      <c r="AI527" s="1389"/>
      <c r="AJ527" s="1389"/>
      <c r="AK527" s="1390"/>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9"/>
      <c r="C528" s="1558"/>
      <c r="D528" s="1558"/>
      <c r="E528" s="1558"/>
      <c r="F528" s="1558"/>
      <c r="G528" s="1558"/>
      <c r="H528" s="1559"/>
      <c r="I528" s="48" t="s">
        <v>423</v>
      </c>
      <c r="J528" s="48"/>
      <c r="K528" s="48"/>
      <c r="L528" s="48"/>
      <c r="M528" s="48"/>
      <c r="N528" s="48"/>
      <c r="O528" s="48"/>
      <c r="P528" s="48"/>
      <c r="Q528" s="48"/>
      <c r="R528" s="48"/>
      <c r="S528" s="48"/>
      <c r="T528" s="48"/>
      <c r="U528" s="48"/>
      <c r="V528" s="48"/>
      <c r="W528" s="48"/>
      <c r="X528" s="48"/>
      <c r="Y528" s="48"/>
      <c r="Z528" s="48"/>
      <c r="AA528" s="48"/>
      <c r="AB528" s="48"/>
      <c r="AC528" s="1717" t="s">
        <v>600</v>
      </c>
      <c r="AD528" s="1682"/>
      <c r="AE528" s="1682"/>
      <c r="AF528" s="1682"/>
      <c r="AG528" s="38" t="s">
        <v>404</v>
      </c>
      <c r="AH528" s="1389"/>
      <c r="AI528" s="1389"/>
      <c r="AJ528" s="1389"/>
      <c r="AK528" s="1390"/>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9"/>
      <c r="C529" s="1558"/>
      <c r="D529" s="1558"/>
      <c r="E529" s="1558"/>
      <c r="F529" s="1558"/>
      <c r="G529" s="1558"/>
      <c r="H529" s="1559"/>
      <c r="I529" s="42" t="s">
        <v>424</v>
      </c>
      <c r="J529" s="42"/>
      <c r="K529" s="42"/>
      <c r="L529" s="42"/>
      <c r="M529" s="42"/>
      <c r="N529" s="42"/>
      <c r="O529" s="1730" t="s">
        <v>335</v>
      </c>
      <c r="P529" s="1731"/>
      <c r="Q529" s="1731"/>
      <c r="R529" s="1731"/>
      <c r="S529" s="1731"/>
      <c r="T529" s="1731"/>
      <c r="U529" s="1731"/>
      <c r="V529" s="1731"/>
      <c r="W529" s="1731"/>
      <c r="X529" s="1731"/>
      <c r="Y529" s="1731"/>
      <c r="Z529" s="1731"/>
      <c r="AA529" s="1731"/>
      <c r="AC529" s="1717" t="s">
        <v>600</v>
      </c>
      <c r="AD529" s="1682"/>
      <c r="AE529" s="1682"/>
      <c r="AF529" s="1682"/>
      <c r="AG529" s="13" t="s">
        <v>404</v>
      </c>
      <c r="AH529" s="1389"/>
      <c r="AI529" s="1389"/>
      <c r="AJ529" s="1389"/>
      <c r="AK529" s="1390"/>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9"/>
      <c r="C530" s="1558"/>
      <c r="D530" s="1558"/>
      <c r="E530" s="1558"/>
      <c r="F530" s="1558"/>
      <c r="G530" s="1558"/>
      <c r="H530" s="1559"/>
      <c r="I530" t="s">
        <v>422</v>
      </c>
      <c r="AC530" s="1717" t="s">
        <v>600</v>
      </c>
      <c r="AD530" s="1682"/>
      <c r="AE530" s="1682"/>
      <c r="AF530" s="1682"/>
      <c r="AG530" s="13" t="s">
        <v>404</v>
      </c>
      <c r="AH530" s="1389"/>
      <c r="AI530" s="1389"/>
      <c r="AJ530" s="1389"/>
      <c r="AK530" s="1390"/>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9"/>
      <c r="C531" s="1558"/>
      <c r="D531" s="1558"/>
      <c r="E531" s="1558"/>
      <c r="F531" s="1558"/>
      <c r="G531" s="1558"/>
      <c r="H531" s="1559"/>
      <c r="I531" s="48" t="s">
        <v>423</v>
      </c>
      <c r="J531" s="48"/>
      <c r="K531" s="48"/>
      <c r="L531" s="48"/>
      <c r="M531" s="48"/>
      <c r="N531" s="48"/>
      <c r="O531" s="48"/>
      <c r="P531" s="48"/>
      <c r="Q531" s="48"/>
      <c r="R531" s="48"/>
      <c r="S531" s="48"/>
      <c r="T531" s="48"/>
      <c r="U531" s="48"/>
      <c r="V531" s="48"/>
      <c r="W531" s="48"/>
      <c r="X531" s="48"/>
      <c r="Y531" s="48"/>
      <c r="Z531" s="48"/>
      <c r="AA531" s="48"/>
      <c r="AB531" s="48"/>
      <c r="AC531" s="1717" t="s">
        <v>600</v>
      </c>
      <c r="AD531" s="1682"/>
      <c r="AE531" s="1682"/>
      <c r="AF531" s="1682"/>
      <c r="AG531" s="38" t="s">
        <v>404</v>
      </c>
      <c r="AH531" s="1389"/>
      <c r="AI531" s="1389"/>
      <c r="AJ531" s="1389"/>
      <c r="AK531" s="1390"/>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9"/>
      <c r="C532" s="1558"/>
      <c r="D532" s="1558"/>
      <c r="E532" s="1558"/>
      <c r="F532" s="1558"/>
      <c r="G532" s="1558"/>
      <c r="H532" s="1559"/>
      <c r="I532" s="42" t="s">
        <v>424</v>
      </c>
      <c r="J532" s="42"/>
      <c r="K532" s="42"/>
      <c r="L532" s="42"/>
      <c r="M532" s="42"/>
      <c r="N532" s="42"/>
      <c r="O532" s="1730" t="s">
        <v>335</v>
      </c>
      <c r="P532" s="1731"/>
      <c r="Q532" s="1731"/>
      <c r="R532" s="1731"/>
      <c r="S532" s="1731"/>
      <c r="T532" s="1731"/>
      <c r="U532" s="1731"/>
      <c r="V532" s="1731"/>
      <c r="W532" s="1731"/>
      <c r="X532" s="1731"/>
      <c r="Y532" s="1731"/>
      <c r="Z532" s="1731"/>
      <c r="AA532" s="1731"/>
      <c r="AC532" s="1717" t="s">
        <v>600</v>
      </c>
      <c r="AD532" s="1682"/>
      <c r="AE532" s="1682"/>
      <c r="AF532" s="1682"/>
      <c r="AG532" s="13" t="s">
        <v>404</v>
      </c>
      <c r="AH532" s="1389"/>
      <c r="AI532" s="1389"/>
      <c r="AJ532" s="1389"/>
      <c r="AK532" s="1390"/>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9"/>
      <c r="C533" s="1558"/>
      <c r="D533" s="1558"/>
      <c r="E533" s="1558"/>
      <c r="F533" s="1558"/>
      <c r="G533" s="1558"/>
      <c r="H533" s="1559"/>
      <c r="I533" t="s">
        <v>422</v>
      </c>
      <c r="AC533" s="1717" t="s">
        <v>600</v>
      </c>
      <c r="AD533" s="1682"/>
      <c r="AE533" s="1682"/>
      <c r="AF533" s="1682"/>
      <c r="AG533" s="38" t="s">
        <v>404</v>
      </c>
      <c r="AH533" s="1389"/>
      <c r="AI533" s="1389"/>
      <c r="AJ533" s="1389"/>
      <c r="AK533" s="1390"/>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9"/>
      <c r="C534" s="1558"/>
      <c r="D534" s="1558"/>
      <c r="E534" s="1558"/>
      <c r="F534" s="1558"/>
      <c r="G534" s="1558"/>
      <c r="H534" s="1559"/>
      <c r="I534" s="48" t="s">
        <v>423</v>
      </c>
      <c r="J534" s="48"/>
      <c r="K534" s="48"/>
      <c r="L534" s="48"/>
      <c r="M534" s="48"/>
      <c r="N534" s="48"/>
      <c r="O534" s="48"/>
      <c r="P534" s="48"/>
      <c r="Q534" s="48"/>
      <c r="R534" s="48"/>
      <c r="S534" s="48"/>
      <c r="T534" s="48"/>
      <c r="U534" s="48"/>
      <c r="V534" s="48"/>
      <c r="W534" s="48"/>
      <c r="X534" s="48"/>
      <c r="Y534" s="48"/>
      <c r="Z534" s="48"/>
      <c r="AA534" s="48"/>
      <c r="AB534" s="48"/>
      <c r="AC534" s="1717" t="s">
        <v>600</v>
      </c>
      <c r="AD534" s="1682"/>
      <c r="AE534" s="1682"/>
      <c r="AF534" s="1682"/>
      <c r="AG534" s="13" t="s">
        <v>404</v>
      </c>
      <c r="AH534" s="1389"/>
      <c r="AI534" s="1389"/>
      <c r="AJ534" s="1389"/>
      <c r="AK534" s="1390"/>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9"/>
      <c r="C535" s="1558"/>
      <c r="D535" s="1558"/>
      <c r="E535" s="1558"/>
      <c r="F535" s="1558"/>
      <c r="G535" s="1558"/>
      <c r="H535" s="1559"/>
      <c r="I535" s="42" t="s">
        <v>424</v>
      </c>
      <c r="J535" s="42"/>
      <c r="K535" s="42"/>
      <c r="L535" s="42"/>
      <c r="M535" s="42"/>
      <c r="N535" s="42"/>
      <c r="O535" s="1730" t="s">
        <v>335</v>
      </c>
      <c r="P535" s="1731"/>
      <c r="Q535" s="1731"/>
      <c r="R535" s="1731"/>
      <c r="S535" s="1731"/>
      <c r="T535" s="1731"/>
      <c r="U535" s="1731"/>
      <c r="V535" s="1731"/>
      <c r="W535" s="1731"/>
      <c r="X535" s="1731"/>
      <c r="Y535" s="1731"/>
      <c r="Z535" s="1731"/>
      <c r="AA535" s="1731"/>
      <c r="AC535" s="1717" t="s">
        <v>600</v>
      </c>
      <c r="AD535" s="1682"/>
      <c r="AE535" s="1682"/>
      <c r="AF535" s="1682"/>
      <c r="AG535" s="38" t="s">
        <v>404</v>
      </c>
      <c r="AH535" s="1389"/>
      <c r="AI535" s="1389"/>
      <c r="AJ535" s="1389"/>
      <c r="AK535" s="1390"/>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9"/>
      <c r="C536" s="1558"/>
      <c r="D536" s="1558"/>
      <c r="E536" s="1558"/>
      <c r="F536" s="1558"/>
      <c r="G536" s="1558"/>
      <c r="H536" s="1559"/>
      <c r="I536" t="s">
        <v>422</v>
      </c>
      <c r="AC536" s="1717" t="s">
        <v>600</v>
      </c>
      <c r="AD536" s="1682"/>
      <c r="AE536" s="1682"/>
      <c r="AF536" s="1682"/>
      <c r="AG536" s="13" t="s">
        <v>404</v>
      </c>
      <c r="AH536" s="1389"/>
      <c r="AI536" s="1389"/>
      <c r="AJ536" s="1389"/>
      <c r="AK536" s="1390"/>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9"/>
      <c r="C537" s="1558"/>
      <c r="D537" s="1558"/>
      <c r="E537" s="1558"/>
      <c r="F537" s="1558"/>
      <c r="G537" s="1558"/>
      <c r="H537" s="1559"/>
      <c r="I537" s="48" t="s">
        <v>423</v>
      </c>
      <c r="J537" s="48"/>
      <c r="K537" s="48"/>
      <c r="L537" s="48"/>
      <c r="M537" s="48"/>
      <c r="N537" s="48"/>
      <c r="O537" s="48"/>
      <c r="P537" s="48"/>
      <c r="Q537" s="48"/>
      <c r="R537" s="48"/>
      <c r="S537" s="48"/>
      <c r="T537" s="48"/>
      <c r="U537" s="48"/>
      <c r="V537" s="48"/>
      <c r="W537" s="48"/>
      <c r="X537" s="48"/>
      <c r="Y537" s="48"/>
      <c r="Z537" s="48"/>
      <c r="AA537" s="48"/>
      <c r="AB537" s="48"/>
      <c r="AC537" s="1717" t="s">
        <v>600</v>
      </c>
      <c r="AD537" s="1682"/>
      <c r="AE537" s="1682"/>
      <c r="AF537" s="1682"/>
      <c r="AG537" s="38" t="s">
        <v>404</v>
      </c>
      <c r="AH537" s="1389"/>
      <c r="AI537" s="1389"/>
      <c r="AJ537" s="1389"/>
      <c r="AK537" s="1390"/>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9"/>
      <c r="C538" s="1558"/>
      <c r="D538" s="1558"/>
      <c r="E538" s="1558"/>
      <c r="F538" s="1558"/>
      <c r="G538" s="1558"/>
      <c r="H538" s="1559"/>
      <c r="I538" s="42" t="s">
        <v>571</v>
      </c>
      <c r="J538" s="42"/>
      <c r="K538" s="42"/>
      <c r="L538" s="42"/>
      <c r="M538" s="42"/>
      <c r="N538" s="42"/>
      <c r="O538" s="42"/>
      <c r="P538" s="42"/>
      <c r="Q538" s="42"/>
      <c r="R538" s="42"/>
      <c r="S538" s="42"/>
      <c r="T538" s="42"/>
      <c r="U538" s="42"/>
      <c r="V538" s="42"/>
      <c r="W538" s="42"/>
      <c r="AC538" s="1717">
        <v>10</v>
      </c>
      <c r="AD538" s="1682"/>
      <c r="AE538" s="1682"/>
      <c r="AF538" s="1682"/>
      <c r="AG538" s="38" t="s">
        <v>404</v>
      </c>
      <c r="AH538" s="1389">
        <v>2024</v>
      </c>
      <c r="AI538" s="1389"/>
      <c r="AJ538" s="1389"/>
      <c r="AK538" s="139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9"/>
      <c r="C539" s="1558"/>
      <c r="D539" s="1558"/>
      <c r="E539" s="1558"/>
      <c r="F539" s="1558"/>
      <c r="G539" s="1558"/>
      <c r="H539" s="1559"/>
      <c r="I539" t="s">
        <v>572</v>
      </c>
      <c r="AC539" s="1717">
        <v>10</v>
      </c>
      <c r="AD539" s="1682"/>
      <c r="AE539" s="1682"/>
      <c r="AF539" s="1682"/>
      <c r="AG539" s="13" t="s">
        <v>404</v>
      </c>
      <c r="AH539" s="1389">
        <v>2024</v>
      </c>
      <c r="AI539" s="1389"/>
      <c r="AJ539" s="1389"/>
      <c r="AK539" s="139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9"/>
      <c r="C540" s="1558"/>
      <c r="D540" s="1558"/>
      <c r="E540" s="1558"/>
      <c r="F540" s="1558"/>
      <c r="G540" s="1558"/>
      <c r="H540" s="1559"/>
      <c r="I540" t="s">
        <v>573</v>
      </c>
      <c r="AC540" s="1717">
        <v>12</v>
      </c>
      <c r="AD540" s="1682"/>
      <c r="AE540" s="1682"/>
      <c r="AF540" s="1682"/>
      <c r="AG540" s="38" t="s">
        <v>404</v>
      </c>
      <c r="AH540" s="1389">
        <v>2025</v>
      </c>
      <c r="AI540" s="1389"/>
      <c r="AJ540" s="1389"/>
      <c r="AK540" s="139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9"/>
      <c r="C541" s="1558"/>
      <c r="D541" s="1558"/>
      <c r="E541" s="1558"/>
      <c r="F541" s="1558"/>
      <c r="G541" s="1558"/>
      <c r="H541" s="1559"/>
      <c r="I541" t="s">
        <v>574</v>
      </c>
      <c r="AC541" s="1717">
        <v>12</v>
      </c>
      <c r="AD541" s="1682"/>
      <c r="AE541" s="1682"/>
      <c r="AF541" s="1682"/>
      <c r="AG541" s="38" t="s">
        <v>404</v>
      </c>
      <c r="AH541" s="1389">
        <v>2025</v>
      </c>
      <c r="AI541" s="1389"/>
      <c r="AJ541" s="1389"/>
      <c r="AK541" s="139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0"/>
      <c r="C542" s="1560"/>
      <c r="D542" s="1560"/>
      <c r="E542" s="1560"/>
      <c r="F542" s="1560"/>
      <c r="G542" s="1560"/>
      <c r="H542" s="1561"/>
      <c r="I542" s="48" t="s">
        <v>460</v>
      </c>
      <c r="J542" s="48"/>
      <c r="K542" s="48"/>
      <c r="L542" s="48"/>
      <c r="M542" s="48"/>
      <c r="N542" s="48"/>
      <c r="O542" s="48"/>
      <c r="P542" s="48"/>
      <c r="Q542" s="48"/>
      <c r="R542" s="48"/>
      <c r="S542" s="48"/>
      <c r="T542" s="48"/>
      <c r="U542" s="48"/>
      <c r="V542" s="48"/>
      <c r="W542" s="48"/>
      <c r="X542" s="48"/>
      <c r="Y542" s="48"/>
      <c r="Z542" s="48"/>
      <c r="AA542" s="48"/>
      <c r="AB542" s="48"/>
      <c r="AC542" s="1717">
        <v>12</v>
      </c>
      <c r="AD542" s="1682"/>
      <c r="AE542" s="1682"/>
      <c r="AF542" s="1682"/>
      <c r="AG542" s="38" t="s">
        <v>404</v>
      </c>
      <c r="AH542" s="1389">
        <v>2025</v>
      </c>
      <c r="AI542" s="1389"/>
      <c r="AJ542" s="1389"/>
      <c r="AK542" s="139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3" t="s">
        <v>552</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8" t="s">
        <v>2423</v>
      </c>
      <c r="C551" s="1556"/>
      <c r="D551" s="1556"/>
      <c r="E551" s="1556"/>
      <c r="F551" s="1556"/>
      <c r="G551" s="1556"/>
      <c r="H551" s="1556"/>
      <c r="I551" s="1556"/>
      <c r="J551" s="1556"/>
      <c r="K551" s="1556"/>
      <c r="L551" s="1557"/>
      <c r="M551" s="1718" t="s">
        <v>2424</v>
      </c>
      <c r="N551" s="1556"/>
      <c r="O551" s="1556"/>
      <c r="P551" s="1557"/>
      <c r="Q551" s="1718" t="s">
        <v>2450</v>
      </c>
      <c r="R551" s="1556"/>
      <c r="S551" s="1557"/>
      <c r="T551" s="1718" t="s">
        <v>2451</v>
      </c>
      <c r="U551" s="1556"/>
      <c r="V551" s="1557"/>
      <c r="W551" s="1718" t="s">
        <v>462</v>
      </c>
      <c r="X551" s="1556"/>
      <c r="Y551" s="1557"/>
      <c r="Z551" s="1718" t="s">
        <v>2044</v>
      </c>
      <c r="AA551" s="1556"/>
      <c r="AB551" s="1556"/>
      <c r="AC551" s="1556"/>
      <c r="AD551" s="1557"/>
      <c r="AE551" s="1718" t="s">
        <v>1866</v>
      </c>
      <c r="AF551" s="1556"/>
      <c r="AG551" s="1556"/>
      <c r="AH551" s="1557"/>
      <c r="AI551" s="1718" t="s">
        <v>1867</v>
      </c>
      <c r="AJ551" s="1556"/>
      <c r="AK551" s="1556"/>
      <c r="AL551" s="1557"/>
      <c r="AM551" s="1718" t="s">
        <v>463</v>
      </c>
      <c r="AN551" s="1556"/>
      <c r="AO551" s="1556"/>
      <c r="AP551" s="1556"/>
      <c r="AQ551" s="1556"/>
      <c r="AR551" s="1556"/>
      <c r="AS551" s="155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9"/>
      <c r="C552" s="1558"/>
      <c r="D552" s="1558"/>
      <c r="E552" s="1558"/>
      <c r="F552" s="1558"/>
      <c r="G552" s="1558"/>
      <c r="H552" s="1558"/>
      <c r="I552" s="1558"/>
      <c r="J552" s="1558"/>
      <c r="K552" s="1558"/>
      <c r="L552" s="1559"/>
      <c r="M552" s="1719"/>
      <c r="N552" s="1558"/>
      <c r="O552" s="1558"/>
      <c r="P552" s="1559"/>
      <c r="Q552" s="1719"/>
      <c r="R552" s="1558"/>
      <c r="S552" s="1559"/>
      <c r="T552" s="1719"/>
      <c r="U552" s="1558"/>
      <c r="V552" s="1559"/>
      <c r="W552" s="1719"/>
      <c r="X552" s="1558"/>
      <c r="Y552" s="1559"/>
      <c r="Z552" s="1719"/>
      <c r="AA552" s="1558"/>
      <c r="AB552" s="1558"/>
      <c r="AC552" s="1558"/>
      <c r="AD552" s="1559"/>
      <c r="AE552" s="1719"/>
      <c r="AF552" s="1558"/>
      <c r="AG552" s="1558"/>
      <c r="AH552" s="1559"/>
      <c r="AI552" s="1719"/>
      <c r="AJ552" s="1558"/>
      <c r="AK552" s="1558"/>
      <c r="AL552" s="1559"/>
      <c r="AM552" s="1719"/>
      <c r="AN552" s="1558"/>
      <c r="AO552" s="1558"/>
      <c r="AP552" s="1558"/>
      <c r="AQ552" s="1558"/>
      <c r="AR552" s="1558"/>
      <c r="AS552" s="155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0"/>
      <c r="C553" s="1560"/>
      <c r="D553" s="1560"/>
      <c r="E553" s="1560"/>
      <c r="F553" s="1560"/>
      <c r="G553" s="1560"/>
      <c r="H553" s="1560"/>
      <c r="I553" s="1560"/>
      <c r="J553" s="1560"/>
      <c r="K553" s="1560"/>
      <c r="L553" s="1561"/>
      <c r="M553" s="1720"/>
      <c r="N553" s="1560"/>
      <c r="O553" s="1560"/>
      <c r="P553" s="1561"/>
      <c r="Q553" s="1720"/>
      <c r="R553" s="1560"/>
      <c r="S553" s="1561"/>
      <c r="T553" s="1720"/>
      <c r="U553" s="1560"/>
      <c r="V553" s="1561"/>
      <c r="W553" s="1720"/>
      <c r="X553" s="1560"/>
      <c r="Y553" s="1561"/>
      <c r="Z553" s="1720"/>
      <c r="AA553" s="1560"/>
      <c r="AB553" s="1560"/>
      <c r="AC553" s="1560"/>
      <c r="AD553" s="1561"/>
      <c r="AE553" s="1720"/>
      <c r="AF553" s="1560"/>
      <c r="AG553" s="1560"/>
      <c r="AH553" s="1561"/>
      <c r="AI553" s="1720"/>
      <c r="AJ553" s="1560"/>
      <c r="AK553" s="1560"/>
      <c r="AL553" s="1561"/>
      <c r="AM553" s="1720"/>
      <c r="AN553" s="1560"/>
      <c r="AO553" s="1560"/>
      <c r="AP553" s="1560"/>
      <c r="AQ553" s="1560"/>
      <c r="AR553" s="1560"/>
      <c r="AS553" s="156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5" t="s">
        <v>2731</v>
      </c>
      <c r="D554" s="1495"/>
      <c r="E554" s="1495"/>
      <c r="F554" s="1495"/>
      <c r="G554" s="1495"/>
      <c r="H554" s="1495"/>
      <c r="I554" s="1495"/>
      <c r="J554" s="1495"/>
      <c r="K554" s="1495"/>
      <c r="L554" s="1495"/>
      <c r="M554" s="1495" t="s">
        <v>2440</v>
      </c>
      <c r="N554" s="1495"/>
      <c r="O554" s="1495"/>
      <c r="P554" s="1495"/>
      <c r="Q554" s="1522">
        <f>17*12</f>
        <v>204</v>
      </c>
      <c r="R554" s="1522"/>
      <c r="S554" s="1523"/>
      <c r="T554" s="1521">
        <f>40*12</f>
        <v>480</v>
      </c>
      <c r="U554" s="1522"/>
      <c r="V554" s="1523"/>
      <c r="W554" s="1524">
        <v>7.0000000000000007E-2</v>
      </c>
      <c r="X554" s="1525"/>
      <c r="Y554" s="1526"/>
      <c r="Z554" s="1494" t="s">
        <v>2697</v>
      </c>
      <c r="AA554" s="1494"/>
      <c r="AB554" s="1494"/>
      <c r="AC554" s="1494"/>
      <c r="AD554" s="1494"/>
      <c r="AE554" s="1651">
        <v>1</v>
      </c>
      <c r="AF554" s="1652"/>
      <c r="AG554" s="1652"/>
      <c r="AH554" s="1653"/>
      <c r="AI554" s="1714"/>
      <c r="AJ554" s="1715"/>
      <c r="AK554" s="1715"/>
      <c r="AL554" s="1716"/>
      <c r="AM554" s="1501">
        <v>48003469</v>
      </c>
      <c r="AN554" s="1502"/>
      <c r="AO554" s="1502"/>
      <c r="AP554" s="1502"/>
      <c r="AQ554" s="1502"/>
      <c r="AR554" s="1502"/>
      <c r="AS554" s="150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7" t="s">
        <v>2753</v>
      </c>
      <c r="D555" s="1707"/>
      <c r="E555" s="1707"/>
      <c r="F555" s="1707"/>
      <c r="G555" s="1707"/>
      <c r="H555" s="1707"/>
      <c r="I555" s="1707"/>
      <c r="J555" s="1707"/>
      <c r="K555" s="1707"/>
      <c r="L555" s="1707"/>
      <c r="M555" s="1495" t="s">
        <v>2440</v>
      </c>
      <c r="N555" s="1495"/>
      <c r="O555" s="1495"/>
      <c r="P555" s="1495"/>
      <c r="Q555" s="1521">
        <v>204</v>
      </c>
      <c r="R555" s="1522"/>
      <c r="S555" s="1523"/>
      <c r="T555" s="1521">
        <v>420</v>
      </c>
      <c r="U555" s="1522"/>
      <c r="V555" s="1523"/>
      <c r="W555" s="1524">
        <v>9.5000000000000001E-2</v>
      </c>
      <c r="X555" s="1525"/>
      <c r="Y555" s="1526"/>
      <c r="Z555" s="1494" t="s">
        <v>1291</v>
      </c>
      <c r="AA555" s="1494"/>
      <c r="AB555" s="1494"/>
      <c r="AC555" s="1494"/>
      <c r="AD555" s="1494"/>
      <c r="AE555" s="1651"/>
      <c r="AF555" s="1652"/>
      <c r="AG555" s="1652"/>
      <c r="AH555" s="1653"/>
      <c r="AI555" s="1714"/>
      <c r="AJ555" s="1715"/>
      <c r="AK555" s="1715"/>
      <c r="AL555" s="1716"/>
      <c r="AM555" s="1501">
        <v>10000000</v>
      </c>
      <c r="AN555" s="1502"/>
      <c r="AO555" s="1502"/>
      <c r="AP555" s="1502"/>
      <c r="AQ555" s="1502"/>
      <c r="AR555" s="1502"/>
      <c r="AS555" s="150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7" t="s">
        <v>2751</v>
      </c>
      <c r="D556" s="1707"/>
      <c r="E556" s="1707"/>
      <c r="F556" s="1707"/>
      <c r="G556" s="1707"/>
      <c r="H556" s="1707"/>
      <c r="I556" s="1707"/>
      <c r="J556" s="1707"/>
      <c r="K556" s="1707"/>
      <c r="L556" s="1707"/>
      <c r="M556" s="1495" t="s">
        <v>2441</v>
      </c>
      <c r="N556" s="1495"/>
      <c r="O556" s="1495"/>
      <c r="P556" s="1495"/>
      <c r="Q556" s="1521">
        <v>204</v>
      </c>
      <c r="R556" s="1522"/>
      <c r="S556" s="1523"/>
      <c r="T556" s="1521">
        <v>480</v>
      </c>
      <c r="U556" s="1522"/>
      <c r="V556" s="1523"/>
      <c r="W556" s="1524">
        <v>7.0000000000000007E-2</v>
      </c>
      <c r="X556" s="1525"/>
      <c r="Y556" s="1526"/>
      <c r="Z556" s="1494" t="s">
        <v>1291</v>
      </c>
      <c r="AA556" s="1494"/>
      <c r="AB556" s="1494"/>
      <c r="AC556" s="1494"/>
      <c r="AD556" s="1494"/>
      <c r="AE556" s="1651">
        <v>2</v>
      </c>
      <c r="AF556" s="1652"/>
      <c r="AG556" s="1652"/>
      <c r="AH556" s="1653"/>
      <c r="AI556" s="1714"/>
      <c r="AJ556" s="1715"/>
      <c r="AK556" s="1715"/>
      <c r="AL556" s="1716"/>
      <c r="AM556" s="1501">
        <v>12346531</v>
      </c>
      <c r="AN556" s="1502"/>
      <c r="AO556" s="1502"/>
      <c r="AP556" s="1502"/>
      <c r="AQ556" s="1502"/>
      <c r="AR556" s="1502"/>
      <c r="AS556" s="150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7" t="s">
        <v>2732</v>
      </c>
      <c r="D557" s="1707"/>
      <c r="E557" s="1707"/>
      <c r="F557" s="1707"/>
      <c r="G557" s="1707"/>
      <c r="H557" s="1707"/>
      <c r="I557" s="1707"/>
      <c r="J557" s="1707"/>
      <c r="K557" s="1707"/>
      <c r="L557" s="1707"/>
      <c r="M557" s="1495" t="s">
        <v>2431</v>
      </c>
      <c r="N557" s="1495"/>
      <c r="O557" s="1495"/>
      <c r="P557" s="1495"/>
      <c r="Q557" s="1521"/>
      <c r="R557" s="1522"/>
      <c r="S557" s="1523"/>
      <c r="T557" s="1521"/>
      <c r="U557" s="1522"/>
      <c r="V557" s="1523"/>
      <c r="W557" s="1524"/>
      <c r="X557" s="1525"/>
      <c r="Y557" s="1526"/>
      <c r="Z557" s="1494" t="s">
        <v>1291</v>
      </c>
      <c r="AA557" s="1494"/>
      <c r="AB557" s="1494"/>
      <c r="AC557" s="1494"/>
      <c r="AD557" s="1494"/>
      <c r="AE557" s="1651"/>
      <c r="AF557" s="1652"/>
      <c r="AG557" s="1652"/>
      <c r="AH557" s="1653"/>
      <c r="AI557" s="1714"/>
      <c r="AJ557" s="1715"/>
      <c r="AK557" s="1715"/>
      <c r="AL557" s="1716"/>
      <c r="AM557" s="1501">
        <v>34457878</v>
      </c>
      <c r="AN557" s="1502"/>
      <c r="AO557" s="1502"/>
      <c r="AP557" s="1502"/>
      <c r="AQ557" s="1502"/>
      <c r="AR557" s="1502"/>
      <c r="AS557" s="150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7" t="s">
        <v>2717</v>
      </c>
      <c r="D558" s="1707"/>
      <c r="E558" s="1707"/>
      <c r="F558" s="1707"/>
      <c r="G558" s="1707"/>
      <c r="H558" s="1707"/>
      <c r="I558" s="1707"/>
      <c r="J558" s="1707"/>
      <c r="K558" s="1707"/>
      <c r="L558" s="1707"/>
      <c r="M558" s="1495" t="s">
        <v>2442</v>
      </c>
      <c r="N558" s="1495"/>
      <c r="O558" s="1495"/>
      <c r="P558" s="1495"/>
      <c r="Q558" s="1521"/>
      <c r="R558" s="1522"/>
      <c r="S558" s="1523"/>
      <c r="T558" s="1521"/>
      <c r="U558" s="1522"/>
      <c r="V558" s="1523"/>
      <c r="W558" s="1524"/>
      <c r="X558" s="1525"/>
      <c r="Y558" s="1526"/>
      <c r="Z558" s="1494" t="s">
        <v>1291</v>
      </c>
      <c r="AA558" s="1494"/>
      <c r="AB558" s="1494"/>
      <c r="AC558" s="1494"/>
      <c r="AD558" s="1494"/>
      <c r="AE558" s="1651"/>
      <c r="AF558" s="1652"/>
      <c r="AG558" s="1652"/>
      <c r="AH558" s="1653"/>
      <c r="AI558" s="1714"/>
      <c r="AJ558" s="1715"/>
      <c r="AK558" s="1715"/>
      <c r="AL558" s="1716"/>
      <c r="AM558" s="1501">
        <v>3415863</v>
      </c>
      <c r="AN558" s="1502"/>
      <c r="AO558" s="1502"/>
      <c r="AP558" s="1502"/>
      <c r="AQ558" s="1502"/>
      <c r="AR558" s="1502"/>
      <c r="AS558" s="1503"/>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7" t="s">
        <v>2698</v>
      </c>
      <c r="D559" s="1707"/>
      <c r="E559" s="1707"/>
      <c r="F559" s="1707"/>
      <c r="G559" s="1707"/>
      <c r="H559" s="1707"/>
      <c r="I559" s="1707"/>
      <c r="J559" s="1707"/>
      <c r="K559" s="1707"/>
      <c r="L559" s="1707"/>
      <c r="M559" s="1495" t="s">
        <v>2427</v>
      </c>
      <c r="N559" s="1495"/>
      <c r="O559" s="1495"/>
      <c r="P559" s="1495"/>
      <c r="Q559" s="1521"/>
      <c r="R559" s="1522"/>
      <c r="S559" s="1523"/>
      <c r="T559" s="1521"/>
      <c r="U559" s="1522"/>
      <c r="V559" s="1523"/>
      <c r="W559" s="1524"/>
      <c r="X559" s="1525"/>
      <c r="Y559" s="1526"/>
      <c r="Z559" s="1494" t="s">
        <v>1291</v>
      </c>
      <c r="AA559" s="1494"/>
      <c r="AB559" s="1494"/>
      <c r="AC559" s="1494"/>
      <c r="AD559" s="1494"/>
      <c r="AE559" s="1651"/>
      <c r="AF559" s="1652"/>
      <c r="AG559" s="1652"/>
      <c r="AH559" s="1653"/>
      <c r="AI559" s="1714"/>
      <c r="AJ559" s="1715"/>
      <c r="AK559" s="1715"/>
      <c r="AL559" s="1716"/>
      <c r="AM559" s="1501">
        <f>'Sources and Uses Budget'!C105-SUM(Application!AM554:AS558)</f>
        <v>10406385</v>
      </c>
      <c r="AN559" s="1502"/>
      <c r="AO559" s="1502"/>
      <c r="AP559" s="1502"/>
      <c r="AQ559" s="1502"/>
      <c r="AR559" s="1502"/>
      <c r="AS559" s="1503"/>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7"/>
      <c r="D560" s="1707"/>
      <c r="E560" s="1707"/>
      <c r="F560" s="1707"/>
      <c r="G560" s="1707"/>
      <c r="H560" s="1707"/>
      <c r="I560" s="1707"/>
      <c r="J560" s="1707"/>
      <c r="K560" s="1707"/>
      <c r="L560" s="1707"/>
      <c r="M560" s="1495" t="s">
        <v>1291</v>
      </c>
      <c r="N560" s="1495"/>
      <c r="O560" s="1495"/>
      <c r="P560" s="1495"/>
      <c r="Q560" s="1521"/>
      <c r="R560" s="1522"/>
      <c r="S560" s="1523"/>
      <c r="T560" s="1521"/>
      <c r="U560" s="1522"/>
      <c r="V560" s="1523"/>
      <c r="W560" s="1524"/>
      <c r="X560" s="1525"/>
      <c r="Y560" s="1526"/>
      <c r="Z560" s="1494" t="s">
        <v>1291</v>
      </c>
      <c r="AA560" s="1494"/>
      <c r="AB560" s="1494"/>
      <c r="AC560" s="1494"/>
      <c r="AD560" s="1494"/>
      <c r="AE560" s="1651"/>
      <c r="AF560" s="1652"/>
      <c r="AG560" s="1652"/>
      <c r="AH560" s="1653"/>
      <c r="AI560" s="1714"/>
      <c r="AJ560" s="1715"/>
      <c r="AK560" s="1715"/>
      <c r="AL560" s="1716"/>
      <c r="AM560" s="1501"/>
      <c r="AN560" s="1502"/>
      <c r="AO560" s="1502"/>
      <c r="AP560" s="1502"/>
      <c r="AQ560" s="1502"/>
      <c r="AR560" s="1502"/>
      <c r="AS560" s="150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7"/>
      <c r="D561" s="1707"/>
      <c r="E561" s="1707"/>
      <c r="F561" s="1707"/>
      <c r="G561" s="1707"/>
      <c r="H561" s="1707"/>
      <c r="I561" s="1707"/>
      <c r="J561" s="1707"/>
      <c r="K561" s="1707"/>
      <c r="L561" s="1707"/>
      <c r="M561" s="1495" t="s">
        <v>1291</v>
      </c>
      <c r="N561" s="1495"/>
      <c r="O561" s="1495"/>
      <c r="P561" s="1495"/>
      <c r="Q561" s="1521"/>
      <c r="R561" s="1522"/>
      <c r="S561" s="1523"/>
      <c r="T561" s="1521"/>
      <c r="U561" s="1522"/>
      <c r="V561" s="1523"/>
      <c r="W561" s="1524"/>
      <c r="X561" s="1525"/>
      <c r="Y561" s="1526"/>
      <c r="Z561" s="1494" t="s">
        <v>1291</v>
      </c>
      <c r="AA561" s="1494"/>
      <c r="AB561" s="1494"/>
      <c r="AC561" s="1494"/>
      <c r="AD561" s="1494"/>
      <c r="AE561" s="1651"/>
      <c r="AF561" s="1652"/>
      <c r="AG561" s="1652"/>
      <c r="AH561" s="1653"/>
      <c r="AI561" s="1714"/>
      <c r="AJ561" s="1715"/>
      <c r="AK561" s="1715"/>
      <c r="AL561" s="1716"/>
      <c r="AM561" s="1501"/>
      <c r="AN561" s="1502"/>
      <c r="AO561" s="1502"/>
      <c r="AP561" s="1502"/>
      <c r="AQ561" s="1502"/>
      <c r="AR561" s="1502"/>
      <c r="AS561" s="150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7"/>
      <c r="D562" s="1707"/>
      <c r="E562" s="1707"/>
      <c r="F562" s="1707"/>
      <c r="G562" s="1707"/>
      <c r="H562" s="1707"/>
      <c r="I562" s="1707"/>
      <c r="J562" s="1707"/>
      <c r="K562" s="1707"/>
      <c r="L562" s="1707"/>
      <c r="M562" s="1495" t="s">
        <v>1291</v>
      </c>
      <c r="N562" s="1495"/>
      <c r="O562" s="1495"/>
      <c r="P562" s="1495"/>
      <c r="Q562" s="1521"/>
      <c r="R562" s="1522"/>
      <c r="S562" s="1523"/>
      <c r="T562" s="1521"/>
      <c r="U562" s="1522"/>
      <c r="V562" s="1523"/>
      <c r="W562" s="1524"/>
      <c r="X562" s="1525"/>
      <c r="Y562" s="1526"/>
      <c r="Z562" s="1494" t="s">
        <v>1291</v>
      </c>
      <c r="AA562" s="1494"/>
      <c r="AB562" s="1494"/>
      <c r="AC562" s="1494"/>
      <c r="AD562" s="1494"/>
      <c r="AE562" s="1651"/>
      <c r="AF562" s="1652"/>
      <c r="AG562" s="1652"/>
      <c r="AH562" s="1653"/>
      <c r="AI562" s="1714"/>
      <c r="AJ562" s="1715"/>
      <c r="AK562" s="1715"/>
      <c r="AL562" s="1716"/>
      <c r="AM562" s="1501"/>
      <c r="AN562" s="1502"/>
      <c r="AO562" s="1502"/>
      <c r="AP562" s="1502"/>
      <c r="AQ562" s="1502"/>
      <c r="AR562" s="1502"/>
      <c r="AS562" s="150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7"/>
      <c r="D563" s="1707"/>
      <c r="E563" s="1707"/>
      <c r="F563" s="1707"/>
      <c r="G563" s="1707"/>
      <c r="H563" s="1707"/>
      <c r="I563" s="1707"/>
      <c r="J563" s="1707"/>
      <c r="K563" s="1707"/>
      <c r="L563" s="1707"/>
      <c r="M563" s="1495" t="s">
        <v>1291</v>
      </c>
      <c r="N563" s="1495"/>
      <c r="O563" s="1495"/>
      <c r="P563" s="1495"/>
      <c r="Q563" s="1521"/>
      <c r="R563" s="1522"/>
      <c r="S563" s="1523"/>
      <c r="T563" s="1521"/>
      <c r="U563" s="1522"/>
      <c r="V563" s="1523"/>
      <c r="W563" s="1524"/>
      <c r="X563" s="1525"/>
      <c r="Y563" s="1526"/>
      <c r="Z563" s="1494" t="s">
        <v>1291</v>
      </c>
      <c r="AA563" s="1494"/>
      <c r="AB563" s="1494"/>
      <c r="AC563" s="1494"/>
      <c r="AD563" s="1494"/>
      <c r="AE563" s="1651"/>
      <c r="AF563" s="1652"/>
      <c r="AG563" s="1652"/>
      <c r="AH563" s="1653"/>
      <c r="AI563" s="1714"/>
      <c r="AJ563" s="1715"/>
      <c r="AK563" s="1715"/>
      <c r="AL563" s="1716"/>
      <c r="AM563" s="1501"/>
      <c r="AN563" s="1502"/>
      <c r="AO563" s="1502"/>
      <c r="AP563" s="1502"/>
      <c r="AQ563" s="1502"/>
      <c r="AR563" s="1502"/>
      <c r="AS563" s="150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7"/>
      <c r="D564" s="1707"/>
      <c r="E564" s="1707"/>
      <c r="F564" s="1707"/>
      <c r="G564" s="1707"/>
      <c r="H564" s="1707"/>
      <c r="I564" s="1707"/>
      <c r="J564" s="1707"/>
      <c r="K564" s="1707"/>
      <c r="L564" s="1707"/>
      <c r="M564" s="1495" t="s">
        <v>1291</v>
      </c>
      <c r="N564" s="1495"/>
      <c r="O564" s="1495"/>
      <c r="P564" s="1495"/>
      <c r="Q564" s="1521"/>
      <c r="R564" s="1522"/>
      <c r="S564" s="1523"/>
      <c r="T564" s="1521"/>
      <c r="U564" s="1522"/>
      <c r="V564" s="1523"/>
      <c r="W564" s="1524"/>
      <c r="X564" s="1525"/>
      <c r="Y564" s="1526"/>
      <c r="Z564" s="1494" t="s">
        <v>1291</v>
      </c>
      <c r="AA564" s="1494"/>
      <c r="AB564" s="1494"/>
      <c r="AC564" s="1494"/>
      <c r="AD564" s="1494"/>
      <c r="AE564" s="1651"/>
      <c r="AF564" s="1652"/>
      <c r="AG564" s="1652"/>
      <c r="AH564" s="1653"/>
      <c r="AI564" s="1714"/>
      <c r="AJ564" s="1715"/>
      <c r="AK564" s="1715"/>
      <c r="AL564" s="1716"/>
      <c r="AM564" s="1501"/>
      <c r="AN564" s="1502"/>
      <c r="AO564" s="1502"/>
      <c r="AP564" s="1502"/>
      <c r="AQ564" s="1502"/>
      <c r="AR564" s="1502"/>
      <c r="AS564" s="150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7"/>
      <c r="D565" s="1707"/>
      <c r="E565" s="1707"/>
      <c r="F565" s="1707"/>
      <c r="G565" s="1707"/>
      <c r="H565" s="1707"/>
      <c r="I565" s="1707"/>
      <c r="J565" s="1707"/>
      <c r="K565" s="1707"/>
      <c r="L565" s="1707"/>
      <c r="M565" s="1495" t="s">
        <v>1291</v>
      </c>
      <c r="N565" s="1495"/>
      <c r="O565" s="1495"/>
      <c r="P565" s="1495"/>
      <c r="Q565" s="1521"/>
      <c r="R565" s="1522"/>
      <c r="S565" s="1523"/>
      <c r="T565" s="1521"/>
      <c r="U565" s="1522"/>
      <c r="V565" s="1523"/>
      <c r="W565" s="1524"/>
      <c r="X565" s="1525"/>
      <c r="Y565" s="1526"/>
      <c r="Z565" s="1494" t="s">
        <v>1291</v>
      </c>
      <c r="AA565" s="1494"/>
      <c r="AB565" s="1494"/>
      <c r="AC565" s="1494"/>
      <c r="AD565" s="1494"/>
      <c r="AE565" s="1651"/>
      <c r="AF565" s="1652"/>
      <c r="AG565" s="1652"/>
      <c r="AH565" s="1653"/>
      <c r="AI565" s="1714"/>
      <c r="AJ565" s="1715"/>
      <c r="AK565" s="1715"/>
      <c r="AL565" s="1716"/>
      <c r="AM565" s="1501"/>
      <c r="AN565" s="1502"/>
      <c r="AO565" s="1502"/>
      <c r="AP565" s="1502"/>
      <c r="AQ565" s="1502"/>
      <c r="AR565" s="1502"/>
      <c r="AS565" s="150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76" t="s">
        <v>127</v>
      </c>
      <c r="C566" s="1677"/>
      <c r="D566" s="1677"/>
      <c r="E566" s="1677"/>
      <c r="F566" s="1677"/>
      <c r="G566" s="1677"/>
      <c r="H566" s="1677"/>
      <c r="I566" s="1677"/>
      <c r="J566" s="1677"/>
      <c r="K566" s="1677"/>
      <c r="L566" s="1677"/>
      <c r="M566" s="1677"/>
      <c r="N566" s="1677"/>
      <c r="O566" s="1677"/>
      <c r="P566" s="1677"/>
      <c r="Q566" s="1677"/>
      <c r="R566" s="1677"/>
      <c r="S566" s="1677"/>
      <c r="T566" s="1677"/>
      <c r="U566" s="1711"/>
      <c r="V566" s="1677"/>
      <c r="W566" s="1677"/>
      <c r="X566" s="1677"/>
      <c r="Y566" s="1677"/>
      <c r="Z566" s="1677"/>
      <c r="AA566" s="1677"/>
      <c r="AB566" s="1677"/>
      <c r="AC566" s="1677"/>
      <c r="AD566" s="1677"/>
      <c r="AE566" s="1677"/>
      <c r="AF566" s="1677"/>
      <c r="AG566" s="1677"/>
      <c r="AH566" s="1677"/>
      <c r="AI566" s="1677"/>
      <c r="AJ566" s="1677"/>
      <c r="AK566" s="1677"/>
      <c r="AL566" s="1678"/>
      <c r="AM566" s="1414">
        <f>SUM(AM554:AS565)</f>
        <v>118630126</v>
      </c>
      <c r="AN566" s="1415"/>
      <c r="AO566" s="1415"/>
      <c r="AP566" s="1415"/>
      <c r="AQ566" s="1415"/>
      <c r="AR566" s="1415"/>
      <c r="AS566" s="141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88" t="str">
        <f>C554</f>
        <v>CitiBank Tax-Exempt Bonds</v>
      </c>
      <c r="H568" s="1488"/>
      <c r="I568" s="1488"/>
      <c r="J568" s="1488"/>
      <c r="K568" s="1488"/>
      <c r="L568" s="1488"/>
      <c r="M568" s="1488"/>
      <c r="N568" s="1488"/>
      <c r="O568" s="1488"/>
      <c r="P568" s="1488"/>
      <c r="Q568" s="1488"/>
      <c r="R568" s="1488"/>
      <c r="S568" s="8"/>
      <c r="T568" s="55" t="s">
        <v>113</v>
      </c>
      <c r="U568" t="s">
        <v>472</v>
      </c>
      <c r="Z568" s="1488" t="str">
        <f>C555</f>
        <v>Subordinate Tax Exempt Loan (CAP 10)</v>
      </c>
      <c r="AA568" s="1488"/>
      <c r="AB568" s="1488"/>
      <c r="AC568" s="1488"/>
      <c r="AD568" s="1488"/>
      <c r="AE568" s="1488"/>
      <c r="AF568" s="1488"/>
      <c r="AG568" s="1488"/>
      <c r="AH568" s="1488"/>
      <c r="AI568" s="1488"/>
      <c r="AJ568" s="1488"/>
      <c r="AK568" s="148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93" t="s">
        <v>2728</v>
      </c>
      <c r="H569" s="1493"/>
      <c r="I569" s="1493"/>
      <c r="J569" s="1493"/>
      <c r="K569" s="1493"/>
      <c r="L569" s="1493"/>
      <c r="M569" s="1493"/>
      <c r="N569" s="1493"/>
      <c r="O569" s="1493"/>
      <c r="P569" s="1493"/>
      <c r="Q569" s="1493"/>
      <c r="R569" s="1493"/>
      <c r="S569" s="8"/>
      <c r="T569" s="22"/>
      <c r="U569" t="s">
        <v>85</v>
      </c>
      <c r="Z569" s="1493" t="str">
        <f>L275</f>
        <v>601 California Street, Suite 1150</v>
      </c>
      <c r="AA569" s="1493"/>
      <c r="AB569" s="1493"/>
      <c r="AC569" s="1493"/>
      <c r="AD569" s="1493"/>
      <c r="AE569" s="1493"/>
      <c r="AF569" s="1493"/>
      <c r="AG569" s="1493"/>
      <c r="AH569" s="1493"/>
      <c r="AI569" s="1493"/>
      <c r="AJ569" s="1493"/>
      <c r="AK569" s="149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93" t="s">
        <v>2729</v>
      </c>
      <c r="H570" s="1493"/>
      <c r="I570" s="1493"/>
      <c r="J570" s="1493"/>
      <c r="K570" s="1493"/>
      <c r="L570" s="1493"/>
      <c r="M570" s="1493"/>
      <c r="N570" s="1493"/>
      <c r="O570" s="1493"/>
      <c r="P570" s="1493"/>
      <c r="Q570" s="1493"/>
      <c r="R570" s="1493"/>
      <c r="T570" s="22"/>
      <c r="U570" t="s">
        <v>589</v>
      </c>
      <c r="Z570" s="1516" t="str">
        <f>L276</f>
        <v>San Francisco</v>
      </c>
      <c r="AA570" s="1516"/>
      <c r="AB570" s="1516"/>
      <c r="AC570" s="1516"/>
      <c r="AD570" s="1516"/>
      <c r="AE570" s="1516"/>
      <c r="AF570" s="1516"/>
      <c r="AG570" s="1516"/>
      <c r="AH570" s="1516"/>
      <c r="AI570" s="1516"/>
      <c r="AJ570" s="1516"/>
      <c r="AK570" s="151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93" t="s">
        <v>2730</v>
      </c>
      <c r="H571" s="1493"/>
      <c r="I571" s="1493"/>
      <c r="J571" s="1493"/>
      <c r="K571" s="1493"/>
      <c r="L571" s="1493"/>
      <c r="M571" s="1493"/>
      <c r="N571" s="1493"/>
      <c r="O571" s="1493"/>
      <c r="P571" s="1493"/>
      <c r="Q571" s="1493"/>
      <c r="R571" s="1493"/>
      <c r="S571" s="8"/>
      <c r="T571" s="22"/>
      <c r="U571" t="s">
        <v>17</v>
      </c>
      <c r="Z571" s="1516" t="s">
        <v>2734</v>
      </c>
      <c r="AA571" s="1516"/>
      <c r="AB571" s="1516"/>
      <c r="AC571" s="1516"/>
      <c r="AD571" s="1516"/>
      <c r="AE571" s="1516"/>
      <c r="AF571" s="1516"/>
      <c r="AG571" s="1516"/>
      <c r="AH571" s="1516"/>
      <c r="AI571" s="1516"/>
      <c r="AJ571" s="1516"/>
      <c r="AK571" s="151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701" t="s">
        <v>2733</v>
      </c>
      <c r="H572" s="1492"/>
      <c r="I572" s="1492"/>
      <c r="J572" s="1492"/>
      <c r="K572" s="1492"/>
      <c r="L572" s="1492"/>
      <c r="O572" s="33" t="s">
        <v>207</v>
      </c>
      <c r="P572" s="1520"/>
      <c r="Q572" s="1520"/>
      <c r="R572" s="1520"/>
      <c r="S572" s="10"/>
      <c r="T572" s="22"/>
      <c r="U572" t="s">
        <v>317</v>
      </c>
      <c r="Z572" s="1492"/>
      <c r="AA572" s="1492"/>
      <c r="AB572" s="1492"/>
      <c r="AC572" s="1492"/>
      <c r="AD572" s="1492"/>
      <c r="AE572" s="1492"/>
      <c r="AH572" s="33" t="s">
        <v>207</v>
      </c>
      <c r="AI572" s="1520"/>
      <c r="AJ572" s="1520"/>
      <c r="AK572" s="15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93" t="s">
        <v>2757</v>
      </c>
      <c r="I573" s="1493"/>
      <c r="J573" s="1493"/>
      <c r="K573" s="1493"/>
      <c r="L573" s="1493"/>
      <c r="M573" s="1493"/>
      <c r="N573" s="1493"/>
      <c r="O573" s="1493"/>
      <c r="P573" s="1493"/>
      <c r="Q573" s="1493"/>
      <c r="R573" s="1493"/>
      <c r="S573" s="8"/>
      <c r="T573" s="22"/>
      <c r="U573" t="s">
        <v>18</v>
      </c>
      <c r="AA573" s="1493" t="s">
        <v>2757</v>
      </c>
      <c r="AB573" s="1493"/>
      <c r="AC573" s="1493"/>
      <c r="AD573" s="1493"/>
      <c r="AE573" s="1493"/>
      <c r="AF573" s="1493"/>
      <c r="AG573" s="1493"/>
      <c r="AH573" s="1493"/>
      <c r="AI573" s="1493"/>
      <c r="AJ573" s="1493"/>
      <c r="AK573" s="149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459"/>
      <c r="N574" s="1459"/>
      <c r="O574" s="1459"/>
      <c r="P574" s="1459"/>
      <c r="Q574" s="1459"/>
      <c r="R574" s="1459"/>
      <c r="S574" s="8"/>
      <c r="T574" s="22"/>
      <c r="U574" s="348" t="s">
        <v>1292</v>
      </c>
      <c r="AA574" s="8"/>
      <c r="AB574" s="8"/>
      <c r="AC574" s="8"/>
      <c r="AD574" s="8"/>
      <c r="AE574" s="8"/>
      <c r="AF574" s="1459"/>
      <c r="AG574" s="1459"/>
      <c r="AH574" s="1459"/>
      <c r="AI574" s="1459"/>
      <c r="AJ574" s="1459"/>
      <c r="AK574" s="145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99" t="s">
        <v>554</v>
      </c>
      <c r="O575" s="1499"/>
      <c r="T575" s="22"/>
      <c r="U575" t="s">
        <v>20</v>
      </c>
      <c r="AG575" s="1499" t="s">
        <v>554</v>
      </c>
      <c r="AH575" s="149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88" t="str">
        <f>C556</f>
        <v>CitiBank - Recycled TE bonds</v>
      </c>
      <c r="H577" s="1488"/>
      <c r="I577" s="1488"/>
      <c r="J577" s="1488"/>
      <c r="K577" s="1488"/>
      <c r="L577" s="1488"/>
      <c r="M577" s="1488"/>
      <c r="N577" s="1488"/>
      <c r="O577" s="1488"/>
      <c r="P577" s="1488"/>
      <c r="Q577" s="1488"/>
      <c r="R577" s="1488"/>
      <c r="T577" s="55" t="s">
        <v>590</v>
      </c>
      <c r="U577" t="s">
        <v>472</v>
      </c>
      <c r="Z577" s="1488" t="str">
        <f>C557</f>
        <v>Investor Equity</v>
      </c>
      <c r="AA577" s="1488"/>
      <c r="AB577" s="1488"/>
      <c r="AC577" s="1488"/>
      <c r="AD577" s="1488"/>
      <c r="AE577" s="1488"/>
      <c r="AF577" s="1488"/>
      <c r="AG577" s="1488"/>
      <c r="AH577" s="1488"/>
      <c r="AI577" s="1488"/>
      <c r="AJ577" s="1488"/>
      <c r="AK577" s="148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93" t="str">
        <f>G569</f>
        <v>One Market Street, 40th Floor</v>
      </c>
      <c r="H578" s="1493"/>
      <c r="I578" s="1493"/>
      <c r="J578" s="1493"/>
      <c r="K578" s="1493"/>
      <c r="L578" s="1493"/>
      <c r="M578" s="1493"/>
      <c r="N578" s="1493"/>
      <c r="O578" s="1493"/>
      <c r="P578" s="1493"/>
      <c r="Q578" s="1493"/>
      <c r="R578" s="1493"/>
      <c r="T578" s="22"/>
      <c r="U578" t="s">
        <v>85</v>
      </c>
      <c r="Z578" s="1493" t="str">
        <f>AA312</f>
        <v>895 Dove Street, Suite 450</v>
      </c>
      <c r="AA578" s="1493"/>
      <c r="AB578" s="1493"/>
      <c r="AC578" s="1493"/>
      <c r="AD578" s="1493"/>
      <c r="AE578" s="1493"/>
      <c r="AF578" s="1493"/>
      <c r="AG578" s="1493"/>
      <c r="AH578" s="1493"/>
      <c r="AI578" s="1493"/>
      <c r="AJ578" s="1493"/>
      <c r="AK578" s="149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516" t="str">
        <f>G570</f>
        <v>San Francisco, CA 94111</v>
      </c>
      <c r="H579" s="1516"/>
      <c r="I579" s="1516"/>
      <c r="J579" s="1516"/>
      <c r="K579" s="1516"/>
      <c r="L579" s="1516"/>
      <c r="M579" s="1516"/>
      <c r="N579" s="1516"/>
      <c r="O579" s="1516"/>
      <c r="P579" s="1516"/>
      <c r="Q579" s="1516"/>
      <c r="R579" s="1516"/>
      <c r="T579" s="22"/>
      <c r="U579" t="s">
        <v>589</v>
      </c>
      <c r="Z579" s="1516" t="str">
        <f>AA313</f>
        <v>Newpork Beach, CA 92660</v>
      </c>
      <c r="AA579" s="1516"/>
      <c r="AB579" s="1516"/>
      <c r="AC579" s="1516"/>
      <c r="AD579" s="1516"/>
      <c r="AE579" s="1516"/>
      <c r="AF579" s="1516"/>
      <c r="AG579" s="1516"/>
      <c r="AH579" s="1516"/>
      <c r="AI579" s="1516"/>
      <c r="AJ579" s="1516"/>
      <c r="AK579" s="151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516" t="str">
        <f>G571</f>
        <v>Jacob St. Onge</v>
      </c>
      <c r="H580" s="1516"/>
      <c r="I580" s="1516"/>
      <c r="J580" s="1516"/>
      <c r="K580" s="1516"/>
      <c r="L580" s="1516"/>
      <c r="M580" s="1516"/>
      <c r="N580" s="1516"/>
      <c r="O580" s="1516"/>
      <c r="P580" s="1516"/>
      <c r="Q580" s="1516"/>
      <c r="R580" s="1516"/>
      <c r="T580" s="22"/>
      <c r="U580" t="s">
        <v>17</v>
      </c>
      <c r="Z580" s="1516" t="s">
        <v>2722</v>
      </c>
      <c r="AA580" s="1516"/>
      <c r="AB580" s="1516"/>
      <c r="AC580" s="1516"/>
      <c r="AD580" s="1516"/>
      <c r="AE580" s="1516"/>
      <c r="AF580" s="1516"/>
      <c r="AG580" s="1516"/>
      <c r="AH580" s="1516"/>
      <c r="AI580" s="1516"/>
      <c r="AJ580" s="1516"/>
      <c r="AK580" s="1516"/>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92" t="str">
        <f>G572</f>
        <v>(415) 658-3118</v>
      </c>
      <c r="H581" s="1492"/>
      <c r="I581" s="1492"/>
      <c r="J581" s="1492"/>
      <c r="K581" s="1492"/>
      <c r="L581" s="1492"/>
      <c r="O581" s="33" t="s">
        <v>207</v>
      </c>
      <c r="P581" s="1520"/>
      <c r="Q581" s="1520"/>
      <c r="R581" s="1520"/>
      <c r="T581" s="22"/>
      <c r="U581" t="s">
        <v>317</v>
      </c>
      <c r="Z581" s="1701" t="s">
        <v>2723</v>
      </c>
      <c r="AA581" s="1492"/>
      <c r="AB581" s="1492"/>
      <c r="AC581" s="1492"/>
      <c r="AD581" s="1492"/>
      <c r="AE581" s="1492"/>
      <c r="AH581" s="33" t="s">
        <v>207</v>
      </c>
      <c r="AI581" s="1520"/>
      <c r="AJ581" s="1520"/>
      <c r="AK581" s="152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93" t="s">
        <v>2758</v>
      </c>
      <c r="I582" s="1493"/>
      <c r="J582" s="1493"/>
      <c r="K582" s="1493"/>
      <c r="L582" s="1493"/>
      <c r="M582" s="1493"/>
      <c r="N582" s="1493"/>
      <c r="O582" s="1493"/>
      <c r="P582" s="1493"/>
      <c r="Q582" s="1493"/>
      <c r="R582" s="1493"/>
      <c r="T582" s="22"/>
      <c r="U582" t="s">
        <v>18</v>
      </c>
      <c r="AA582" s="1493" t="s">
        <v>2759</v>
      </c>
      <c r="AB582" s="1493"/>
      <c r="AC582" s="1493"/>
      <c r="AD582" s="1493"/>
      <c r="AE582" s="1493"/>
      <c r="AF582" s="1493"/>
      <c r="AG582" s="1493"/>
      <c r="AH582" s="1493"/>
      <c r="AI582" s="1493"/>
      <c r="AJ582" s="1493"/>
      <c r="AK582" s="149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99" t="s">
        <v>678</v>
      </c>
      <c r="O583" s="1499"/>
      <c r="T583" s="22"/>
      <c r="U583" t="s">
        <v>20</v>
      </c>
      <c r="AG583" s="1499" t="s">
        <v>554</v>
      </c>
      <c r="AH583" s="149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88" t="str">
        <f>C558</f>
        <v>Net operating income</v>
      </c>
      <c r="H585" s="1488"/>
      <c r="I585" s="1488"/>
      <c r="J585" s="1488"/>
      <c r="K585" s="1488"/>
      <c r="L585" s="1488"/>
      <c r="M585" s="1488"/>
      <c r="N585" s="1488"/>
      <c r="O585" s="1488"/>
      <c r="P585" s="1488"/>
      <c r="Q585" s="1488"/>
      <c r="R585" s="1488"/>
      <c r="T585" s="55" t="s">
        <v>593</v>
      </c>
      <c r="U585" t="s">
        <v>472</v>
      </c>
      <c r="Z585" s="1488" t="str">
        <f>C559</f>
        <v>Deferred developer fee</v>
      </c>
      <c r="AA585" s="1488"/>
      <c r="AB585" s="1488"/>
      <c r="AC585" s="1488"/>
      <c r="AD585" s="1488"/>
      <c r="AE585" s="1488"/>
      <c r="AF585" s="1488"/>
      <c r="AG585" s="1488"/>
      <c r="AH585" s="1488"/>
      <c r="AI585" s="1488"/>
      <c r="AJ585" s="1488"/>
      <c r="AK585" s="148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93"/>
      <c r="H586" s="1493"/>
      <c r="I586" s="1493"/>
      <c r="J586" s="1493"/>
      <c r="K586" s="1493"/>
      <c r="L586" s="1493"/>
      <c r="M586" s="1493"/>
      <c r="N586" s="1493"/>
      <c r="O586" s="1493"/>
      <c r="P586" s="1493"/>
      <c r="Q586" s="1493"/>
      <c r="R586" s="1493"/>
      <c r="T586" s="22"/>
      <c r="U586" t="s">
        <v>85</v>
      </c>
      <c r="Z586" s="1493" t="str">
        <f>Z569</f>
        <v>601 California Street, Suite 1150</v>
      </c>
      <c r="AA586" s="1493"/>
      <c r="AB586" s="1493"/>
      <c r="AC586" s="1493"/>
      <c r="AD586" s="1493"/>
      <c r="AE586" s="1493"/>
      <c r="AF586" s="1493"/>
      <c r="AG586" s="1493"/>
      <c r="AH586" s="1493"/>
      <c r="AI586" s="1493"/>
      <c r="AJ586" s="1493"/>
      <c r="AK586" s="149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93"/>
      <c r="H587" s="1493"/>
      <c r="I587" s="1493"/>
      <c r="J587" s="1493"/>
      <c r="K587" s="1493"/>
      <c r="L587" s="1493"/>
      <c r="M587" s="1493"/>
      <c r="N587" s="1493"/>
      <c r="O587" s="1493"/>
      <c r="P587" s="1493"/>
      <c r="Q587" s="1493"/>
      <c r="R587" s="1493"/>
      <c r="T587" s="22"/>
      <c r="U587" t="s">
        <v>589</v>
      </c>
      <c r="Z587" s="1516" t="str">
        <f>Z570</f>
        <v>San Francisco</v>
      </c>
      <c r="AA587" s="1516"/>
      <c r="AB587" s="1516"/>
      <c r="AC587" s="1516"/>
      <c r="AD587" s="1516"/>
      <c r="AE587" s="1516"/>
      <c r="AF587" s="1516"/>
      <c r="AG587" s="1516"/>
      <c r="AH587" s="1516"/>
      <c r="AI587" s="1516"/>
      <c r="AJ587" s="1516"/>
      <c r="AK587" s="1516"/>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93"/>
      <c r="H588" s="1493"/>
      <c r="I588" s="1493"/>
      <c r="J588" s="1493"/>
      <c r="K588" s="1493"/>
      <c r="L588" s="1493"/>
      <c r="M588" s="1493"/>
      <c r="N588" s="1493"/>
      <c r="O588" s="1493"/>
      <c r="P588" s="1493"/>
      <c r="Q588" s="1493"/>
      <c r="R588" s="1493"/>
      <c r="T588" s="22"/>
      <c r="U588" t="s">
        <v>17</v>
      </c>
      <c r="Z588" s="1516"/>
      <c r="AA588" s="1516"/>
      <c r="AB588" s="1516"/>
      <c r="AC588" s="1516"/>
      <c r="AD588" s="1516"/>
      <c r="AE588" s="1516"/>
      <c r="AF588" s="1516"/>
      <c r="AG588" s="1516"/>
      <c r="AH588" s="1516"/>
      <c r="AI588" s="1516"/>
      <c r="AJ588" s="1516"/>
      <c r="AK588" s="1516"/>
    </row>
    <row r="589" spans="1:110" ht="12.95" customHeight="1">
      <c r="A589" s="22"/>
      <c r="B589" t="s">
        <v>317</v>
      </c>
      <c r="G589" s="1492"/>
      <c r="H589" s="1492"/>
      <c r="I589" s="1492"/>
      <c r="J589" s="1492"/>
      <c r="K589" s="1492"/>
      <c r="L589" s="1492"/>
      <c r="O589" s="33" t="s">
        <v>207</v>
      </c>
      <c r="P589" s="1520"/>
      <c r="Q589" s="1520"/>
      <c r="R589" s="1520"/>
      <c r="T589" s="22"/>
      <c r="U589" t="s">
        <v>317</v>
      </c>
      <c r="Z589" s="1492"/>
      <c r="AA589" s="1492"/>
      <c r="AB589" s="1492"/>
      <c r="AC589" s="1492"/>
      <c r="AD589" s="1492"/>
      <c r="AE589" s="1492"/>
      <c r="AH589" s="33" t="s">
        <v>207</v>
      </c>
      <c r="AI589" s="1520"/>
      <c r="AJ589" s="1520"/>
      <c r="AK589" s="152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93" t="s">
        <v>2760</v>
      </c>
      <c r="I590" s="1493"/>
      <c r="J590" s="1493"/>
      <c r="K590" s="1493"/>
      <c r="L590" s="1493"/>
      <c r="M590" s="1493"/>
      <c r="N590" s="1493"/>
      <c r="O590" s="1493"/>
      <c r="P590" s="1493"/>
      <c r="Q590" s="1493"/>
      <c r="R590" s="1493"/>
      <c r="T590" s="22"/>
      <c r="U590" t="s">
        <v>18</v>
      </c>
      <c r="AA590" s="1493" t="s">
        <v>467</v>
      </c>
      <c r="AB590" s="1493"/>
      <c r="AC590" s="1493"/>
      <c r="AD590" s="1493"/>
      <c r="AE590" s="1493"/>
      <c r="AF590" s="1493"/>
      <c r="AG590" s="1493"/>
      <c r="AH590" s="1493"/>
      <c r="AI590" s="1493"/>
      <c r="AJ590" s="1493"/>
      <c r="AK590" s="149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99" t="s">
        <v>554</v>
      </c>
      <c r="O591" s="1499"/>
      <c r="T591" s="22"/>
      <c r="U591" t="s">
        <v>20</v>
      </c>
      <c r="AG591" s="1499" t="s">
        <v>554</v>
      </c>
      <c r="AH591" s="149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88">
        <f>C560</f>
        <v>0</v>
      </c>
      <c r="H593" s="1488"/>
      <c r="I593" s="1488"/>
      <c r="J593" s="1488"/>
      <c r="K593" s="1488"/>
      <c r="L593" s="1488"/>
      <c r="M593" s="1488"/>
      <c r="N593" s="1488"/>
      <c r="O593" s="1488"/>
      <c r="P593" s="1488"/>
      <c r="Q593" s="1488"/>
      <c r="R593" s="1488"/>
      <c r="T593" s="55" t="s">
        <v>465</v>
      </c>
      <c r="U593" t="s">
        <v>472</v>
      </c>
      <c r="Z593" s="1488">
        <f>C561</f>
        <v>0</v>
      </c>
      <c r="AA593" s="1488"/>
      <c r="AB593" s="1488"/>
      <c r="AC593" s="1488"/>
      <c r="AD593" s="1488"/>
      <c r="AE593" s="1488"/>
      <c r="AF593" s="1488"/>
      <c r="AG593" s="1488"/>
      <c r="AH593" s="1488"/>
      <c r="AI593" s="1488"/>
      <c r="AJ593" s="1488"/>
      <c r="AK593" s="148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93"/>
      <c r="H594" s="1493"/>
      <c r="I594" s="1493"/>
      <c r="J594" s="1493"/>
      <c r="K594" s="1493"/>
      <c r="L594" s="1493"/>
      <c r="M594" s="1493"/>
      <c r="N594" s="1493"/>
      <c r="O594" s="1493"/>
      <c r="P594" s="1493"/>
      <c r="Q594" s="1493"/>
      <c r="R594" s="1493"/>
      <c r="S594"/>
      <c r="T594" s="22"/>
      <c r="U594" t="s">
        <v>85</v>
      </c>
      <c r="V594"/>
      <c r="W594"/>
      <c r="X594"/>
      <c r="Y594"/>
      <c r="Z594" s="1493"/>
      <c r="AA594" s="1493"/>
      <c r="AB594" s="1493"/>
      <c r="AC594" s="1493"/>
      <c r="AD594" s="1493"/>
      <c r="AE594" s="1493"/>
      <c r="AF594" s="1493"/>
      <c r="AG594" s="1493"/>
      <c r="AH594" s="1493"/>
      <c r="AI594" s="1493"/>
      <c r="AJ594" s="1493"/>
      <c r="AK594" s="149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93"/>
      <c r="H595" s="1493"/>
      <c r="I595" s="1493"/>
      <c r="J595" s="1493"/>
      <c r="K595" s="1493"/>
      <c r="L595" s="1493"/>
      <c r="M595" s="1493"/>
      <c r="N595" s="1493"/>
      <c r="O595" s="1493"/>
      <c r="P595" s="1493"/>
      <c r="Q595" s="1493"/>
      <c r="R595" s="1493"/>
      <c r="S595"/>
      <c r="T595" s="22"/>
      <c r="U595" t="s">
        <v>589</v>
      </c>
      <c r="V595"/>
      <c r="W595"/>
      <c r="X595"/>
      <c r="Y595"/>
      <c r="Z595" s="1516"/>
      <c r="AA595" s="1516"/>
      <c r="AB595" s="1516"/>
      <c r="AC595" s="1516"/>
      <c r="AD595" s="1516"/>
      <c r="AE595" s="1516"/>
      <c r="AF595" s="1516"/>
      <c r="AG595" s="1516"/>
      <c r="AH595" s="1516"/>
      <c r="AI595" s="1516"/>
      <c r="AJ595" s="1516"/>
      <c r="AK595" s="1516"/>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93"/>
      <c r="H596" s="1493"/>
      <c r="I596" s="1493"/>
      <c r="J596" s="1493"/>
      <c r="K596" s="1493"/>
      <c r="L596" s="1493"/>
      <c r="M596" s="1493"/>
      <c r="N596" s="1493"/>
      <c r="O596" s="1493"/>
      <c r="P596" s="1493"/>
      <c r="Q596" s="1493"/>
      <c r="R596" s="1493"/>
      <c r="S596"/>
      <c r="T596" s="22"/>
      <c r="U596" t="s">
        <v>17</v>
      </c>
      <c r="V596"/>
      <c r="W596"/>
      <c r="X596"/>
      <c r="Y596"/>
      <c r="Z596" s="1516"/>
      <c r="AA596" s="1516"/>
      <c r="AB596" s="1516"/>
      <c r="AC596" s="1516"/>
      <c r="AD596" s="1516"/>
      <c r="AE596" s="1516"/>
      <c r="AF596" s="1516"/>
      <c r="AG596" s="1516"/>
      <c r="AH596" s="1516"/>
      <c r="AI596" s="1516"/>
      <c r="AJ596" s="1516"/>
      <c r="AK596" s="1516"/>
      <c r="AL596"/>
      <c r="AM596"/>
      <c r="AN596"/>
      <c r="AO596"/>
      <c r="AP596"/>
      <c r="AQ596"/>
      <c r="AR596"/>
      <c r="AS596"/>
      <c r="AT596"/>
      <c r="AU596"/>
      <c r="AV596"/>
      <c r="AW596"/>
      <c r="AX596"/>
      <c r="AY596"/>
      <c r="BA596" s="4" t="s">
        <v>325</v>
      </c>
      <c r="BB596" s="3"/>
      <c r="BC596" s="3"/>
      <c r="BD596" s="3"/>
      <c r="BE596" s="121" t="s">
        <v>483</v>
      </c>
      <c r="BF596" s="122"/>
      <c r="BG596" s="1565"/>
      <c r="BH596" s="1567"/>
      <c r="BI596" s="121" t="s">
        <v>484</v>
      </c>
      <c r="BJ596" s="122"/>
      <c r="BK596" s="1565"/>
      <c r="BL596" s="1567"/>
      <c r="BM596" s="3"/>
      <c r="BN596" s="1365" t="s">
        <v>642</v>
      </c>
      <c r="BO596" s="1366"/>
      <c r="BP596" s="1366"/>
      <c r="BQ596" s="1366"/>
      <c r="BR596" s="1367"/>
      <c r="BS596" s="1568" t="s">
        <v>326</v>
      </c>
      <c r="BT596" s="1568"/>
      <c r="BU596" s="1568"/>
      <c r="BV596" s="1568"/>
      <c r="BW596" s="1568"/>
      <c r="BX596" s="1568" t="s">
        <v>163</v>
      </c>
      <c r="BY596" s="1568"/>
      <c r="BZ596" s="1568"/>
      <c r="CA596" s="1568"/>
      <c r="CB596" s="1568"/>
      <c r="CC596" s="1568" t="s">
        <v>164</v>
      </c>
      <c r="CD596" s="1568"/>
      <c r="CE596" s="1568"/>
      <c r="CF596" s="1568"/>
      <c r="CG596" s="1568"/>
      <c r="CH596" s="1568" t="s">
        <v>469</v>
      </c>
      <c r="CI596" s="1568"/>
      <c r="CJ596" s="1568"/>
      <c r="CK596" s="1568"/>
      <c r="CL596" s="1568"/>
      <c r="CM596" s="1568" t="s">
        <v>30</v>
      </c>
      <c r="CN596" s="1568"/>
      <c r="CO596" s="1568"/>
      <c r="CP596" s="1568"/>
      <c r="CQ596" s="1568"/>
      <c r="CR596" s="89"/>
      <c r="CS596" s="1568" t="s">
        <v>642</v>
      </c>
      <c r="CT596" s="1568"/>
      <c r="CU596" s="1568"/>
      <c r="CV596" s="1568"/>
      <c r="CW596" s="1568"/>
      <c r="CX596" s="1568" t="s">
        <v>326</v>
      </c>
      <c r="CY596" s="1568"/>
      <c r="CZ596" s="1568"/>
      <c r="DA596" s="1568"/>
      <c r="DB596" s="1568"/>
      <c r="DC596" s="1568" t="s">
        <v>163</v>
      </c>
      <c r="DD596" s="1568"/>
      <c r="DE596" s="1568"/>
      <c r="DF596" s="1568"/>
      <c r="DG596" s="1568"/>
      <c r="DH596" s="1568" t="s">
        <v>164</v>
      </c>
      <c r="DI596" s="1568"/>
      <c r="DJ596" s="1568"/>
      <c r="DK596" s="1568"/>
      <c r="DL596" s="1568"/>
      <c r="DM596" s="1568" t="s">
        <v>469</v>
      </c>
      <c r="DN596" s="1568"/>
      <c r="DO596" s="1568"/>
      <c r="DP596" s="1568"/>
      <c r="DQ596" s="1568"/>
      <c r="DR596" s="1568" t="s">
        <v>30</v>
      </c>
      <c r="DS596" s="1568"/>
      <c r="DT596" s="1568"/>
      <c r="DU596" s="1568"/>
      <c r="DV596" s="1568"/>
      <c r="DX596" s="1568" t="s">
        <v>642</v>
      </c>
      <c r="DY596" s="1568"/>
      <c r="DZ596" s="1568"/>
      <c r="EA596" s="1568"/>
      <c r="EB596" s="1568"/>
      <c r="EC596" s="1568" t="s">
        <v>326</v>
      </c>
      <c r="ED596" s="1568"/>
      <c r="EE596" s="1568"/>
      <c r="EF596" s="1568"/>
      <c r="EG596" s="1568"/>
      <c r="EH596" s="1568" t="s">
        <v>163</v>
      </c>
      <c r="EI596" s="1568"/>
      <c r="EJ596" s="1568"/>
      <c r="EK596" s="1568"/>
      <c r="EL596" s="1568"/>
      <c r="EM596" s="1568" t="s">
        <v>164</v>
      </c>
      <c r="EN596" s="1568"/>
      <c r="EO596" s="1568"/>
      <c r="EP596" s="1568"/>
      <c r="EQ596" s="1568"/>
      <c r="ER596" s="1568" t="s">
        <v>469</v>
      </c>
      <c r="ES596" s="1568"/>
      <c r="ET596" s="1568"/>
      <c r="EU596" s="1568"/>
      <c r="EV596" s="1568"/>
      <c r="EW596" s="1568" t="s">
        <v>30</v>
      </c>
      <c r="EX596" s="1568"/>
      <c r="EY596" s="1568"/>
      <c r="EZ596" s="1568"/>
      <c r="FA596" s="1568"/>
    </row>
    <row r="597" spans="1:157" s="4" customFormat="1" ht="12.95" customHeight="1">
      <c r="A597" s="22"/>
      <c r="B597" t="s">
        <v>317</v>
      </c>
      <c r="C597"/>
      <c r="D597"/>
      <c r="E597"/>
      <c r="F597"/>
      <c r="G597" s="1492"/>
      <c r="H597" s="1492"/>
      <c r="I597" s="1492"/>
      <c r="J597" s="1492"/>
      <c r="K597" s="1492"/>
      <c r="L597" s="1492"/>
      <c r="M597"/>
      <c r="N597"/>
      <c r="O597" s="33" t="s">
        <v>207</v>
      </c>
      <c r="P597" s="1520"/>
      <c r="Q597" s="1520"/>
      <c r="R597" s="1520"/>
      <c r="S597"/>
      <c r="T597" s="22"/>
      <c r="U597" t="s">
        <v>317</v>
      </c>
      <c r="V597"/>
      <c r="W597"/>
      <c r="X597"/>
      <c r="Y597"/>
      <c r="Z597" s="1492"/>
      <c r="AA597" s="1492"/>
      <c r="AB597" s="1492"/>
      <c r="AC597" s="1492"/>
      <c r="AD597" s="1492"/>
      <c r="AE597" s="1492"/>
      <c r="AF597"/>
      <c r="AG597"/>
      <c r="AH597" s="33" t="s">
        <v>207</v>
      </c>
      <c r="AI597" s="1520"/>
      <c r="AJ597" s="1520"/>
      <c r="AK597" s="1520"/>
      <c r="AL597"/>
      <c r="AM597"/>
      <c r="AN597"/>
      <c r="AO597"/>
      <c r="AP597"/>
      <c r="AQ597"/>
      <c r="AR597"/>
      <c r="AS597"/>
      <c r="AT597"/>
      <c r="AU597"/>
      <c r="AV597"/>
      <c r="AW597"/>
      <c r="AX597"/>
      <c r="AY597"/>
      <c r="BA597" s="4" t="s">
        <v>326</v>
      </c>
      <c r="BB597" s="3"/>
      <c r="BC597" s="3"/>
      <c r="BD597" s="3"/>
      <c r="BE597" s="1547">
        <f t="shared" ref="BE597:BE631" si="1">IF(AND(AC718&lt;=0.5,AC718&gt;=0.36),1,0)</f>
        <v>1</v>
      </c>
      <c r="BF597" s="1549"/>
      <c r="BG597" s="1565">
        <f t="shared" ref="BG597:BG631" si="2">IF(BE597=1,G718,0)</f>
        <v>76</v>
      </c>
      <c r="BH597" s="1567"/>
      <c r="BI597" s="1547">
        <f t="shared" ref="BI597:BI631" si="3">IF(AND(AC718&lt;=0.35,AC718&gt;0),1,0)</f>
        <v>0</v>
      </c>
      <c r="BJ597" s="1549"/>
      <c r="BK597" s="1565">
        <f t="shared" ref="BK597:BK631" si="4">IF(BI597=1,G718,0)</f>
        <v>0</v>
      </c>
      <c r="BL597" s="1567"/>
      <c r="BM597" s="3"/>
      <c r="BN597" s="1540">
        <f t="shared" ref="BN597:BN631" si="5">IF(B718="SRO/Studio",G718,0)</f>
        <v>0</v>
      </c>
      <c r="BO597" s="1541"/>
      <c r="BP597" s="1541"/>
      <c r="BQ597" s="1541"/>
      <c r="BR597" s="1542"/>
      <c r="BS597" s="1550">
        <f t="shared" ref="BS597:BS631" si="6">IF(B718="1 Bedroom",G718,0)</f>
        <v>76</v>
      </c>
      <c r="BT597" s="1550"/>
      <c r="BU597" s="1550"/>
      <c r="BV597" s="1550"/>
      <c r="BW597" s="1550"/>
      <c r="BX597" s="1550">
        <f t="shared" ref="BX597:BX631" si="7">IF(B718="2 Bedrooms",G718,0)</f>
        <v>0</v>
      </c>
      <c r="BY597" s="1550"/>
      <c r="BZ597" s="1550"/>
      <c r="CA597" s="1550"/>
      <c r="CB597" s="1550"/>
      <c r="CC597" s="1550">
        <f t="shared" ref="CC597:CC631" si="8">IF(B718="3 Bedrooms",G718,0)</f>
        <v>0</v>
      </c>
      <c r="CD597" s="1550"/>
      <c r="CE597" s="1550"/>
      <c r="CF597" s="1550"/>
      <c r="CG597" s="1550"/>
      <c r="CH597" s="1550">
        <f t="shared" ref="CH597:CH631" si="9">IF(B718="4 Bedrooms",G718,0)</f>
        <v>0</v>
      </c>
      <c r="CI597" s="1550"/>
      <c r="CJ597" s="1550"/>
      <c r="CK597" s="1550"/>
      <c r="CL597" s="1550"/>
      <c r="CM597" s="1550">
        <f t="shared" ref="CM597:CM631" si="10">IF(B718="5 Bedrooms",G718,0)</f>
        <v>0</v>
      </c>
      <c r="CN597" s="1550"/>
      <c r="CO597" s="1550"/>
      <c r="CP597" s="1550"/>
      <c r="CQ597" s="1550"/>
      <c r="CR597" s="6"/>
      <c r="CS597" s="1551">
        <f t="shared" ref="CS597:CS631" si="11">IF(AND(B718="SRO/Studio",AC718&lt;=0.3),G718,0)</f>
        <v>0</v>
      </c>
      <c r="CT597" s="1551"/>
      <c r="CU597" s="1551"/>
      <c r="CV597" s="1551"/>
      <c r="CW597" s="1551"/>
      <c r="CX597" s="1551">
        <f t="shared" ref="CX597:CX631" si="12">IF(AND(B718="1 Bedroom",AC718&lt;=0.3),G718,0)</f>
        <v>0</v>
      </c>
      <c r="CY597" s="1551"/>
      <c r="CZ597" s="1551"/>
      <c r="DA597" s="1551"/>
      <c r="DB597" s="1551"/>
      <c r="DC597" s="1551">
        <f t="shared" ref="DC597:DC631" si="13">IF(AND(B718="2 Bedrooms",AC718&lt;=0.3),G718,0)</f>
        <v>0</v>
      </c>
      <c r="DD597" s="1551"/>
      <c r="DE597" s="1551"/>
      <c r="DF597" s="1551"/>
      <c r="DG597" s="1551"/>
      <c r="DH597" s="1551">
        <f t="shared" ref="DH597:DH631" si="14">IF(AND(B718="3 Bedrooms",AC718&lt;=0.3),G718,0)</f>
        <v>0</v>
      </c>
      <c r="DI597" s="1551"/>
      <c r="DJ597" s="1551"/>
      <c r="DK597" s="1551"/>
      <c r="DL597" s="1551"/>
      <c r="DM597" s="1551">
        <f t="shared" ref="DM597:DM631" si="15">IF(AND(B718="4 Bedrooms",AC718&lt;=0.3),G718,0)</f>
        <v>0</v>
      </c>
      <c r="DN597" s="1551"/>
      <c r="DO597" s="1551"/>
      <c r="DP597" s="1551"/>
      <c r="DQ597" s="1551"/>
      <c r="DR597" s="1551">
        <f t="shared" ref="DR597:DR631" si="16">IF(AND(B718="5 Bedrooms",AC718&lt;=0.3),G718,0)</f>
        <v>0</v>
      </c>
      <c r="DS597" s="1551"/>
      <c r="DT597" s="1551"/>
      <c r="DU597" s="1551"/>
      <c r="DV597" s="1551"/>
      <c r="DX597" s="1547" t="str">
        <f t="shared" ref="DX597:DX631" si="17">IF(BN597&gt;0,O718,"")</f>
        <v/>
      </c>
      <c r="DY597" s="1548"/>
      <c r="DZ597" s="1548"/>
      <c r="EA597" s="1548"/>
      <c r="EB597" s="1549"/>
      <c r="EC597" s="1547">
        <f t="shared" ref="EC597:EC631" si="18">IF(BS597&gt;0,O718,"")</f>
        <v>1600</v>
      </c>
      <c r="ED597" s="1548"/>
      <c r="EE597" s="1548"/>
      <c r="EF597" s="1548"/>
      <c r="EG597" s="1549"/>
      <c r="EH597" s="1547" t="str">
        <f t="shared" ref="EH597:EH631" si="19">IF(BX597&gt;0,O718,"")</f>
        <v/>
      </c>
      <c r="EI597" s="1548"/>
      <c r="EJ597" s="1548"/>
      <c r="EK597" s="1548"/>
      <c r="EL597" s="1549"/>
      <c r="EM597" s="1547" t="str">
        <f t="shared" ref="EM597:EM631" si="20">IF(CC597&gt;0,O718,"")</f>
        <v/>
      </c>
      <c r="EN597" s="1548"/>
      <c r="EO597" s="1548"/>
      <c r="EP597" s="1548"/>
      <c r="EQ597" s="1549"/>
      <c r="ER597" s="1547" t="str">
        <f t="shared" ref="ER597:ER631" si="21">IF(CH597&gt;0,O718,"")</f>
        <v/>
      </c>
      <c r="ES597" s="1548"/>
      <c r="ET597" s="1548"/>
      <c r="EU597" s="1548"/>
      <c r="EV597" s="1549"/>
      <c r="EW597" s="1547" t="str">
        <f t="shared" ref="EW597:EW631" si="22">IF(CM597&gt;0,O718,"")</f>
        <v/>
      </c>
      <c r="EX597" s="1548"/>
      <c r="EY597" s="1548"/>
      <c r="EZ597" s="1548"/>
      <c r="FA597" s="1549"/>
    </row>
    <row r="598" spans="1:157" s="4" customFormat="1" ht="12.95" customHeight="1">
      <c r="A598" s="22"/>
      <c r="B598" t="s">
        <v>18</v>
      </c>
      <c r="C598"/>
      <c r="D598"/>
      <c r="E598"/>
      <c r="F598"/>
      <c r="G598"/>
      <c r="H598" s="1493"/>
      <c r="I598" s="1493"/>
      <c r="J598" s="1493"/>
      <c r="K598" s="1493"/>
      <c r="L598" s="1493"/>
      <c r="M598" s="1493"/>
      <c r="N598" s="1493"/>
      <c r="O598" s="1493"/>
      <c r="P598" s="1493"/>
      <c r="Q598" s="1493"/>
      <c r="R598" s="1493"/>
      <c r="S598"/>
      <c r="T598" s="22"/>
      <c r="U598" t="s">
        <v>18</v>
      </c>
      <c r="V598"/>
      <c r="W598"/>
      <c r="X598"/>
      <c r="Y598"/>
      <c r="Z598"/>
      <c r="AA598" s="1493"/>
      <c r="AB598" s="1493"/>
      <c r="AC598" s="1493"/>
      <c r="AD598" s="1493"/>
      <c r="AE598" s="1493"/>
      <c r="AF598" s="1493"/>
      <c r="AG598" s="1493"/>
      <c r="AH598" s="1493"/>
      <c r="AI598" s="1493"/>
      <c r="AJ598" s="1493"/>
      <c r="AK598" s="1493"/>
      <c r="AL598"/>
      <c r="AM598"/>
      <c r="AN598"/>
      <c r="AO598"/>
      <c r="AP598"/>
      <c r="AQ598"/>
      <c r="AR598"/>
      <c r="AS598"/>
      <c r="AT598"/>
      <c r="AU598"/>
      <c r="AV598"/>
      <c r="AW598"/>
      <c r="AX598"/>
      <c r="AY598"/>
      <c r="BA598" s="4" t="s">
        <v>163</v>
      </c>
      <c r="BB598" s="3"/>
      <c r="BC598" s="3"/>
      <c r="BD598" s="3"/>
      <c r="BE598" s="1547">
        <f t="shared" si="1"/>
        <v>1</v>
      </c>
      <c r="BF598" s="1549"/>
      <c r="BG598" s="1565">
        <f t="shared" si="2"/>
        <v>66</v>
      </c>
      <c r="BH598" s="1567"/>
      <c r="BI598" s="1547">
        <f t="shared" si="3"/>
        <v>0</v>
      </c>
      <c r="BJ598" s="1549"/>
      <c r="BK598" s="1565">
        <f t="shared" si="4"/>
        <v>0</v>
      </c>
      <c r="BL598" s="1567"/>
      <c r="BM598" s="3"/>
      <c r="BN598" s="1540">
        <f t="shared" si="5"/>
        <v>0</v>
      </c>
      <c r="BO598" s="1541"/>
      <c r="BP598" s="1541"/>
      <c r="BQ598" s="1541"/>
      <c r="BR598" s="1542"/>
      <c r="BS598" s="1550">
        <f t="shared" si="6"/>
        <v>0</v>
      </c>
      <c r="BT598" s="1550"/>
      <c r="BU598" s="1550"/>
      <c r="BV598" s="1550"/>
      <c r="BW598" s="1550"/>
      <c r="BX598" s="1550">
        <f t="shared" si="7"/>
        <v>66</v>
      </c>
      <c r="BY598" s="1550"/>
      <c r="BZ598" s="1550"/>
      <c r="CA598" s="1550"/>
      <c r="CB598" s="1550"/>
      <c r="CC598" s="1550">
        <f t="shared" si="8"/>
        <v>0</v>
      </c>
      <c r="CD598" s="1550"/>
      <c r="CE598" s="1550"/>
      <c r="CF598" s="1550"/>
      <c r="CG598" s="1550"/>
      <c r="CH598" s="1550">
        <f t="shared" si="9"/>
        <v>0</v>
      </c>
      <c r="CI598" s="1550"/>
      <c r="CJ598" s="1550"/>
      <c r="CK598" s="1550"/>
      <c r="CL598" s="1550"/>
      <c r="CM598" s="1550">
        <f t="shared" si="10"/>
        <v>0</v>
      </c>
      <c r="CN598" s="1550"/>
      <c r="CO598" s="1550"/>
      <c r="CP598" s="1550"/>
      <c r="CQ598" s="1550"/>
      <c r="CR598" s="6"/>
      <c r="CS598" s="1551">
        <f t="shared" si="11"/>
        <v>0</v>
      </c>
      <c r="CT598" s="1551"/>
      <c r="CU598" s="1551"/>
      <c r="CV598" s="1551"/>
      <c r="CW598" s="1551"/>
      <c r="CX598" s="1551">
        <f t="shared" si="12"/>
        <v>0</v>
      </c>
      <c r="CY598" s="1551"/>
      <c r="CZ598" s="1551"/>
      <c r="DA598" s="1551"/>
      <c r="DB598" s="1551"/>
      <c r="DC598" s="1551">
        <f t="shared" si="13"/>
        <v>0</v>
      </c>
      <c r="DD598" s="1551"/>
      <c r="DE598" s="1551"/>
      <c r="DF598" s="1551"/>
      <c r="DG598" s="1551"/>
      <c r="DH598" s="1551">
        <f t="shared" si="14"/>
        <v>0</v>
      </c>
      <c r="DI598" s="1551"/>
      <c r="DJ598" s="1551"/>
      <c r="DK598" s="1551"/>
      <c r="DL598" s="1551"/>
      <c r="DM598" s="1551">
        <f t="shared" si="15"/>
        <v>0</v>
      </c>
      <c r="DN598" s="1551"/>
      <c r="DO598" s="1551"/>
      <c r="DP598" s="1551"/>
      <c r="DQ598" s="1551"/>
      <c r="DR598" s="1551">
        <f t="shared" si="16"/>
        <v>0</v>
      </c>
      <c r="DS598" s="1551"/>
      <c r="DT598" s="1551"/>
      <c r="DU598" s="1551"/>
      <c r="DV598" s="1551"/>
      <c r="DX598" s="1547" t="str">
        <f t="shared" si="17"/>
        <v/>
      </c>
      <c r="DY598" s="1548"/>
      <c r="DZ598" s="1548"/>
      <c r="EA598" s="1548"/>
      <c r="EB598" s="1549"/>
      <c r="EC598" s="1547" t="str">
        <f t="shared" si="18"/>
        <v/>
      </c>
      <c r="ED598" s="1548"/>
      <c r="EE598" s="1548"/>
      <c r="EF598" s="1548"/>
      <c r="EG598" s="1549"/>
      <c r="EH598" s="1547">
        <f t="shared" si="19"/>
        <v>1914</v>
      </c>
      <c r="EI598" s="1548"/>
      <c r="EJ598" s="1548"/>
      <c r="EK598" s="1548"/>
      <c r="EL598" s="1549"/>
      <c r="EM598" s="1547" t="str">
        <f t="shared" si="20"/>
        <v/>
      </c>
      <c r="EN598" s="1548"/>
      <c r="EO598" s="1548"/>
      <c r="EP598" s="1548"/>
      <c r="EQ598" s="1549"/>
      <c r="ER598" s="1547" t="str">
        <f t="shared" si="21"/>
        <v/>
      </c>
      <c r="ES598" s="1548"/>
      <c r="ET598" s="1548"/>
      <c r="EU598" s="1548"/>
      <c r="EV598" s="1549"/>
      <c r="EW598" s="1547" t="str">
        <f t="shared" si="22"/>
        <v/>
      </c>
      <c r="EX598" s="1548"/>
      <c r="EY598" s="1548"/>
      <c r="EZ598" s="1548"/>
      <c r="FA598" s="1549"/>
    </row>
    <row r="599" spans="1:157" ht="12.95" customHeight="1">
      <c r="A599" s="22"/>
      <c r="B599" t="s">
        <v>20</v>
      </c>
      <c r="N599" s="1499" t="s">
        <v>554</v>
      </c>
      <c r="O599" s="1499"/>
      <c r="T599" s="22"/>
      <c r="U599" t="s">
        <v>20</v>
      </c>
      <c r="AG599" s="1499" t="s">
        <v>678</v>
      </c>
      <c r="AH599" s="1499"/>
      <c r="BA599" s="4" t="s">
        <v>164</v>
      </c>
      <c r="BB599" s="3"/>
      <c r="BC599" s="3"/>
      <c r="BD599" s="3"/>
      <c r="BE599" s="1547">
        <f t="shared" si="1"/>
        <v>1</v>
      </c>
      <c r="BF599" s="1549"/>
      <c r="BG599" s="1565">
        <f t="shared" si="2"/>
        <v>2</v>
      </c>
      <c r="BH599" s="1567"/>
      <c r="BI599" s="1547">
        <f t="shared" si="3"/>
        <v>0</v>
      </c>
      <c r="BJ599" s="1549"/>
      <c r="BK599" s="1565">
        <f t="shared" si="4"/>
        <v>0</v>
      </c>
      <c r="BL599" s="1567"/>
      <c r="BM599" s="3"/>
      <c r="BN599" s="1540">
        <f t="shared" si="5"/>
        <v>0</v>
      </c>
      <c r="BO599" s="1541"/>
      <c r="BP599" s="1541"/>
      <c r="BQ599" s="1541"/>
      <c r="BR599" s="1542"/>
      <c r="BS599" s="1550">
        <f t="shared" si="6"/>
        <v>0</v>
      </c>
      <c r="BT599" s="1550"/>
      <c r="BU599" s="1550"/>
      <c r="BV599" s="1550"/>
      <c r="BW599" s="1550"/>
      <c r="BX599" s="1550">
        <f t="shared" si="7"/>
        <v>2</v>
      </c>
      <c r="BY599" s="1550"/>
      <c r="BZ599" s="1550"/>
      <c r="CA599" s="1550"/>
      <c r="CB599" s="1550"/>
      <c r="CC599" s="1550">
        <f t="shared" si="8"/>
        <v>0</v>
      </c>
      <c r="CD599" s="1550"/>
      <c r="CE599" s="1550"/>
      <c r="CF599" s="1550"/>
      <c r="CG599" s="1550"/>
      <c r="CH599" s="1550">
        <f t="shared" si="9"/>
        <v>0</v>
      </c>
      <c r="CI599" s="1550"/>
      <c r="CJ599" s="1550"/>
      <c r="CK599" s="1550"/>
      <c r="CL599" s="1550"/>
      <c r="CM599" s="1550">
        <f t="shared" si="10"/>
        <v>0</v>
      </c>
      <c r="CN599" s="1550"/>
      <c r="CO599" s="1550"/>
      <c r="CP599" s="1550"/>
      <c r="CQ599" s="1550"/>
      <c r="CR599" s="6"/>
      <c r="CS599" s="1551">
        <f t="shared" si="11"/>
        <v>0</v>
      </c>
      <c r="CT599" s="1551"/>
      <c r="CU599" s="1551"/>
      <c r="CV599" s="1551"/>
      <c r="CW599" s="1551"/>
      <c r="CX599" s="1551">
        <f t="shared" si="12"/>
        <v>0</v>
      </c>
      <c r="CY599" s="1551"/>
      <c r="CZ599" s="1551"/>
      <c r="DA599" s="1551"/>
      <c r="DB599" s="1551"/>
      <c r="DC599" s="1551">
        <f t="shared" si="13"/>
        <v>0</v>
      </c>
      <c r="DD599" s="1551"/>
      <c r="DE599" s="1551"/>
      <c r="DF599" s="1551"/>
      <c r="DG599" s="1551"/>
      <c r="DH599" s="1551">
        <f t="shared" si="14"/>
        <v>0</v>
      </c>
      <c r="DI599" s="1551"/>
      <c r="DJ599" s="1551"/>
      <c r="DK599" s="1551"/>
      <c r="DL599" s="1551"/>
      <c r="DM599" s="1551">
        <f t="shared" si="15"/>
        <v>0</v>
      </c>
      <c r="DN599" s="1551"/>
      <c r="DO599" s="1551"/>
      <c r="DP599" s="1551"/>
      <c r="DQ599" s="1551"/>
      <c r="DR599" s="1551">
        <f t="shared" si="16"/>
        <v>0</v>
      </c>
      <c r="DS599" s="1551"/>
      <c r="DT599" s="1551"/>
      <c r="DU599" s="1551"/>
      <c r="DV599" s="1551"/>
      <c r="DX599" s="1547" t="str">
        <f t="shared" si="17"/>
        <v/>
      </c>
      <c r="DY599" s="1548"/>
      <c r="DZ599" s="1548"/>
      <c r="EA599" s="1548"/>
      <c r="EB599" s="1549"/>
      <c r="EC599" s="1547" t="str">
        <f t="shared" si="18"/>
        <v/>
      </c>
      <c r="ED599" s="1548"/>
      <c r="EE599" s="1548"/>
      <c r="EF599" s="1548"/>
      <c r="EG599" s="1549"/>
      <c r="EH599" s="1547">
        <f t="shared" si="19"/>
        <v>1915</v>
      </c>
      <c r="EI599" s="1548"/>
      <c r="EJ599" s="1548"/>
      <c r="EK599" s="1548"/>
      <c r="EL599" s="1549"/>
      <c r="EM599" s="1547" t="str">
        <f t="shared" si="20"/>
        <v/>
      </c>
      <c r="EN599" s="1548"/>
      <c r="EO599" s="1548"/>
      <c r="EP599" s="1548"/>
      <c r="EQ599" s="1549"/>
      <c r="ER599" s="1547" t="str">
        <f t="shared" si="21"/>
        <v/>
      </c>
      <c r="ES599" s="1548"/>
      <c r="ET599" s="1548"/>
      <c r="EU599" s="1548"/>
      <c r="EV599" s="1549"/>
      <c r="EW599" s="1547" t="str">
        <f t="shared" si="22"/>
        <v/>
      </c>
      <c r="EX599" s="1548"/>
      <c r="EY599" s="1548"/>
      <c r="EZ599" s="1548"/>
      <c r="FA599" s="1549"/>
    </row>
    <row r="600" spans="1:157" ht="12.95" customHeight="1">
      <c r="A600" s="22"/>
      <c r="T600" s="22"/>
      <c r="BA600" s="4" t="s">
        <v>165</v>
      </c>
      <c r="BB600" s="3"/>
      <c r="BC600" s="3"/>
      <c r="BD600" s="3"/>
      <c r="BE600" s="1547">
        <f t="shared" si="1"/>
        <v>1</v>
      </c>
      <c r="BF600" s="1549"/>
      <c r="BG600" s="1565">
        <f t="shared" si="2"/>
        <v>5</v>
      </c>
      <c r="BH600" s="1567"/>
      <c r="BI600" s="1547">
        <f t="shared" si="3"/>
        <v>0</v>
      </c>
      <c r="BJ600" s="1549"/>
      <c r="BK600" s="1565">
        <f t="shared" si="4"/>
        <v>0</v>
      </c>
      <c r="BL600" s="1567"/>
      <c r="BM600" s="3"/>
      <c r="BN600" s="1540">
        <f t="shared" si="5"/>
        <v>0</v>
      </c>
      <c r="BO600" s="1541"/>
      <c r="BP600" s="1541"/>
      <c r="BQ600" s="1541"/>
      <c r="BR600" s="1542"/>
      <c r="BS600" s="1550">
        <f t="shared" si="6"/>
        <v>0</v>
      </c>
      <c r="BT600" s="1550"/>
      <c r="BU600" s="1550"/>
      <c r="BV600" s="1550"/>
      <c r="BW600" s="1550"/>
      <c r="BX600" s="1550">
        <f t="shared" si="7"/>
        <v>5</v>
      </c>
      <c r="BY600" s="1550"/>
      <c r="BZ600" s="1550"/>
      <c r="CA600" s="1550"/>
      <c r="CB600" s="1550"/>
      <c r="CC600" s="1550">
        <f t="shared" si="8"/>
        <v>0</v>
      </c>
      <c r="CD600" s="1550"/>
      <c r="CE600" s="1550"/>
      <c r="CF600" s="1550"/>
      <c r="CG600" s="1550"/>
      <c r="CH600" s="1550">
        <f t="shared" si="9"/>
        <v>0</v>
      </c>
      <c r="CI600" s="1550"/>
      <c r="CJ600" s="1550"/>
      <c r="CK600" s="1550"/>
      <c r="CL600" s="1550"/>
      <c r="CM600" s="1550">
        <f t="shared" si="10"/>
        <v>0</v>
      </c>
      <c r="CN600" s="1550"/>
      <c r="CO600" s="1550"/>
      <c r="CP600" s="1550"/>
      <c r="CQ600" s="1550"/>
      <c r="CR600" s="6"/>
      <c r="CS600" s="1551">
        <f t="shared" si="11"/>
        <v>0</v>
      </c>
      <c r="CT600" s="1551"/>
      <c r="CU600" s="1551"/>
      <c r="CV600" s="1551"/>
      <c r="CW600" s="1551"/>
      <c r="CX600" s="1551">
        <f t="shared" si="12"/>
        <v>0</v>
      </c>
      <c r="CY600" s="1551"/>
      <c r="CZ600" s="1551"/>
      <c r="DA600" s="1551"/>
      <c r="DB600" s="1551"/>
      <c r="DC600" s="1551">
        <f t="shared" si="13"/>
        <v>0</v>
      </c>
      <c r="DD600" s="1551"/>
      <c r="DE600" s="1551"/>
      <c r="DF600" s="1551"/>
      <c r="DG600" s="1551"/>
      <c r="DH600" s="1551">
        <f t="shared" si="14"/>
        <v>0</v>
      </c>
      <c r="DI600" s="1551"/>
      <c r="DJ600" s="1551"/>
      <c r="DK600" s="1551"/>
      <c r="DL600" s="1551"/>
      <c r="DM600" s="1551">
        <f t="shared" si="15"/>
        <v>0</v>
      </c>
      <c r="DN600" s="1551"/>
      <c r="DO600" s="1551"/>
      <c r="DP600" s="1551"/>
      <c r="DQ600" s="1551"/>
      <c r="DR600" s="1551">
        <f t="shared" si="16"/>
        <v>0</v>
      </c>
      <c r="DS600" s="1551"/>
      <c r="DT600" s="1551"/>
      <c r="DU600" s="1551"/>
      <c r="DV600" s="1551"/>
      <c r="DX600" s="1547" t="str">
        <f t="shared" si="17"/>
        <v/>
      </c>
      <c r="DY600" s="1548"/>
      <c r="DZ600" s="1548"/>
      <c r="EA600" s="1548"/>
      <c r="EB600" s="1549"/>
      <c r="EC600" s="1547" t="str">
        <f t="shared" si="18"/>
        <v/>
      </c>
      <c r="ED600" s="1548"/>
      <c r="EE600" s="1548"/>
      <c r="EF600" s="1548"/>
      <c r="EG600" s="1549"/>
      <c r="EH600" s="1547">
        <f t="shared" si="19"/>
        <v>1880</v>
      </c>
      <c r="EI600" s="1548"/>
      <c r="EJ600" s="1548"/>
      <c r="EK600" s="1548"/>
      <c r="EL600" s="1549"/>
      <c r="EM600" s="1547" t="str">
        <f t="shared" si="20"/>
        <v/>
      </c>
      <c r="EN600" s="1548"/>
      <c r="EO600" s="1548"/>
      <c r="EP600" s="1548"/>
      <c r="EQ600" s="1549"/>
      <c r="ER600" s="1547" t="str">
        <f t="shared" si="21"/>
        <v/>
      </c>
      <c r="ES600" s="1548"/>
      <c r="ET600" s="1548"/>
      <c r="EU600" s="1548"/>
      <c r="EV600" s="1549"/>
      <c r="EW600" s="1547" t="str">
        <f t="shared" si="22"/>
        <v/>
      </c>
      <c r="EX600" s="1548"/>
      <c r="EY600" s="1548"/>
      <c r="EZ600" s="1548"/>
      <c r="FA600" s="1549"/>
    </row>
    <row r="601" spans="1:157" ht="12.95" customHeight="1">
      <c r="A601" s="55" t="s">
        <v>470</v>
      </c>
      <c r="B601" t="s">
        <v>472</v>
      </c>
      <c r="G601" s="1488">
        <f>C562</f>
        <v>0</v>
      </c>
      <c r="H601" s="1488"/>
      <c r="I601" s="1488"/>
      <c r="J601" s="1488"/>
      <c r="K601" s="1488"/>
      <c r="L601" s="1488"/>
      <c r="M601" s="1488"/>
      <c r="N601" s="1488"/>
      <c r="O601" s="1488"/>
      <c r="P601" s="1488"/>
      <c r="Q601" s="1488"/>
      <c r="R601" s="1488"/>
      <c r="T601" s="55" t="s">
        <v>655</v>
      </c>
      <c r="U601" t="s">
        <v>472</v>
      </c>
      <c r="Z601" s="1488">
        <f>C563</f>
        <v>0</v>
      </c>
      <c r="AA601" s="1488"/>
      <c r="AB601" s="1488"/>
      <c r="AC601" s="1488"/>
      <c r="AD601" s="1488"/>
      <c r="AE601" s="1488"/>
      <c r="AF601" s="1488"/>
      <c r="AG601" s="1488"/>
      <c r="AH601" s="1488"/>
      <c r="AI601" s="1488"/>
      <c r="AJ601" s="1488"/>
      <c r="AK601" s="1488"/>
      <c r="BA601" s="4" t="s">
        <v>30</v>
      </c>
      <c r="BB601" s="3"/>
      <c r="BC601" s="3"/>
      <c r="BD601" s="3"/>
      <c r="BE601" s="1547">
        <f t="shared" si="1"/>
        <v>0</v>
      </c>
      <c r="BF601" s="1549"/>
      <c r="BG601" s="1565">
        <f t="shared" si="2"/>
        <v>0</v>
      </c>
      <c r="BH601" s="1567"/>
      <c r="BI601" s="1547">
        <f t="shared" si="3"/>
        <v>0</v>
      </c>
      <c r="BJ601" s="1549"/>
      <c r="BK601" s="1565">
        <f t="shared" si="4"/>
        <v>0</v>
      </c>
      <c r="BL601" s="1567"/>
      <c r="BM601" s="3"/>
      <c r="BN601" s="1540">
        <f t="shared" si="5"/>
        <v>0</v>
      </c>
      <c r="BO601" s="1541"/>
      <c r="BP601" s="1541"/>
      <c r="BQ601" s="1541"/>
      <c r="BR601" s="1542"/>
      <c r="BS601" s="1550">
        <f t="shared" si="6"/>
        <v>0</v>
      </c>
      <c r="BT601" s="1550"/>
      <c r="BU601" s="1550"/>
      <c r="BV601" s="1550"/>
      <c r="BW601" s="1550"/>
      <c r="BX601" s="1550">
        <f t="shared" si="7"/>
        <v>0</v>
      </c>
      <c r="BY601" s="1550"/>
      <c r="BZ601" s="1550"/>
      <c r="CA601" s="1550"/>
      <c r="CB601" s="1550"/>
      <c r="CC601" s="1550">
        <f t="shared" si="8"/>
        <v>0</v>
      </c>
      <c r="CD601" s="1550"/>
      <c r="CE601" s="1550"/>
      <c r="CF601" s="1550"/>
      <c r="CG601" s="1550"/>
      <c r="CH601" s="1550">
        <f t="shared" si="9"/>
        <v>0</v>
      </c>
      <c r="CI601" s="1550"/>
      <c r="CJ601" s="1550"/>
      <c r="CK601" s="1550"/>
      <c r="CL601" s="1550"/>
      <c r="CM601" s="1550">
        <f t="shared" si="10"/>
        <v>0</v>
      </c>
      <c r="CN601" s="1550"/>
      <c r="CO601" s="1550"/>
      <c r="CP601" s="1550"/>
      <c r="CQ601" s="1550"/>
      <c r="CR601" s="6"/>
      <c r="CS601" s="1551">
        <f t="shared" si="11"/>
        <v>0</v>
      </c>
      <c r="CT601" s="1551"/>
      <c r="CU601" s="1551"/>
      <c r="CV601" s="1551"/>
      <c r="CW601" s="1551"/>
      <c r="CX601" s="1551">
        <f t="shared" si="12"/>
        <v>0</v>
      </c>
      <c r="CY601" s="1551"/>
      <c r="CZ601" s="1551"/>
      <c r="DA601" s="1551"/>
      <c r="DB601" s="1551"/>
      <c r="DC601" s="1551">
        <f t="shared" si="13"/>
        <v>0</v>
      </c>
      <c r="DD601" s="1551"/>
      <c r="DE601" s="1551"/>
      <c r="DF601" s="1551"/>
      <c r="DG601" s="1551"/>
      <c r="DH601" s="1551">
        <f t="shared" si="14"/>
        <v>0</v>
      </c>
      <c r="DI601" s="1551"/>
      <c r="DJ601" s="1551"/>
      <c r="DK601" s="1551"/>
      <c r="DL601" s="1551"/>
      <c r="DM601" s="1551">
        <f t="shared" si="15"/>
        <v>0</v>
      </c>
      <c r="DN601" s="1551"/>
      <c r="DO601" s="1551"/>
      <c r="DP601" s="1551"/>
      <c r="DQ601" s="1551"/>
      <c r="DR601" s="1551">
        <f t="shared" si="16"/>
        <v>0</v>
      </c>
      <c r="DS601" s="1551"/>
      <c r="DT601" s="1551"/>
      <c r="DU601" s="1551"/>
      <c r="DV601" s="1551"/>
      <c r="DX601" s="1547" t="str">
        <f t="shared" si="17"/>
        <v/>
      </c>
      <c r="DY601" s="1548"/>
      <c r="DZ601" s="1548"/>
      <c r="EA601" s="1548"/>
      <c r="EB601" s="1549"/>
      <c r="EC601" s="1547" t="str">
        <f t="shared" si="18"/>
        <v/>
      </c>
      <c r="ED601" s="1548"/>
      <c r="EE601" s="1548"/>
      <c r="EF601" s="1548"/>
      <c r="EG601" s="1549"/>
      <c r="EH601" s="1547" t="str">
        <f t="shared" si="19"/>
        <v/>
      </c>
      <c r="EI601" s="1548"/>
      <c r="EJ601" s="1548"/>
      <c r="EK601" s="1548"/>
      <c r="EL601" s="1549"/>
      <c r="EM601" s="1547" t="str">
        <f t="shared" si="20"/>
        <v/>
      </c>
      <c r="EN601" s="1548"/>
      <c r="EO601" s="1548"/>
      <c r="EP601" s="1548"/>
      <c r="EQ601" s="1549"/>
      <c r="ER601" s="1547" t="str">
        <f t="shared" si="21"/>
        <v/>
      </c>
      <c r="ES601" s="1548"/>
      <c r="ET601" s="1548"/>
      <c r="EU601" s="1548"/>
      <c r="EV601" s="1549"/>
      <c r="EW601" s="1547" t="str">
        <f t="shared" si="22"/>
        <v/>
      </c>
      <c r="EX601" s="1548"/>
      <c r="EY601" s="1548"/>
      <c r="EZ601" s="1548"/>
      <c r="FA601" s="1549"/>
    </row>
    <row r="602" spans="1:157" ht="12.95" customHeight="1">
      <c r="A602" s="22"/>
      <c r="B602" t="s">
        <v>85</v>
      </c>
      <c r="G602" s="1493"/>
      <c r="H602" s="1493"/>
      <c r="I602" s="1493"/>
      <c r="J602" s="1493"/>
      <c r="K602" s="1493"/>
      <c r="L602" s="1493"/>
      <c r="M602" s="1493"/>
      <c r="N602" s="1493"/>
      <c r="O602" s="1493"/>
      <c r="P602" s="1493"/>
      <c r="Q602" s="1493"/>
      <c r="R602" s="1493"/>
      <c r="T602" s="22"/>
      <c r="U602" t="s">
        <v>85</v>
      </c>
      <c r="Z602" s="1493"/>
      <c r="AA602" s="1493"/>
      <c r="AB602" s="1493"/>
      <c r="AC602" s="1493"/>
      <c r="AD602" s="1493"/>
      <c r="AE602" s="1493"/>
      <c r="AF602" s="1493"/>
      <c r="AG602" s="1493"/>
      <c r="AH602" s="1493"/>
      <c r="AI602" s="1493"/>
      <c r="AJ602" s="1493"/>
      <c r="AK602" s="1493"/>
      <c r="AZ602" s="3"/>
      <c r="BA602" s="3"/>
      <c r="BB602" s="3"/>
      <c r="BC602" s="3"/>
      <c r="BD602" s="3"/>
      <c r="BE602" s="1547">
        <f t="shared" si="1"/>
        <v>0</v>
      </c>
      <c r="BF602" s="1549"/>
      <c r="BG602" s="1565">
        <f t="shared" si="2"/>
        <v>0</v>
      </c>
      <c r="BH602" s="1567"/>
      <c r="BI602" s="1547">
        <f t="shared" si="3"/>
        <v>1</v>
      </c>
      <c r="BJ602" s="1549"/>
      <c r="BK602" s="1565">
        <f t="shared" si="4"/>
        <v>4</v>
      </c>
      <c r="BL602" s="1567"/>
      <c r="BM602" s="3"/>
      <c r="BN602" s="1540">
        <f t="shared" si="5"/>
        <v>0</v>
      </c>
      <c r="BO602" s="1541"/>
      <c r="BP602" s="1541"/>
      <c r="BQ602" s="1541"/>
      <c r="BR602" s="1542"/>
      <c r="BS602" s="1550">
        <f t="shared" si="6"/>
        <v>4</v>
      </c>
      <c r="BT602" s="1550"/>
      <c r="BU602" s="1550"/>
      <c r="BV602" s="1550"/>
      <c r="BW602" s="1550"/>
      <c r="BX602" s="1550">
        <f t="shared" si="7"/>
        <v>0</v>
      </c>
      <c r="BY602" s="1550"/>
      <c r="BZ602" s="1550"/>
      <c r="CA602" s="1550"/>
      <c r="CB602" s="1550"/>
      <c r="CC602" s="1550">
        <f t="shared" si="8"/>
        <v>0</v>
      </c>
      <c r="CD602" s="1550"/>
      <c r="CE602" s="1550"/>
      <c r="CF602" s="1550"/>
      <c r="CG602" s="1550"/>
      <c r="CH602" s="1550">
        <f t="shared" si="9"/>
        <v>0</v>
      </c>
      <c r="CI602" s="1550"/>
      <c r="CJ602" s="1550"/>
      <c r="CK602" s="1550"/>
      <c r="CL602" s="1550"/>
      <c r="CM602" s="1550">
        <f t="shared" si="10"/>
        <v>0</v>
      </c>
      <c r="CN602" s="1550"/>
      <c r="CO602" s="1550"/>
      <c r="CP602" s="1550"/>
      <c r="CQ602" s="1550"/>
      <c r="CR602" s="6"/>
      <c r="CS602" s="1551">
        <f t="shared" si="11"/>
        <v>0</v>
      </c>
      <c r="CT602" s="1551"/>
      <c r="CU602" s="1551"/>
      <c r="CV602" s="1551"/>
      <c r="CW602" s="1551"/>
      <c r="CX602" s="1551">
        <f t="shared" si="12"/>
        <v>4</v>
      </c>
      <c r="CY602" s="1551"/>
      <c r="CZ602" s="1551"/>
      <c r="DA602" s="1551"/>
      <c r="DB602" s="1551"/>
      <c r="DC602" s="1551">
        <f t="shared" si="13"/>
        <v>0</v>
      </c>
      <c r="DD602" s="1551"/>
      <c r="DE602" s="1551"/>
      <c r="DF602" s="1551"/>
      <c r="DG602" s="1551"/>
      <c r="DH602" s="1551">
        <f t="shared" si="14"/>
        <v>0</v>
      </c>
      <c r="DI602" s="1551"/>
      <c r="DJ602" s="1551"/>
      <c r="DK602" s="1551"/>
      <c r="DL602" s="1551"/>
      <c r="DM602" s="1551">
        <f t="shared" si="15"/>
        <v>0</v>
      </c>
      <c r="DN602" s="1551"/>
      <c r="DO602" s="1551"/>
      <c r="DP602" s="1551"/>
      <c r="DQ602" s="1551"/>
      <c r="DR602" s="1551">
        <f t="shared" si="16"/>
        <v>0</v>
      </c>
      <c r="DS602" s="1551"/>
      <c r="DT602" s="1551"/>
      <c r="DU602" s="1551"/>
      <c r="DV602" s="1551"/>
      <c r="DX602" s="1547" t="str">
        <f t="shared" si="17"/>
        <v/>
      </c>
      <c r="DY602" s="1548"/>
      <c r="DZ602" s="1548"/>
      <c r="EA602" s="1548"/>
      <c r="EB602" s="1549"/>
      <c r="EC602" s="1547">
        <f t="shared" si="18"/>
        <v>930</v>
      </c>
      <c r="ED602" s="1548"/>
      <c r="EE602" s="1548"/>
      <c r="EF602" s="1548"/>
      <c r="EG602" s="1549"/>
      <c r="EH602" s="1547" t="str">
        <f t="shared" si="19"/>
        <v/>
      </c>
      <c r="EI602" s="1548"/>
      <c r="EJ602" s="1548"/>
      <c r="EK602" s="1548"/>
      <c r="EL602" s="1549"/>
      <c r="EM602" s="1547" t="str">
        <f t="shared" si="20"/>
        <v/>
      </c>
      <c r="EN602" s="1548"/>
      <c r="EO602" s="1548"/>
      <c r="EP602" s="1548"/>
      <c r="EQ602" s="1549"/>
      <c r="ER602" s="1547" t="str">
        <f t="shared" si="21"/>
        <v/>
      </c>
      <c r="ES602" s="1548"/>
      <c r="ET602" s="1548"/>
      <c r="EU602" s="1548"/>
      <c r="EV602" s="1549"/>
      <c r="EW602" s="1547" t="str">
        <f t="shared" si="22"/>
        <v/>
      </c>
      <c r="EX602" s="1548"/>
      <c r="EY602" s="1548"/>
      <c r="EZ602" s="1548"/>
      <c r="FA602" s="1549"/>
    </row>
    <row r="603" spans="1:157" ht="12.95" customHeight="1">
      <c r="A603" s="22"/>
      <c r="B603" t="s">
        <v>589</v>
      </c>
      <c r="G603" s="1493"/>
      <c r="H603" s="1493"/>
      <c r="I603" s="1493"/>
      <c r="J603" s="1493"/>
      <c r="K603" s="1493"/>
      <c r="L603" s="1493"/>
      <c r="M603" s="1493"/>
      <c r="N603" s="1493"/>
      <c r="O603" s="1493"/>
      <c r="P603" s="1493"/>
      <c r="Q603" s="1493"/>
      <c r="R603" s="1493"/>
      <c r="T603" s="22"/>
      <c r="U603" t="s">
        <v>589</v>
      </c>
      <c r="Z603" s="1516"/>
      <c r="AA603" s="1516"/>
      <c r="AB603" s="1516"/>
      <c r="AC603" s="1516"/>
      <c r="AD603" s="1516"/>
      <c r="AE603" s="1516"/>
      <c r="AF603" s="1516"/>
      <c r="AG603" s="1516"/>
      <c r="AH603" s="1516"/>
      <c r="AI603" s="1516"/>
      <c r="AJ603" s="1516"/>
      <c r="AK603" s="1516"/>
      <c r="AZ603" s="3"/>
      <c r="BA603" s="3"/>
      <c r="BB603" s="3"/>
      <c r="BC603" s="3"/>
      <c r="BD603" s="3"/>
      <c r="BE603" s="1547">
        <f t="shared" si="1"/>
        <v>0</v>
      </c>
      <c r="BF603" s="1549"/>
      <c r="BG603" s="1565">
        <f t="shared" si="2"/>
        <v>0</v>
      </c>
      <c r="BH603" s="1567"/>
      <c r="BI603" s="1547">
        <f t="shared" si="3"/>
        <v>1</v>
      </c>
      <c r="BJ603" s="1549"/>
      <c r="BK603" s="1565">
        <f t="shared" si="4"/>
        <v>3</v>
      </c>
      <c r="BL603" s="1567"/>
      <c r="BM603" s="3"/>
      <c r="BN603" s="1540">
        <f t="shared" si="5"/>
        <v>0</v>
      </c>
      <c r="BO603" s="1541"/>
      <c r="BP603" s="1541"/>
      <c r="BQ603" s="1541"/>
      <c r="BR603" s="1542"/>
      <c r="BS603" s="1550">
        <f t="shared" si="6"/>
        <v>0</v>
      </c>
      <c r="BT603" s="1550"/>
      <c r="BU603" s="1550"/>
      <c r="BV603" s="1550"/>
      <c r="BW603" s="1550"/>
      <c r="BX603" s="1550">
        <f t="shared" si="7"/>
        <v>3</v>
      </c>
      <c r="BY603" s="1550"/>
      <c r="BZ603" s="1550"/>
      <c r="CA603" s="1550"/>
      <c r="CB603" s="1550"/>
      <c r="CC603" s="1550">
        <f t="shared" si="8"/>
        <v>0</v>
      </c>
      <c r="CD603" s="1550"/>
      <c r="CE603" s="1550"/>
      <c r="CF603" s="1550"/>
      <c r="CG603" s="1550"/>
      <c r="CH603" s="1550">
        <f t="shared" si="9"/>
        <v>0</v>
      </c>
      <c r="CI603" s="1550"/>
      <c r="CJ603" s="1550"/>
      <c r="CK603" s="1550"/>
      <c r="CL603" s="1550"/>
      <c r="CM603" s="1550">
        <f t="shared" si="10"/>
        <v>0</v>
      </c>
      <c r="CN603" s="1550"/>
      <c r="CO603" s="1550"/>
      <c r="CP603" s="1550"/>
      <c r="CQ603" s="1550"/>
      <c r="CR603" s="6"/>
      <c r="CS603" s="1551">
        <f t="shared" si="11"/>
        <v>0</v>
      </c>
      <c r="CT603" s="1551"/>
      <c r="CU603" s="1551"/>
      <c r="CV603" s="1551"/>
      <c r="CW603" s="1551"/>
      <c r="CX603" s="1551">
        <f t="shared" si="12"/>
        <v>0</v>
      </c>
      <c r="CY603" s="1551"/>
      <c r="CZ603" s="1551"/>
      <c r="DA603" s="1551"/>
      <c r="DB603" s="1551"/>
      <c r="DC603" s="1551">
        <f t="shared" si="13"/>
        <v>3</v>
      </c>
      <c r="DD603" s="1551"/>
      <c r="DE603" s="1551"/>
      <c r="DF603" s="1551"/>
      <c r="DG603" s="1551"/>
      <c r="DH603" s="1551">
        <f t="shared" si="14"/>
        <v>0</v>
      </c>
      <c r="DI603" s="1551"/>
      <c r="DJ603" s="1551"/>
      <c r="DK603" s="1551"/>
      <c r="DL603" s="1551"/>
      <c r="DM603" s="1551">
        <f t="shared" si="15"/>
        <v>0</v>
      </c>
      <c r="DN603" s="1551"/>
      <c r="DO603" s="1551"/>
      <c r="DP603" s="1551"/>
      <c r="DQ603" s="1551"/>
      <c r="DR603" s="1551">
        <f t="shared" si="16"/>
        <v>0</v>
      </c>
      <c r="DS603" s="1551"/>
      <c r="DT603" s="1551"/>
      <c r="DU603" s="1551"/>
      <c r="DV603" s="1551"/>
      <c r="DX603" s="1547" t="str">
        <f t="shared" si="17"/>
        <v/>
      </c>
      <c r="DY603" s="1548"/>
      <c r="DZ603" s="1548"/>
      <c r="EA603" s="1548"/>
      <c r="EB603" s="1549"/>
      <c r="EC603" s="1547" t="str">
        <f t="shared" si="18"/>
        <v/>
      </c>
      <c r="ED603" s="1548"/>
      <c r="EE603" s="1548"/>
      <c r="EF603" s="1548"/>
      <c r="EG603" s="1549"/>
      <c r="EH603" s="1547">
        <f t="shared" si="19"/>
        <v>1111</v>
      </c>
      <c r="EI603" s="1548"/>
      <c r="EJ603" s="1548"/>
      <c r="EK603" s="1548"/>
      <c r="EL603" s="1549"/>
      <c r="EM603" s="1547" t="str">
        <f t="shared" si="20"/>
        <v/>
      </c>
      <c r="EN603" s="1548"/>
      <c r="EO603" s="1548"/>
      <c r="EP603" s="1548"/>
      <c r="EQ603" s="1549"/>
      <c r="ER603" s="1547" t="str">
        <f t="shared" si="21"/>
        <v/>
      </c>
      <c r="ES603" s="1548"/>
      <c r="ET603" s="1548"/>
      <c r="EU603" s="1548"/>
      <c r="EV603" s="1549"/>
      <c r="EW603" s="1547" t="str">
        <f t="shared" si="22"/>
        <v/>
      </c>
      <c r="EX603" s="1548"/>
      <c r="EY603" s="1548"/>
      <c r="EZ603" s="1548"/>
      <c r="FA603" s="1549"/>
    </row>
    <row r="604" spans="1:157" ht="12.95" customHeight="1">
      <c r="A604" s="22"/>
      <c r="B604" t="s">
        <v>17</v>
      </c>
      <c r="G604" s="1493"/>
      <c r="H604" s="1493"/>
      <c r="I604" s="1493"/>
      <c r="J604" s="1493"/>
      <c r="K604" s="1493"/>
      <c r="L604" s="1493"/>
      <c r="M604" s="1493"/>
      <c r="N604" s="1493"/>
      <c r="O604" s="1493"/>
      <c r="P604" s="1493"/>
      <c r="Q604" s="1493"/>
      <c r="R604" s="1493"/>
      <c r="T604" s="22"/>
      <c r="U604" t="s">
        <v>17</v>
      </c>
      <c r="Z604" s="1516"/>
      <c r="AA604" s="1516"/>
      <c r="AB604" s="1516"/>
      <c r="AC604" s="1516"/>
      <c r="AD604" s="1516"/>
      <c r="AE604" s="1516"/>
      <c r="AF604" s="1516"/>
      <c r="AG604" s="1516"/>
      <c r="AH604" s="1516"/>
      <c r="AI604" s="1516"/>
      <c r="AJ604" s="1516"/>
      <c r="AK604" s="1516"/>
      <c r="AZ604" s="3"/>
      <c r="BA604" s="3"/>
      <c r="BB604" s="3"/>
      <c r="BC604" s="3"/>
      <c r="BD604" s="3"/>
      <c r="BE604" s="1547">
        <f t="shared" si="1"/>
        <v>0</v>
      </c>
      <c r="BF604" s="1549"/>
      <c r="BG604" s="1565">
        <f t="shared" si="2"/>
        <v>0</v>
      </c>
      <c r="BH604" s="1567"/>
      <c r="BI604" s="1547">
        <f t="shared" si="3"/>
        <v>1</v>
      </c>
      <c r="BJ604" s="1549"/>
      <c r="BK604" s="1565">
        <f t="shared" si="4"/>
        <v>1</v>
      </c>
      <c r="BL604" s="1567"/>
      <c r="BM604" s="3"/>
      <c r="BN604" s="1540">
        <f>IF(B725="SRO/Studio",G725,0)</f>
        <v>0</v>
      </c>
      <c r="BO604" s="1541"/>
      <c r="BP604" s="1541"/>
      <c r="BQ604" s="1541"/>
      <c r="BR604" s="1542"/>
      <c r="BS604" s="1550">
        <f>IF(B725="1 Bedroom",G725,0)</f>
        <v>0</v>
      </c>
      <c r="BT604" s="1550"/>
      <c r="BU604" s="1550"/>
      <c r="BV604" s="1550"/>
      <c r="BW604" s="1550"/>
      <c r="BX604" s="1550">
        <f>IF(B725="2 Bedrooms",G725,0)</f>
        <v>1</v>
      </c>
      <c r="BY604" s="1550"/>
      <c r="BZ604" s="1550"/>
      <c r="CA604" s="1550"/>
      <c r="CB604" s="1550"/>
      <c r="CC604" s="1550">
        <f>IF(B725="3 Bedrooms",G725,0)</f>
        <v>0</v>
      </c>
      <c r="CD604" s="1550"/>
      <c r="CE604" s="1550"/>
      <c r="CF604" s="1550"/>
      <c r="CG604" s="1550"/>
      <c r="CH604" s="1550">
        <f>IF(B725="4 Bedrooms",G725,0)</f>
        <v>0</v>
      </c>
      <c r="CI604" s="1550"/>
      <c r="CJ604" s="1550"/>
      <c r="CK604" s="1550"/>
      <c r="CL604" s="1550"/>
      <c r="CM604" s="1550">
        <f>IF(B725="5 Bedrooms",G725,0)</f>
        <v>0</v>
      </c>
      <c r="CN604" s="1550"/>
      <c r="CO604" s="1550"/>
      <c r="CP604" s="1550"/>
      <c r="CQ604" s="1550"/>
      <c r="CR604" s="6"/>
      <c r="CS604" s="1551">
        <f>IF(AND(B725="SRO/Studio",AC725&lt;=0.3),G725,0)</f>
        <v>0</v>
      </c>
      <c r="CT604" s="1551"/>
      <c r="CU604" s="1551"/>
      <c r="CV604" s="1551"/>
      <c r="CW604" s="1551"/>
      <c r="CX604" s="1551">
        <f>IF(AND(B725="1 Bedroom",AC725&lt;=0.3),G725,0)</f>
        <v>0</v>
      </c>
      <c r="CY604" s="1551"/>
      <c r="CZ604" s="1551"/>
      <c r="DA604" s="1551"/>
      <c r="DB604" s="1551"/>
      <c r="DC604" s="1551">
        <f>IF(AND(B725="2 Bedrooms",AC725&lt;=0.3),G725,0)</f>
        <v>1</v>
      </c>
      <c r="DD604" s="1551"/>
      <c r="DE604" s="1551"/>
      <c r="DF604" s="1551"/>
      <c r="DG604" s="1551"/>
      <c r="DH604" s="1551">
        <f>IF(AND(B725="3 Bedrooms",AC725&lt;=0.3),G725,0)</f>
        <v>0</v>
      </c>
      <c r="DI604" s="1551"/>
      <c r="DJ604" s="1551"/>
      <c r="DK604" s="1551"/>
      <c r="DL604" s="1551"/>
      <c r="DM604" s="1551">
        <f>IF(AND(B725="4 Bedrooms",AC725&lt;=0.3),G725,0)</f>
        <v>0</v>
      </c>
      <c r="DN604" s="1551"/>
      <c r="DO604" s="1551"/>
      <c r="DP604" s="1551"/>
      <c r="DQ604" s="1551"/>
      <c r="DR604" s="1551">
        <f>IF(AND(B725="5 Bedrooms",AC725&lt;=0.3),G725,0)</f>
        <v>0</v>
      </c>
      <c r="DS604" s="1551"/>
      <c r="DT604" s="1551"/>
      <c r="DU604" s="1551"/>
      <c r="DV604" s="1551"/>
      <c r="DX604" s="1547" t="str">
        <f t="shared" si="17"/>
        <v/>
      </c>
      <c r="DY604" s="1548"/>
      <c r="DZ604" s="1548"/>
      <c r="EA604" s="1548"/>
      <c r="EB604" s="1549"/>
      <c r="EC604" s="1547" t="str">
        <f t="shared" si="18"/>
        <v/>
      </c>
      <c r="ED604" s="1548"/>
      <c r="EE604" s="1548"/>
      <c r="EF604" s="1548"/>
      <c r="EG604" s="1549"/>
      <c r="EH604" s="1547">
        <f t="shared" si="19"/>
        <v>1077</v>
      </c>
      <c r="EI604" s="1548"/>
      <c r="EJ604" s="1548"/>
      <c r="EK604" s="1548"/>
      <c r="EL604" s="1549"/>
      <c r="EM604" s="1547" t="str">
        <f t="shared" si="20"/>
        <v/>
      </c>
      <c r="EN604" s="1548"/>
      <c r="EO604" s="1548"/>
      <c r="EP604" s="1548"/>
      <c r="EQ604" s="1549"/>
      <c r="ER604" s="1547" t="str">
        <f t="shared" si="21"/>
        <v/>
      </c>
      <c r="ES604" s="1548"/>
      <c r="ET604" s="1548"/>
      <c r="EU604" s="1548"/>
      <c r="EV604" s="1549"/>
      <c r="EW604" s="1547" t="str">
        <f t="shared" si="22"/>
        <v/>
      </c>
      <c r="EX604" s="1548"/>
      <c r="EY604" s="1548"/>
      <c r="EZ604" s="1548"/>
      <c r="FA604" s="1549"/>
    </row>
    <row r="605" spans="1:157" s="4" customFormat="1" ht="12.95" customHeight="1">
      <c r="A605" s="22"/>
      <c r="B605" t="s">
        <v>317</v>
      </c>
      <c r="C605"/>
      <c r="D605"/>
      <c r="E605"/>
      <c r="F605"/>
      <c r="G605" s="1492"/>
      <c r="H605" s="1492"/>
      <c r="I605" s="1492"/>
      <c r="J605" s="1492"/>
      <c r="K605" s="1492"/>
      <c r="L605" s="1492"/>
      <c r="M605"/>
      <c r="N605"/>
      <c r="O605" s="33" t="s">
        <v>207</v>
      </c>
      <c r="P605" s="1520"/>
      <c r="Q605" s="1520"/>
      <c r="R605" s="1520"/>
      <c r="S605"/>
      <c r="T605" s="22"/>
      <c r="U605" t="s">
        <v>317</v>
      </c>
      <c r="V605"/>
      <c r="W605"/>
      <c r="X605"/>
      <c r="Y605"/>
      <c r="Z605" s="1492"/>
      <c r="AA605" s="1492"/>
      <c r="AB605" s="1492"/>
      <c r="AC605" s="1492"/>
      <c r="AD605" s="1492"/>
      <c r="AE605" s="1492"/>
      <c r="AF605"/>
      <c r="AG605"/>
      <c r="AH605" s="33" t="s">
        <v>207</v>
      </c>
      <c r="AI605" s="1520"/>
      <c r="AJ605" s="1520"/>
      <c r="AK605" s="1520"/>
      <c r="AL605"/>
      <c r="AM605"/>
      <c r="AN605"/>
      <c r="AO605"/>
      <c r="AP605"/>
      <c r="AQ605"/>
      <c r="AR605"/>
      <c r="AS605"/>
      <c r="AT605"/>
      <c r="AU605"/>
      <c r="AV605"/>
      <c r="AW605"/>
      <c r="AX605"/>
      <c r="AY605"/>
      <c r="AZ605" s="3"/>
      <c r="BA605" s="3"/>
      <c r="BB605" s="3"/>
      <c r="BC605" s="3"/>
      <c r="BD605" s="3"/>
      <c r="BE605" s="1547">
        <f t="shared" si="1"/>
        <v>0</v>
      </c>
      <c r="BF605" s="1549"/>
      <c r="BG605" s="1565">
        <f t="shared" si="2"/>
        <v>0</v>
      </c>
      <c r="BH605" s="1567"/>
      <c r="BI605" s="1547">
        <f t="shared" si="3"/>
        <v>0</v>
      </c>
      <c r="BJ605" s="1549"/>
      <c r="BK605" s="1565">
        <f t="shared" si="4"/>
        <v>0</v>
      </c>
      <c r="BL605" s="1567"/>
      <c r="BM605" s="3"/>
      <c r="BN605" s="1540">
        <f>IF(B726="SRO/Studio",G726,0)</f>
        <v>0</v>
      </c>
      <c r="BO605" s="1541"/>
      <c r="BP605" s="1541"/>
      <c r="BQ605" s="1541"/>
      <c r="BR605" s="1542"/>
      <c r="BS605" s="1550">
        <f>IF(B726="1 Bedroom",G726,0)</f>
        <v>0</v>
      </c>
      <c r="BT605" s="1550"/>
      <c r="BU605" s="1550"/>
      <c r="BV605" s="1550"/>
      <c r="BW605" s="1550"/>
      <c r="BX605" s="1550">
        <f>IF(B726="2 Bedrooms",G726,0)</f>
        <v>0</v>
      </c>
      <c r="BY605" s="1550"/>
      <c r="BZ605" s="1550"/>
      <c r="CA605" s="1550"/>
      <c r="CB605" s="1550"/>
      <c r="CC605" s="1550">
        <f>IF(B726="3 Bedrooms",G726,0)</f>
        <v>0</v>
      </c>
      <c r="CD605" s="1550"/>
      <c r="CE605" s="1550"/>
      <c r="CF605" s="1550"/>
      <c r="CG605" s="1550"/>
      <c r="CH605" s="1550">
        <f>IF(B726="4 Bedrooms",G726,0)</f>
        <v>0</v>
      </c>
      <c r="CI605" s="1550"/>
      <c r="CJ605" s="1550"/>
      <c r="CK605" s="1550"/>
      <c r="CL605" s="1550"/>
      <c r="CM605" s="1550">
        <f>IF(B726="5 Bedrooms",G726,0)</f>
        <v>0</v>
      </c>
      <c r="CN605" s="1550"/>
      <c r="CO605" s="1550"/>
      <c r="CP605" s="1550"/>
      <c r="CQ605" s="1550"/>
      <c r="CR605" s="6"/>
      <c r="CS605" s="1551">
        <f>IF(AND(B726="SRO/Studio",AC726&lt;=0.3),G726,0)</f>
        <v>0</v>
      </c>
      <c r="CT605" s="1551"/>
      <c r="CU605" s="1551"/>
      <c r="CV605" s="1551"/>
      <c r="CW605" s="1551"/>
      <c r="CX605" s="1551">
        <f>IF(AND(B726="1 Bedroom",AC726&lt;=0.3),G726,0)</f>
        <v>0</v>
      </c>
      <c r="CY605" s="1551"/>
      <c r="CZ605" s="1551"/>
      <c r="DA605" s="1551"/>
      <c r="DB605" s="1551"/>
      <c r="DC605" s="1551">
        <f>IF(AND(B726="2 Bedrooms",AC726&lt;=0.3),G726,0)</f>
        <v>0</v>
      </c>
      <c r="DD605" s="1551"/>
      <c r="DE605" s="1551"/>
      <c r="DF605" s="1551"/>
      <c r="DG605" s="1551"/>
      <c r="DH605" s="1551">
        <f>IF(AND(B726="3 Bedrooms",AC726&lt;=0.3),G726,0)</f>
        <v>0</v>
      </c>
      <c r="DI605" s="1551"/>
      <c r="DJ605" s="1551"/>
      <c r="DK605" s="1551"/>
      <c r="DL605" s="1551"/>
      <c r="DM605" s="1551">
        <f>IF(AND(B726="4 Bedrooms",AC726&lt;=0.3),G726,0)</f>
        <v>0</v>
      </c>
      <c r="DN605" s="1551"/>
      <c r="DO605" s="1551"/>
      <c r="DP605" s="1551"/>
      <c r="DQ605" s="1551"/>
      <c r="DR605" s="1551">
        <f>IF(AND(B726="5 Bedrooms",AC726&lt;=0.3),G726,0)</f>
        <v>0</v>
      </c>
      <c r="DS605" s="1551"/>
      <c r="DT605" s="1551"/>
      <c r="DU605" s="1551"/>
      <c r="DV605" s="1551"/>
      <c r="DX605" s="1547" t="str">
        <f t="shared" si="17"/>
        <v/>
      </c>
      <c r="DY605" s="1548"/>
      <c r="DZ605" s="1548"/>
      <c r="EA605" s="1548"/>
      <c r="EB605" s="1549"/>
      <c r="EC605" s="1547" t="str">
        <f t="shared" si="18"/>
        <v/>
      </c>
      <c r="ED605" s="1548"/>
      <c r="EE605" s="1548"/>
      <c r="EF605" s="1548"/>
      <c r="EG605" s="1549"/>
      <c r="EH605" s="1547" t="str">
        <f t="shared" si="19"/>
        <v/>
      </c>
      <c r="EI605" s="1548"/>
      <c r="EJ605" s="1548"/>
      <c r="EK605" s="1548"/>
      <c r="EL605" s="1549"/>
      <c r="EM605" s="1547" t="str">
        <f t="shared" si="20"/>
        <v/>
      </c>
      <c r="EN605" s="1548"/>
      <c r="EO605" s="1548"/>
      <c r="EP605" s="1548"/>
      <c r="EQ605" s="1549"/>
      <c r="ER605" s="1547" t="str">
        <f t="shared" si="21"/>
        <v/>
      </c>
      <c r="ES605" s="1548"/>
      <c r="ET605" s="1548"/>
      <c r="EU605" s="1548"/>
      <c r="EV605" s="1549"/>
      <c r="EW605" s="1547" t="str">
        <f t="shared" si="22"/>
        <v/>
      </c>
      <c r="EX605" s="1548"/>
      <c r="EY605" s="1548"/>
      <c r="EZ605" s="1548"/>
      <c r="FA605" s="1549"/>
    </row>
    <row r="606" spans="1:157" s="4" customFormat="1" ht="12.95" customHeight="1">
      <c r="A606" s="22"/>
      <c r="B606" t="s">
        <v>18</v>
      </c>
      <c r="C606"/>
      <c r="D606"/>
      <c r="E606"/>
      <c r="F606"/>
      <c r="G606"/>
      <c r="H606" s="1493"/>
      <c r="I606" s="1493"/>
      <c r="J606" s="1493"/>
      <c r="K606" s="1493"/>
      <c r="L606" s="1493"/>
      <c r="M606" s="1493"/>
      <c r="N606" s="1493"/>
      <c r="O606" s="1493"/>
      <c r="P606" s="1493"/>
      <c r="Q606" s="1493"/>
      <c r="R606" s="1493"/>
      <c r="S606"/>
      <c r="T606" s="22"/>
      <c r="U606" t="s">
        <v>18</v>
      </c>
      <c r="V606"/>
      <c r="W606"/>
      <c r="X606"/>
      <c r="Y606"/>
      <c r="Z606"/>
      <c r="AA606" s="1493"/>
      <c r="AB606" s="1493"/>
      <c r="AC606" s="1493"/>
      <c r="AD606" s="1493"/>
      <c r="AE606" s="1493"/>
      <c r="AF606" s="1493"/>
      <c r="AG606" s="1493"/>
      <c r="AH606" s="1493"/>
      <c r="AI606" s="1493"/>
      <c r="AJ606" s="1493"/>
      <c r="AK606" s="1493"/>
      <c r="AL606"/>
      <c r="AM606"/>
      <c r="AN606"/>
      <c r="AO606"/>
      <c r="AP606"/>
      <c r="AQ606"/>
      <c r="AR606"/>
      <c r="AS606"/>
      <c r="AT606"/>
      <c r="AU606"/>
      <c r="AV606"/>
      <c r="AW606"/>
      <c r="AX606"/>
      <c r="AY606"/>
      <c r="AZ606" s="3"/>
      <c r="BA606" s="3"/>
      <c r="BB606" s="3"/>
      <c r="BC606" s="3"/>
      <c r="BD606" s="3"/>
      <c r="BE606" s="1547">
        <f t="shared" si="1"/>
        <v>0</v>
      </c>
      <c r="BF606" s="1549"/>
      <c r="BG606" s="1565">
        <f t="shared" si="2"/>
        <v>0</v>
      </c>
      <c r="BH606" s="1567"/>
      <c r="BI606" s="1547">
        <f t="shared" si="3"/>
        <v>0</v>
      </c>
      <c r="BJ606" s="1549"/>
      <c r="BK606" s="1565">
        <f t="shared" si="4"/>
        <v>0</v>
      </c>
      <c r="BL606" s="1567"/>
      <c r="BM606" s="3"/>
      <c r="BN606" s="1540">
        <f t="shared" si="5"/>
        <v>0</v>
      </c>
      <c r="BO606" s="1541"/>
      <c r="BP606" s="1541"/>
      <c r="BQ606" s="1541"/>
      <c r="BR606" s="1542"/>
      <c r="BS606" s="1550">
        <f t="shared" si="6"/>
        <v>0</v>
      </c>
      <c r="BT606" s="1550"/>
      <c r="BU606" s="1550"/>
      <c r="BV606" s="1550"/>
      <c r="BW606" s="1550"/>
      <c r="BX606" s="1550">
        <f t="shared" si="7"/>
        <v>0</v>
      </c>
      <c r="BY606" s="1550"/>
      <c r="BZ606" s="1550"/>
      <c r="CA606" s="1550"/>
      <c r="CB606" s="1550"/>
      <c r="CC606" s="1550">
        <f t="shared" si="8"/>
        <v>0</v>
      </c>
      <c r="CD606" s="1550"/>
      <c r="CE606" s="1550"/>
      <c r="CF606" s="1550"/>
      <c r="CG606" s="1550"/>
      <c r="CH606" s="1550">
        <f t="shared" si="9"/>
        <v>0</v>
      </c>
      <c r="CI606" s="1550"/>
      <c r="CJ606" s="1550"/>
      <c r="CK606" s="1550"/>
      <c r="CL606" s="1550"/>
      <c r="CM606" s="1550">
        <f t="shared" si="10"/>
        <v>0</v>
      </c>
      <c r="CN606" s="1550"/>
      <c r="CO606" s="1550"/>
      <c r="CP606" s="1550"/>
      <c r="CQ606" s="1550"/>
      <c r="CR606" s="6"/>
      <c r="CS606" s="1551">
        <f t="shared" si="11"/>
        <v>0</v>
      </c>
      <c r="CT606" s="1551"/>
      <c r="CU606" s="1551"/>
      <c r="CV606" s="1551"/>
      <c r="CW606" s="1551"/>
      <c r="CX606" s="1551">
        <f t="shared" si="12"/>
        <v>0</v>
      </c>
      <c r="CY606" s="1551"/>
      <c r="CZ606" s="1551"/>
      <c r="DA606" s="1551"/>
      <c r="DB606" s="1551"/>
      <c r="DC606" s="1551">
        <f t="shared" si="13"/>
        <v>0</v>
      </c>
      <c r="DD606" s="1551"/>
      <c r="DE606" s="1551"/>
      <c r="DF606" s="1551"/>
      <c r="DG606" s="1551"/>
      <c r="DH606" s="1551">
        <f t="shared" si="14"/>
        <v>0</v>
      </c>
      <c r="DI606" s="1551"/>
      <c r="DJ606" s="1551"/>
      <c r="DK606" s="1551"/>
      <c r="DL606" s="1551"/>
      <c r="DM606" s="1551">
        <f t="shared" si="15"/>
        <v>0</v>
      </c>
      <c r="DN606" s="1551"/>
      <c r="DO606" s="1551"/>
      <c r="DP606" s="1551"/>
      <c r="DQ606" s="1551"/>
      <c r="DR606" s="1551">
        <f t="shared" si="16"/>
        <v>0</v>
      </c>
      <c r="DS606" s="1551"/>
      <c r="DT606" s="1551"/>
      <c r="DU606" s="1551"/>
      <c r="DV606" s="1551"/>
      <c r="DX606" s="1547" t="str">
        <f t="shared" si="17"/>
        <v/>
      </c>
      <c r="DY606" s="1548"/>
      <c r="DZ606" s="1548"/>
      <c r="EA606" s="1548"/>
      <c r="EB606" s="1549"/>
      <c r="EC606" s="1547" t="str">
        <f t="shared" si="18"/>
        <v/>
      </c>
      <c r="ED606" s="1548"/>
      <c r="EE606" s="1548"/>
      <c r="EF606" s="1548"/>
      <c r="EG606" s="1549"/>
      <c r="EH606" s="1547" t="str">
        <f t="shared" si="19"/>
        <v/>
      </c>
      <c r="EI606" s="1548"/>
      <c r="EJ606" s="1548"/>
      <c r="EK606" s="1548"/>
      <c r="EL606" s="1549"/>
      <c r="EM606" s="1547" t="str">
        <f t="shared" si="20"/>
        <v/>
      </c>
      <c r="EN606" s="1548"/>
      <c r="EO606" s="1548"/>
      <c r="EP606" s="1548"/>
      <c r="EQ606" s="1549"/>
      <c r="ER606" s="1547" t="str">
        <f t="shared" si="21"/>
        <v/>
      </c>
      <c r="ES606" s="1548"/>
      <c r="ET606" s="1548"/>
      <c r="EU606" s="1548"/>
      <c r="EV606" s="1549"/>
      <c r="EW606" s="1547" t="str">
        <f t="shared" si="22"/>
        <v/>
      </c>
      <c r="EX606" s="1548"/>
      <c r="EY606" s="1548"/>
      <c r="EZ606" s="1548"/>
      <c r="FA606" s="1549"/>
    </row>
    <row r="607" spans="1:157" s="4" customFormat="1" ht="12.95" customHeight="1">
      <c r="A607" s="22"/>
      <c r="B607" t="s">
        <v>20</v>
      </c>
      <c r="C607"/>
      <c r="D607"/>
      <c r="E607"/>
      <c r="F607"/>
      <c r="G607"/>
      <c r="H607"/>
      <c r="I607"/>
      <c r="J607"/>
      <c r="K607"/>
      <c r="L607"/>
      <c r="M607"/>
      <c r="N607" s="1499" t="s">
        <v>678</v>
      </c>
      <c r="O607" s="1499"/>
      <c r="P607"/>
      <c r="Q607"/>
      <c r="R607"/>
      <c r="S607"/>
      <c r="T607" s="22"/>
      <c r="U607" t="s">
        <v>20</v>
      </c>
      <c r="V607"/>
      <c r="W607"/>
      <c r="X607"/>
      <c r="Y607"/>
      <c r="Z607"/>
      <c r="AA607"/>
      <c r="AB607"/>
      <c r="AC607"/>
      <c r="AD607"/>
      <c r="AE607"/>
      <c r="AF607"/>
      <c r="AG607" s="1499" t="s">
        <v>678</v>
      </c>
      <c r="AH607" s="1499"/>
      <c r="AI607"/>
      <c r="AJ607"/>
      <c r="AK607"/>
      <c r="AL607"/>
      <c r="AM607"/>
      <c r="AN607"/>
      <c r="AO607"/>
      <c r="AP607"/>
      <c r="AQ607"/>
      <c r="AR607"/>
      <c r="AS607"/>
      <c r="AT607"/>
      <c r="AU607"/>
      <c r="AV607"/>
      <c r="AW607"/>
      <c r="AX607"/>
      <c r="AY607"/>
      <c r="AZ607" s="3"/>
      <c r="BA607" s="3"/>
      <c r="BB607" s="3"/>
      <c r="BC607" s="3"/>
      <c r="BD607" s="3"/>
      <c r="BE607" s="1547">
        <f t="shared" si="1"/>
        <v>0</v>
      </c>
      <c r="BF607" s="1549"/>
      <c r="BG607" s="1565">
        <f t="shared" si="2"/>
        <v>0</v>
      </c>
      <c r="BH607" s="1567"/>
      <c r="BI607" s="1547">
        <f t="shared" si="3"/>
        <v>0</v>
      </c>
      <c r="BJ607" s="1549"/>
      <c r="BK607" s="1565">
        <f t="shared" si="4"/>
        <v>0</v>
      </c>
      <c r="BL607" s="1567"/>
      <c r="BM607" s="3"/>
      <c r="BN607" s="1540">
        <f t="shared" si="5"/>
        <v>0</v>
      </c>
      <c r="BO607" s="1541"/>
      <c r="BP607" s="1541"/>
      <c r="BQ607" s="1541"/>
      <c r="BR607" s="1542"/>
      <c r="BS607" s="1550">
        <f t="shared" si="6"/>
        <v>0</v>
      </c>
      <c r="BT607" s="1550"/>
      <c r="BU607" s="1550"/>
      <c r="BV607" s="1550"/>
      <c r="BW607" s="1550"/>
      <c r="BX607" s="1550">
        <f t="shared" si="7"/>
        <v>1</v>
      </c>
      <c r="BY607" s="1550"/>
      <c r="BZ607" s="1550"/>
      <c r="CA607" s="1550"/>
      <c r="CB607" s="1550"/>
      <c r="CC607" s="1550">
        <f t="shared" si="8"/>
        <v>0</v>
      </c>
      <c r="CD607" s="1550"/>
      <c r="CE607" s="1550"/>
      <c r="CF607" s="1550"/>
      <c r="CG607" s="1550"/>
      <c r="CH607" s="1550">
        <f t="shared" si="9"/>
        <v>0</v>
      </c>
      <c r="CI607" s="1550"/>
      <c r="CJ607" s="1550"/>
      <c r="CK607" s="1550"/>
      <c r="CL607" s="1550"/>
      <c r="CM607" s="1550">
        <f t="shared" si="10"/>
        <v>0</v>
      </c>
      <c r="CN607" s="1550"/>
      <c r="CO607" s="1550"/>
      <c r="CP607" s="1550"/>
      <c r="CQ607" s="1550"/>
      <c r="CR607" s="6"/>
      <c r="CS607" s="1551">
        <f t="shared" si="11"/>
        <v>0</v>
      </c>
      <c r="CT607" s="1551"/>
      <c r="CU607" s="1551"/>
      <c r="CV607" s="1551"/>
      <c r="CW607" s="1551"/>
      <c r="CX607" s="1551">
        <f t="shared" si="12"/>
        <v>0</v>
      </c>
      <c r="CY607" s="1551"/>
      <c r="CZ607" s="1551"/>
      <c r="DA607" s="1551"/>
      <c r="DB607" s="1551"/>
      <c r="DC607" s="1551">
        <f t="shared" si="13"/>
        <v>0</v>
      </c>
      <c r="DD607" s="1551"/>
      <c r="DE607" s="1551"/>
      <c r="DF607" s="1551"/>
      <c r="DG607" s="1551"/>
      <c r="DH607" s="1551">
        <f t="shared" si="14"/>
        <v>0</v>
      </c>
      <c r="DI607" s="1551"/>
      <c r="DJ607" s="1551"/>
      <c r="DK607" s="1551"/>
      <c r="DL607" s="1551"/>
      <c r="DM607" s="1551">
        <f t="shared" si="15"/>
        <v>0</v>
      </c>
      <c r="DN607" s="1551"/>
      <c r="DO607" s="1551"/>
      <c r="DP607" s="1551"/>
      <c r="DQ607" s="1551"/>
      <c r="DR607" s="1551">
        <f t="shared" si="16"/>
        <v>0</v>
      </c>
      <c r="DS607" s="1551"/>
      <c r="DT607" s="1551"/>
      <c r="DU607" s="1551"/>
      <c r="DV607" s="1551"/>
      <c r="DX607" s="1547" t="str">
        <f t="shared" si="17"/>
        <v/>
      </c>
      <c r="DY607" s="1548"/>
      <c r="DZ607" s="1548"/>
      <c r="EA607" s="1548"/>
      <c r="EB607" s="1549"/>
      <c r="EC607" s="1547" t="str">
        <f t="shared" si="18"/>
        <v/>
      </c>
      <c r="ED607" s="1548"/>
      <c r="EE607" s="1548"/>
      <c r="EF607" s="1548"/>
      <c r="EG607" s="1549"/>
      <c r="EH607" s="1547">
        <f t="shared" si="19"/>
        <v>2339</v>
      </c>
      <c r="EI607" s="1548"/>
      <c r="EJ607" s="1548"/>
      <c r="EK607" s="1548"/>
      <c r="EL607" s="1549"/>
      <c r="EM607" s="1547" t="str">
        <f t="shared" si="20"/>
        <v/>
      </c>
      <c r="EN607" s="1548"/>
      <c r="EO607" s="1548"/>
      <c r="EP607" s="1548"/>
      <c r="EQ607" s="1549"/>
      <c r="ER607" s="1547" t="str">
        <f t="shared" si="21"/>
        <v/>
      </c>
      <c r="ES607" s="1548"/>
      <c r="ET607" s="1548"/>
      <c r="EU607" s="1548"/>
      <c r="EV607" s="1549"/>
      <c r="EW607" s="1547" t="str">
        <f t="shared" si="22"/>
        <v/>
      </c>
      <c r="EX607" s="1548"/>
      <c r="EY607" s="1548"/>
      <c r="EZ607" s="1548"/>
      <c r="FA607" s="1549"/>
    </row>
    <row r="608" spans="1:157" ht="12.95" customHeight="1">
      <c r="A608" s="22"/>
      <c r="T608" s="22"/>
      <c r="AZ608" s="3"/>
      <c r="BA608" s="3"/>
      <c r="BB608" s="3"/>
      <c r="BC608" s="3"/>
      <c r="BD608" s="3"/>
      <c r="BE608" s="1547">
        <f t="shared" si="1"/>
        <v>0</v>
      </c>
      <c r="BF608" s="1549"/>
      <c r="BG608" s="1565">
        <f t="shared" si="2"/>
        <v>0</v>
      </c>
      <c r="BH608" s="1567"/>
      <c r="BI608" s="1547">
        <f t="shared" si="3"/>
        <v>0</v>
      </c>
      <c r="BJ608" s="1549"/>
      <c r="BK608" s="1565">
        <f t="shared" si="4"/>
        <v>0</v>
      </c>
      <c r="BL608" s="1567"/>
      <c r="BM608" s="3"/>
      <c r="BN608" s="1540">
        <f t="shared" si="5"/>
        <v>0</v>
      </c>
      <c r="BO608" s="1541"/>
      <c r="BP608" s="1541"/>
      <c r="BQ608" s="1541"/>
      <c r="BR608" s="1542"/>
      <c r="BS608" s="1550">
        <f t="shared" si="6"/>
        <v>0</v>
      </c>
      <c r="BT608" s="1550"/>
      <c r="BU608" s="1550"/>
      <c r="BV608" s="1550"/>
      <c r="BW608" s="1550"/>
      <c r="BX608" s="1550">
        <f t="shared" si="7"/>
        <v>1</v>
      </c>
      <c r="BY608" s="1550"/>
      <c r="BZ608" s="1550"/>
      <c r="CA608" s="1550"/>
      <c r="CB608" s="1550"/>
      <c r="CC608" s="1550">
        <f t="shared" si="8"/>
        <v>0</v>
      </c>
      <c r="CD608" s="1550"/>
      <c r="CE608" s="1550"/>
      <c r="CF608" s="1550"/>
      <c r="CG608" s="1550"/>
      <c r="CH608" s="1550">
        <f t="shared" si="9"/>
        <v>0</v>
      </c>
      <c r="CI608" s="1550"/>
      <c r="CJ608" s="1550"/>
      <c r="CK608" s="1550"/>
      <c r="CL608" s="1550"/>
      <c r="CM608" s="1550">
        <f t="shared" si="10"/>
        <v>0</v>
      </c>
      <c r="CN608" s="1550"/>
      <c r="CO608" s="1550"/>
      <c r="CP608" s="1550"/>
      <c r="CQ608" s="1550"/>
      <c r="CR608" s="6"/>
      <c r="CS608" s="1551">
        <f t="shared" si="11"/>
        <v>0</v>
      </c>
      <c r="CT608" s="1551"/>
      <c r="CU608" s="1551"/>
      <c r="CV608" s="1551"/>
      <c r="CW608" s="1551"/>
      <c r="CX608" s="1551">
        <f t="shared" si="12"/>
        <v>0</v>
      </c>
      <c r="CY608" s="1551"/>
      <c r="CZ608" s="1551"/>
      <c r="DA608" s="1551"/>
      <c r="DB608" s="1551"/>
      <c r="DC608" s="1551">
        <f t="shared" si="13"/>
        <v>0</v>
      </c>
      <c r="DD608" s="1551"/>
      <c r="DE608" s="1551"/>
      <c r="DF608" s="1551"/>
      <c r="DG608" s="1551"/>
      <c r="DH608" s="1551">
        <f t="shared" si="14"/>
        <v>0</v>
      </c>
      <c r="DI608" s="1551"/>
      <c r="DJ608" s="1551"/>
      <c r="DK608" s="1551"/>
      <c r="DL608" s="1551"/>
      <c r="DM608" s="1551">
        <f t="shared" si="15"/>
        <v>0</v>
      </c>
      <c r="DN608" s="1551"/>
      <c r="DO608" s="1551"/>
      <c r="DP608" s="1551"/>
      <c r="DQ608" s="1551"/>
      <c r="DR608" s="1551">
        <f t="shared" si="16"/>
        <v>0</v>
      </c>
      <c r="DS608" s="1551"/>
      <c r="DT608" s="1551"/>
      <c r="DU608" s="1551"/>
      <c r="DV608" s="1551"/>
      <c r="DX608" s="1547" t="str">
        <f t="shared" si="17"/>
        <v/>
      </c>
      <c r="DY608" s="1548"/>
      <c r="DZ608" s="1548"/>
      <c r="EA608" s="1548"/>
      <c r="EB608" s="1549"/>
      <c r="EC608" s="1547" t="str">
        <f t="shared" si="18"/>
        <v/>
      </c>
      <c r="ED608" s="1548"/>
      <c r="EE608" s="1548"/>
      <c r="EF608" s="1548"/>
      <c r="EG608" s="1549"/>
      <c r="EH608" s="1547">
        <f t="shared" si="19"/>
        <v>2305</v>
      </c>
      <c r="EI608" s="1548"/>
      <c r="EJ608" s="1548"/>
      <c r="EK608" s="1548"/>
      <c r="EL608" s="1549"/>
      <c r="EM608" s="1547" t="str">
        <f t="shared" si="20"/>
        <v/>
      </c>
      <c r="EN608" s="1548"/>
      <c r="EO608" s="1548"/>
      <c r="EP608" s="1548"/>
      <c r="EQ608" s="1549"/>
      <c r="ER608" s="1547" t="str">
        <f t="shared" si="21"/>
        <v/>
      </c>
      <c r="ES608" s="1548"/>
      <c r="ET608" s="1548"/>
      <c r="EU608" s="1548"/>
      <c r="EV608" s="1549"/>
      <c r="EW608" s="1547" t="str">
        <f t="shared" si="22"/>
        <v/>
      </c>
      <c r="EX608" s="1548"/>
      <c r="EY608" s="1548"/>
      <c r="EZ608" s="1548"/>
      <c r="FA608" s="1549"/>
    </row>
    <row r="609" spans="1:157" ht="12.95" customHeight="1">
      <c r="A609" s="55" t="s">
        <v>363</v>
      </c>
      <c r="B609" t="s">
        <v>472</v>
      </c>
      <c r="G609" s="1488">
        <f>C564</f>
        <v>0</v>
      </c>
      <c r="H609" s="1488"/>
      <c r="I609" s="1488"/>
      <c r="J609" s="1488"/>
      <c r="K609" s="1488"/>
      <c r="L609" s="1488"/>
      <c r="M609" s="1488"/>
      <c r="N609" s="1488"/>
      <c r="O609" s="1488"/>
      <c r="P609" s="1488"/>
      <c r="Q609" s="1488"/>
      <c r="R609" s="1488"/>
      <c r="T609" s="55" t="s">
        <v>364</v>
      </c>
      <c r="U609" t="s">
        <v>472</v>
      </c>
      <c r="Z609" s="1488">
        <f>C565</f>
        <v>0</v>
      </c>
      <c r="AA609" s="1488"/>
      <c r="AB609" s="1488"/>
      <c r="AC609" s="1488"/>
      <c r="AD609" s="1488"/>
      <c r="AE609" s="1488"/>
      <c r="AF609" s="1488"/>
      <c r="AG609" s="1488"/>
      <c r="AH609" s="1488"/>
      <c r="AI609" s="1488"/>
      <c r="AJ609" s="1488"/>
      <c r="AK609" s="1488"/>
      <c r="AZ609" s="3"/>
      <c r="BA609" s="3"/>
      <c r="BB609" s="3"/>
      <c r="BC609" s="3"/>
      <c r="BD609" s="3"/>
      <c r="BE609" s="1547">
        <f t="shared" si="1"/>
        <v>0</v>
      </c>
      <c r="BF609" s="1549"/>
      <c r="BG609" s="1565">
        <f t="shared" si="2"/>
        <v>0</v>
      </c>
      <c r="BH609" s="1567"/>
      <c r="BI609" s="1547">
        <f t="shared" si="3"/>
        <v>0</v>
      </c>
      <c r="BJ609" s="1549"/>
      <c r="BK609" s="1565">
        <f t="shared" si="4"/>
        <v>0</v>
      </c>
      <c r="BL609" s="1567"/>
      <c r="BM609" s="3"/>
      <c r="BN609" s="1540">
        <f t="shared" si="5"/>
        <v>0</v>
      </c>
      <c r="BO609" s="1541"/>
      <c r="BP609" s="1541"/>
      <c r="BQ609" s="1541"/>
      <c r="BR609" s="1542"/>
      <c r="BS609" s="1550">
        <f t="shared" si="6"/>
        <v>0</v>
      </c>
      <c r="BT609" s="1550"/>
      <c r="BU609" s="1550"/>
      <c r="BV609" s="1550"/>
      <c r="BW609" s="1550"/>
      <c r="BX609" s="1550">
        <f t="shared" si="7"/>
        <v>0</v>
      </c>
      <c r="BY609" s="1550"/>
      <c r="BZ609" s="1550"/>
      <c r="CA609" s="1550"/>
      <c r="CB609" s="1550"/>
      <c r="CC609" s="1550">
        <f t="shared" si="8"/>
        <v>0</v>
      </c>
      <c r="CD609" s="1550"/>
      <c r="CE609" s="1550"/>
      <c r="CF609" s="1550"/>
      <c r="CG609" s="1550"/>
      <c r="CH609" s="1550">
        <f t="shared" si="9"/>
        <v>0</v>
      </c>
      <c r="CI609" s="1550"/>
      <c r="CJ609" s="1550"/>
      <c r="CK609" s="1550"/>
      <c r="CL609" s="1550"/>
      <c r="CM609" s="1550">
        <f t="shared" si="10"/>
        <v>0</v>
      </c>
      <c r="CN609" s="1550"/>
      <c r="CO609" s="1550"/>
      <c r="CP609" s="1550"/>
      <c r="CQ609" s="1550"/>
      <c r="CR609" s="6"/>
      <c r="CS609" s="1551">
        <f t="shared" si="11"/>
        <v>0</v>
      </c>
      <c r="CT609" s="1551"/>
      <c r="CU609" s="1551"/>
      <c r="CV609" s="1551"/>
      <c r="CW609" s="1551"/>
      <c r="CX609" s="1551">
        <f t="shared" si="12"/>
        <v>0</v>
      </c>
      <c r="CY609" s="1551"/>
      <c r="CZ609" s="1551"/>
      <c r="DA609" s="1551"/>
      <c r="DB609" s="1551"/>
      <c r="DC609" s="1551">
        <f t="shared" si="13"/>
        <v>0</v>
      </c>
      <c r="DD609" s="1551"/>
      <c r="DE609" s="1551"/>
      <c r="DF609" s="1551"/>
      <c r="DG609" s="1551"/>
      <c r="DH609" s="1551">
        <f t="shared" si="14"/>
        <v>0</v>
      </c>
      <c r="DI609" s="1551"/>
      <c r="DJ609" s="1551"/>
      <c r="DK609" s="1551"/>
      <c r="DL609" s="1551"/>
      <c r="DM609" s="1551">
        <f t="shared" si="15"/>
        <v>0</v>
      </c>
      <c r="DN609" s="1551"/>
      <c r="DO609" s="1551"/>
      <c r="DP609" s="1551"/>
      <c r="DQ609" s="1551"/>
      <c r="DR609" s="1551">
        <f t="shared" si="16"/>
        <v>0</v>
      </c>
      <c r="DS609" s="1551"/>
      <c r="DT609" s="1551"/>
      <c r="DU609" s="1551"/>
      <c r="DV609" s="1551"/>
      <c r="DX609" s="1547" t="str">
        <f t="shared" si="17"/>
        <v/>
      </c>
      <c r="DY609" s="1548"/>
      <c r="DZ609" s="1548"/>
      <c r="EA609" s="1548"/>
      <c r="EB609" s="1549"/>
      <c r="EC609" s="1547" t="str">
        <f t="shared" si="18"/>
        <v/>
      </c>
      <c r="ED609" s="1548"/>
      <c r="EE609" s="1548"/>
      <c r="EF609" s="1548"/>
      <c r="EG609" s="1549"/>
      <c r="EH609" s="1547" t="str">
        <f t="shared" si="19"/>
        <v/>
      </c>
      <c r="EI609" s="1548"/>
      <c r="EJ609" s="1548"/>
      <c r="EK609" s="1548"/>
      <c r="EL609" s="1549"/>
      <c r="EM609" s="1547" t="str">
        <f t="shared" si="20"/>
        <v/>
      </c>
      <c r="EN609" s="1548"/>
      <c r="EO609" s="1548"/>
      <c r="EP609" s="1548"/>
      <c r="EQ609" s="1549"/>
      <c r="ER609" s="1547" t="str">
        <f t="shared" si="21"/>
        <v/>
      </c>
      <c r="ES609" s="1548"/>
      <c r="ET609" s="1548"/>
      <c r="EU609" s="1548"/>
      <c r="EV609" s="1549"/>
      <c r="EW609" s="1547" t="str">
        <f t="shared" si="22"/>
        <v/>
      </c>
      <c r="EX609" s="1548"/>
      <c r="EY609" s="1548"/>
      <c r="EZ609" s="1548"/>
      <c r="FA609" s="1549"/>
    </row>
    <row r="610" spans="1:157" ht="12.95" customHeight="1">
      <c r="B610" t="s">
        <v>85</v>
      </c>
      <c r="G610" s="1493"/>
      <c r="H610" s="1493"/>
      <c r="I610" s="1493"/>
      <c r="J610" s="1493"/>
      <c r="K610" s="1493"/>
      <c r="L610" s="1493"/>
      <c r="M610" s="1493"/>
      <c r="N610" s="1493"/>
      <c r="O610" s="1493"/>
      <c r="P610" s="1493"/>
      <c r="Q610" s="1493"/>
      <c r="R610" s="1493"/>
      <c r="U610" t="s">
        <v>85</v>
      </c>
      <c r="Z610" s="1493"/>
      <c r="AA610" s="1493"/>
      <c r="AB610" s="1493"/>
      <c r="AC610" s="1493"/>
      <c r="AD610" s="1493"/>
      <c r="AE610" s="1493"/>
      <c r="AF610" s="1493"/>
      <c r="AG610" s="1493"/>
      <c r="AH610" s="1493"/>
      <c r="AI610" s="1493"/>
      <c r="AJ610" s="1493"/>
      <c r="AK610" s="1493"/>
      <c r="AZ610" s="3"/>
      <c r="BA610" s="3"/>
      <c r="BB610" s="3"/>
      <c r="BC610" s="3"/>
      <c r="BD610" s="3"/>
      <c r="BE610" s="1547">
        <f t="shared" si="1"/>
        <v>0</v>
      </c>
      <c r="BF610" s="1549"/>
      <c r="BG610" s="1565">
        <f t="shared" si="2"/>
        <v>0</v>
      </c>
      <c r="BH610" s="1567"/>
      <c r="BI610" s="1547">
        <f t="shared" si="3"/>
        <v>0</v>
      </c>
      <c r="BJ610" s="1549"/>
      <c r="BK610" s="1565">
        <f t="shared" si="4"/>
        <v>0</v>
      </c>
      <c r="BL610" s="1567"/>
      <c r="BM610" s="3"/>
      <c r="BN610" s="1540">
        <f t="shared" si="5"/>
        <v>0</v>
      </c>
      <c r="BO610" s="1541"/>
      <c r="BP610" s="1541"/>
      <c r="BQ610" s="1541"/>
      <c r="BR610" s="1542"/>
      <c r="BS610" s="1550">
        <f t="shared" si="6"/>
        <v>0</v>
      </c>
      <c r="BT610" s="1550"/>
      <c r="BU610" s="1550"/>
      <c r="BV610" s="1550"/>
      <c r="BW610" s="1550"/>
      <c r="BX610" s="1550">
        <f t="shared" si="7"/>
        <v>0</v>
      </c>
      <c r="BY610" s="1550"/>
      <c r="BZ610" s="1550"/>
      <c r="CA610" s="1550"/>
      <c r="CB610" s="1550"/>
      <c r="CC610" s="1550">
        <f t="shared" si="8"/>
        <v>0</v>
      </c>
      <c r="CD610" s="1550"/>
      <c r="CE610" s="1550"/>
      <c r="CF610" s="1550"/>
      <c r="CG610" s="1550"/>
      <c r="CH610" s="1550">
        <f t="shared" si="9"/>
        <v>0</v>
      </c>
      <c r="CI610" s="1550"/>
      <c r="CJ610" s="1550"/>
      <c r="CK610" s="1550"/>
      <c r="CL610" s="1550"/>
      <c r="CM610" s="1550">
        <f t="shared" si="10"/>
        <v>0</v>
      </c>
      <c r="CN610" s="1550"/>
      <c r="CO610" s="1550"/>
      <c r="CP610" s="1550"/>
      <c r="CQ610" s="1550"/>
      <c r="CR610" s="6"/>
      <c r="CS610" s="1551">
        <f t="shared" si="11"/>
        <v>0</v>
      </c>
      <c r="CT610" s="1551"/>
      <c r="CU610" s="1551"/>
      <c r="CV610" s="1551"/>
      <c r="CW610" s="1551"/>
      <c r="CX610" s="1551">
        <f t="shared" si="12"/>
        <v>0</v>
      </c>
      <c r="CY610" s="1551"/>
      <c r="CZ610" s="1551"/>
      <c r="DA610" s="1551"/>
      <c r="DB610" s="1551"/>
      <c r="DC610" s="1551">
        <f t="shared" si="13"/>
        <v>0</v>
      </c>
      <c r="DD610" s="1551"/>
      <c r="DE610" s="1551"/>
      <c r="DF610" s="1551"/>
      <c r="DG610" s="1551"/>
      <c r="DH610" s="1551">
        <f t="shared" si="14"/>
        <v>0</v>
      </c>
      <c r="DI610" s="1551"/>
      <c r="DJ610" s="1551"/>
      <c r="DK610" s="1551"/>
      <c r="DL610" s="1551"/>
      <c r="DM610" s="1551">
        <f t="shared" si="15"/>
        <v>0</v>
      </c>
      <c r="DN610" s="1551"/>
      <c r="DO610" s="1551"/>
      <c r="DP610" s="1551"/>
      <c r="DQ610" s="1551"/>
      <c r="DR610" s="1551">
        <f t="shared" si="16"/>
        <v>0</v>
      </c>
      <c r="DS610" s="1551"/>
      <c r="DT610" s="1551"/>
      <c r="DU610" s="1551"/>
      <c r="DV610" s="1551"/>
      <c r="DX610" s="1547" t="str">
        <f t="shared" si="17"/>
        <v/>
      </c>
      <c r="DY610" s="1548"/>
      <c r="DZ610" s="1548"/>
      <c r="EA610" s="1548"/>
      <c r="EB610" s="1549"/>
      <c r="EC610" s="1547" t="str">
        <f t="shared" si="18"/>
        <v/>
      </c>
      <c r="ED610" s="1548"/>
      <c r="EE610" s="1548"/>
      <c r="EF610" s="1548"/>
      <c r="EG610" s="1549"/>
      <c r="EH610" s="1547" t="str">
        <f t="shared" si="19"/>
        <v/>
      </c>
      <c r="EI610" s="1548"/>
      <c r="EJ610" s="1548"/>
      <c r="EK610" s="1548"/>
      <c r="EL610" s="1549"/>
      <c r="EM610" s="1547" t="str">
        <f t="shared" si="20"/>
        <v/>
      </c>
      <c r="EN610" s="1548"/>
      <c r="EO610" s="1548"/>
      <c r="EP610" s="1548"/>
      <c r="EQ610" s="1549"/>
      <c r="ER610" s="1547" t="str">
        <f t="shared" si="21"/>
        <v/>
      </c>
      <c r="ES610" s="1548"/>
      <c r="ET610" s="1548"/>
      <c r="EU610" s="1548"/>
      <c r="EV610" s="1549"/>
      <c r="EW610" s="1547" t="str">
        <f t="shared" si="22"/>
        <v/>
      </c>
      <c r="EX610" s="1548"/>
      <c r="EY610" s="1548"/>
      <c r="EZ610" s="1548"/>
      <c r="FA610" s="1549"/>
    </row>
    <row r="611" spans="1:157" ht="12.95" customHeight="1">
      <c r="B611" t="s">
        <v>589</v>
      </c>
      <c r="G611" s="1493"/>
      <c r="H611" s="1493"/>
      <c r="I611" s="1493"/>
      <c r="J611" s="1493"/>
      <c r="K611" s="1493"/>
      <c r="L611" s="1493"/>
      <c r="M611" s="1493"/>
      <c r="N611" s="1493"/>
      <c r="O611" s="1493"/>
      <c r="P611" s="1493"/>
      <c r="Q611" s="1493"/>
      <c r="R611" s="1493"/>
      <c r="U611" t="s">
        <v>589</v>
      </c>
      <c r="Z611" s="1516"/>
      <c r="AA611" s="1516"/>
      <c r="AB611" s="1516"/>
      <c r="AC611" s="1516"/>
      <c r="AD611" s="1516"/>
      <c r="AE611" s="1516"/>
      <c r="AF611" s="1516"/>
      <c r="AG611" s="1516"/>
      <c r="AH611" s="1516"/>
      <c r="AI611" s="1516"/>
      <c r="AJ611" s="1516"/>
      <c r="AK611" s="1516"/>
      <c r="AZ611" s="3"/>
      <c r="BA611" s="3"/>
      <c r="BB611" s="3"/>
      <c r="BC611" s="3"/>
      <c r="BD611" s="3"/>
      <c r="BE611" s="1547">
        <f t="shared" si="1"/>
        <v>0</v>
      </c>
      <c r="BF611" s="1549"/>
      <c r="BG611" s="1565">
        <f t="shared" si="2"/>
        <v>0</v>
      </c>
      <c r="BH611" s="1567"/>
      <c r="BI611" s="1547">
        <f t="shared" si="3"/>
        <v>0</v>
      </c>
      <c r="BJ611" s="1549"/>
      <c r="BK611" s="1565">
        <f t="shared" si="4"/>
        <v>0</v>
      </c>
      <c r="BL611" s="1567"/>
      <c r="BM611" s="3"/>
      <c r="BN611" s="1540">
        <f t="shared" si="5"/>
        <v>0</v>
      </c>
      <c r="BO611" s="1541"/>
      <c r="BP611" s="1541"/>
      <c r="BQ611" s="1541"/>
      <c r="BR611" s="1542"/>
      <c r="BS611" s="1550">
        <f t="shared" si="6"/>
        <v>0</v>
      </c>
      <c r="BT611" s="1550"/>
      <c r="BU611" s="1550"/>
      <c r="BV611" s="1550"/>
      <c r="BW611" s="1550"/>
      <c r="BX611" s="1550">
        <f t="shared" si="7"/>
        <v>0</v>
      </c>
      <c r="BY611" s="1550"/>
      <c r="BZ611" s="1550"/>
      <c r="CA611" s="1550"/>
      <c r="CB611" s="1550"/>
      <c r="CC611" s="1550">
        <f t="shared" si="8"/>
        <v>0</v>
      </c>
      <c r="CD611" s="1550"/>
      <c r="CE611" s="1550"/>
      <c r="CF611" s="1550"/>
      <c r="CG611" s="1550"/>
      <c r="CH611" s="1550">
        <f t="shared" si="9"/>
        <v>0</v>
      </c>
      <c r="CI611" s="1550"/>
      <c r="CJ611" s="1550"/>
      <c r="CK611" s="1550"/>
      <c r="CL611" s="1550"/>
      <c r="CM611" s="1550">
        <f t="shared" si="10"/>
        <v>0</v>
      </c>
      <c r="CN611" s="1550"/>
      <c r="CO611" s="1550"/>
      <c r="CP611" s="1550"/>
      <c r="CQ611" s="1550"/>
      <c r="CR611" s="6"/>
      <c r="CS611" s="1551">
        <f t="shared" si="11"/>
        <v>0</v>
      </c>
      <c r="CT611" s="1551"/>
      <c r="CU611" s="1551"/>
      <c r="CV611" s="1551"/>
      <c r="CW611" s="1551"/>
      <c r="CX611" s="1551">
        <f t="shared" si="12"/>
        <v>0</v>
      </c>
      <c r="CY611" s="1551"/>
      <c r="CZ611" s="1551"/>
      <c r="DA611" s="1551"/>
      <c r="DB611" s="1551"/>
      <c r="DC611" s="1551">
        <f t="shared" si="13"/>
        <v>0</v>
      </c>
      <c r="DD611" s="1551"/>
      <c r="DE611" s="1551"/>
      <c r="DF611" s="1551"/>
      <c r="DG611" s="1551"/>
      <c r="DH611" s="1551">
        <f t="shared" si="14"/>
        <v>0</v>
      </c>
      <c r="DI611" s="1551"/>
      <c r="DJ611" s="1551"/>
      <c r="DK611" s="1551"/>
      <c r="DL611" s="1551"/>
      <c r="DM611" s="1551">
        <f t="shared" si="15"/>
        <v>0</v>
      </c>
      <c r="DN611" s="1551"/>
      <c r="DO611" s="1551"/>
      <c r="DP611" s="1551"/>
      <c r="DQ611" s="1551"/>
      <c r="DR611" s="1551">
        <f t="shared" si="16"/>
        <v>0</v>
      </c>
      <c r="DS611" s="1551"/>
      <c r="DT611" s="1551"/>
      <c r="DU611" s="1551"/>
      <c r="DV611" s="1551"/>
      <c r="DX611" s="1547" t="str">
        <f t="shared" si="17"/>
        <v/>
      </c>
      <c r="DY611" s="1548"/>
      <c r="DZ611" s="1548"/>
      <c r="EA611" s="1548"/>
      <c r="EB611" s="1549"/>
      <c r="EC611" s="1547" t="str">
        <f t="shared" si="18"/>
        <v/>
      </c>
      <c r="ED611" s="1548"/>
      <c r="EE611" s="1548"/>
      <c r="EF611" s="1548"/>
      <c r="EG611" s="1549"/>
      <c r="EH611" s="1547" t="str">
        <f t="shared" si="19"/>
        <v/>
      </c>
      <c r="EI611" s="1548"/>
      <c r="EJ611" s="1548"/>
      <c r="EK611" s="1548"/>
      <c r="EL611" s="1549"/>
      <c r="EM611" s="1547" t="str">
        <f t="shared" si="20"/>
        <v/>
      </c>
      <c r="EN611" s="1548"/>
      <c r="EO611" s="1548"/>
      <c r="EP611" s="1548"/>
      <c r="EQ611" s="1549"/>
      <c r="ER611" s="1547" t="str">
        <f t="shared" si="21"/>
        <v/>
      </c>
      <c r="ES611" s="1548"/>
      <c r="ET611" s="1548"/>
      <c r="EU611" s="1548"/>
      <c r="EV611" s="1549"/>
      <c r="EW611" s="1547" t="str">
        <f t="shared" si="22"/>
        <v/>
      </c>
      <c r="EX611" s="1548"/>
      <c r="EY611" s="1548"/>
      <c r="EZ611" s="1548"/>
      <c r="FA611" s="1549"/>
    </row>
    <row r="612" spans="1:157" ht="12.95" customHeight="1">
      <c r="B612" t="s">
        <v>17</v>
      </c>
      <c r="G612" s="1493"/>
      <c r="H612" s="1493"/>
      <c r="I612" s="1493"/>
      <c r="J612" s="1493"/>
      <c r="K612" s="1493"/>
      <c r="L612" s="1493"/>
      <c r="M612" s="1493"/>
      <c r="N612" s="1493"/>
      <c r="O612" s="1493"/>
      <c r="P612" s="1493"/>
      <c r="Q612" s="1493"/>
      <c r="R612" s="1493"/>
      <c r="U612" t="s">
        <v>17</v>
      </c>
      <c r="Z612" s="1516"/>
      <c r="AA612" s="1516"/>
      <c r="AB612" s="1516"/>
      <c r="AC612" s="1516"/>
      <c r="AD612" s="1516"/>
      <c r="AE612" s="1516"/>
      <c r="AF612" s="1516"/>
      <c r="AG612" s="1516"/>
      <c r="AH612" s="1516"/>
      <c r="AI612" s="1516"/>
      <c r="AJ612" s="1516"/>
      <c r="AK612" s="1516"/>
      <c r="AZ612" s="3"/>
      <c r="BA612" s="3"/>
      <c r="BB612" s="3"/>
      <c r="BC612" s="3"/>
      <c r="BD612" s="3"/>
      <c r="BE612" s="1547">
        <f t="shared" si="1"/>
        <v>0</v>
      </c>
      <c r="BF612" s="1549"/>
      <c r="BG612" s="1565">
        <f t="shared" si="2"/>
        <v>0</v>
      </c>
      <c r="BH612" s="1567"/>
      <c r="BI612" s="1547">
        <f t="shared" si="3"/>
        <v>0</v>
      </c>
      <c r="BJ612" s="1549"/>
      <c r="BK612" s="1565">
        <f t="shared" si="4"/>
        <v>0</v>
      </c>
      <c r="BL612" s="1567"/>
      <c r="BM612" s="3"/>
      <c r="BN612" s="1540">
        <f t="shared" si="5"/>
        <v>0</v>
      </c>
      <c r="BO612" s="1541"/>
      <c r="BP612" s="1541"/>
      <c r="BQ612" s="1541"/>
      <c r="BR612" s="1542"/>
      <c r="BS612" s="1550">
        <f t="shared" si="6"/>
        <v>0</v>
      </c>
      <c r="BT612" s="1550"/>
      <c r="BU612" s="1550"/>
      <c r="BV612" s="1550"/>
      <c r="BW612" s="1550"/>
      <c r="BX612" s="1550">
        <f t="shared" si="7"/>
        <v>0</v>
      </c>
      <c r="BY612" s="1550"/>
      <c r="BZ612" s="1550"/>
      <c r="CA612" s="1550"/>
      <c r="CB612" s="1550"/>
      <c r="CC612" s="1550">
        <f t="shared" si="8"/>
        <v>0</v>
      </c>
      <c r="CD612" s="1550"/>
      <c r="CE612" s="1550"/>
      <c r="CF612" s="1550"/>
      <c r="CG612" s="1550"/>
      <c r="CH612" s="1550">
        <f t="shared" si="9"/>
        <v>0</v>
      </c>
      <c r="CI612" s="1550"/>
      <c r="CJ612" s="1550"/>
      <c r="CK612" s="1550"/>
      <c r="CL612" s="1550"/>
      <c r="CM612" s="1550">
        <f t="shared" si="10"/>
        <v>0</v>
      </c>
      <c r="CN612" s="1550"/>
      <c r="CO612" s="1550"/>
      <c r="CP612" s="1550"/>
      <c r="CQ612" s="1550"/>
      <c r="CR612" s="6"/>
      <c r="CS612" s="1551">
        <f t="shared" si="11"/>
        <v>0</v>
      </c>
      <c r="CT612" s="1551"/>
      <c r="CU612" s="1551"/>
      <c r="CV612" s="1551"/>
      <c r="CW612" s="1551"/>
      <c r="CX612" s="1551">
        <f t="shared" si="12"/>
        <v>0</v>
      </c>
      <c r="CY612" s="1551"/>
      <c r="CZ612" s="1551"/>
      <c r="DA612" s="1551"/>
      <c r="DB612" s="1551"/>
      <c r="DC612" s="1551">
        <f t="shared" si="13"/>
        <v>0</v>
      </c>
      <c r="DD612" s="1551"/>
      <c r="DE612" s="1551"/>
      <c r="DF612" s="1551"/>
      <c r="DG612" s="1551"/>
      <c r="DH612" s="1551">
        <f t="shared" si="14"/>
        <v>0</v>
      </c>
      <c r="DI612" s="1551"/>
      <c r="DJ612" s="1551"/>
      <c r="DK612" s="1551"/>
      <c r="DL612" s="1551"/>
      <c r="DM612" s="1551">
        <f t="shared" si="15"/>
        <v>0</v>
      </c>
      <c r="DN612" s="1551"/>
      <c r="DO612" s="1551"/>
      <c r="DP612" s="1551"/>
      <c r="DQ612" s="1551"/>
      <c r="DR612" s="1551">
        <f t="shared" si="16"/>
        <v>0</v>
      </c>
      <c r="DS612" s="1551"/>
      <c r="DT612" s="1551"/>
      <c r="DU612" s="1551"/>
      <c r="DV612" s="1551"/>
      <c r="DX612" s="1547" t="str">
        <f t="shared" si="17"/>
        <v/>
      </c>
      <c r="DY612" s="1548"/>
      <c r="DZ612" s="1548"/>
      <c r="EA612" s="1548"/>
      <c r="EB612" s="1549"/>
      <c r="EC612" s="1547" t="str">
        <f t="shared" si="18"/>
        <v/>
      </c>
      <c r="ED612" s="1548"/>
      <c r="EE612" s="1548"/>
      <c r="EF612" s="1548"/>
      <c r="EG612" s="1549"/>
      <c r="EH612" s="1547" t="str">
        <f t="shared" si="19"/>
        <v/>
      </c>
      <c r="EI612" s="1548"/>
      <c r="EJ612" s="1548"/>
      <c r="EK612" s="1548"/>
      <c r="EL612" s="1549"/>
      <c r="EM612" s="1547" t="str">
        <f t="shared" si="20"/>
        <v/>
      </c>
      <c r="EN612" s="1548"/>
      <c r="EO612" s="1548"/>
      <c r="EP612" s="1548"/>
      <c r="EQ612" s="1549"/>
      <c r="ER612" s="1547" t="str">
        <f t="shared" si="21"/>
        <v/>
      </c>
      <c r="ES612" s="1548"/>
      <c r="ET612" s="1548"/>
      <c r="EU612" s="1548"/>
      <c r="EV612" s="1549"/>
      <c r="EW612" s="1547" t="str">
        <f t="shared" si="22"/>
        <v/>
      </c>
      <c r="EX612" s="1548"/>
      <c r="EY612" s="1548"/>
      <c r="EZ612" s="1548"/>
      <c r="FA612" s="1549"/>
    </row>
    <row r="613" spans="1:157" ht="12.95" customHeight="1">
      <c r="B613" t="s">
        <v>317</v>
      </c>
      <c r="G613" s="1492"/>
      <c r="H613" s="1492"/>
      <c r="I613" s="1492"/>
      <c r="J613" s="1492"/>
      <c r="K613" s="1492"/>
      <c r="L613" s="1492"/>
      <c r="O613" s="33" t="s">
        <v>207</v>
      </c>
      <c r="P613" s="1520"/>
      <c r="Q613" s="1520"/>
      <c r="R613" s="1520"/>
      <c r="U613" t="s">
        <v>317</v>
      </c>
      <c r="Z613" s="1492"/>
      <c r="AA613" s="1492"/>
      <c r="AB613" s="1492"/>
      <c r="AC613" s="1492"/>
      <c r="AD613" s="1492"/>
      <c r="AE613" s="1492"/>
      <c r="AH613" s="33" t="s">
        <v>207</v>
      </c>
      <c r="AI613" s="1520"/>
      <c r="AJ613" s="1520"/>
      <c r="AK613" s="1520"/>
      <c r="AZ613" s="3"/>
      <c r="BA613" s="3"/>
      <c r="BB613" s="3"/>
      <c r="BC613" s="3"/>
      <c r="BD613" s="3"/>
      <c r="BE613" s="1547">
        <f t="shared" si="1"/>
        <v>0</v>
      </c>
      <c r="BF613" s="1549"/>
      <c r="BG613" s="1565">
        <f t="shared" si="2"/>
        <v>0</v>
      </c>
      <c r="BH613" s="1567"/>
      <c r="BI613" s="1547">
        <f t="shared" si="3"/>
        <v>0</v>
      </c>
      <c r="BJ613" s="1549"/>
      <c r="BK613" s="1565">
        <f t="shared" si="4"/>
        <v>0</v>
      </c>
      <c r="BL613" s="1567"/>
      <c r="BM613" s="3"/>
      <c r="BN613" s="1540">
        <f t="shared" si="5"/>
        <v>0</v>
      </c>
      <c r="BO613" s="1541"/>
      <c r="BP613" s="1541"/>
      <c r="BQ613" s="1541"/>
      <c r="BR613" s="1542"/>
      <c r="BS613" s="1550">
        <f t="shared" si="6"/>
        <v>0</v>
      </c>
      <c r="BT613" s="1550"/>
      <c r="BU613" s="1550"/>
      <c r="BV613" s="1550"/>
      <c r="BW613" s="1550"/>
      <c r="BX613" s="1550">
        <f t="shared" si="7"/>
        <v>0</v>
      </c>
      <c r="BY613" s="1550"/>
      <c r="BZ613" s="1550"/>
      <c r="CA613" s="1550"/>
      <c r="CB613" s="1550"/>
      <c r="CC613" s="1550">
        <f t="shared" si="8"/>
        <v>0</v>
      </c>
      <c r="CD613" s="1550"/>
      <c r="CE613" s="1550"/>
      <c r="CF613" s="1550"/>
      <c r="CG613" s="1550"/>
      <c r="CH613" s="1550">
        <f t="shared" si="9"/>
        <v>0</v>
      </c>
      <c r="CI613" s="1550"/>
      <c r="CJ613" s="1550"/>
      <c r="CK613" s="1550"/>
      <c r="CL613" s="1550"/>
      <c r="CM613" s="1550">
        <f t="shared" si="10"/>
        <v>0</v>
      </c>
      <c r="CN613" s="1550"/>
      <c r="CO613" s="1550"/>
      <c r="CP613" s="1550"/>
      <c r="CQ613" s="1550"/>
      <c r="CR613" s="6"/>
      <c r="CS613" s="1551">
        <f t="shared" si="11"/>
        <v>0</v>
      </c>
      <c r="CT613" s="1551"/>
      <c r="CU613" s="1551"/>
      <c r="CV613" s="1551"/>
      <c r="CW613" s="1551"/>
      <c r="CX613" s="1551">
        <f t="shared" si="12"/>
        <v>0</v>
      </c>
      <c r="CY613" s="1551"/>
      <c r="CZ613" s="1551"/>
      <c r="DA613" s="1551"/>
      <c r="DB613" s="1551"/>
      <c r="DC613" s="1551">
        <f t="shared" si="13"/>
        <v>0</v>
      </c>
      <c r="DD613" s="1551"/>
      <c r="DE613" s="1551"/>
      <c r="DF613" s="1551"/>
      <c r="DG613" s="1551"/>
      <c r="DH613" s="1551">
        <f t="shared" si="14"/>
        <v>0</v>
      </c>
      <c r="DI613" s="1551"/>
      <c r="DJ613" s="1551"/>
      <c r="DK613" s="1551"/>
      <c r="DL613" s="1551"/>
      <c r="DM613" s="1551">
        <f t="shared" si="15"/>
        <v>0</v>
      </c>
      <c r="DN613" s="1551"/>
      <c r="DO613" s="1551"/>
      <c r="DP613" s="1551"/>
      <c r="DQ613" s="1551"/>
      <c r="DR613" s="1551">
        <f t="shared" si="16"/>
        <v>0</v>
      </c>
      <c r="DS613" s="1551"/>
      <c r="DT613" s="1551"/>
      <c r="DU613" s="1551"/>
      <c r="DV613" s="1551"/>
      <c r="DX613" s="1547" t="str">
        <f t="shared" si="17"/>
        <v/>
      </c>
      <c r="DY613" s="1548"/>
      <c r="DZ613" s="1548"/>
      <c r="EA613" s="1548"/>
      <c r="EB613" s="1549"/>
      <c r="EC613" s="1547" t="str">
        <f t="shared" si="18"/>
        <v/>
      </c>
      <c r="ED613" s="1548"/>
      <c r="EE613" s="1548"/>
      <c r="EF613" s="1548"/>
      <c r="EG613" s="1549"/>
      <c r="EH613" s="1547" t="str">
        <f t="shared" si="19"/>
        <v/>
      </c>
      <c r="EI613" s="1548"/>
      <c r="EJ613" s="1548"/>
      <c r="EK613" s="1548"/>
      <c r="EL613" s="1549"/>
      <c r="EM613" s="1547" t="str">
        <f t="shared" si="20"/>
        <v/>
      </c>
      <c r="EN613" s="1548"/>
      <c r="EO613" s="1548"/>
      <c r="EP613" s="1548"/>
      <c r="EQ613" s="1549"/>
      <c r="ER613" s="1547" t="str">
        <f t="shared" si="21"/>
        <v/>
      </c>
      <c r="ES613" s="1548"/>
      <c r="ET613" s="1548"/>
      <c r="EU613" s="1548"/>
      <c r="EV613" s="1549"/>
      <c r="EW613" s="1547" t="str">
        <f t="shared" si="22"/>
        <v/>
      </c>
      <c r="EX613" s="1548"/>
      <c r="EY613" s="1548"/>
      <c r="EZ613" s="1548"/>
      <c r="FA613" s="1549"/>
    </row>
    <row r="614" spans="1:157" ht="12.95" customHeight="1">
      <c r="B614" t="s">
        <v>18</v>
      </c>
      <c r="H614" s="1493"/>
      <c r="I614" s="1493"/>
      <c r="J614" s="1493"/>
      <c r="K614" s="1493"/>
      <c r="L614" s="1493"/>
      <c r="M614" s="1493"/>
      <c r="N614" s="1493"/>
      <c r="O614" s="1493"/>
      <c r="P614" s="1493"/>
      <c r="Q614" s="1493"/>
      <c r="R614" s="1493"/>
      <c r="U614" t="s">
        <v>18</v>
      </c>
      <c r="AA614" s="1493"/>
      <c r="AB614" s="1493"/>
      <c r="AC614" s="1493"/>
      <c r="AD614" s="1493"/>
      <c r="AE614" s="1493"/>
      <c r="AF614" s="1493"/>
      <c r="AG614" s="1493"/>
      <c r="AH614" s="1493"/>
      <c r="AI614" s="1493"/>
      <c r="AJ614" s="1493"/>
      <c r="AK614" s="1493"/>
      <c r="AU614" s="934"/>
      <c r="AV614" s="934"/>
      <c r="AW614" s="934"/>
      <c r="AX614" s="934"/>
      <c r="AY614" s="934"/>
      <c r="AZ614" s="3"/>
      <c r="BA614" s="3"/>
      <c r="BB614" s="3"/>
      <c r="BC614" s="3"/>
      <c r="BD614" s="3"/>
      <c r="BE614" s="1547">
        <f t="shared" si="1"/>
        <v>0</v>
      </c>
      <c r="BF614" s="1549"/>
      <c r="BG614" s="1565">
        <f t="shared" si="2"/>
        <v>0</v>
      </c>
      <c r="BH614" s="1567"/>
      <c r="BI614" s="1547">
        <f t="shared" si="3"/>
        <v>0</v>
      </c>
      <c r="BJ614" s="1549"/>
      <c r="BK614" s="1565">
        <f t="shared" si="4"/>
        <v>0</v>
      </c>
      <c r="BL614" s="1567"/>
      <c r="BM614" s="3"/>
      <c r="BN614" s="1540">
        <f t="shared" si="5"/>
        <v>0</v>
      </c>
      <c r="BO614" s="1541"/>
      <c r="BP614" s="1541"/>
      <c r="BQ614" s="1541"/>
      <c r="BR614" s="1542"/>
      <c r="BS614" s="1550">
        <f t="shared" si="6"/>
        <v>0</v>
      </c>
      <c r="BT614" s="1550"/>
      <c r="BU614" s="1550"/>
      <c r="BV614" s="1550"/>
      <c r="BW614" s="1550"/>
      <c r="BX614" s="1550">
        <f t="shared" si="7"/>
        <v>0</v>
      </c>
      <c r="BY614" s="1550"/>
      <c r="BZ614" s="1550"/>
      <c r="CA614" s="1550"/>
      <c r="CB614" s="1550"/>
      <c r="CC614" s="1550">
        <f t="shared" si="8"/>
        <v>0</v>
      </c>
      <c r="CD614" s="1550"/>
      <c r="CE614" s="1550"/>
      <c r="CF614" s="1550"/>
      <c r="CG614" s="1550"/>
      <c r="CH614" s="1550">
        <f t="shared" si="9"/>
        <v>0</v>
      </c>
      <c r="CI614" s="1550"/>
      <c r="CJ614" s="1550"/>
      <c r="CK614" s="1550"/>
      <c r="CL614" s="1550"/>
      <c r="CM614" s="1550">
        <f t="shared" si="10"/>
        <v>0</v>
      </c>
      <c r="CN614" s="1550"/>
      <c r="CO614" s="1550"/>
      <c r="CP614" s="1550"/>
      <c r="CQ614" s="1550"/>
      <c r="CR614" s="6"/>
      <c r="CS614" s="1551">
        <f t="shared" si="11"/>
        <v>0</v>
      </c>
      <c r="CT614" s="1551"/>
      <c r="CU614" s="1551"/>
      <c r="CV614" s="1551"/>
      <c r="CW614" s="1551"/>
      <c r="CX614" s="1551">
        <f t="shared" si="12"/>
        <v>0</v>
      </c>
      <c r="CY614" s="1551"/>
      <c r="CZ614" s="1551"/>
      <c r="DA614" s="1551"/>
      <c r="DB614" s="1551"/>
      <c r="DC614" s="1551">
        <f t="shared" si="13"/>
        <v>0</v>
      </c>
      <c r="DD614" s="1551"/>
      <c r="DE614" s="1551"/>
      <c r="DF614" s="1551"/>
      <c r="DG614" s="1551"/>
      <c r="DH614" s="1551">
        <f t="shared" si="14"/>
        <v>0</v>
      </c>
      <c r="DI614" s="1551"/>
      <c r="DJ614" s="1551"/>
      <c r="DK614" s="1551"/>
      <c r="DL614" s="1551"/>
      <c r="DM614" s="1551">
        <f t="shared" si="15"/>
        <v>0</v>
      </c>
      <c r="DN614" s="1551"/>
      <c r="DO614" s="1551"/>
      <c r="DP614" s="1551"/>
      <c r="DQ614" s="1551"/>
      <c r="DR614" s="1551">
        <f t="shared" si="16"/>
        <v>0</v>
      </c>
      <c r="DS614" s="1551"/>
      <c r="DT614" s="1551"/>
      <c r="DU614" s="1551"/>
      <c r="DV614" s="1551"/>
      <c r="DX614" s="1547" t="str">
        <f t="shared" si="17"/>
        <v/>
      </c>
      <c r="DY614" s="1548"/>
      <c r="DZ614" s="1548"/>
      <c r="EA614" s="1548"/>
      <c r="EB614" s="1549"/>
      <c r="EC614" s="1547" t="str">
        <f t="shared" si="18"/>
        <v/>
      </c>
      <c r="ED614" s="1548"/>
      <c r="EE614" s="1548"/>
      <c r="EF614" s="1548"/>
      <c r="EG614" s="1549"/>
      <c r="EH614" s="1547" t="str">
        <f t="shared" si="19"/>
        <v/>
      </c>
      <c r="EI614" s="1548"/>
      <c r="EJ614" s="1548"/>
      <c r="EK614" s="1548"/>
      <c r="EL614" s="1549"/>
      <c r="EM614" s="1547" t="str">
        <f t="shared" si="20"/>
        <v/>
      </c>
      <c r="EN614" s="1548"/>
      <c r="EO614" s="1548"/>
      <c r="EP614" s="1548"/>
      <c r="EQ614" s="1549"/>
      <c r="ER614" s="1547" t="str">
        <f t="shared" si="21"/>
        <v/>
      </c>
      <c r="ES614" s="1548"/>
      <c r="ET614" s="1548"/>
      <c r="EU614" s="1548"/>
      <c r="EV614" s="1549"/>
      <c r="EW614" s="1547" t="str">
        <f t="shared" si="22"/>
        <v/>
      </c>
      <c r="EX614" s="1548"/>
      <c r="EY614" s="1548"/>
      <c r="EZ614" s="1548"/>
      <c r="FA614" s="1549"/>
    </row>
    <row r="615" spans="1:157" ht="12.95" customHeight="1">
      <c r="B615" t="s">
        <v>20</v>
      </c>
      <c r="N615" s="1499" t="s">
        <v>678</v>
      </c>
      <c r="O615" s="1499"/>
      <c r="U615" t="s">
        <v>20</v>
      </c>
      <c r="AG615" s="1499" t="s">
        <v>678</v>
      </c>
      <c r="AH615" s="1499"/>
      <c r="AU615" s="934"/>
      <c r="AV615" s="934"/>
      <c r="AW615" s="934"/>
      <c r="AX615" s="934"/>
      <c r="AY615" s="934"/>
      <c r="AZ615" s="3"/>
      <c r="BA615" s="3"/>
      <c r="BB615" s="3"/>
      <c r="BC615" s="3"/>
      <c r="BD615" s="3"/>
      <c r="BE615" s="1547">
        <f t="shared" si="1"/>
        <v>0</v>
      </c>
      <c r="BF615" s="1549"/>
      <c r="BG615" s="1565">
        <f t="shared" si="2"/>
        <v>0</v>
      </c>
      <c r="BH615" s="1567"/>
      <c r="BI615" s="1547">
        <f t="shared" si="3"/>
        <v>0</v>
      </c>
      <c r="BJ615" s="1549"/>
      <c r="BK615" s="1565">
        <f t="shared" si="4"/>
        <v>0</v>
      </c>
      <c r="BL615" s="1567"/>
      <c r="BM615" s="3"/>
      <c r="BN615" s="1540">
        <f t="shared" si="5"/>
        <v>0</v>
      </c>
      <c r="BO615" s="1541"/>
      <c r="BP615" s="1541"/>
      <c r="BQ615" s="1541"/>
      <c r="BR615" s="1542"/>
      <c r="BS615" s="1550">
        <f t="shared" si="6"/>
        <v>0</v>
      </c>
      <c r="BT615" s="1550"/>
      <c r="BU615" s="1550"/>
      <c r="BV615" s="1550"/>
      <c r="BW615" s="1550"/>
      <c r="BX615" s="1550">
        <f t="shared" si="7"/>
        <v>0</v>
      </c>
      <c r="BY615" s="1550"/>
      <c r="BZ615" s="1550"/>
      <c r="CA615" s="1550"/>
      <c r="CB615" s="1550"/>
      <c r="CC615" s="1550">
        <f t="shared" si="8"/>
        <v>0</v>
      </c>
      <c r="CD615" s="1550"/>
      <c r="CE615" s="1550"/>
      <c r="CF615" s="1550"/>
      <c r="CG615" s="1550"/>
      <c r="CH615" s="1550">
        <f t="shared" si="9"/>
        <v>0</v>
      </c>
      <c r="CI615" s="1550"/>
      <c r="CJ615" s="1550"/>
      <c r="CK615" s="1550"/>
      <c r="CL615" s="1550"/>
      <c r="CM615" s="1550">
        <f t="shared" si="10"/>
        <v>0</v>
      </c>
      <c r="CN615" s="1550"/>
      <c r="CO615" s="1550"/>
      <c r="CP615" s="1550"/>
      <c r="CQ615" s="1550"/>
      <c r="CR615" s="6"/>
      <c r="CS615" s="1551">
        <f t="shared" si="11"/>
        <v>0</v>
      </c>
      <c r="CT615" s="1551"/>
      <c r="CU615" s="1551"/>
      <c r="CV615" s="1551"/>
      <c r="CW615" s="1551"/>
      <c r="CX615" s="1551">
        <f t="shared" si="12"/>
        <v>0</v>
      </c>
      <c r="CY615" s="1551"/>
      <c r="CZ615" s="1551"/>
      <c r="DA615" s="1551"/>
      <c r="DB615" s="1551"/>
      <c r="DC615" s="1551">
        <f t="shared" si="13"/>
        <v>0</v>
      </c>
      <c r="DD615" s="1551"/>
      <c r="DE615" s="1551"/>
      <c r="DF615" s="1551"/>
      <c r="DG615" s="1551"/>
      <c r="DH615" s="1551">
        <f t="shared" si="14"/>
        <v>0</v>
      </c>
      <c r="DI615" s="1551"/>
      <c r="DJ615" s="1551"/>
      <c r="DK615" s="1551"/>
      <c r="DL615" s="1551"/>
      <c r="DM615" s="1551">
        <f t="shared" si="15"/>
        <v>0</v>
      </c>
      <c r="DN615" s="1551"/>
      <c r="DO615" s="1551"/>
      <c r="DP615" s="1551"/>
      <c r="DQ615" s="1551"/>
      <c r="DR615" s="1551">
        <f t="shared" si="16"/>
        <v>0</v>
      </c>
      <c r="DS615" s="1551"/>
      <c r="DT615" s="1551"/>
      <c r="DU615" s="1551"/>
      <c r="DV615" s="1551"/>
      <c r="DX615" s="1547" t="str">
        <f t="shared" si="17"/>
        <v/>
      </c>
      <c r="DY615" s="1548"/>
      <c r="DZ615" s="1548"/>
      <c r="EA615" s="1548"/>
      <c r="EB615" s="1549"/>
      <c r="EC615" s="1547" t="str">
        <f t="shared" si="18"/>
        <v/>
      </c>
      <c r="ED615" s="1548"/>
      <c r="EE615" s="1548"/>
      <c r="EF615" s="1548"/>
      <c r="EG615" s="1549"/>
      <c r="EH615" s="1547" t="str">
        <f t="shared" si="19"/>
        <v/>
      </c>
      <c r="EI615" s="1548"/>
      <c r="EJ615" s="1548"/>
      <c r="EK615" s="1548"/>
      <c r="EL615" s="1549"/>
      <c r="EM615" s="1547" t="str">
        <f t="shared" si="20"/>
        <v/>
      </c>
      <c r="EN615" s="1548"/>
      <c r="EO615" s="1548"/>
      <c r="EP615" s="1548"/>
      <c r="EQ615" s="1549"/>
      <c r="ER615" s="1547" t="str">
        <f t="shared" si="21"/>
        <v/>
      </c>
      <c r="ES615" s="1548"/>
      <c r="ET615" s="1548"/>
      <c r="EU615" s="1548"/>
      <c r="EV615" s="1549"/>
      <c r="EW615" s="1547" t="str">
        <f t="shared" si="22"/>
        <v/>
      </c>
      <c r="EX615" s="1548"/>
      <c r="EY615" s="1548"/>
      <c r="EZ615" s="1548"/>
      <c r="FA615" s="1549"/>
    </row>
    <row r="616" spans="1:157" ht="12.95" customHeight="1">
      <c r="AZ616" s="3"/>
      <c r="BA616" s="3"/>
      <c r="BB616" s="3"/>
      <c r="BC616" s="3"/>
      <c r="BD616" s="3"/>
      <c r="BE616" s="1547">
        <f t="shared" si="1"/>
        <v>0</v>
      </c>
      <c r="BF616" s="1549"/>
      <c r="BG616" s="1565">
        <f t="shared" si="2"/>
        <v>0</v>
      </c>
      <c r="BH616" s="1567"/>
      <c r="BI616" s="1547">
        <f t="shared" si="3"/>
        <v>0</v>
      </c>
      <c r="BJ616" s="1549"/>
      <c r="BK616" s="1565">
        <f t="shared" si="4"/>
        <v>0</v>
      </c>
      <c r="BL616" s="1567"/>
      <c r="BM616" s="3"/>
      <c r="BN616" s="1540">
        <f t="shared" si="5"/>
        <v>0</v>
      </c>
      <c r="BO616" s="1541"/>
      <c r="BP616" s="1541"/>
      <c r="BQ616" s="1541"/>
      <c r="BR616" s="1542"/>
      <c r="BS616" s="1550">
        <f t="shared" si="6"/>
        <v>0</v>
      </c>
      <c r="BT616" s="1550"/>
      <c r="BU616" s="1550"/>
      <c r="BV616" s="1550"/>
      <c r="BW616" s="1550"/>
      <c r="BX616" s="1550">
        <f t="shared" si="7"/>
        <v>0</v>
      </c>
      <c r="BY616" s="1550"/>
      <c r="BZ616" s="1550"/>
      <c r="CA616" s="1550"/>
      <c r="CB616" s="1550"/>
      <c r="CC616" s="1550">
        <f t="shared" si="8"/>
        <v>0</v>
      </c>
      <c r="CD616" s="1550"/>
      <c r="CE616" s="1550"/>
      <c r="CF616" s="1550"/>
      <c r="CG616" s="1550"/>
      <c r="CH616" s="1550">
        <f t="shared" si="9"/>
        <v>0</v>
      </c>
      <c r="CI616" s="1550"/>
      <c r="CJ616" s="1550"/>
      <c r="CK616" s="1550"/>
      <c r="CL616" s="1550"/>
      <c r="CM616" s="1550">
        <f t="shared" si="10"/>
        <v>0</v>
      </c>
      <c r="CN616" s="1550"/>
      <c r="CO616" s="1550"/>
      <c r="CP616" s="1550"/>
      <c r="CQ616" s="1550"/>
      <c r="CR616" s="6"/>
      <c r="CS616" s="1551">
        <f t="shared" si="11"/>
        <v>0</v>
      </c>
      <c r="CT616" s="1551"/>
      <c r="CU616" s="1551"/>
      <c r="CV616" s="1551"/>
      <c r="CW616" s="1551"/>
      <c r="CX616" s="1551">
        <f t="shared" si="12"/>
        <v>0</v>
      </c>
      <c r="CY616" s="1551"/>
      <c r="CZ616" s="1551"/>
      <c r="DA616" s="1551"/>
      <c r="DB616" s="1551"/>
      <c r="DC616" s="1551">
        <f t="shared" si="13"/>
        <v>0</v>
      </c>
      <c r="DD616" s="1551"/>
      <c r="DE616" s="1551"/>
      <c r="DF616" s="1551"/>
      <c r="DG616" s="1551"/>
      <c r="DH616" s="1551">
        <f t="shared" si="14"/>
        <v>0</v>
      </c>
      <c r="DI616" s="1551"/>
      <c r="DJ616" s="1551"/>
      <c r="DK616" s="1551"/>
      <c r="DL616" s="1551"/>
      <c r="DM616" s="1551">
        <f t="shared" si="15"/>
        <v>0</v>
      </c>
      <c r="DN616" s="1551"/>
      <c r="DO616" s="1551"/>
      <c r="DP616" s="1551"/>
      <c r="DQ616" s="1551"/>
      <c r="DR616" s="1551">
        <f t="shared" si="16"/>
        <v>0</v>
      </c>
      <c r="DS616" s="1551"/>
      <c r="DT616" s="1551"/>
      <c r="DU616" s="1551"/>
      <c r="DV616" s="1551"/>
      <c r="DX616" s="1547" t="str">
        <f t="shared" si="17"/>
        <v/>
      </c>
      <c r="DY616" s="1548"/>
      <c r="DZ616" s="1548"/>
      <c r="EA616" s="1548"/>
      <c r="EB616" s="1549"/>
      <c r="EC616" s="1547" t="str">
        <f t="shared" si="18"/>
        <v/>
      </c>
      <c r="ED616" s="1548"/>
      <c r="EE616" s="1548"/>
      <c r="EF616" s="1548"/>
      <c r="EG616" s="1549"/>
      <c r="EH616" s="1547" t="str">
        <f t="shared" si="19"/>
        <v/>
      </c>
      <c r="EI616" s="1548"/>
      <c r="EJ616" s="1548"/>
      <c r="EK616" s="1548"/>
      <c r="EL616" s="1549"/>
      <c r="EM616" s="1547" t="str">
        <f t="shared" si="20"/>
        <v/>
      </c>
      <c r="EN616" s="1548"/>
      <c r="EO616" s="1548"/>
      <c r="EP616" s="1548"/>
      <c r="EQ616" s="1549"/>
      <c r="ER616" s="1547" t="str">
        <f t="shared" si="21"/>
        <v/>
      </c>
      <c r="ES616" s="1548"/>
      <c r="ET616" s="1548"/>
      <c r="EU616" s="1548"/>
      <c r="EV616" s="1549"/>
      <c r="EW616" s="1547" t="str">
        <f t="shared" si="22"/>
        <v/>
      </c>
      <c r="EX616" s="1548"/>
      <c r="EY616" s="1548"/>
      <c r="EZ616" s="1548"/>
      <c r="FA616" s="1549"/>
    </row>
    <row r="617" spans="1:157" ht="12.95" customHeight="1">
      <c r="A617" s="1273" t="s">
        <v>553</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547">
        <f t="shared" si="1"/>
        <v>0</v>
      </c>
      <c r="BF617" s="1549"/>
      <c r="BG617" s="1565">
        <f t="shared" si="2"/>
        <v>0</v>
      </c>
      <c r="BH617" s="1567"/>
      <c r="BI617" s="1547">
        <f t="shared" si="3"/>
        <v>0</v>
      </c>
      <c r="BJ617" s="1549"/>
      <c r="BK617" s="1565">
        <f t="shared" si="4"/>
        <v>0</v>
      </c>
      <c r="BL617" s="1567"/>
      <c r="BM617" s="3"/>
      <c r="BN617" s="1540">
        <f t="shared" si="5"/>
        <v>0</v>
      </c>
      <c r="BO617" s="1541"/>
      <c r="BP617" s="1541"/>
      <c r="BQ617" s="1541"/>
      <c r="BR617" s="1542"/>
      <c r="BS617" s="1550">
        <f t="shared" si="6"/>
        <v>0</v>
      </c>
      <c r="BT617" s="1550"/>
      <c r="BU617" s="1550"/>
      <c r="BV617" s="1550"/>
      <c r="BW617" s="1550"/>
      <c r="BX617" s="1550">
        <f t="shared" si="7"/>
        <v>0</v>
      </c>
      <c r="BY617" s="1550"/>
      <c r="BZ617" s="1550"/>
      <c r="CA617" s="1550"/>
      <c r="CB617" s="1550"/>
      <c r="CC617" s="1550">
        <f t="shared" si="8"/>
        <v>0</v>
      </c>
      <c r="CD617" s="1550"/>
      <c r="CE617" s="1550"/>
      <c r="CF617" s="1550"/>
      <c r="CG617" s="1550"/>
      <c r="CH617" s="1550">
        <f t="shared" si="9"/>
        <v>0</v>
      </c>
      <c r="CI617" s="1550"/>
      <c r="CJ617" s="1550"/>
      <c r="CK617" s="1550"/>
      <c r="CL617" s="1550"/>
      <c r="CM617" s="1550">
        <f t="shared" si="10"/>
        <v>0</v>
      </c>
      <c r="CN617" s="1550"/>
      <c r="CO617" s="1550"/>
      <c r="CP617" s="1550"/>
      <c r="CQ617" s="1550"/>
      <c r="CR617" s="6"/>
      <c r="CS617" s="1551">
        <f t="shared" si="11"/>
        <v>0</v>
      </c>
      <c r="CT617" s="1551"/>
      <c r="CU617" s="1551"/>
      <c r="CV617" s="1551"/>
      <c r="CW617" s="1551"/>
      <c r="CX617" s="1551">
        <f t="shared" si="12"/>
        <v>0</v>
      </c>
      <c r="CY617" s="1551"/>
      <c r="CZ617" s="1551"/>
      <c r="DA617" s="1551"/>
      <c r="DB617" s="1551"/>
      <c r="DC617" s="1551">
        <f t="shared" si="13"/>
        <v>0</v>
      </c>
      <c r="DD617" s="1551"/>
      <c r="DE617" s="1551"/>
      <c r="DF617" s="1551"/>
      <c r="DG617" s="1551"/>
      <c r="DH617" s="1551">
        <f t="shared" si="14"/>
        <v>0</v>
      </c>
      <c r="DI617" s="1551"/>
      <c r="DJ617" s="1551"/>
      <c r="DK617" s="1551"/>
      <c r="DL617" s="1551"/>
      <c r="DM617" s="1551">
        <f t="shared" si="15"/>
        <v>0</v>
      </c>
      <c r="DN617" s="1551"/>
      <c r="DO617" s="1551"/>
      <c r="DP617" s="1551"/>
      <c r="DQ617" s="1551"/>
      <c r="DR617" s="1551">
        <f t="shared" si="16"/>
        <v>0</v>
      </c>
      <c r="DS617" s="1551"/>
      <c r="DT617" s="1551"/>
      <c r="DU617" s="1551"/>
      <c r="DV617" s="1551"/>
      <c r="DX617" s="1547" t="str">
        <f t="shared" si="17"/>
        <v/>
      </c>
      <c r="DY617" s="1548"/>
      <c r="DZ617" s="1548"/>
      <c r="EA617" s="1548"/>
      <c r="EB617" s="1549"/>
      <c r="EC617" s="1547" t="str">
        <f t="shared" si="18"/>
        <v/>
      </c>
      <c r="ED617" s="1548"/>
      <c r="EE617" s="1548"/>
      <c r="EF617" s="1548"/>
      <c r="EG617" s="1549"/>
      <c r="EH617" s="1547" t="str">
        <f t="shared" si="19"/>
        <v/>
      </c>
      <c r="EI617" s="1548"/>
      <c r="EJ617" s="1548"/>
      <c r="EK617" s="1548"/>
      <c r="EL617" s="1549"/>
      <c r="EM617" s="1547" t="str">
        <f t="shared" si="20"/>
        <v/>
      </c>
      <c r="EN617" s="1548"/>
      <c r="EO617" s="1548"/>
      <c r="EP617" s="1548"/>
      <c r="EQ617" s="1549"/>
      <c r="ER617" s="1547" t="str">
        <f t="shared" si="21"/>
        <v/>
      </c>
      <c r="ES617" s="1548"/>
      <c r="ET617" s="1548"/>
      <c r="EU617" s="1548"/>
      <c r="EV617" s="1549"/>
      <c r="EW617" s="1547" t="str">
        <f t="shared" si="22"/>
        <v/>
      </c>
      <c r="EX617" s="1548"/>
      <c r="EY617" s="1548"/>
      <c r="EZ617" s="1548"/>
      <c r="FA617" s="1549"/>
    </row>
    <row r="618" spans="1:157" ht="12.95"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547">
        <f t="shared" si="1"/>
        <v>0</v>
      </c>
      <c r="BF618" s="1549"/>
      <c r="BG618" s="1565">
        <f t="shared" si="2"/>
        <v>0</v>
      </c>
      <c r="BH618" s="1567"/>
      <c r="BI618" s="1547">
        <f t="shared" si="3"/>
        <v>0</v>
      </c>
      <c r="BJ618" s="1549"/>
      <c r="BK618" s="1565">
        <f t="shared" si="4"/>
        <v>0</v>
      </c>
      <c r="BL618" s="1567"/>
      <c r="BM618" s="3"/>
      <c r="BN618" s="1540">
        <f t="shared" si="5"/>
        <v>0</v>
      </c>
      <c r="BO618" s="1541"/>
      <c r="BP618" s="1541"/>
      <c r="BQ618" s="1541"/>
      <c r="BR618" s="1542"/>
      <c r="BS618" s="1550">
        <f t="shared" si="6"/>
        <v>0</v>
      </c>
      <c r="BT618" s="1550"/>
      <c r="BU618" s="1550"/>
      <c r="BV618" s="1550"/>
      <c r="BW618" s="1550"/>
      <c r="BX618" s="1550">
        <f t="shared" si="7"/>
        <v>0</v>
      </c>
      <c r="BY618" s="1550"/>
      <c r="BZ618" s="1550"/>
      <c r="CA618" s="1550"/>
      <c r="CB618" s="1550"/>
      <c r="CC618" s="1550">
        <f t="shared" si="8"/>
        <v>0</v>
      </c>
      <c r="CD618" s="1550"/>
      <c r="CE618" s="1550"/>
      <c r="CF618" s="1550"/>
      <c r="CG618" s="1550"/>
      <c r="CH618" s="1550">
        <f t="shared" si="9"/>
        <v>0</v>
      </c>
      <c r="CI618" s="1550"/>
      <c r="CJ618" s="1550"/>
      <c r="CK618" s="1550"/>
      <c r="CL618" s="1550"/>
      <c r="CM618" s="1550">
        <f t="shared" si="10"/>
        <v>0</v>
      </c>
      <c r="CN618" s="1550"/>
      <c r="CO618" s="1550"/>
      <c r="CP618" s="1550"/>
      <c r="CQ618" s="1550"/>
      <c r="CR618" s="6"/>
      <c r="CS618" s="1551">
        <f t="shared" si="11"/>
        <v>0</v>
      </c>
      <c r="CT618" s="1551"/>
      <c r="CU618" s="1551"/>
      <c r="CV618" s="1551"/>
      <c r="CW618" s="1551"/>
      <c r="CX618" s="1551">
        <f t="shared" si="12"/>
        <v>0</v>
      </c>
      <c r="CY618" s="1551"/>
      <c r="CZ618" s="1551"/>
      <c r="DA618" s="1551"/>
      <c r="DB618" s="1551"/>
      <c r="DC618" s="1551">
        <f t="shared" si="13"/>
        <v>0</v>
      </c>
      <c r="DD618" s="1551"/>
      <c r="DE618" s="1551"/>
      <c r="DF618" s="1551"/>
      <c r="DG618" s="1551"/>
      <c r="DH618" s="1551">
        <f t="shared" si="14"/>
        <v>0</v>
      </c>
      <c r="DI618" s="1551"/>
      <c r="DJ618" s="1551"/>
      <c r="DK618" s="1551"/>
      <c r="DL618" s="1551"/>
      <c r="DM618" s="1551">
        <f t="shared" si="15"/>
        <v>0</v>
      </c>
      <c r="DN618" s="1551"/>
      <c r="DO618" s="1551"/>
      <c r="DP618" s="1551"/>
      <c r="DQ618" s="1551"/>
      <c r="DR618" s="1551">
        <f t="shared" si="16"/>
        <v>0</v>
      </c>
      <c r="DS618" s="1551"/>
      <c r="DT618" s="1551"/>
      <c r="DU618" s="1551"/>
      <c r="DV618" s="1551"/>
      <c r="DX618" s="1547" t="str">
        <f t="shared" si="17"/>
        <v/>
      </c>
      <c r="DY618" s="1548"/>
      <c r="DZ618" s="1548"/>
      <c r="EA618" s="1548"/>
      <c r="EB618" s="1549"/>
      <c r="EC618" s="1547" t="str">
        <f t="shared" si="18"/>
        <v/>
      </c>
      <c r="ED618" s="1548"/>
      <c r="EE618" s="1548"/>
      <c r="EF618" s="1548"/>
      <c r="EG618" s="1549"/>
      <c r="EH618" s="1547" t="str">
        <f t="shared" si="19"/>
        <v/>
      </c>
      <c r="EI618" s="1548"/>
      <c r="EJ618" s="1548"/>
      <c r="EK618" s="1548"/>
      <c r="EL618" s="1549"/>
      <c r="EM618" s="1547" t="str">
        <f t="shared" si="20"/>
        <v/>
      </c>
      <c r="EN618" s="1548"/>
      <c r="EO618" s="1548"/>
      <c r="EP618" s="1548"/>
      <c r="EQ618" s="1549"/>
      <c r="ER618" s="1547" t="str">
        <f t="shared" si="21"/>
        <v/>
      </c>
      <c r="ES618" s="1548"/>
      <c r="ET618" s="1548"/>
      <c r="EU618" s="1548"/>
      <c r="EV618" s="1549"/>
      <c r="EW618" s="1547" t="str">
        <f t="shared" si="22"/>
        <v/>
      </c>
      <c r="EX618" s="1548"/>
      <c r="EY618" s="1548"/>
      <c r="EZ618" s="1548"/>
      <c r="FA618" s="1549"/>
    </row>
    <row r="619" spans="1:157" ht="12.95" customHeight="1">
      <c r="AZ619" s="3"/>
      <c r="BA619" s="3"/>
      <c r="BB619" s="3"/>
      <c r="BC619" s="3"/>
      <c r="BD619" s="3"/>
      <c r="BE619" s="1547">
        <f t="shared" si="1"/>
        <v>0</v>
      </c>
      <c r="BF619" s="1549"/>
      <c r="BG619" s="1565">
        <f t="shared" si="2"/>
        <v>0</v>
      </c>
      <c r="BH619" s="1567"/>
      <c r="BI619" s="1547">
        <f t="shared" si="3"/>
        <v>0</v>
      </c>
      <c r="BJ619" s="1549"/>
      <c r="BK619" s="1565">
        <f t="shared" si="4"/>
        <v>0</v>
      </c>
      <c r="BL619" s="1567"/>
      <c r="BM619" s="3"/>
      <c r="BN619" s="1540">
        <f t="shared" si="5"/>
        <v>0</v>
      </c>
      <c r="BO619" s="1541"/>
      <c r="BP619" s="1541"/>
      <c r="BQ619" s="1541"/>
      <c r="BR619" s="1542"/>
      <c r="BS619" s="1550">
        <f t="shared" si="6"/>
        <v>0</v>
      </c>
      <c r="BT619" s="1550"/>
      <c r="BU619" s="1550"/>
      <c r="BV619" s="1550"/>
      <c r="BW619" s="1550"/>
      <c r="BX619" s="1550">
        <f t="shared" si="7"/>
        <v>0</v>
      </c>
      <c r="BY619" s="1550"/>
      <c r="BZ619" s="1550"/>
      <c r="CA619" s="1550"/>
      <c r="CB619" s="1550"/>
      <c r="CC619" s="1550">
        <f t="shared" si="8"/>
        <v>0</v>
      </c>
      <c r="CD619" s="1550"/>
      <c r="CE619" s="1550"/>
      <c r="CF619" s="1550"/>
      <c r="CG619" s="1550"/>
      <c r="CH619" s="1550">
        <f t="shared" si="9"/>
        <v>0</v>
      </c>
      <c r="CI619" s="1550"/>
      <c r="CJ619" s="1550"/>
      <c r="CK619" s="1550"/>
      <c r="CL619" s="1550"/>
      <c r="CM619" s="1550">
        <f t="shared" si="10"/>
        <v>0</v>
      </c>
      <c r="CN619" s="1550"/>
      <c r="CO619" s="1550"/>
      <c r="CP619" s="1550"/>
      <c r="CQ619" s="1550"/>
      <c r="CR619" s="6"/>
      <c r="CS619" s="1551">
        <f t="shared" si="11"/>
        <v>0</v>
      </c>
      <c r="CT619" s="1551"/>
      <c r="CU619" s="1551"/>
      <c r="CV619" s="1551"/>
      <c r="CW619" s="1551"/>
      <c r="CX619" s="1551">
        <f t="shared" si="12"/>
        <v>0</v>
      </c>
      <c r="CY619" s="1551"/>
      <c r="CZ619" s="1551"/>
      <c r="DA619" s="1551"/>
      <c r="DB619" s="1551"/>
      <c r="DC619" s="1551">
        <f t="shared" si="13"/>
        <v>0</v>
      </c>
      <c r="DD619" s="1551"/>
      <c r="DE619" s="1551"/>
      <c r="DF619" s="1551"/>
      <c r="DG619" s="1551"/>
      <c r="DH619" s="1551">
        <f t="shared" si="14"/>
        <v>0</v>
      </c>
      <c r="DI619" s="1551"/>
      <c r="DJ619" s="1551"/>
      <c r="DK619" s="1551"/>
      <c r="DL619" s="1551"/>
      <c r="DM619" s="1551">
        <f t="shared" si="15"/>
        <v>0</v>
      </c>
      <c r="DN619" s="1551"/>
      <c r="DO619" s="1551"/>
      <c r="DP619" s="1551"/>
      <c r="DQ619" s="1551"/>
      <c r="DR619" s="1551">
        <f t="shared" si="16"/>
        <v>0</v>
      </c>
      <c r="DS619" s="1551"/>
      <c r="DT619" s="1551"/>
      <c r="DU619" s="1551"/>
      <c r="DV619" s="1551"/>
      <c r="DX619" s="1547" t="str">
        <f t="shared" si="17"/>
        <v/>
      </c>
      <c r="DY619" s="1548"/>
      <c r="DZ619" s="1548"/>
      <c r="EA619" s="1548"/>
      <c r="EB619" s="1549"/>
      <c r="EC619" s="1547" t="str">
        <f t="shared" si="18"/>
        <v/>
      </c>
      <c r="ED619" s="1548"/>
      <c r="EE619" s="1548"/>
      <c r="EF619" s="1548"/>
      <c r="EG619" s="1549"/>
      <c r="EH619" s="1547" t="str">
        <f t="shared" si="19"/>
        <v/>
      </c>
      <c r="EI619" s="1548"/>
      <c r="EJ619" s="1548"/>
      <c r="EK619" s="1548"/>
      <c r="EL619" s="1549"/>
      <c r="EM619" s="1547" t="str">
        <f t="shared" si="20"/>
        <v/>
      </c>
      <c r="EN619" s="1548"/>
      <c r="EO619" s="1548"/>
      <c r="EP619" s="1548"/>
      <c r="EQ619" s="1549"/>
      <c r="ER619" s="1547" t="str">
        <f t="shared" si="21"/>
        <v/>
      </c>
      <c r="ES619" s="1548"/>
      <c r="ET619" s="1548"/>
      <c r="EU619" s="1548"/>
      <c r="EV619" s="1549"/>
      <c r="EW619" s="1547" t="str">
        <f t="shared" si="22"/>
        <v/>
      </c>
      <c r="EX619" s="1548"/>
      <c r="EY619" s="1548"/>
      <c r="EZ619" s="1548"/>
      <c r="FA619" s="1549"/>
    </row>
    <row r="620" spans="1:157" ht="12.95" customHeight="1">
      <c r="A620" s="2" t="s">
        <v>320</v>
      </c>
      <c r="B620" s="2"/>
      <c r="C620" s="2" t="s">
        <v>21</v>
      </c>
      <c r="AZ620" s="3"/>
      <c r="BA620" s="3"/>
      <c r="BB620" s="3"/>
      <c r="BC620" s="3"/>
      <c r="BD620" s="3"/>
      <c r="BE620" s="1547">
        <f t="shared" si="1"/>
        <v>0</v>
      </c>
      <c r="BF620" s="1549"/>
      <c r="BG620" s="1565">
        <f t="shared" si="2"/>
        <v>0</v>
      </c>
      <c r="BH620" s="1567"/>
      <c r="BI620" s="1547">
        <f t="shared" si="3"/>
        <v>0</v>
      </c>
      <c r="BJ620" s="1549"/>
      <c r="BK620" s="1565">
        <f t="shared" si="4"/>
        <v>0</v>
      </c>
      <c r="BL620" s="1567"/>
      <c r="BM620" s="3"/>
      <c r="BN620" s="1540">
        <f t="shared" si="5"/>
        <v>0</v>
      </c>
      <c r="BO620" s="1541"/>
      <c r="BP620" s="1541"/>
      <c r="BQ620" s="1541"/>
      <c r="BR620" s="1542"/>
      <c r="BS620" s="1550">
        <f t="shared" si="6"/>
        <v>0</v>
      </c>
      <c r="BT620" s="1550"/>
      <c r="BU620" s="1550"/>
      <c r="BV620" s="1550"/>
      <c r="BW620" s="1550"/>
      <c r="BX620" s="1550">
        <f t="shared" si="7"/>
        <v>0</v>
      </c>
      <c r="BY620" s="1550"/>
      <c r="BZ620" s="1550"/>
      <c r="CA620" s="1550"/>
      <c r="CB620" s="1550"/>
      <c r="CC620" s="1550">
        <f t="shared" si="8"/>
        <v>0</v>
      </c>
      <c r="CD620" s="1550"/>
      <c r="CE620" s="1550"/>
      <c r="CF620" s="1550"/>
      <c r="CG620" s="1550"/>
      <c r="CH620" s="1550">
        <f t="shared" si="9"/>
        <v>0</v>
      </c>
      <c r="CI620" s="1550"/>
      <c r="CJ620" s="1550"/>
      <c r="CK620" s="1550"/>
      <c r="CL620" s="1550"/>
      <c r="CM620" s="1550">
        <f t="shared" si="10"/>
        <v>0</v>
      </c>
      <c r="CN620" s="1550"/>
      <c r="CO620" s="1550"/>
      <c r="CP620" s="1550"/>
      <c r="CQ620" s="1550"/>
      <c r="CR620" s="6"/>
      <c r="CS620" s="1551">
        <f t="shared" si="11"/>
        <v>0</v>
      </c>
      <c r="CT620" s="1551"/>
      <c r="CU620" s="1551"/>
      <c r="CV620" s="1551"/>
      <c r="CW620" s="1551"/>
      <c r="CX620" s="1551">
        <f t="shared" si="12"/>
        <v>0</v>
      </c>
      <c r="CY620" s="1551"/>
      <c r="CZ620" s="1551"/>
      <c r="DA620" s="1551"/>
      <c r="DB620" s="1551"/>
      <c r="DC620" s="1551">
        <f t="shared" si="13"/>
        <v>0</v>
      </c>
      <c r="DD620" s="1551"/>
      <c r="DE620" s="1551"/>
      <c r="DF620" s="1551"/>
      <c r="DG620" s="1551"/>
      <c r="DH620" s="1551">
        <f t="shared" si="14"/>
        <v>0</v>
      </c>
      <c r="DI620" s="1551"/>
      <c r="DJ620" s="1551"/>
      <c r="DK620" s="1551"/>
      <c r="DL620" s="1551"/>
      <c r="DM620" s="1551">
        <f t="shared" si="15"/>
        <v>0</v>
      </c>
      <c r="DN620" s="1551"/>
      <c r="DO620" s="1551"/>
      <c r="DP620" s="1551"/>
      <c r="DQ620" s="1551"/>
      <c r="DR620" s="1551">
        <f t="shared" si="16"/>
        <v>0</v>
      </c>
      <c r="DS620" s="1551"/>
      <c r="DT620" s="1551"/>
      <c r="DU620" s="1551"/>
      <c r="DV620" s="1551"/>
      <c r="DX620" s="1547" t="str">
        <f t="shared" si="17"/>
        <v/>
      </c>
      <c r="DY620" s="1548"/>
      <c r="DZ620" s="1548"/>
      <c r="EA620" s="1548"/>
      <c r="EB620" s="1549"/>
      <c r="EC620" s="1547" t="str">
        <f t="shared" si="18"/>
        <v/>
      </c>
      <c r="ED620" s="1548"/>
      <c r="EE620" s="1548"/>
      <c r="EF620" s="1548"/>
      <c r="EG620" s="1549"/>
      <c r="EH620" s="1547" t="str">
        <f t="shared" si="19"/>
        <v/>
      </c>
      <c r="EI620" s="1548"/>
      <c r="EJ620" s="1548"/>
      <c r="EK620" s="1548"/>
      <c r="EL620" s="1549"/>
      <c r="EM620" s="1547" t="str">
        <f t="shared" si="20"/>
        <v/>
      </c>
      <c r="EN620" s="1548"/>
      <c r="EO620" s="1548"/>
      <c r="EP620" s="1548"/>
      <c r="EQ620" s="1549"/>
      <c r="ER620" s="1547" t="str">
        <f t="shared" si="21"/>
        <v/>
      </c>
      <c r="ES620" s="1548"/>
      <c r="ET620" s="1548"/>
      <c r="EU620" s="1548"/>
      <c r="EV620" s="1549"/>
      <c r="EW620" s="1547" t="str">
        <f t="shared" si="22"/>
        <v/>
      </c>
      <c r="EX620" s="1548"/>
      <c r="EY620" s="1548"/>
      <c r="EZ620" s="1548"/>
      <c r="FA620" s="1549"/>
    </row>
    <row r="621" spans="1:157" ht="12.95" customHeight="1">
      <c r="A621" s="2"/>
      <c r="B621" s="2"/>
      <c r="C621" s="2"/>
      <c r="AZ621" s="3"/>
      <c r="BA621" s="3"/>
      <c r="BB621" s="3"/>
      <c r="BC621" s="3"/>
      <c r="BD621" s="3"/>
      <c r="BE621" s="1547">
        <f t="shared" si="1"/>
        <v>0</v>
      </c>
      <c r="BF621" s="1549"/>
      <c r="BG621" s="1565">
        <f t="shared" si="2"/>
        <v>0</v>
      </c>
      <c r="BH621" s="1567"/>
      <c r="BI621" s="1547">
        <f t="shared" si="3"/>
        <v>0</v>
      </c>
      <c r="BJ621" s="1549"/>
      <c r="BK621" s="1565">
        <f t="shared" si="4"/>
        <v>0</v>
      </c>
      <c r="BL621" s="1567"/>
      <c r="BM621" s="3"/>
      <c r="BN621" s="1540">
        <f t="shared" si="5"/>
        <v>0</v>
      </c>
      <c r="BO621" s="1541"/>
      <c r="BP621" s="1541"/>
      <c r="BQ621" s="1541"/>
      <c r="BR621" s="1542"/>
      <c r="BS621" s="1550">
        <f t="shared" si="6"/>
        <v>0</v>
      </c>
      <c r="BT621" s="1550"/>
      <c r="BU621" s="1550"/>
      <c r="BV621" s="1550"/>
      <c r="BW621" s="1550"/>
      <c r="BX621" s="1550">
        <f t="shared" si="7"/>
        <v>0</v>
      </c>
      <c r="BY621" s="1550"/>
      <c r="BZ621" s="1550"/>
      <c r="CA621" s="1550"/>
      <c r="CB621" s="1550"/>
      <c r="CC621" s="1550">
        <f t="shared" si="8"/>
        <v>0</v>
      </c>
      <c r="CD621" s="1550"/>
      <c r="CE621" s="1550"/>
      <c r="CF621" s="1550"/>
      <c r="CG621" s="1550"/>
      <c r="CH621" s="1550">
        <f t="shared" si="9"/>
        <v>0</v>
      </c>
      <c r="CI621" s="1550"/>
      <c r="CJ621" s="1550"/>
      <c r="CK621" s="1550"/>
      <c r="CL621" s="1550"/>
      <c r="CM621" s="1550">
        <f t="shared" si="10"/>
        <v>0</v>
      </c>
      <c r="CN621" s="1550"/>
      <c r="CO621" s="1550"/>
      <c r="CP621" s="1550"/>
      <c r="CQ621" s="1550"/>
      <c r="CR621" s="6"/>
      <c r="CS621" s="1551">
        <f t="shared" si="11"/>
        <v>0</v>
      </c>
      <c r="CT621" s="1551"/>
      <c r="CU621" s="1551"/>
      <c r="CV621" s="1551"/>
      <c r="CW621" s="1551"/>
      <c r="CX621" s="1551">
        <f t="shared" si="12"/>
        <v>0</v>
      </c>
      <c r="CY621" s="1551"/>
      <c r="CZ621" s="1551"/>
      <c r="DA621" s="1551"/>
      <c r="DB621" s="1551"/>
      <c r="DC621" s="1551">
        <f t="shared" si="13"/>
        <v>0</v>
      </c>
      <c r="DD621" s="1551"/>
      <c r="DE621" s="1551"/>
      <c r="DF621" s="1551"/>
      <c r="DG621" s="1551"/>
      <c r="DH621" s="1551">
        <f t="shared" si="14"/>
        <v>0</v>
      </c>
      <c r="DI621" s="1551"/>
      <c r="DJ621" s="1551"/>
      <c r="DK621" s="1551"/>
      <c r="DL621" s="1551"/>
      <c r="DM621" s="1551">
        <f t="shared" si="15"/>
        <v>0</v>
      </c>
      <c r="DN621" s="1551"/>
      <c r="DO621" s="1551"/>
      <c r="DP621" s="1551"/>
      <c r="DQ621" s="1551"/>
      <c r="DR621" s="1551">
        <f t="shared" si="16"/>
        <v>0</v>
      </c>
      <c r="DS621" s="1551"/>
      <c r="DT621" s="1551"/>
      <c r="DU621" s="1551"/>
      <c r="DV621" s="1551"/>
      <c r="DX621" s="1547" t="str">
        <f t="shared" si="17"/>
        <v/>
      </c>
      <c r="DY621" s="1548"/>
      <c r="DZ621" s="1548"/>
      <c r="EA621" s="1548"/>
      <c r="EB621" s="1549"/>
      <c r="EC621" s="1547" t="str">
        <f t="shared" si="18"/>
        <v/>
      </c>
      <c r="ED621" s="1548"/>
      <c r="EE621" s="1548"/>
      <c r="EF621" s="1548"/>
      <c r="EG621" s="1549"/>
      <c r="EH621" s="1547" t="str">
        <f t="shared" si="19"/>
        <v/>
      </c>
      <c r="EI621" s="1548"/>
      <c r="EJ621" s="1548"/>
      <c r="EK621" s="1548"/>
      <c r="EL621" s="1549"/>
      <c r="EM621" s="1547" t="str">
        <f t="shared" si="20"/>
        <v/>
      </c>
      <c r="EN621" s="1548"/>
      <c r="EO621" s="1548"/>
      <c r="EP621" s="1548"/>
      <c r="EQ621" s="1549"/>
      <c r="ER621" s="1547" t="str">
        <f t="shared" si="21"/>
        <v/>
      </c>
      <c r="ES621" s="1548"/>
      <c r="ET621" s="1548"/>
      <c r="EU621" s="1548"/>
      <c r="EV621" s="1549"/>
      <c r="EW621" s="1547" t="str">
        <f t="shared" si="22"/>
        <v/>
      </c>
      <c r="EX621" s="1548"/>
      <c r="EY621" s="1548"/>
      <c r="EZ621" s="1548"/>
      <c r="FA621" s="1549"/>
    </row>
    <row r="622" spans="1:157" ht="12.95" customHeight="1">
      <c r="C622" s="2" t="s">
        <v>2421</v>
      </c>
      <c r="AZ622" s="3"/>
      <c r="BA622" s="3"/>
      <c r="BB622" s="3"/>
      <c r="BC622" s="3"/>
      <c r="BD622" s="3"/>
      <c r="BE622" s="1547">
        <f t="shared" si="1"/>
        <v>0</v>
      </c>
      <c r="BF622" s="1549"/>
      <c r="BG622" s="1565">
        <f t="shared" si="2"/>
        <v>0</v>
      </c>
      <c r="BH622" s="1567"/>
      <c r="BI622" s="1547">
        <f t="shared" si="3"/>
        <v>0</v>
      </c>
      <c r="BJ622" s="1549"/>
      <c r="BK622" s="1565">
        <f t="shared" si="4"/>
        <v>0</v>
      </c>
      <c r="BL622" s="1567"/>
      <c r="BM622" s="3"/>
      <c r="BN622" s="1540">
        <f t="shared" si="5"/>
        <v>0</v>
      </c>
      <c r="BO622" s="1541"/>
      <c r="BP622" s="1541"/>
      <c r="BQ622" s="1541"/>
      <c r="BR622" s="1542"/>
      <c r="BS622" s="1550">
        <f t="shared" si="6"/>
        <v>0</v>
      </c>
      <c r="BT622" s="1550"/>
      <c r="BU622" s="1550"/>
      <c r="BV622" s="1550"/>
      <c r="BW622" s="1550"/>
      <c r="BX622" s="1550">
        <f t="shared" si="7"/>
        <v>0</v>
      </c>
      <c r="BY622" s="1550"/>
      <c r="BZ622" s="1550"/>
      <c r="CA622" s="1550"/>
      <c r="CB622" s="1550"/>
      <c r="CC622" s="1550">
        <f t="shared" si="8"/>
        <v>0</v>
      </c>
      <c r="CD622" s="1550"/>
      <c r="CE622" s="1550"/>
      <c r="CF622" s="1550"/>
      <c r="CG622" s="1550"/>
      <c r="CH622" s="1550">
        <f t="shared" si="9"/>
        <v>0</v>
      </c>
      <c r="CI622" s="1550"/>
      <c r="CJ622" s="1550"/>
      <c r="CK622" s="1550"/>
      <c r="CL622" s="1550"/>
      <c r="CM622" s="1550">
        <f t="shared" si="10"/>
        <v>0</v>
      </c>
      <c r="CN622" s="1550"/>
      <c r="CO622" s="1550"/>
      <c r="CP622" s="1550"/>
      <c r="CQ622" s="1550"/>
      <c r="CR622" s="6"/>
      <c r="CS622" s="1551">
        <f t="shared" si="11"/>
        <v>0</v>
      </c>
      <c r="CT622" s="1551"/>
      <c r="CU622" s="1551"/>
      <c r="CV622" s="1551"/>
      <c r="CW622" s="1551"/>
      <c r="CX622" s="1551">
        <f t="shared" si="12"/>
        <v>0</v>
      </c>
      <c r="CY622" s="1551"/>
      <c r="CZ622" s="1551"/>
      <c r="DA622" s="1551"/>
      <c r="DB622" s="1551"/>
      <c r="DC622" s="1551">
        <f t="shared" si="13"/>
        <v>0</v>
      </c>
      <c r="DD622" s="1551"/>
      <c r="DE622" s="1551"/>
      <c r="DF622" s="1551"/>
      <c r="DG622" s="1551"/>
      <c r="DH622" s="1551">
        <f t="shared" si="14"/>
        <v>0</v>
      </c>
      <c r="DI622" s="1551"/>
      <c r="DJ622" s="1551"/>
      <c r="DK622" s="1551"/>
      <c r="DL622" s="1551"/>
      <c r="DM622" s="1551">
        <f t="shared" si="15"/>
        <v>0</v>
      </c>
      <c r="DN622" s="1551"/>
      <c r="DO622" s="1551"/>
      <c r="DP622" s="1551"/>
      <c r="DQ622" s="1551"/>
      <c r="DR622" s="1551">
        <f t="shared" si="16"/>
        <v>0</v>
      </c>
      <c r="DS622" s="1551"/>
      <c r="DT622" s="1551"/>
      <c r="DU622" s="1551"/>
      <c r="DV622" s="1551"/>
      <c r="DX622" s="1547" t="str">
        <f t="shared" si="17"/>
        <v/>
      </c>
      <c r="DY622" s="1548"/>
      <c r="DZ622" s="1548"/>
      <c r="EA622" s="1548"/>
      <c r="EB622" s="1549"/>
      <c r="EC622" s="1547" t="str">
        <f t="shared" si="18"/>
        <v/>
      </c>
      <c r="ED622" s="1548"/>
      <c r="EE622" s="1548"/>
      <c r="EF622" s="1548"/>
      <c r="EG622" s="1549"/>
      <c r="EH622" s="1547" t="str">
        <f t="shared" si="19"/>
        <v/>
      </c>
      <c r="EI622" s="1548"/>
      <c r="EJ622" s="1548"/>
      <c r="EK622" s="1548"/>
      <c r="EL622" s="1549"/>
      <c r="EM622" s="1547" t="str">
        <f t="shared" si="20"/>
        <v/>
      </c>
      <c r="EN622" s="1548"/>
      <c r="EO622" s="1548"/>
      <c r="EP622" s="1548"/>
      <c r="EQ622" s="1549"/>
      <c r="ER622" s="1547" t="str">
        <f t="shared" si="21"/>
        <v/>
      </c>
      <c r="ES622" s="1548"/>
      <c r="ET622" s="1548"/>
      <c r="EU622" s="1548"/>
      <c r="EV622" s="1549"/>
      <c r="EW622" s="1547" t="str">
        <f t="shared" si="22"/>
        <v/>
      </c>
      <c r="EX622" s="1548"/>
      <c r="EY622" s="1548"/>
      <c r="EZ622" s="1548"/>
      <c r="FA622" s="1549"/>
    </row>
    <row r="623" spans="1:157" ht="12.95" customHeight="1">
      <c r="B623" s="546"/>
      <c r="C623" s="2"/>
      <c r="AU623" s="3"/>
      <c r="AZ623" s="3"/>
      <c r="BA623" s="3"/>
      <c r="BB623" s="3"/>
      <c r="BC623" s="3"/>
      <c r="BD623" s="3"/>
      <c r="BE623" s="1547">
        <f t="shared" si="1"/>
        <v>0</v>
      </c>
      <c r="BF623" s="1549"/>
      <c r="BG623" s="1565">
        <f t="shared" si="2"/>
        <v>0</v>
      </c>
      <c r="BH623" s="1567"/>
      <c r="BI623" s="1547">
        <f t="shared" si="3"/>
        <v>0</v>
      </c>
      <c r="BJ623" s="1549"/>
      <c r="BK623" s="1565">
        <f t="shared" si="4"/>
        <v>0</v>
      </c>
      <c r="BL623" s="1567"/>
      <c r="BM623" s="3"/>
      <c r="BN623" s="1540">
        <f t="shared" si="5"/>
        <v>0</v>
      </c>
      <c r="BO623" s="1541"/>
      <c r="BP623" s="1541"/>
      <c r="BQ623" s="1541"/>
      <c r="BR623" s="1542"/>
      <c r="BS623" s="1550">
        <f t="shared" si="6"/>
        <v>0</v>
      </c>
      <c r="BT623" s="1550"/>
      <c r="BU623" s="1550"/>
      <c r="BV623" s="1550"/>
      <c r="BW623" s="1550"/>
      <c r="BX623" s="1550">
        <f t="shared" si="7"/>
        <v>0</v>
      </c>
      <c r="BY623" s="1550"/>
      <c r="BZ623" s="1550"/>
      <c r="CA623" s="1550"/>
      <c r="CB623" s="1550"/>
      <c r="CC623" s="1550">
        <f t="shared" si="8"/>
        <v>0</v>
      </c>
      <c r="CD623" s="1550"/>
      <c r="CE623" s="1550"/>
      <c r="CF623" s="1550"/>
      <c r="CG623" s="1550"/>
      <c r="CH623" s="1550">
        <f t="shared" si="9"/>
        <v>0</v>
      </c>
      <c r="CI623" s="1550"/>
      <c r="CJ623" s="1550"/>
      <c r="CK623" s="1550"/>
      <c r="CL623" s="1550"/>
      <c r="CM623" s="1550">
        <f t="shared" si="10"/>
        <v>0</v>
      </c>
      <c r="CN623" s="1550"/>
      <c r="CO623" s="1550"/>
      <c r="CP623" s="1550"/>
      <c r="CQ623" s="1550"/>
      <c r="CR623" s="6"/>
      <c r="CS623" s="1551">
        <f t="shared" si="11"/>
        <v>0</v>
      </c>
      <c r="CT623" s="1551"/>
      <c r="CU623" s="1551"/>
      <c r="CV623" s="1551"/>
      <c r="CW623" s="1551"/>
      <c r="CX623" s="1551">
        <f t="shared" si="12"/>
        <v>0</v>
      </c>
      <c r="CY623" s="1551"/>
      <c r="CZ623" s="1551"/>
      <c r="DA623" s="1551"/>
      <c r="DB623" s="1551"/>
      <c r="DC623" s="1551">
        <f t="shared" si="13"/>
        <v>0</v>
      </c>
      <c r="DD623" s="1551"/>
      <c r="DE623" s="1551"/>
      <c r="DF623" s="1551"/>
      <c r="DG623" s="1551"/>
      <c r="DH623" s="1551">
        <f t="shared" si="14"/>
        <v>0</v>
      </c>
      <c r="DI623" s="1551"/>
      <c r="DJ623" s="1551"/>
      <c r="DK623" s="1551"/>
      <c r="DL623" s="1551"/>
      <c r="DM623" s="1551">
        <f t="shared" si="15"/>
        <v>0</v>
      </c>
      <c r="DN623" s="1551"/>
      <c r="DO623" s="1551"/>
      <c r="DP623" s="1551"/>
      <c r="DQ623" s="1551"/>
      <c r="DR623" s="1551">
        <f t="shared" si="16"/>
        <v>0</v>
      </c>
      <c r="DS623" s="1551"/>
      <c r="DT623" s="1551"/>
      <c r="DU623" s="1551"/>
      <c r="DV623" s="1551"/>
      <c r="DX623" s="1547" t="str">
        <f t="shared" si="17"/>
        <v/>
      </c>
      <c r="DY623" s="1548"/>
      <c r="DZ623" s="1548"/>
      <c r="EA623" s="1548"/>
      <c r="EB623" s="1549"/>
      <c r="EC623" s="1547" t="str">
        <f t="shared" si="18"/>
        <v/>
      </c>
      <c r="ED623" s="1548"/>
      <c r="EE623" s="1548"/>
      <c r="EF623" s="1548"/>
      <c r="EG623" s="1549"/>
      <c r="EH623" s="1547" t="str">
        <f t="shared" si="19"/>
        <v/>
      </c>
      <c r="EI623" s="1548"/>
      <c r="EJ623" s="1548"/>
      <c r="EK623" s="1548"/>
      <c r="EL623" s="1549"/>
      <c r="EM623" s="1547" t="str">
        <f t="shared" si="20"/>
        <v/>
      </c>
      <c r="EN623" s="1548"/>
      <c r="EO623" s="1548"/>
      <c r="EP623" s="1548"/>
      <c r="EQ623" s="1549"/>
      <c r="ER623" s="1547" t="str">
        <f t="shared" si="21"/>
        <v/>
      </c>
      <c r="ES623" s="1548"/>
      <c r="ET623" s="1548"/>
      <c r="EU623" s="1548"/>
      <c r="EV623" s="1549"/>
      <c r="EW623" s="1547" t="str">
        <f t="shared" si="22"/>
        <v/>
      </c>
      <c r="EX623" s="1548"/>
      <c r="EY623" s="1548"/>
      <c r="EZ623" s="1548"/>
      <c r="FA623" s="1549"/>
    </row>
    <row r="624" spans="1:157" ht="12.95" customHeight="1">
      <c r="B624" s="1527" t="s">
        <v>2423</v>
      </c>
      <c r="C624" s="1527"/>
      <c r="D624" s="1527"/>
      <c r="E624" s="1527"/>
      <c r="F624" s="1527"/>
      <c r="G624" s="1527"/>
      <c r="H624" s="1527"/>
      <c r="I624" s="1527"/>
      <c r="J624" s="1527"/>
      <c r="K624" s="1527"/>
      <c r="L624" s="1527"/>
      <c r="M624" s="1518" t="s">
        <v>2424</v>
      </c>
      <c r="N624" s="1518"/>
      <c r="O624" s="1518"/>
      <c r="P624" s="1518"/>
      <c r="Q624" s="1518" t="s">
        <v>2045</v>
      </c>
      <c r="R624" s="1518"/>
      <c r="S624" s="1518"/>
      <c r="T624" s="1518" t="s">
        <v>2043</v>
      </c>
      <c r="U624" s="1518"/>
      <c r="V624" s="1518"/>
      <c r="W624" s="1650" t="s">
        <v>462</v>
      </c>
      <c r="X624" s="1650"/>
      <c r="Y624" s="1650"/>
      <c r="Z624" s="1556" t="s">
        <v>2453</v>
      </c>
      <c r="AA624" s="1556"/>
      <c r="AB624" s="1557"/>
      <c r="AC624" s="1654" t="s">
        <v>1866</v>
      </c>
      <c r="AD624" s="1655"/>
      <c r="AE624" s="1656"/>
      <c r="AF624" s="1718" t="s">
        <v>2232</v>
      </c>
      <c r="AG624" s="1556"/>
      <c r="AH624" s="1556"/>
      <c r="AI624" s="1556"/>
      <c r="AJ624" s="1557"/>
      <c r="AK624" s="1736" t="s">
        <v>2233</v>
      </c>
      <c r="AL624" s="1737"/>
      <c r="AM624" s="1737"/>
      <c r="AN624" s="1738"/>
      <c r="AO624" s="1518" t="s">
        <v>463</v>
      </c>
      <c r="AP624" s="1518"/>
      <c r="AQ624" s="1518"/>
      <c r="AR624" s="1518"/>
      <c r="AS624" s="1518"/>
      <c r="AU624" s="3"/>
      <c r="AZ624" s="3"/>
      <c r="BA624" s="3"/>
      <c r="BB624" s="3"/>
      <c r="BC624" s="3"/>
      <c r="BD624" s="3"/>
      <c r="BE624" s="1547">
        <f t="shared" si="1"/>
        <v>0</v>
      </c>
      <c r="BF624" s="1549"/>
      <c r="BG624" s="1565">
        <f t="shared" si="2"/>
        <v>0</v>
      </c>
      <c r="BH624" s="1567"/>
      <c r="BI624" s="1547">
        <f t="shared" si="3"/>
        <v>0</v>
      </c>
      <c r="BJ624" s="1549"/>
      <c r="BK624" s="1565">
        <f t="shared" si="4"/>
        <v>0</v>
      </c>
      <c r="BL624" s="1567"/>
      <c r="BM624" s="3"/>
      <c r="BN624" s="1540">
        <f t="shared" si="5"/>
        <v>0</v>
      </c>
      <c r="BO624" s="1541"/>
      <c r="BP624" s="1541"/>
      <c r="BQ624" s="1541"/>
      <c r="BR624" s="1542"/>
      <c r="BS624" s="1550">
        <f t="shared" si="6"/>
        <v>0</v>
      </c>
      <c r="BT624" s="1550"/>
      <c r="BU624" s="1550"/>
      <c r="BV624" s="1550"/>
      <c r="BW624" s="1550"/>
      <c r="BX624" s="1550">
        <f t="shared" si="7"/>
        <v>0</v>
      </c>
      <c r="BY624" s="1550"/>
      <c r="BZ624" s="1550"/>
      <c r="CA624" s="1550"/>
      <c r="CB624" s="1550"/>
      <c r="CC624" s="1550">
        <f t="shared" si="8"/>
        <v>0</v>
      </c>
      <c r="CD624" s="1550"/>
      <c r="CE624" s="1550"/>
      <c r="CF624" s="1550"/>
      <c r="CG624" s="1550"/>
      <c r="CH624" s="1550">
        <f t="shared" si="9"/>
        <v>0</v>
      </c>
      <c r="CI624" s="1550"/>
      <c r="CJ624" s="1550"/>
      <c r="CK624" s="1550"/>
      <c r="CL624" s="1550"/>
      <c r="CM624" s="1550">
        <f t="shared" si="10"/>
        <v>0</v>
      </c>
      <c r="CN624" s="1550"/>
      <c r="CO624" s="1550"/>
      <c r="CP624" s="1550"/>
      <c r="CQ624" s="1550"/>
      <c r="CR624" s="6"/>
      <c r="CS624" s="1551">
        <f t="shared" si="11"/>
        <v>0</v>
      </c>
      <c r="CT624" s="1551"/>
      <c r="CU624" s="1551"/>
      <c r="CV624" s="1551"/>
      <c r="CW624" s="1551"/>
      <c r="CX624" s="1551">
        <f t="shared" si="12"/>
        <v>0</v>
      </c>
      <c r="CY624" s="1551"/>
      <c r="CZ624" s="1551"/>
      <c r="DA624" s="1551"/>
      <c r="DB624" s="1551"/>
      <c r="DC624" s="1551">
        <f t="shared" si="13"/>
        <v>0</v>
      </c>
      <c r="DD624" s="1551"/>
      <c r="DE624" s="1551"/>
      <c r="DF624" s="1551"/>
      <c r="DG624" s="1551"/>
      <c r="DH624" s="1551">
        <f t="shared" si="14"/>
        <v>0</v>
      </c>
      <c r="DI624" s="1551"/>
      <c r="DJ624" s="1551"/>
      <c r="DK624" s="1551"/>
      <c r="DL624" s="1551"/>
      <c r="DM624" s="1551">
        <f t="shared" si="15"/>
        <v>0</v>
      </c>
      <c r="DN624" s="1551"/>
      <c r="DO624" s="1551"/>
      <c r="DP624" s="1551"/>
      <c r="DQ624" s="1551"/>
      <c r="DR624" s="1551">
        <f t="shared" si="16"/>
        <v>0</v>
      </c>
      <c r="DS624" s="1551"/>
      <c r="DT624" s="1551"/>
      <c r="DU624" s="1551"/>
      <c r="DV624" s="1551"/>
      <c r="DX624" s="1547" t="str">
        <f t="shared" si="17"/>
        <v/>
      </c>
      <c r="DY624" s="1548"/>
      <c r="DZ624" s="1548"/>
      <c r="EA624" s="1548"/>
      <c r="EB624" s="1549"/>
      <c r="EC624" s="1547" t="str">
        <f t="shared" si="18"/>
        <v/>
      </c>
      <c r="ED624" s="1548"/>
      <c r="EE624" s="1548"/>
      <c r="EF624" s="1548"/>
      <c r="EG624" s="1549"/>
      <c r="EH624" s="1547" t="str">
        <f t="shared" si="19"/>
        <v/>
      </c>
      <c r="EI624" s="1548"/>
      <c r="EJ624" s="1548"/>
      <c r="EK624" s="1548"/>
      <c r="EL624" s="1549"/>
      <c r="EM624" s="1547" t="str">
        <f t="shared" si="20"/>
        <v/>
      </c>
      <c r="EN624" s="1548"/>
      <c r="EO624" s="1548"/>
      <c r="EP624" s="1548"/>
      <c r="EQ624" s="1549"/>
      <c r="ER624" s="1547" t="str">
        <f t="shared" si="21"/>
        <v/>
      </c>
      <c r="ES624" s="1548"/>
      <c r="ET624" s="1548"/>
      <c r="EU624" s="1548"/>
      <c r="EV624" s="1549"/>
      <c r="EW624" s="1547" t="str">
        <f t="shared" si="22"/>
        <v/>
      </c>
      <c r="EX624" s="1548"/>
      <c r="EY624" s="1548"/>
      <c r="EZ624" s="1548"/>
      <c r="FA624" s="1549"/>
    </row>
    <row r="625" spans="2:157" ht="12.95" customHeight="1">
      <c r="B625" s="1527"/>
      <c r="C625" s="1527"/>
      <c r="D625" s="1527"/>
      <c r="E625" s="1527"/>
      <c r="F625" s="1527"/>
      <c r="G625" s="1527"/>
      <c r="H625" s="1527"/>
      <c r="I625" s="1527"/>
      <c r="J625" s="1527"/>
      <c r="K625" s="1527"/>
      <c r="L625" s="1527"/>
      <c r="M625" s="1518"/>
      <c r="N625" s="1518"/>
      <c r="O625" s="1518"/>
      <c r="P625" s="1518"/>
      <c r="Q625" s="1518"/>
      <c r="R625" s="1518"/>
      <c r="S625" s="1518"/>
      <c r="T625" s="1518"/>
      <c r="U625" s="1518"/>
      <c r="V625" s="1518"/>
      <c r="W625" s="1650"/>
      <c r="X625" s="1650"/>
      <c r="Y625" s="1650"/>
      <c r="Z625" s="1558"/>
      <c r="AA625" s="1558"/>
      <c r="AB625" s="1559"/>
      <c r="AC625" s="1657"/>
      <c r="AD625" s="1658"/>
      <c r="AE625" s="1659"/>
      <c r="AF625" s="1719"/>
      <c r="AG625" s="1558"/>
      <c r="AH625" s="1558"/>
      <c r="AI625" s="1558"/>
      <c r="AJ625" s="1559"/>
      <c r="AK625" s="1739"/>
      <c r="AL625" s="1740"/>
      <c r="AM625" s="1740"/>
      <c r="AN625" s="1741"/>
      <c r="AO625" s="1518"/>
      <c r="AP625" s="1518"/>
      <c r="AQ625" s="1518"/>
      <c r="AR625" s="1518"/>
      <c r="AS625" s="1518"/>
      <c r="AU625" s="3"/>
      <c r="AZ625" s="3"/>
      <c r="BA625" s="3"/>
      <c r="BB625" s="3"/>
      <c r="BC625" s="3"/>
      <c r="BD625" s="3"/>
      <c r="BE625" s="1547">
        <f t="shared" si="1"/>
        <v>0</v>
      </c>
      <c r="BF625" s="1549"/>
      <c r="BG625" s="1565">
        <f t="shared" si="2"/>
        <v>0</v>
      </c>
      <c r="BH625" s="1567"/>
      <c r="BI625" s="1547">
        <f t="shared" si="3"/>
        <v>0</v>
      </c>
      <c r="BJ625" s="1549"/>
      <c r="BK625" s="1565">
        <f t="shared" si="4"/>
        <v>0</v>
      </c>
      <c r="BL625" s="1567"/>
      <c r="BM625" s="3"/>
      <c r="BN625" s="1540">
        <f t="shared" si="5"/>
        <v>0</v>
      </c>
      <c r="BO625" s="1541"/>
      <c r="BP625" s="1541"/>
      <c r="BQ625" s="1541"/>
      <c r="BR625" s="1542"/>
      <c r="BS625" s="1550">
        <f t="shared" si="6"/>
        <v>0</v>
      </c>
      <c r="BT625" s="1550"/>
      <c r="BU625" s="1550"/>
      <c r="BV625" s="1550"/>
      <c r="BW625" s="1550"/>
      <c r="BX625" s="1550">
        <f t="shared" si="7"/>
        <v>0</v>
      </c>
      <c r="BY625" s="1550"/>
      <c r="BZ625" s="1550"/>
      <c r="CA625" s="1550"/>
      <c r="CB625" s="1550"/>
      <c r="CC625" s="1550">
        <f t="shared" si="8"/>
        <v>0</v>
      </c>
      <c r="CD625" s="1550"/>
      <c r="CE625" s="1550"/>
      <c r="CF625" s="1550"/>
      <c r="CG625" s="1550"/>
      <c r="CH625" s="1550">
        <f t="shared" si="9"/>
        <v>0</v>
      </c>
      <c r="CI625" s="1550"/>
      <c r="CJ625" s="1550"/>
      <c r="CK625" s="1550"/>
      <c r="CL625" s="1550"/>
      <c r="CM625" s="1550">
        <f t="shared" si="10"/>
        <v>0</v>
      </c>
      <c r="CN625" s="1550"/>
      <c r="CO625" s="1550"/>
      <c r="CP625" s="1550"/>
      <c r="CQ625" s="1550"/>
      <c r="CR625" s="6"/>
      <c r="CS625" s="1551">
        <f t="shared" si="11"/>
        <v>0</v>
      </c>
      <c r="CT625" s="1551"/>
      <c r="CU625" s="1551"/>
      <c r="CV625" s="1551"/>
      <c r="CW625" s="1551"/>
      <c r="CX625" s="1551">
        <f t="shared" si="12"/>
        <v>0</v>
      </c>
      <c r="CY625" s="1551"/>
      <c r="CZ625" s="1551"/>
      <c r="DA625" s="1551"/>
      <c r="DB625" s="1551"/>
      <c r="DC625" s="1551">
        <f t="shared" si="13"/>
        <v>0</v>
      </c>
      <c r="DD625" s="1551"/>
      <c r="DE625" s="1551"/>
      <c r="DF625" s="1551"/>
      <c r="DG625" s="1551"/>
      <c r="DH625" s="1551">
        <f t="shared" si="14"/>
        <v>0</v>
      </c>
      <c r="DI625" s="1551"/>
      <c r="DJ625" s="1551"/>
      <c r="DK625" s="1551"/>
      <c r="DL625" s="1551"/>
      <c r="DM625" s="1551">
        <f t="shared" si="15"/>
        <v>0</v>
      </c>
      <c r="DN625" s="1551"/>
      <c r="DO625" s="1551"/>
      <c r="DP625" s="1551"/>
      <c r="DQ625" s="1551"/>
      <c r="DR625" s="1551">
        <f t="shared" si="16"/>
        <v>0</v>
      </c>
      <c r="DS625" s="1551"/>
      <c r="DT625" s="1551"/>
      <c r="DU625" s="1551"/>
      <c r="DV625" s="1551"/>
      <c r="DX625" s="1547" t="str">
        <f t="shared" si="17"/>
        <v/>
      </c>
      <c r="DY625" s="1548"/>
      <c r="DZ625" s="1548"/>
      <c r="EA625" s="1548"/>
      <c r="EB625" s="1549"/>
      <c r="EC625" s="1547" t="str">
        <f t="shared" si="18"/>
        <v/>
      </c>
      <c r="ED625" s="1548"/>
      <c r="EE625" s="1548"/>
      <c r="EF625" s="1548"/>
      <c r="EG625" s="1549"/>
      <c r="EH625" s="1547" t="str">
        <f t="shared" si="19"/>
        <v/>
      </c>
      <c r="EI625" s="1548"/>
      <c r="EJ625" s="1548"/>
      <c r="EK625" s="1548"/>
      <c r="EL625" s="1549"/>
      <c r="EM625" s="1547" t="str">
        <f t="shared" si="20"/>
        <v/>
      </c>
      <c r="EN625" s="1548"/>
      <c r="EO625" s="1548"/>
      <c r="EP625" s="1548"/>
      <c r="EQ625" s="1549"/>
      <c r="ER625" s="1547" t="str">
        <f t="shared" si="21"/>
        <v/>
      </c>
      <c r="ES625" s="1548"/>
      <c r="ET625" s="1548"/>
      <c r="EU625" s="1548"/>
      <c r="EV625" s="1549"/>
      <c r="EW625" s="1547" t="str">
        <f t="shared" si="22"/>
        <v/>
      </c>
      <c r="EX625" s="1548"/>
      <c r="EY625" s="1548"/>
      <c r="EZ625" s="1548"/>
      <c r="FA625" s="1549"/>
    </row>
    <row r="626" spans="2:157" ht="12.95" customHeight="1">
      <c r="B626" s="1527"/>
      <c r="C626" s="1527"/>
      <c r="D626" s="1527"/>
      <c r="E626" s="1527"/>
      <c r="F626" s="1527"/>
      <c r="G626" s="1527"/>
      <c r="H626" s="1527"/>
      <c r="I626" s="1527"/>
      <c r="J626" s="1527"/>
      <c r="K626" s="1527"/>
      <c r="L626" s="1527"/>
      <c r="M626" s="1518"/>
      <c r="N626" s="1518"/>
      <c r="O626" s="1518"/>
      <c r="P626" s="1518"/>
      <c r="Q626" s="1518"/>
      <c r="R626" s="1518"/>
      <c r="S626" s="1518"/>
      <c r="T626" s="1518"/>
      <c r="U626" s="1518"/>
      <c r="V626" s="1518"/>
      <c r="W626" s="1650"/>
      <c r="X626" s="1650"/>
      <c r="Y626" s="1650"/>
      <c r="Z626" s="1560"/>
      <c r="AA626" s="1560"/>
      <c r="AB626" s="1561"/>
      <c r="AC626" s="1660"/>
      <c r="AD626" s="1661"/>
      <c r="AE626" s="1662"/>
      <c r="AF626" s="1720"/>
      <c r="AG626" s="1560"/>
      <c r="AH626" s="1560"/>
      <c r="AI626" s="1560"/>
      <c r="AJ626" s="1561"/>
      <c r="AK626" s="1742"/>
      <c r="AL626" s="1743"/>
      <c r="AM626" s="1743"/>
      <c r="AN626" s="1744"/>
      <c r="AO626" s="1518"/>
      <c r="AP626" s="1518"/>
      <c r="AQ626" s="1518"/>
      <c r="AR626" s="1518"/>
      <c r="AS626" s="1518"/>
      <c r="AT626" s="3"/>
      <c r="AU626" s="3"/>
      <c r="AZ626" s="3"/>
      <c r="BA626" s="3"/>
      <c r="BB626" s="3"/>
      <c r="BC626" s="3"/>
      <c r="BD626" s="3"/>
      <c r="BE626" s="1547">
        <f t="shared" si="1"/>
        <v>0</v>
      </c>
      <c r="BF626" s="1549"/>
      <c r="BG626" s="1565">
        <f t="shared" si="2"/>
        <v>0</v>
      </c>
      <c r="BH626" s="1567"/>
      <c r="BI626" s="1547">
        <f t="shared" si="3"/>
        <v>0</v>
      </c>
      <c r="BJ626" s="1549"/>
      <c r="BK626" s="1565">
        <f t="shared" si="4"/>
        <v>0</v>
      </c>
      <c r="BL626" s="1567"/>
      <c r="BM626" s="3"/>
      <c r="BN626" s="1540">
        <f t="shared" si="5"/>
        <v>0</v>
      </c>
      <c r="BO626" s="1541"/>
      <c r="BP626" s="1541"/>
      <c r="BQ626" s="1541"/>
      <c r="BR626" s="1542"/>
      <c r="BS626" s="1550">
        <f t="shared" si="6"/>
        <v>0</v>
      </c>
      <c r="BT626" s="1550"/>
      <c r="BU626" s="1550"/>
      <c r="BV626" s="1550"/>
      <c r="BW626" s="1550"/>
      <c r="BX626" s="1550">
        <f t="shared" si="7"/>
        <v>0</v>
      </c>
      <c r="BY626" s="1550"/>
      <c r="BZ626" s="1550"/>
      <c r="CA626" s="1550"/>
      <c r="CB626" s="1550"/>
      <c r="CC626" s="1550">
        <f t="shared" si="8"/>
        <v>0</v>
      </c>
      <c r="CD626" s="1550"/>
      <c r="CE626" s="1550"/>
      <c r="CF626" s="1550"/>
      <c r="CG626" s="1550"/>
      <c r="CH626" s="1550">
        <f t="shared" si="9"/>
        <v>0</v>
      </c>
      <c r="CI626" s="1550"/>
      <c r="CJ626" s="1550"/>
      <c r="CK626" s="1550"/>
      <c r="CL626" s="1550"/>
      <c r="CM626" s="1550">
        <f t="shared" si="10"/>
        <v>0</v>
      </c>
      <c r="CN626" s="1550"/>
      <c r="CO626" s="1550"/>
      <c r="CP626" s="1550"/>
      <c r="CQ626" s="1550"/>
      <c r="CR626" s="6"/>
      <c r="CS626" s="1551">
        <f t="shared" si="11"/>
        <v>0</v>
      </c>
      <c r="CT626" s="1551"/>
      <c r="CU626" s="1551"/>
      <c r="CV626" s="1551"/>
      <c r="CW626" s="1551"/>
      <c r="CX626" s="1551">
        <f t="shared" si="12"/>
        <v>0</v>
      </c>
      <c r="CY626" s="1551"/>
      <c r="CZ626" s="1551"/>
      <c r="DA626" s="1551"/>
      <c r="DB626" s="1551"/>
      <c r="DC626" s="1551">
        <f t="shared" si="13"/>
        <v>0</v>
      </c>
      <c r="DD626" s="1551"/>
      <c r="DE626" s="1551"/>
      <c r="DF626" s="1551"/>
      <c r="DG626" s="1551"/>
      <c r="DH626" s="1551">
        <f t="shared" si="14"/>
        <v>0</v>
      </c>
      <c r="DI626" s="1551"/>
      <c r="DJ626" s="1551"/>
      <c r="DK626" s="1551"/>
      <c r="DL626" s="1551"/>
      <c r="DM626" s="1551">
        <f t="shared" si="15"/>
        <v>0</v>
      </c>
      <c r="DN626" s="1551"/>
      <c r="DO626" s="1551"/>
      <c r="DP626" s="1551"/>
      <c r="DQ626" s="1551"/>
      <c r="DR626" s="1551">
        <f t="shared" si="16"/>
        <v>0</v>
      </c>
      <c r="DS626" s="1551"/>
      <c r="DT626" s="1551"/>
      <c r="DU626" s="1551"/>
      <c r="DV626" s="1551"/>
      <c r="DX626" s="1547" t="str">
        <f t="shared" si="17"/>
        <v/>
      </c>
      <c r="DY626" s="1548"/>
      <c r="DZ626" s="1548"/>
      <c r="EA626" s="1548"/>
      <c r="EB626" s="1549"/>
      <c r="EC626" s="1547" t="str">
        <f t="shared" si="18"/>
        <v/>
      </c>
      <c r="ED626" s="1548"/>
      <c r="EE626" s="1548"/>
      <c r="EF626" s="1548"/>
      <c r="EG626" s="1549"/>
      <c r="EH626" s="1547" t="str">
        <f t="shared" si="19"/>
        <v/>
      </c>
      <c r="EI626" s="1548"/>
      <c r="EJ626" s="1548"/>
      <c r="EK626" s="1548"/>
      <c r="EL626" s="1549"/>
      <c r="EM626" s="1547" t="str">
        <f t="shared" si="20"/>
        <v/>
      </c>
      <c r="EN626" s="1548"/>
      <c r="EO626" s="1548"/>
      <c r="EP626" s="1548"/>
      <c r="EQ626" s="1549"/>
      <c r="ER626" s="1547" t="str">
        <f t="shared" si="21"/>
        <v/>
      </c>
      <c r="ES626" s="1548"/>
      <c r="ET626" s="1548"/>
      <c r="EU626" s="1548"/>
      <c r="EV626" s="1549"/>
      <c r="EW626" s="1547" t="str">
        <f t="shared" si="22"/>
        <v/>
      </c>
      <c r="EX626" s="1548"/>
      <c r="EY626" s="1548"/>
      <c r="EZ626" s="1548"/>
      <c r="FA626" s="1549"/>
    </row>
    <row r="627" spans="2:157" ht="12.95" customHeight="1">
      <c r="B627" s="51" t="s">
        <v>112</v>
      </c>
      <c r="C627" s="1745" t="s">
        <v>2731</v>
      </c>
      <c r="D627" s="1745"/>
      <c r="E627" s="1745"/>
      <c r="F627" s="1745"/>
      <c r="G627" s="1745"/>
      <c r="H627" s="1745"/>
      <c r="I627" s="1745"/>
      <c r="J627" s="1745"/>
      <c r="K627" s="1745"/>
      <c r="L627" s="1745"/>
      <c r="M627" s="1519" t="s">
        <v>2440</v>
      </c>
      <c r="N627" s="1519"/>
      <c r="O627" s="1519"/>
      <c r="P627" s="1519"/>
      <c r="Q627" s="1486">
        <f>17*12</f>
        <v>204</v>
      </c>
      <c r="R627" s="1486"/>
      <c r="S627" s="1487"/>
      <c r="T627" s="1485">
        <f>40*12</f>
        <v>480</v>
      </c>
      <c r="U627" s="1486"/>
      <c r="V627" s="1487"/>
      <c r="W627" s="1513">
        <v>7.0000000000000007E-2</v>
      </c>
      <c r="X627" s="1514"/>
      <c r="Y627" s="1515"/>
      <c r="Z627" s="1553" t="s">
        <v>2452</v>
      </c>
      <c r="AA627" s="1554"/>
      <c r="AB627" s="1555"/>
      <c r="AC627" s="1510">
        <v>1</v>
      </c>
      <c r="AD627" s="1511"/>
      <c r="AE627" s="1512"/>
      <c r="AF627" s="1562">
        <v>3360242.8300000005</v>
      </c>
      <c r="AG627" s="1563"/>
      <c r="AH627" s="1563"/>
      <c r="AI627" s="1563"/>
      <c r="AJ627" s="1564"/>
      <c r="AK627" s="1489"/>
      <c r="AL627" s="1490"/>
      <c r="AM627" s="1490"/>
      <c r="AN627" s="1491"/>
      <c r="AO627" s="1409">
        <f>AM554</f>
        <v>48003469</v>
      </c>
      <c r="AP627" s="1409"/>
      <c r="AQ627" s="1409"/>
      <c r="AR627" s="1409"/>
      <c r="AS627" s="1409"/>
      <c r="AT627" s="3"/>
      <c r="AU627" s="3"/>
      <c r="AZ627" s="3"/>
      <c r="BA627" s="3"/>
      <c r="BB627" s="3"/>
      <c r="BC627" s="3"/>
      <c r="BD627" s="3"/>
      <c r="BE627" s="1547">
        <f t="shared" si="1"/>
        <v>0</v>
      </c>
      <c r="BF627" s="1549"/>
      <c r="BG627" s="1565">
        <f t="shared" si="2"/>
        <v>0</v>
      </c>
      <c r="BH627" s="1567"/>
      <c r="BI627" s="1547">
        <f t="shared" si="3"/>
        <v>0</v>
      </c>
      <c r="BJ627" s="1549"/>
      <c r="BK627" s="1565">
        <f t="shared" si="4"/>
        <v>0</v>
      </c>
      <c r="BL627" s="1567"/>
      <c r="BM627" s="3"/>
      <c r="BN627" s="1540">
        <f t="shared" si="5"/>
        <v>0</v>
      </c>
      <c r="BO627" s="1541"/>
      <c r="BP627" s="1541"/>
      <c r="BQ627" s="1541"/>
      <c r="BR627" s="1542"/>
      <c r="BS627" s="1550">
        <f t="shared" si="6"/>
        <v>0</v>
      </c>
      <c r="BT627" s="1550"/>
      <c r="BU627" s="1550"/>
      <c r="BV627" s="1550"/>
      <c r="BW627" s="1550"/>
      <c r="BX627" s="1550">
        <f t="shared" si="7"/>
        <v>0</v>
      </c>
      <c r="BY627" s="1550"/>
      <c r="BZ627" s="1550"/>
      <c r="CA627" s="1550"/>
      <c r="CB627" s="1550"/>
      <c r="CC627" s="1550">
        <f t="shared" si="8"/>
        <v>0</v>
      </c>
      <c r="CD627" s="1550"/>
      <c r="CE627" s="1550"/>
      <c r="CF627" s="1550"/>
      <c r="CG627" s="1550"/>
      <c r="CH627" s="1550">
        <f t="shared" si="9"/>
        <v>0</v>
      </c>
      <c r="CI627" s="1550"/>
      <c r="CJ627" s="1550"/>
      <c r="CK627" s="1550"/>
      <c r="CL627" s="1550"/>
      <c r="CM627" s="1550">
        <f t="shared" si="10"/>
        <v>0</v>
      </c>
      <c r="CN627" s="1550"/>
      <c r="CO627" s="1550"/>
      <c r="CP627" s="1550"/>
      <c r="CQ627" s="1550"/>
      <c r="CR627" s="6"/>
      <c r="CS627" s="1551">
        <f t="shared" si="11"/>
        <v>0</v>
      </c>
      <c r="CT627" s="1551"/>
      <c r="CU627" s="1551"/>
      <c r="CV627" s="1551"/>
      <c r="CW627" s="1551"/>
      <c r="CX627" s="1551">
        <f t="shared" si="12"/>
        <v>0</v>
      </c>
      <c r="CY627" s="1551"/>
      <c r="CZ627" s="1551"/>
      <c r="DA627" s="1551"/>
      <c r="DB627" s="1551"/>
      <c r="DC627" s="1551">
        <f t="shared" si="13"/>
        <v>0</v>
      </c>
      <c r="DD627" s="1551"/>
      <c r="DE627" s="1551"/>
      <c r="DF627" s="1551"/>
      <c r="DG627" s="1551"/>
      <c r="DH627" s="1551">
        <f t="shared" si="14"/>
        <v>0</v>
      </c>
      <c r="DI627" s="1551"/>
      <c r="DJ627" s="1551"/>
      <c r="DK627" s="1551"/>
      <c r="DL627" s="1551"/>
      <c r="DM627" s="1551">
        <f t="shared" si="15"/>
        <v>0</v>
      </c>
      <c r="DN627" s="1551"/>
      <c r="DO627" s="1551"/>
      <c r="DP627" s="1551"/>
      <c r="DQ627" s="1551"/>
      <c r="DR627" s="1551">
        <f t="shared" si="16"/>
        <v>0</v>
      </c>
      <c r="DS627" s="1551"/>
      <c r="DT627" s="1551"/>
      <c r="DU627" s="1551"/>
      <c r="DV627" s="1551"/>
      <c r="DX627" s="1547" t="str">
        <f t="shared" si="17"/>
        <v/>
      </c>
      <c r="DY627" s="1548"/>
      <c r="DZ627" s="1548"/>
      <c r="EA627" s="1548"/>
      <c r="EB627" s="1549"/>
      <c r="EC627" s="1547" t="str">
        <f t="shared" si="18"/>
        <v/>
      </c>
      <c r="ED627" s="1548"/>
      <c r="EE627" s="1548"/>
      <c r="EF627" s="1548"/>
      <c r="EG627" s="1549"/>
      <c r="EH627" s="1547" t="str">
        <f t="shared" si="19"/>
        <v/>
      </c>
      <c r="EI627" s="1548"/>
      <c r="EJ627" s="1548"/>
      <c r="EK627" s="1548"/>
      <c r="EL627" s="1549"/>
      <c r="EM627" s="1547" t="str">
        <f t="shared" si="20"/>
        <v/>
      </c>
      <c r="EN627" s="1548"/>
      <c r="EO627" s="1548"/>
      <c r="EP627" s="1548"/>
      <c r="EQ627" s="1549"/>
      <c r="ER627" s="1547" t="str">
        <f t="shared" si="21"/>
        <v/>
      </c>
      <c r="ES627" s="1548"/>
      <c r="ET627" s="1548"/>
      <c r="EU627" s="1548"/>
      <c r="EV627" s="1549"/>
      <c r="EW627" s="1547" t="str">
        <f t="shared" si="22"/>
        <v/>
      </c>
      <c r="EX627" s="1548"/>
      <c r="EY627" s="1548"/>
      <c r="EZ627" s="1548"/>
      <c r="FA627" s="1549"/>
    </row>
    <row r="628" spans="2:157" ht="12.95" customHeight="1">
      <c r="B628" s="52" t="s">
        <v>113</v>
      </c>
      <c r="C628" s="1745" t="s">
        <v>2751</v>
      </c>
      <c r="D628" s="1745"/>
      <c r="E628" s="1745"/>
      <c r="F628" s="1745"/>
      <c r="G628" s="1745"/>
      <c r="H628" s="1745"/>
      <c r="I628" s="1745"/>
      <c r="J628" s="1745"/>
      <c r="K628" s="1745"/>
      <c r="L628" s="1745"/>
      <c r="M628" s="1519" t="s">
        <v>2439</v>
      </c>
      <c r="N628" s="1519"/>
      <c r="O628" s="1519"/>
      <c r="P628" s="1519"/>
      <c r="Q628" s="1485">
        <f>17*12</f>
        <v>204</v>
      </c>
      <c r="R628" s="1486"/>
      <c r="S628" s="1487"/>
      <c r="T628" s="1485">
        <f>40*12</f>
        <v>480</v>
      </c>
      <c r="U628" s="1486"/>
      <c r="V628" s="1487"/>
      <c r="W628" s="1513">
        <v>7.0000000000000007E-2</v>
      </c>
      <c r="X628" s="1514"/>
      <c r="Y628" s="1515"/>
      <c r="Z628" s="1553" t="s">
        <v>2452</v>
      </c>
      <c r="AA628" s="1554"/>
      <c r="AB628" s="1555"/>
      <c r="AC628" s="1510">
        <v>2</v>
      </c>
      <c r="AD628" s="1511"/>
      <c r="AE628" s="1512"/>
      <c r="AF628" s="1562">
        <v>864257.17</v>
      </c>
      <c r="AG628" s="1563"/>
      <c r="AH628" s="1563"/>
      <c r="AI628" s="1563"/>
      <c r="AJ628" s="1564"/>
      <c r="AK628" s="1489"/>
      <c r="AL628" s="1490"/>
      <c r="AM628" s="1490"/>
      <c r="AN628" s="1491"/>
      <c r="AO628" s="1451">
        <f>AM556</f>
        <v>12346531</v>
      </c>
      <c r="AP628" s="1452"/>
      <c r="AQ628" s="1452"/>
      <c r="AR628" s="1452"/>
      <c r="AS628" s="1453"/>
      <c r="AT628" s="1192" t="str">
        <f>IF(AND(NOT(C627=""),C628="",NOT(C629="")),"!","")</f>
        <v/>
      </c>
      <c r="AU628" s="3"/>
      <c r="AZ628" s="3"/>
      <c r="BA628" s="3"/>
      <c r="BB628" s="3"/>
      <c r="BC628" s="3"/>
      <c r="BD628" s="3"/>
      <c r="BE628" s="1547">
        <f t="shared" si="1"/>
        <v>0</v>
      </c>
      <c r="BF628" s="1549"/>
      <c r="BG628" s="1565">
        <f t="shared" si="2"/>
        <v>0</v>
      </c>
      <c r="BH628" s="1567"/>
      <c r="BI628" s="1547">
        <f t="shared" si="3"/>
        <v>0</v>
      </c>
      <c r="BJ628" s="1549"/>
      <c r="BK628" s="1565">
        <f t="shared" si="4"/>
        <v>0</v>
      </c>
      <c r="BL628" s="1567"/>
      <c r="BM628" s="3"/>
      <c r="BN628" s="1540">
        <f t="shared" si="5"/>
        <v>0</v>
      </c>
      <c r="BO628" s="1541"/>
      <c r="BP628" s="1541"/>
      <c r="BQ628" s="1541"/>
      <c r="BR628" s="1542"/>
      <c r="BS628" s="1550">
        <f t="shared" si="6"/>
        <v>0</v>
      </c>
      <c r="BT628" s="1550"/>
      <c r="BU628" s="1550"/>
      <c r="BV628" s="1550"/>
      <c r="BW628" s="1550"/>
      <c r="BX628" s="1550">
        <f t="shared" si="7"/>
        <v>0</v>
      </c>
      <c r="BY628" s="1550"/>
      <c r="BZ628" s="1550"/>
      <c r="CA628" s="1550"/>
      <c r="CB628" s="1550"/>
      <c r="CC628" s="1550">
        <f t="shared" si="8"/>
        <v>0</v>
      </c>
      <c r="CD628" s="1550"/>
      <c r="CE628" s="1550"/>
      <c r="CF628" s="1550"/>
      <c r="CG628" s="1550"/>
      <c r="CH628" s="1550">
        <f t="shared" si="9"/>
        <v>0</v>
      </c>
      <c r="CI628" s="1550"/>
      <c r="CJ628" s="1550"/>
      <c r="CK628" s="1550"/>
      <c r="CL628" s="1550"/>
      <c r="CM628" s="1550">
        <f t="shared" si="10"/>
        <v>0</v>
      </c>
      <c r="CN628" s="1550"/>
      <c r="CO628" s="1550"/>
      <c r="CP628" s="1550"/>
      <c r="CQ628" s="1550"/>
      <c r="CR628" s="6"/>
      <c r="CS628" s="1551">
        <f t="shared" si="11"/>
        <v>0</v>
      </c>
      <c r="CT628" s="1551"/>
      <c r="CU628" s="1551"/>
      <c r="CV628" s="1551"/>
      <c r="CW628" s="1551"/>
      <c r="CX628" s="1551">
        <f t="shared" si="12"/>
        <v>0</v>
      </c>
      <c r="CY628" s="1551"/>
      <c r="CZ628" s="1551"/>
      <c r="DA628" s="1551"/>
      <c r="DB628" s="1551"/>
      <c r="DC628" s="1551">
        <f t="shared" si="13"/>
        <v>0</v>
      </c>
      <c r="DD628" s="1551"/>
      <c r="DE628" s="1551"/>
      <c r="DF628" s="1551"/>
      <c r="DG628" s="1551"/>
      <c r="DH628" s="1551">
        <f t="shared" si="14"/>
        <v>0</v>
      </c>
      <c r="DI628" s="1551"/>
      <c r="DJ628" s="1551"/>
      <c r="DK628" s="1551"/>
      <c r="DL628" s="1551"/>
      <c r="DM628" s="1551">
        <f t="shared" si="15"/>
        <v>0</v>
      </c>
      <c r="DN628" s="1551"/>
      <c r="DO628" s="1551"/>
      <c r="DP628" s="1551"/>
      <c r="DQ628" s="1551"/>
      <c r="DR628" s="1551">
        <f t="shared" si="16"/>
        <v>0</v>
      </c>
      <c r="DS628" s="1551"/>
      <c r="DT628" s="1551"/>
      <c r="DU628" s="1551"/>
      <c r="DV628" s="1551"/>
      <c r="DX628" s="1547" t="str">
        <f t="shared" si="17"/>
        <v/>
      </c>
      <c r="DY628" s="1548"/>
      <c r="DZ628" s="1548"/>
      <c r="EA628" s="1548"/>
      <c r="EB628" s="1549"/>
      <c r="EC628" s="1547" t="str">
        <f t="shared" si="18"/>
        <v/>
      </c>
      <c r="ED628" s="1548"/>
      <c r="EE628" s="1548"/>
      <c r="EF628" s="1548"/>
      <c r="EG628" s="1549"/>
      <c r="EH628" s="1547" t="str">
        <f t="shared" si="19"/>
        <v/>
      </c>
      <c r="EI628" s="1548"/>
      <c r="EJ628" s="1548"/>
      <c r="EK628" s="1548"/>
      <c r="EL628" s="1549"/>
      <c r="EM628" s="1547" t="str">
        <f t="shared" si="20"/>
        <v/>
      </c>
      <c r="EN628" s="1548"/>
      <c r="EO628" s="1548"/>
      <c r="EP628" s="1548"/>
      <c r="EQ628" s="1549"/>
      <c r="ER628" s="1547" t="str">
        <f t="shared" si="21"/>
        <v/>
      </c>
      <c r="ES628" s="1548"/>
      <c r="ET628" s="1548"/>
      <c r="EU628" s="1548"/>
      <c r="EV628" s="1549"/>
      <c r="EW628" s="1547" t="str">
        <f t="shared" si="22"/>
        <v/>
      </c>
      <c r="EX628" s="1548"/>
      <c r="EY628" s="1548"/>
      <c r="EZ628" s="1548"/>
      <c r="FA628" s="1549"/>
    </row>
    <row r="629" spans="2:157" ht="12.95" customHeight="1">
      <c r="B629" s="52" t="s">
        <v>119</v>
      </c>
      <c r="C629" s="1745" t="s">
        <v>2753</v>
      </c>
      <c r="D629" s="1745"/>
      <c r="E629" s="1745"/>
      <c r="F629" s="1745"/>
      <c r="G629" s="1745"/>
      <c r="H629" s="1745"/>
      <c r="I629" s="1745"/>
      <c r="J629" s="1745"/>
      <c r="K629" s="1745"/>
      <c r="L629" s="1745"/>
      <c r="M629" s="1519" t="s">
        <v>2441</v>
      </c>
      <c r="N629" s="1519"/>
      <c r="O629" s="1519"/>
      <c r="P629" s="1519"/>
      <c r="Q629" s="1485">
        <f>17*12</f>
        <v>204</v>
      </c>
      <c r="R629" s="1486"/>
      <c r="S629" s="1487"/>
      <c r="T629" s="1485">
        <v>420</v>
      </c>
      <c r="U629" s="1486"/>
      <c r="V629" s="1487"/>
      <c r="W629" s="1513">
        <v>9.5000000000000001E-2</v>
      </c>
      <c r="X629" s="1514"/>
      <c r="Y629" s="1515"/>
      <c r="Z629" s="1553" t="s">
        <v>466</v>
      </c>
      <c r="AA629" s="1554"/>
      <c r="AB629" s="1555"/>
      <c r="AC629" s="1510"/>
      <c r="AD629" s="1511"/>
      <c r="AE629" s="1512"/>
      <c r="AF629" s="1562"/>
      <c r="AG629" s="1563"/>
      <c r="AH629" s="1563"/>
      <c r="AI629" s="1563"/>
      <c r="AJ629" s="1564"/>
      <c r="AK629" s="1489"/>
      <c r="AL629" s="1490"/>
      <c r="AM629" s="1490"/>
      <c r="AN629" s="1491"/>
      <c r="AO629" s="1451">
        <v>10000000</v>
      </c>
      <c r="AP629" s="1452"/>
      <c r="AQ629" s="1452"/>
      <c r="AR629" s="1452"/>
      <c r="AS629" s="1453"/>
      <c r="AT629" s="1192" t="str">
        <f t="shared" ref="AT629:AT638" si="23">IF(AND(NOT(C628=""),C629="",NOT(C630="")),"!","")</f>
        <v/>
      </c>
      <c r="AU629" s="3"/>
      <c r="AZ629" s="3"/>
      <c r="BA629" s="3"/>
      <c r="BB629" s="3"/>
      <c r="BC629" s="3"/>
      <c r="BD629" s="3"/>
      <c r="BE629" s="1547">
        <f t="shared" si="1"/>
        <v>0</v>
      </c>
      <c r="BF629" s="1549"/>
      <c r="BG629" s="1565">
        <f t="shared" si="2"/>
        <v>0</v>
      </c>
      <c r="BH629" s="1567"/>
      <c r="BI629" s="1547">
        <f t="shared" si="3"/>
        <v>0</v>
      </c>
      <c r="BJ629" s="1549"/>
      <c r="BK629" s="1565">
        <f t="shared" si="4"/>
        <v>0</v>
      </c>
      <c r="BL629" s="1567"/>
      <c r="BM629" s="3"/>
      <c r="BN629" s="1540">
        <f t="shared" si="5"/>
        <v>0</v>
      </c>
      <c r="BO629" s="1541"/>
      <c r="BP629" s="1541"/>
      <c r="BQ629" s="1541"/>
      <c r="BR629" s="1542"/>
      <c r="BS629" s="1550">
        <f t="shared" si="6"/>
        <v>0</v>
      </c>
      <c r="BT629" s="1550"/>
      <c r="BU629" s="1550"/>
      <c r="BV629" s="1550"/>
      <c r="BW629" s="1550"/>
      <c r="BX629" s="1550">
        <f t="shared" si="7"/>
        <v>0</v>
      </c>
      <c r="BY629" s="1550"/>
      <c r="BZ629" s="1550"/>
      <c r="CA629" s="1550"/>
      <c r="CB629" s="1550"/>
      <c r="CC629" s="1550">
        <f t="shared" si="8"/>
        <v>0</v>
      </c>
      <c r="CD629" s="1550"/>
      <c r="CE629" s="1550"/>
      <c r="CF629" s="1550"/>
      <c r="CG629" s="1550"/>
      <c r="CH629" s="1550">
        <f t="shared" si="9"/>
        <v>0</v>
      </c>
      <c r="CI629" s="1550"/>
      <c r="CJ629" s="1550"/>
      <c r="CK629" s="1550"/>
      <c r="CL629" s="1550"/>
      <c r="CM629" s="1550">
        <f t="shared" si="10"/>
        <v>0</v>
      </c>
      <c r="CN629" s="1550"/>
      <c r="CO629" s="1550"/>
      <c r="CP629" s="1550"/>
      <c r="CQ629" s="1550"/>
      <c r="CR629" s="6"/>
      <c r="CS629" s="1551">
        <f t="shared" si="11"/>
        <v>0</v>
      </c>
      <c r="CT629" s="1551"/>
      <c r="CU629" s="1551"/>
      <c r="CV629" s="1551"/>
      <c r="CW629" s="1551"/>
      <c r="CX629" s="1551">
        <f t="shared" si="12"/>
        <v>0</v>
      </c>
      <c r="CY629" s="1551"/>
      <c r="CZ629" s="1551"/>
      <c r="DA629" s="1551"/>
      <c r="DB629" s="1551"/>
      <c r="DC629" s="1551">
        <f t="shared" si="13"/>
        <v>0</v>
      </c>
      <c r="DD629" s="1551"/>
      <c r="DE629" s="1551"/>
      <c r="DF629" s="1551"/>
      <c r="DG629" s="1551"/>
      <c r="DH629" s="1551">
        <f t="shared" si="14"/>
        <v>0</v>
      </c>
      <c r="DI629" s="1551"/>
      <c r="DJ629" s="1551"/>
      <c r="DK629" s="1551"/>
      <c r="DL629" s="1551"/>
      <c r="DM629" s="1551">
        <f t="shared" si="15"/>
        <v>0</v>
      </c>
      <c r="DN629" s="1551"/>
      <c r="DO629" s="1551"/>
      <c r="DP629" s="1551"/>
      <c r="DQ629" s="1551"/>
      <c r="DR629" s="1551">
        <f t="shared" si="16"/>
        <v>0</v>
      </c>
      <c r="DS629" s="1551"/>
      <c r="DT629" s="1551"/>
      <c r="DU629" s="1551"/>
      <c r="DV629" s="1551"/>
      <c r="DX629" s="1547" t="str">
        <f t="shared" si="17"/>
        <v/>
      </c>
      <c r="DY629" s="1548"/>
      <c r="DZ629" s="1548"/>
      <c r="EA629" s="1548"/>
      <c r="EB629" s="1549"/>
      <c r="EC629" s="1547" t="str">
        <f t="shared" si="18"/>
        <v/>
      </c>
      <c r="ED629" s="1548"/>
      <c r="EE629" s="1548"/>
      <c r="EF629" s="1548"/>
      <c r="EG629" s="1549"/>
      <c r="EH629" s="1547" t="str">
        <f t="shared" si="19"/>
        <v/>
      </c>
      <c r="EI629" s="1548"/>
      <c r="EJ629" s="1548"/>
      <c r="EK629" s="1548"/>
      <c r="EL629" s="1549"/>
      <c r="EM629" s="1547" t="str">
        <f t="shared" si="20"/>
        <v/>
      </c>
      <c r="EN629" s="1548"/>
      <c r="EO629" s="1548"/>
      <c r="EP629" s="1548"/>
      <c r="EQ629" s="1549"/>
      <c r="ER629" s="1547" t="str">
        <f t="shared" si="21"/>
        <v/>
      </c>
      <c r="ES629" s="1548"/>
      <c r="ET629" s="1548"/>
      <c r="EU629" s="1548"/>
      <c r="EV629" s="1549"/>
      <c r="EW629" s="1547" t="str">
        <f t="shared" si="22"/>
        <v/>
      </c>
      <c r="EX629" s="1548"/>
      <c r="EY629" s="1548"/>
      <c r="EZ629" s="1548"/>
      <c r="FA629" s="1549"/>
    </row>
    <row r="630" spans="2:157" ht="12.95" customHeight="1">
      <c r="B630" s="52" t="s">
        <v>590</v>
      </c>
      <c r="C630" s="1745" t="s">
        <v>2442</v>
      </c>
      <c r="D630" s="1517"/>
      <c r="E630" s="1517"/>
      <c r="F630" s="1517"/>
      <c r="G630" s="1517"/>
      <c r="H630" s="1517"/>
      <c r="I630" s="1517"/>
      <c r="J630" s="1517"/>
      <c r="K630" s="1517"/>
      <c r="L630" s="1517"/>
      <c r="M630" s="1519" t="s">
        <v>2443</v>
      </c>
      <c r="N630" s="1519"/>
      <c r="O630" s="1519"/>
      <c r="P630" s="1519"/>
      <c r="Q630" s="1485"/>
      <c r="R630" s="1486"/>
      <c r="S630" s="1487"/>
      <c r="T630" s="1485"/>
      <c r="U630" s="1486"/>
      <c r="V630" s="1487"/>
      <c r="W630" s="1513"/>
      <c r="X630" s="1514"/>
      <c r="Y630" s="1515"/>
      <c r="Z630" s="1553" t="s">
        <v>1291</v>
      </c>
      <c r="AA630" s="1554"/>
      <c r="AB630" s="1555"/>
      <c r="AC630" s="1510"/>
      <c r="AD630" s="1511"/>
      <c r="AE630" s="1512"/>
      <c r="AF630" s="1562"/>
      <c r="AG630" s="1563"/>
      <c r="AH630" s="1563"/>
      <c r="AI630" s="1563"/>
      <c r="AJ630" s="1564"/>
      <c r="AK630" s="1489"/>
      <c r="AL630" s="1490"/>
      <c r="AM630" s="1490"/>
      <c r="AN630" s="1491"/>
      <c r="AO630" s="1451">
        <v>3415863</v>
      </c>
      <c r="AP630" s="1452"/>
      <c r="AQ630" s="1452"/>
      <c r="AR630" s="1452"/>
      <c r="AS630" s="1453"/>
      <c r="AT630" s="1192" t="str">
        <f t="shared" si="23"/>
        <v/>
      </c>
      <c r="AU630" s="3"/>
      <c r="AZ630" s="3"/>
      <c r="BA630" s="3"/>
      <c r="BB630" s="3"/>
      <c r="BC630" s="3"/>
      <c r="BD630" s="3"/>
      <c r="BE630" s="1547">
        <f t="shared" si="1"/>
        <v>0</v>
      </c>
      <c r="BF630" s="1549"/>
      <c r="BG630" s="1565">
        <f t="shared" si="2"/>
        <v>0</v>
      </c>
      <c r="BH630" s="1567"/>
      <c r="BI630" s="1547">
        <f t="shared" si="3"/>
        <v>0</v>
      </c>
      <c r="BJ630" s="1549"/>
      <c r="BK630" s="1565">
        <f t="shared" si="4"/>
        <v>0</v>
      </c>
      <c r="BL630" s="1567"/>
      <c r="BM630" s="3"/>
      <c r="BN630" s="1540">
        <f t="shared" si="5"/>
        <v>0</v>
      </c>
      <c r="BO630" s="1541"/>
      <c r="BP630" s="1541"/>
      <c r="BQ630" s="1541"/>
      <c r="BR630" s="1542"/>
      <c r="BS630" s="1550">
        <f t="shared" si="6"/>
        <v>0</v>
      </c>
      <c r="BT630" s="1550"/>
      <c r="BU630" s="1550"/>
      <c r="BV630" s="1550"/>
      <c r="BW630" s="1550"/>
      <c r="BX630" s="1550">
        <f t="shared" si="7"/>
        <v>0</v>
      </c>
      <c r="BY630" s="1550"/>
      <c r="BZ630" s="1550"/>
      <c r="CA630" s="1550"/>
      <c r="CB630" s="1550"/>
      <c r="CC630" s="1550">
        <f t="shared" si="8"/>
        <v>0</v>
      </c>
      <c r="CD630" s="1550"/>
      <c r="CE630" s="1550"/>
      <c r="CF630" s="1550"/>
      <c r="CG630" s="1550"/>
      <c r="CH630" s="1550">
        <f t="shared" si="9"/>
        <v>0</v>
      </c>
      <c r="CI630" s="1550"/>
      <c r="CJ630" s="1550"/>
      <c r="CK630" s="1550"/>
      <c r="CL630" s="1550"/>
      <c r="CM630" s="1550">
        <f t="shared" si="10"/>
        <v>0</v>
      </c>
      <c r="CN630" s="1550"/>
      <c r="CO630" s="1550"/>
      <c r="CP630" s="1550"/>
      <c r="CQ630" s="1550"/>
      <c r="CR630" s="6"/>
      <c r="CS630" s="1551">
        <f t="shared" si="11"/>
        <v>0</v>
      </c>
      <c r="CT630" s="1551"/>
      <c r="CU630" s="1551"/>
      <c r="CV630" s="1551"/>
      <c r="CW630" s="1551"/>
      <c r="CX630" s="1551">
        <f t="shared" si="12"/>
        <v>0</v>
      </c>
      <c r="CY630" s="1551"/>
      <c r="CZ630" s="1551"/>
      <c r="DA630" s="1551"/>
      <c r="DB630" s="1551"/>
      <c r="DC630" s="1551">
        <f t="shared" si="13"/>
        <v>0</v>
      </c>
      <c r="DD630" s="1551"/>
      <c r="DE630" s="1551"/>
      <c r="DF630" s="1551"/>
      <c r="DG630" s="1551"/>
      <c r="DH630" s="1551">
        <f t="shared" si="14"/>
        <v>0</v>
      </c>
      <c r="DI630" s="1551"/>
      <c r="DJ630" s="1551"/>
      <c r="DK630" s="1551"/>
      <c r="DL630" s="1551"/>
      <c r="DM630" s="1551">
        <f t="shared" si="15"/>
        <v>0</v>
      </c>
      <c r="DN630" s="1551"/>
      <c r="DO630" s="1551"/>
      <c r="DP630" s="1551"/>
      <c r="DQ630" s="1551"/>
      <c r="DR630" s="1551">
        <f t="shared" si="16"/>
        <v>0</v>
      </c>
      <c r="DS630" s="1551"/>
      <c r="DT630" s="1551"/>
      <c r="DU630" s="1551"/>
      <c r="DV630" s="1551"/>
      <c r="DX630" s="1547" t="str">
        <f t="shared" si="17"/>
        <v/>
      </c>
      <c r="DY630" s="1548"/>
      <c r="DZ630" s="1548"/>
      <c r="EA630" s="1548"/>
      <c r="EB630" s="1549"/>
      <c r="EC630" s="1547" t="str">
        <f t="shared" si="18"/>
        <v/>
      </c>
      <c r="ED630" s="1548"/>
      <c r="EE630" s="1548"/>
      <c r="EF630" s="1548"/>
      <c r="EG630" s="1549"/>
      <c r="EH630" s="1547" t="str">
        <f t="shared" si="19"/>
        <v/>
      </c>
      <c r="EI630" s="1548"/>
      <c r="EJ630" s="1548"/>
      <c r="EK630" s="1548"/>
      <c r="EL630" s="1549"/>
      <c r="EM630" s="1547" t="str">
        <f t="shared" si="20"/>
        <v/>
      </c>
      <c r="EN630" s="1548"/>
      <c r="EO630" s="1548"/>
      <c r="EP630" s="1548"/>
      <c r="EQ630" s="1549"/>
      <c r="ER630" s="1547" t="str">
        <f t="shared" si="21"/>
        <v/>
      </c>
      <c r="ES630" s="1548"/>
      <c r="ET630" s="1548"/>
      <c r="EU630" s="1548"/>
      <c r="EV630" s="1549"/>
      <c r="EW630" s="1547" t="str">
        <f t="shared" si="22"/>
        <v/>
      </c>
      <c r="EX630" s="1548"/>
      <c r="EY630" s="1548"/>
      <c r="EZ630" s="1548"/>
      <c r="FA630" s="1549"/>
    </row>
    <row r="631" spans="2:157" ht="12.95" customHeight="1">
      <c r="B631" s="52" t="s">
        <v>773</v>
      </c>
      <c r="C631" s="1745" t="s">
        <v>1852</v>
      </c>
      <c r="D631" s="1517"/>
      <c r="E631" s="1517"/>
      <c r="F631" s="1517"/>
      <c r="G631" s="1517"/>
      <c r="H631" s="1517"/>
      <c r="I631" s="1517"/>
      <c r="J631" s="1517"/>
      <c r="K631" s="1517"/>
      <c r="L631" s="1517"/>
      <c r="M631" s="1519" t="s">
        <v>1291</v>
      </c>
      <c r="N631" s="1519"/>
      <c r="O631" s="1519"/>
      <c r="P631" s="1519"/>
      <c r="Q631" s="1485"/>
      <c r="R631" s="1486"/>
      <c r="S631" s="1487"/>
      <c r="T631" s="1485"/>
      <c r="U631" s="1486"/>
      <c r="V631" s="1487"/>
      <c r="W631" s="1513">
        <v>0.02</v>
      </c>
      <c r="X631" s="1514"/>
      <c r="Y631" s="1515"/>
      <c r="Z631" s="1553" t="s">
        <v>1291</v>
      </c>
      <c r="AA631" s="1554"/>
      <c r="AB631" s="1555"/>
      <c r="AC631" s="1510"/>
      <c r="AD631" s="1511"/>
      <c r="AE631" s="1512"/>
      <c r="AF631" s="1562"/>
      <c r="AG631" s="1563"/>
      <c r="AH631" s="1563"/>
      <c r="AI631" s="1563"/>
      <c r="AJ631" s="1564"/>
      <c r="AK631" s="1489"/>
      <c r="AL631" s="1490"/>
      <c r="AM631" s="1490"/>
      <c r="AN631" s="1491"/>
      <c r="AO631" s="1451">
        <f>ROUND('Sources and Uses Budget'!B105-AO640-SUM(Application!AO627:AS630),0)</f>
        <v>8097427</v>
      </c>
      <c r="AP631" s="1452"/>
      <c r="AQ631" s="1452"/>
      <c r="AR631" s="1452"/>
      <c r="AS631" s="1453"/>
      <c r="AT631" s="1192" t="str">
        <f t="shared" si="23"/>
        <v/>
      </c>
      <c r="AU631" s="3"/>
      <c r="AZ631" s="3"/>
      <c r="BA631" s="3"/>
      <c r="BB631" s="3"/>
      <c r="BC631" s="3"/>
      <c r="BD631" s="3"/>
      <c r="BE631" s="1547">
        <f t="shared" si="1"/>
        <v>0</v>
      </c>
      <c r="BF631" s="1549"/>
      <c r="BG631" s="1565">
        <f t="shared" si="2"/>
        <v>0</v>
      </c>
      <c r="BH631" s="1567"/>
      <c r="BI631" s="1547">
        <f t="shared" si="3"/>
        <v>0</v>
      </c>
      <c r="BJ631" s="1549"/>
      <c r="BK631" s="1565">
        <f t="shared" si="4"/>
        <v>0</v>
      </c>
      <c r="BL631" s="1567"/>
      <c r="BM631" s="3"/>
      <c r="BN631" s="1540">
        <f t="shared" si="5"/>
        <v>0</v>
      </c>
      <c r="BO631" s="1541"/>
      <c r="BP631" s="1541"/>
      <c r="BQ631" s="1541"/>
      <c r="BR631" s="1542"/>
      <c r="BS631" s="1550">
        <f t="shared" si="6"/>
        <v>0</v>
      </c>
      <c r="BT631" s="1550"/>
      <c r="BU631" s="1550"/>
      <c r="BV631" s="1550"/>
      <c r="BW631" s="1550"/>
      <c r="BX631" s="1550">
        <f t="shared" si="7"/>
        <v>0</v>
      </c>
      <c r="BY631" s="1550"/>
      <c r="BZ631" s="1550"/>
      <c r="CA631" s="1550"/>
      <c r="CB631" s="1550"/>
      <c r="CC631" s="1550">
        <f t="shared" si="8"/>
        <v>0</v>
      </c>
      <c r="CD631" s="1550"/>
      <c r="CE631" s="1550"/>
      <c r="CF631" s="1550"/>
      <c r="CG631" s="1550"/>
      <c r="CH631" s="1550">
        <f t="shared" si="9"/>
        <v>0</v>
      </c>
      <c r="CI631" s="1550"/>
      <c r="CJ631" s="1550"/>
      <c r="CK631" s="1550"/>
      <c r="CL631" s="1550"/>
      <c r="CM631" s="1550">
        <f t="shared" si="10"/>
        <v>0</v>
      </c>
      <c r="CN631" s="1550"/>
      <c r="CO631" s="1550"/>
      <c r="CP631" s="1550"/>
      <c r="CQ631" s="1550"/>
      <c r="CR631" s="6"/>
      <c r="CS631" s="1551">
        <f t="shared" si="11"/>
        <v>0</v>
      </c>
      <c r="CT631" s="1551"/>
      <c r="CU631" s="1551"/>
      <c r="CV631" s="1551"/>
      <c r="CW631" s="1551"/>
      <c r="CX631" s="1551">
        <f t="shared" si="12"/>
        <v>0</v>
      </c>
      <c r="CY631" s="1551"/>
      <c r="CZ631" s="1551"/>
      <c r="DA631" s="1551"/>
      <c r="DB631" s="1551"/>
      <c r="DC631" s="1551">
        <f t="shared" si="13"/>
        <v>0</v>
      </c>
      <c r="DD631" s="1551"/>
      <c r="DE631" s="1551"/>
      <c r="DF631" s="1551"/>
      <c r="DG631" s="1551"/>
      <c r="DH631" s="1551">
        <f t="shared" si="14"/>
        <v>0</v>
      </c>
      <c r="DI631" s="1551"/>
      <c r="DJ631" s="1551"/>
      <c r="DK631" s="1551"/>
      <c r="DL631" s="1551"/>
      <c r="DM631" s="1551">
        <f t="shared" si="15"/>
        <v>0</v>
      </c>
      <c r="DN631" s="1551"/>
      <c r="DO631" s="1551"/>
      <c r="DP631" s="1551"/>
      <c r="DQ631" s="1551"/>
      <c r="DR631" s="1551">
        <f t="shared" si="16"/>
        <v>0</v>
      </c>
      <c r="DS631" s="1551"/>
      <c r="DT631" s="1551"/>
      <c r="DU631" s="1551"/>
      <c r="DV631" s="1551"/>
      <c r="DX631" s="1547" t="str">
        <f t="shared" si="17"/>
        <v/>
      </c>
      <c r="DY631" s="1548"/>
      <c r="DZ631" s="1548"/>
      <c r="EA631" s="1548"/>
      <c r="EB631" s="1549"/>
      <c r="EC631" s="1547" t="str">
        <f t="shared" si="18"/>
        <v/>
      </c>
      <c r="ED631" s="1548"/>
      <c r="EE631" s="1548"/>
      <c r="EF631" s="1548"/>
      <c r="EG631" s="1549"/>
      <c r="EH631" s="1547" t="str">
        <f t="shared" si="19"/>
        <v/>
      </c>
      <c r="EI631" s="1548"/>
      <c r="EJ631" s="1548"/>
      <c r="EK631" s="1548"/>
      <c r="EL631" s="1549"/>
      <c r="EM631" s="1547" t="str">
        <f t="shared" si="20"/>
        <v/>
      </c>
      <c r="EN631" s="1548"/>
      <c r="EO631" s="1548"/>
      <c r="EP631" s="1548"/>
      <c r="EQ631" s="1549"/>
      <c r="ER631" s="1547" t="str">
        <f t="shared" si="21"/>
        <v/>
      </c>
      <c r="ES631" s="1548"/>
      <c r="ET631" s="1548"/>
      <c r="EU631" s="1548"/>
      <c r="EV631" s="1549"/>
      <c r="EW631" s="1547" t="str">
        <f t="shared" si="22"/>
        <v/>
      </c>
      <c r="EX631" s="1548"/>
      <c r="EY631" s="1548"/>
      <c r="EZ631" s="1548"/>
      <c r="FA631" s="1549"/>
    </row>
    <row r="632" spans="2:157" ht="12.95" customHeight="1">
      <c r="B632" s="52" t="s">
        <v>593</v>
      </c>
      <c r="C632" s="1745"/>
      <c r="D632" s="1517"/>
      <c r="E632" s="1517"/>
      <c r="F632" s="1517"/>
      <c r="G632" s="1517"/>
      <c r="H632" s="1517"/>
      <c r="I632" s="1517"/>
      <c r="J632" s="1517"/>
      <c r="K632" s="1517"/>
      <c r="L632" s="1517"/>
      <c r="M632" s="1519" t="s">
        <v>1291</v>
      </c>
      <c r="N632" s="1519"/>
      <c r="O632" s="1519"/>
      <c r="P632" s="1519"/>
      <c r="Q632" s="1485"/>
      <c r="R632" s="1486"/>
      <c r="S632" s="1487"/>
      <c r="T632" s="1485"/>
      <c r="U632" s="1486"/>
      <c r="V632" s="1487"/>
      <c r="W632" s="1513"/>
      <c r="X632" s="1514"/>
      <c r="Y632" s="1515"/>
      <c r="Z632" s="1553" t="s">
        <v>1291</v>
      </c>
      <c r="AA632" s="1554"/>
      <c r="AB632" s="1555"/>
      <c r="AC632" s="1510"/>
      <c r="AD632" s="1511"/>
      <c r="AE632" s="1512"/>
      <c r="AF632" s="1562"/>
      <c r="AG632" s="1563"/>
      <c r="AH632" s="1563"/>
      <c r="AI632" s="1563"/>
      <c r="AJ632" s="1564"/>
      <c r="AK632" s="1489"/>
      <c r="AL632" s="1490"/>
      <c r="AM632" s="1490"/>
      <c r="AN632" s="1491"/>
      <c r="AO632" s="1451"/>
      <c r="AP632" s="1452"/>
      <c r="AQ632" s="1452"/>
      <c r="AR632" s="1452"/>
      <c r="AS632" s="1453"/>
      <c r="AT632" s="1192" t="str">
        <f t="shared" si="23"/>
        <v/>
      </c>
      <c r="AU632" s="3"/>
      <c r="AZ632" s="3"/>
      <c r="BA632" s="3"/>
      <c r="BB632" s="3"/>
      <c r="BC632" s="3"/>
      <c r="BD632" s="3"/>
      <c r="BE632" s="3"/>
      <c r="BF632" s="3"/>
      <c r="BG632" s="1547">
        <f>SUM(BG597:BH631)</f>
        <v>149</v>
      </c>
      <c r="BH632" s="1549"/>
      <c r="BI632" s="3"/>
      <c r="BJ632" s="3"/>
      <c r="BK632" s="1547">
        <f>SUM(BK597:BL631)</f>
        <v>8</v>
      </c>
      <c r="BL632" s="1549"/>
      <c r="BM632" s="3"/>
      <c r="BN632" s="1547">
        <f>SUM(BN597:BR631)</f>
        <v>0</v>
      </c>
      <c r="BO632" s="1548"/>
      <c r="BP632" s="1548"/>
      <c r="BQ632" s="1548"/>
      <c r="BR632" s="1549"/>
      <c r="BS632" s="1552">
        <f>SUM(BS597:BW631)</f>
        <v>80</v>
      </c>
      <c r="BT632" s="1552"/>
      <c r="BU632" s="1552"/>
      <c r="BV632" s="1552"/>
      <c r="BW632" s="1552"/>
      <c r="BX632" s="1552">
        <f>SUM(BX597:CB631)</f>
        <v>79</v>
      </c>
      <c r="BY632" s="1552"/>
      <c r="BZ632" s="1552"/>
      <c r="CA632" s="1552"/>
      <c r="CB632" s="1552"/>
      <c r="CC632" s="1552">
        <f>SUM(CC597:CG631)</f>
        <v>0</v>
      </c>
      <c r="CD632" s="1552"/>
      <c r="CE632" s="1552"/>
      <c r="CF632" s="1552"/>
      <c r="CG632" s="1552"/>
      <c r="CH632" s="1552">
        <f>SUM(CH597:CL631)</f>
        <v>0</v>
      </c>
      <c r="CI632" s="1552"/>
      <c r="CJ632" s="1552"/>
      <c r="CK632" s="1552"/>
      <c r="CL632" s="1552"/>
      <c r="CM632" s="1552">
        <f>SUM(CM597:CQ631)</f>
        <v>0</v>
      </c>
      <c r="CN632" s="1552"/>
      <c r="CO632" s="1552"/>
      <c r="CP632" s="1552"/>
      <c r="CQ632" s="1552"/>
      <c r="CR632" s="385"/>
      <c r="CS632" s="1552">
        <f>SUM(CS597:CW631)</f>
        <v>0</v>
      </c>
      <c r="CT632" s="1552"/>
      <c r="CU632" s="1552"/>
      <c r="CV632" s="1552"/>
      <c r="CW632" s="1552"/>
      <c r="CX632" s="1552">
        <f>SUM(CX597:DB631)</f>
        <v>4</v>
      </c>
      <c r="CY632" s="1552"/>
      <c r="CZ632" s="1552"/>
      <c r="DA632" s="1552"/>
      <c r="DB632" s="1552"/>
      <c r="DC632" s="1552">
        <f>SUM(DC597:DG631)</f>
        <v>4</v>
      </c>
      <c r="DD632" s="1552"/>
      <c r="DE632" s="1552"/>
      <c r="DF632" s="1552"/>
      <c r="DG632" s="1552"/>
      <c r="DH632" s="1552">
        <f>SUM(DH597:DL631)</f>
        <v>0</v>
      </c>
      <c r="DI632" s="1552"/>
      <c r="DJ632" s="1552"/>
      <c r="DK632" s="1552"/>
      <c r="DL632" s="1552"/>
      <c r="DM632" s="1552">
        <f>SUM(DM597:DQ631)</f>
        <v>0</v>
      </c>
      <c r="DN632" s="1552"/>
      <c r="DO632" s="1552"/>
      <c r="DP632" s="1552"/>
      <c r="DQ632" s="1552"/>
      <c r="DR632" s="1552">
        <f>SUM(DR597:DV631)</f>
        <v>0</v>
      </c>
      <c r="DS632" s="1552"/>
      <c r="DT632" s="1552"/>
      <c r="DU632" s="1552"/>
      <c r="DV632" s="1552"/>
      <c r="DX632" s="1552">
        <f>SUM(DX597:EB631)</f>
        <v>0</v>
      </c>
      <c r="DY632" s="1552"/>
      <c r="DZ632" s="1552"/>
      <c r="EA632" s="1552"/>
      <c r="EB632" s="1552"/>
      <c r="EC632" s="1552">
        <f>SUM(EC597:EG631)</f>
        <v>2530</v>
      </c>
      <c r="ED632" s="1552"/>
      <c r="EE632" s="1552"/>
      <c r="EF632" s="1552"/>
      <c r="EG632" s="1552"/>
      <c r="EH632" s="1552">
        <f>SUM(EH597:EL631)</f>
        <v>12541</v>
      </c>
      <c r="EI632" s="1552"/>
      <c r="EJ632" s="1552"/>
      <c r="EK632" s="1552"/>
      <c r="EL632" s="1552"/>
      <c r="EM632" s="1552">
        <f>SUM(EM597:EQ631)</f>
        <v>0</v>
      </c>
      <c r="EN632" s="1552"/>
      <c r="EO632" s="1552"/>
      <c r="EP632" s="1552"/>
      <c r="EQ632" s="1552"/>
      <c r="ER632" s="1552">
        <f>SUM(ER597:EV631)</f>
        <v>0</v>
      </c>
      <c r="ES632" s="1552"/>
      <c r="ET632" s="1552"/>
      <c r="EU632" s="1552"/>
      <c r="EV632" s="1552"/>
      <c r="EW632" s="1552">
        <f>SUM(EW597:FA631)</f>
        <v>0</v>
      </c>
      <c r="EX632" s="1552"/>
      <c r="EY632" s="1552"/>
      <c r="EZ632" s="1552"/>
      <c r="FA632" s="1552"/>
    </row>
    <row r="633" spans="2:157" ht="12.95" customHeight="1">
      <c r="B633" s="52" t="s">
        <v>464</v>
      </c>
      <c r="C633" s="1517"/>
      <c r="D633" s="1517"/>
      <c r="E633" s="1517"/>
      <c r="F633" s="1517"/>
      <c r="G633" s="1517"/>
      <c r="H633" s="1517"/>
      <c r="I633" s="1517"/>
      <c r="J633" s="1517"/>
      <c r="K633" s="1517"/>
      <c r="L633" s="1517"/>
      <c r="M633" s="1519" t="s">
        <v>1291</v>
      </c>
      <c r="N633" s="1519"/>
      <c r="O633" s="1519"/>
      <c r="P633" s="1519"/>
      <c r="Q633" s="1485"/>
      <c r="R633" s="1486"/>
      <c r="S633" s="1487"/>
      <c r="T633" s="1485"/>
      <c r="U633" s="1486"/>
      <c r="V633" s="1487"/>
      <c r="W633" s="1513"/>
      <c r="X633" s="1514"/>
      <c r="Y633" s="1515"/>
      <c r="Z633" s="1553" t="s">
        <v>1291</v>
      </c>
      <c r="AA633" s="1554"/>
      <c r="AB633" s="1555"/>
      <c r="AC633" s="1510"/>
      <c r="AD633" s="1511"/>
      <c r="AE633" s="1512"/>
      <c r="AF633" s="1562"/>
      <c r="AG633" s="1563"/>
      <c r="AH633" s="1563"/>
      <c r="AI633" s="1563"/>
      <c r="AJ633" s="1564"/>
      <c r="AK633" s="1489"/>
      <c r="AL633" s="1490"/>
      <c r="AM633" s="1490"/>
      <c r="AN633" s="1491"/>
      <c r="AO633" s="1451"/>
      <c r="AP633" s="1452"/>
      <c r="AQ633" s="1452"/>
      <c r="AR633" s="1452"/>
      <c r="AS633" s="145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47">
        <f>BN632+BS632+BX632+CC632+CH632+CM632</f>
        <v>159</v>
      </c>
      <c r="CN633" s="1548"/>
      <c r="CO633" s="1548"/>
      <c r="CP633" s="1548"/>
      <c r="CQ633" s="1549"/>
      <c r="CR633" s="385"/>
      <c r="CS633" s="3"/>
      <c r="CT633" s="3"/>
      <c r="CU633" s="3"/>
      <c r="CV633" s="3"/>
      <c r="CW633" s="3"/>
      <c r="CX633" s="3"/>
      <c r="CY633" s="3"/>
      <c r="CZ633" s="3"/>
      <c r="DA633" s="3"/>
      <c r="DB633" s="3"/>
      <c r="DC633" s="3"/>
      <c r="DD633" s="3"/>
      <c r="DE633" s="3"/>
      <c r="DF633" s="3"/>
    </row>
    <row r="634" spans="2:157" ht="12.95" customHeight="1">
      <c r="B634" s="52" t="s">
        <v>465</v>
      </c>
      <c r="C634" s="1517"/>
      <c r="D634" s="1517"/>
      <c r="E634" s="1517"/>
      <c r="F634" s="1517"/>
      <c r="G634" s="1517"/>
      <c r="H634" s="1517"/>
      <c r="I634" s="1517"/>
      <c r="J634" s="1517"/>
      <c r="K634" s="1517"/>
      <c r="L634" s="1517"/>
      <c r="M634" s="1519" t="s">
        <v>1291</v>
      </c>
      <c r="N634" s="1519"/>
      <c r="O634" s="1519"/>
      <c r="P634" s="1519"/>
      <c r="Q634" s="1485"/>
      <c r="R634" s="1486"/>
      <c r="S634" s="1487"/>
      <c r="T634" s="1485"/>
      <c r="U634" s="1486"/>
      <c r="V634" s="1487"/>
      <c r="W634" s="1513"/>
      <c r="X634" s="1514"/>
      <c r="Y634" s="1515"/>
      <c r="Z634" s="1553" t="s">
        <v>1291</v>
      </c>
      <c r="AA634" s="1554"/>
      <c r="AB634" s="1555"/>
      <c r="AC634" s="1510"/>
      <c r="AD634" s="1511"/>
      <c r="AE634" s="1512"/>
      <c r="AF634" s="1562"/>
      <c r="AG634" s="1563"/>
      <c r="AH634" s="1563"/>
      <c r="AI634" s="1563"/>
      <c r="AJ634" s="1564"/>
      <c r="AK634" s="1489"/>
      <c r="AL634" s="1490"/>
      <c r="AM634" s="1490"/>
      <c r="AN634" s="1491"/>
      <c r="AO634" s="1451"/>
      <c r="AP634" s="1452"/>
      <c r="AQ634" s="1452"/>
      <c r="AR634" s="1452"/>
      <c r="AS634" s="1453"/>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80</v>
      </c>
      <c r="BX634" s="3"/>
      <c r="BY634" s="3"/>
      <c r="BZ634" s="3"/>
      <c r="CA634" s="3"/>
      <c r="CB634" s="895">
        <f>BX632*2</f>
        <v>158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238</v>
      </c>
      <c r="CT634" s="57" t="s">
        <v>2055</v>
      </c>
      <c r="CU634" s="3"/>
      <c r="CV634" s="3"/>
      <c r="CW634" s="3"/>
      <c r="CX634" s="3"/>
      <c r="CY634" s="3"/>
      <c r="CZ634" s="3"/>
      <c r="DA634" s="3"/>
      <c r="DB634" s="3"/>
      <c r="DC634" s="3"/>
      <c r="DD634" s="3"/>
      <c r="DE634" s="3"/>
      <c r="DF634" s="3"/>
    </row>
    <row r="635" spans="2:157" ht="12.95" customHeight="1">
      <c r="B635" s="52" t="s">
        <v>470</v>
      </c>
      <c r="C635" s="1517"/>
      <c r="D635" s="1517"/>
      <c r="E635" s="1517"/>
      <c r="F635" s="1517"/>
      <c r="G635" s="1517"/>
      <c r="H635" s="1517"/>
      <c r="I635" s="1517"/>
      <c r="J635" s="1517"/>
      <c r="K635" s="1517"/>
      <c r="L635" s="1517"/>
      <c r="M635" s="1519" t="s">
        <v>1291</v>
      </c>
      <c r="N635" s="1519"/>
      <c r="O635" s="1519"/>
      <c r="P635" s="1519"/>
      <c r="Q635" s="1485"/>
      <c r="R635" s="1486"/>
      <c r="S635" s="1487"/>
      <c r="T635" s="1485"/>
      <c r="U635" s="1486"/>
      <c r="V635" s="1487"/>
      <c r="W635" s="1513"/>
      <c r="X635" s="1514"/>
      <c r="Y635" s="1515"/>
      <c r="Z635" s="1553" t="s">
        <v>1291</v>
      </c>
      <c r="AA635" s="1554"/>
      <c r="AB635" s="1555"/>
      <c r="AC635" s="1510"/>
      <c r="AD635" s="1511"/>
      <c r="AE635" s="1512"/>
      <c r="AF635" s="1562"/>
      <c r="AG635" s="1563"/>
      <c r="AH635" s="1563"/>
      <c r="AI635" s="1563"/>
      <c r="AJ635" s="1564"/>
      <c r="AK635" s="1489"/>
      <c r="AL635" s="1490"/>
      <c r="AM635" s="1490"/>
      <c r="AN635" s="1491"/>
      <c r="AO635" s="1451"/>
      <c r="AP635" s="1452"/>
      <c r="AQ635" s="1452"/>
      <c r="AR635" s="1452"/>
      <c r="AS635" s="1453"/>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37" t="e">
        <f>DX597*(BN597/$BN$632)</f>
        <v>#VALUE!</v>
      </c>
      <c r="DY635" s="1537"/>
      <c r="DZ635" s="1537"/>
      <c r="EA635" s="1537"/>
      <c r="EB635" s="1537"/>
      <c r="EC635" s="1537">
        <f t="shared" ref="EC635:EC657" si="24">EC597*(BS597/$BS$632)</f>
        <v>1520</v>
      </c>
      <c r="ED635" s="1537"/>
      <c r="EE635" s="1537"/>
      <c r="EF635" s="1537"/>
      <c r="EG635" s="1537"/>
      <c r="EH635" s="1537" t="e">
        <f t="shared" ref="EH635:EH657" si="25">EH597*(BX597/$BX$632)</f>
        <v>#VALUE!</v>
      </c>
      <c r="EI635" s="1537"/>
      <c r="EJ635" s="1537"/>
      <c r="EK635" s="1537"/>
      <c r="EL635" s="1537"/>
      <c r="EM635" s="1537" t="e">
        <f t="shared" ref="EM635:EM657" si="26">EM597*(CC597/$CC$632)</f>
        <v>#VALUE!</v>
      </c>
      <c r="EN635" s="1537"/>
      <c r="EO635" s="1537"/>
      <c r="EP635" s="1537"/>
      <c r="EQ635" s="1537"/>
      <c r="ER635" s="1537" t="e">
        <f t="shared" ref="ER635:ER657" si="27">ER597*(CH597/$CH$632)</f>
        <v>#VALUE!</v>
      </c>
      <c r="ES635" s="1537"/>
      <c r="ET635" s="1537"/>
      <c r="EU635" s="1537"/>
      <c r="EV635" s="1537"/>
      <c r="EW635" s="1537" t="e">
        <f t="shared" ref="EW635:EW657" si="28">EW597*(CM597/$CM$632)</f>
        <v>#VALUE!</v>
      </c>
      <c r="EX635" s="1537"/>
      <c r="EY635" s="1537"/>
      <c r="EZ635" s="1537"/>
      <c r="FA635" s="1537"/>
    </row>
    <row r="636" spans="2:157" ht="12.95" customHeight="1">
      <c r="B636" s="52" t="s">
        <v>655</v>
      </c>
      <c r="C636" s="1517"/>
      <c r="D636" s="1517"/>
      <c r="E636" s="1517"/>
      <c r="F636" s="1517"/>
      <c r="G636" s="1517"/>
      <c r="H636" s="1517"/>
      <c r="I636" s="1517"/>
      <c r="J636" s="1517"/>
      <c r="K636" s="1517"/>
      <c r="L636" s="1517"/>
      <c r="M636" s="1519" t="s">
        <v>1291</v>
      </c>
      <c r="N636" s="1519"/>
      <c r="O636" s="1519"/>
      <c r="P636" s="1519"/>
      <c r="Q636" s="1485"/>
      <c r="R636" s="1486"/>
      <c r="S636" s="1487"/>
      <c r="T636" s="1485"/>
      <c r="U636" s="1486"/>
      <c r="V636" s="1487"/>
      <c r="W636" s="1513"/>
      <c r="X636" s="1514"/>
      <c r="Y636" s="1515"/>
      <c r="Z636" s="1553" t="s">
        <v>1291</v>
      </c>
      <c r="AA636" s="1554"/>
      <c r="AB636" s="1555"/>
      <c r="AC636" s="1510"/>
      <c r="AD636" s="1511"/>
      <c r="AE636" s="1512"/>
      <c r="AF636" s="1562"/>
      <c r="AG636" s="1563"/>
      <c r="AH636" s="1563"/>
      <c r="AI636" s="1563"/>
      <c r="AJ636" s="1564"/>
      <c r="AK636" s="1489"/>
      <c r="AL636" s="1490"/>
      <c r="AM636" s="1490"/>
      <c r="AN636" s="1491"/>
      <c r="AO636" s="1451"/>
      <c r="AP636" s="1452"/>
      <c r="AQ636" s="1452"/>
      <c r="AR636" s="1452"/>
      <c r="AS636" s="1453"/>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37" t="e">
        <f t="shared" ref="DX636:DX657" si="29">DX598*(BN598/$BN$632)</f>
        <v>#VALUE!</v>
      </c>
      <c r="DY636" s="1537"/>
      <c r="DZ636" s="1537"/>
      <c r="EA636" s="1537"/>
      <c r="EB636" s="1537"/>
      <c r="EC636" s="1537" t="e">
        <f t="shared" si="24"/>
        <v>#VALUE!</v>
      </c>
      <c r="ED636" s="1537"/>
      <c r="EE636" s="1537"/>
      <c r="EF636" s="1537"/>
      <c r="EG636" s="1537"/>
      <c r="EH636" s="1537">
        <f t="shared" si="25"/>
        <v>1599.0379746835442</v>
      </c>
      <c r="EI636" s="1537"/>
      <c r="EJ636" s="1537"/>
      <c r="EK636" s="1537"/>
      <c r="EL636" s="1537"/>
      <c r="EM636" s="1537" t="e">
        <f t="shared" si="26"/>
        <v>#VALUE!</v>
      </c>
      <c r="EN636" s="1537"/>
      <c r="EO636" s="1537"/>
      <c r="EP636" s="1537"/>
      <c r="EQ636" s="1537"/>
      <c r="ER636" s="1537" t="e">
        <f t="shared" si="27"/>
        <v>#VALUE!</v>
      </c>
      <c r="ES636" s="1537"/>
      <c r="ET636" s="1537"/>
      <c r="EU636" s="1537"/>
      <c r="EV636" s="1537"/>
      <c r="EW636" s="1537" t="e">
        <f t="shared" si="28"/>
        <v>#VALUE!</v>
      </c>
      <c r="EX636" s="1537"/>
      <c r="EY636" s="1537"/>
      <c r="EZ636" s="1537"/>
      <c r="FA636" s="1537"/>
    </row>
    <row r="637" spans="2:157" ht="12.95" customHeight="1">
      <c r="B637" s="52" t="s">
        <v>363</v>
      </c>
      <c r="C637" s="1517"/>
      <c r="D637" s="1517"/>
      <c r="E637" s="1517"/>
      <c r="F637" s="1517"/>
      <c r="G637" s="1517"/>
      <c r="H637" s="1517"/>
      <c r="I637" s="1517"/>
      <c r="J637" s="1517"/>
      <c r="K637" s="1517"/>
      <c r="L637" s="1517"/>
      <c r="M637" s="1519" t="s">
        <v>1291</v>
      </c>
      <c r="N637" s="1519"/>
      <c r="O637" s="1519"/>
      <c r="P637" s="1519"/>
      <c r="Q637" s="1485"/>
      <c r="R637" s="1486"/>
      <c r="S637" s="1487"/>
      <c r="T637" s="1485"/>
      <c r="U637" s="1486"/>
      <c r="V637" s="1487"/>
      <c r="W637" s="1513"/>
      <c r="X637" s="1514"/>
      <c r="Y637" s="1515"/>
      <c r="Z637" s="1553" t="s">
        <v>1291</v>
      </c>
      <c r="AA637" s="1554"/>
      <c r="AB637" s="1555"/>
      <c r="AC637" s="1510"/>
      <c r="AD637" s="1511"/>
      <c r="AE637" s="1512"/>
      <c r="AF637" s="1562"/>
      <c r="AG637" s="1563"/>
      <c r="AH637" s="1563"/>
      <c r="AI637" s="1563"/>
      <c r="AJ637" s="1564"/>
      <c r="AK637" s="1489"/>
      <c r="AL637" s="1490"/>
      <c r="AM637" s="1490"/>
      <c r="AN637" s="1491"/>
      <c r="AO637" s="1451"/>
      <c r="AP637" s="1452"/>
      <c r="AQ637" s="1452"/>
      <c r="AR637" s="1452"/>
      <c r="AS637" s="1453"/>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40">
        <f>IF(J773="SRO/Studio",O773,0)</f>
        <v>0</v>
      </c>
      <c r="BO637" s="1541"/>
      <c r="BP637" s="1541"/>
      <c r="BQ637" s="1541"/>
      <c r="BR637" s="1542"/>
      <c r="BS637" s="1550">
        <f>IF(J773="1 Bedroom",O773,0)</f>
        <v>0</v>
      </c>
      <c r="BT637" s="1550"/>
      <c r="BU637" s="1550"/>
      <c r="BV637" s="1550"/>
      <c r="BW637" s="1550"/>
      <c r="BX637" s="1550">
        <f>IF(J773="2 Bedrooms",O773,0)</f>
        <v>1</v>
      </c>
      <c r="BY637" s="1550"/>
      <c r="BZ637" s="1550"/>
      <c r="CA637" s="1550"/>
      <c r="CB637" s="1550"/>
      <c r="CC637" s="1550">
        <f>IF(J773="3 Bedrooms",O773,0)</f>
        <v>0</v>
      </c>
      <c r="CD637" s="1550"/>
      <c r="CE637" s="1550"/>
      <c r="CF637" s="1550"/>
      <c r="CG637" s="1550"/>
      <c r="CH637" s="1550">
        <f>IF(J773="4 Bedrooms",O773,0)</f>
        <v>0</v>
      </c>
      <c r="CI637" s="1550"/>
      <c r="CJ637" s="1550"/>
      <c r="CK637" s="1550"/>
      <c r="CL637" s="1550"/>
      <c r="CM637" s="1550">
        <f>IF(J773="5 Bedrooms",O773,0)</f>
        <v>0</v>
      </c>
      <c r="CN637" s="1550"/>
      <c r="CO637" s="1550"/>
      <c r="CP637" s="1550"/>
      <c r="CQ637" s="1550"/>
      <c r="CR637" s="6"/>
      <c r="CS637" s="3"/>
      <c r="CT637" s="3"/>
      <c r="CU637" s="3"/>
      <c r="CV637" s="3"/>
      <c r="CW637" s="3"/>
      <c r="CX637" s="3"/>
      <c r="CY637" s="3"/>
      <c r="CZ637" s="3"/>
      <c r="DA637" s="3"/>
      <c r="DB637" s="3"/>
      <c r="DC637" s="3"/>
      <c r="DD637" s="3"/>
      <c r="DE637" s="3"/>
      <c r="DF637" s="3"/>
      <c r="DX637" s="1537" t="e">
        <f t="shared" si="29"/>
        <v>#VALUE!</v>
      </c>
      <c r="DY637" s="1537"/>
      <c r="DZ637" s="1537"/>
      <c r="EA637" s="1537"/>
      <c r="EB637" s="1537"/>
      <c r="EC637" s="1537" t="e">
        <f t="shared" si="24"/>
        <v>#VALUE!</v>
      </c>
      <c r="ED637" s="1537"/>
      <c r="EE637" s="1537"/>
      <c r="EF637" s="1537"/>
      <c r="EG637" s="1537"/>
      <c r="EH637" s="1537">
        <f t="shared" si="25"/>
        <v>48.481012658227847</v>
      </c>
      <c r="EI637" s="1537"/>
      <c r="EJ637" s="1537"/>
      <c r="EK637" s="1537"/>
      <c r="EL637" s="1537"/>
      <c r="EM637" s="1537" t="e">
        <f t="shared" si="26"/>
        <v>#VALUE!</v>
      </c>
      <c r="EN637" s="1537"/>
      <c r="EO637" s="1537"/>
      <c r="EP637" s="1537"/>
      <c r="EQ637" s="1537"/>
      <c r="ER637" s="1537" t="e">
        <f t="shared" si="27"/>
        <v>#VALUE!</v>
      </c>
      <c r="ES637" s="1537"/>
      <c r="ET637" s="1537"/>
      <c r="EU637" s="1537"/>
      <c r="EV637" s="1537"/>
      <c r="EW637" s="1537" t="e">
        <f t="shared" si="28"/>
        <v>#VALUE!</v>
      </c>
      <c r="EX637" s="1537"/>
      <c r="EY637" s="1537"/>
      <c r="EZ637" s="1537"/>
      <c r="FA637" s="1537"/>
    </row>
    <row r="638" spans="2:157" ht="12.95" customHeight="1">
      <c r="B638" s="52" t="s">
        <v>364</v>
      </c>
      <c r="C638" s="1517"/>
      <c r="D638" s="1517"/>
      <c r="E638" s="1517"/>
      <c r="F638" s="1517"/>
      <c r="G638" s="1517"/>
      <c r="H638" s="1517"/>
      <c r="I638" s="1517"/>
      <c r="J638" s="1517"/>
      <c r="K638" s="1517"/>
      <c r="L638" s="1517"/>
      <c r="M638" s="1519" t="s">
        <v>1291</v>
      </c>
      <c r="N638" s="1519"/>
      <c r="O638" s="1519"/>
      <c r="P638" s="1519"/>
      <c r="Q638" s="1485"/>
      <c r="R638" s="1486"/>
      <c r="S638" s="1487"/>
      <c r="T638" s="1485"/>
      <c r="U638" s="1486"/>
      <c r="V638" s="1487"/>
      <c r="W638" s="1513"/>
      <c r="X638" s="1514"/>
      <c r="Y638" s="1515"/>
      <c r="Z638" s="1553" t="s">
        <v>1291</v>
      </c>
      <c r="AA638" s="1554"/>
      <c r="AB638" s="1555"/>
      <c r="AC638" s="1510"/>
      <c r="AD638" s="1511"/>
      <c r="AE638" s="1512"/>
      <c r="AF638" s="1562"/>
      <c r="AG638" s="1563"/>
      <c r="AH638" s="1563"/>
      <c r="AI638" s="1563"/>
      <c r="AJ638" s="1564"/>
      <c r="AK638" s="1489"/>
      <c r="AL638" s="1490"/>
      <c r="AM638" s="1490"/>
      <c r="AN638" s="1491"/>
      <c r="AO638" s="1451"/>
      <c r="AP638" s="1452"/>
      <c r="AQ638" s="1452"/>
      <c r="AR638" s="1452"/>
      <c r="AS638" s="145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40">
        <f>IF(J774="SRO/Studio",O774,0)</f>
        <v>0</v>
      </c>
      <c r="BO638" s="1541"/>
      <c r="BP638" s="1541"/>
      <c r="BQ638" s="1541"/>
      <c r="BR638" s="1542"/>
      <c r="BS638" s="1550">
        <f>IF(J774="1 Bedroom",O774,0)</f>
        <v>0</v>
      </c>
      <c r="BT638" s="1550"/>
      <c r="BU638" s="1550"/>
      <c r="BV638" s="1550"/>
      <c r="BW638" s="1550"/>
      <c r="BX638" s="1550">
        <f>IF(J774="2 Bedrooms",O774,0)</f>
        <v>0</v>
      </c>
      <c r="BY638" s="1550"/>
      <c r="BZ638" s="1550"/>
      <c r="CA638" s="1550"/>
      <c r="CB638" s="1550"/>
      <c r="CC638" s="1550">
        <f>IF(J774="3 Bedrooms",O774,0)</f>
        <v>0</v>
      </c>
      <c r="CD638" s="1550"/>
      <c r="CE638" s="1550"/>
      <c r="CF638" s="1550"/>
      <c r="CG638" s="1550"/>
      <c r="CH638" s="1550">
        <f>IF(J774="4 Bedrooms",O774,0)</f>
        <v>0</v>
      </c>
      <c r="CI638" s="1550"/>
      <c r="CJ638" s="1550"/>
      <c r="CK638" s="1550"/>
      <c r="CL638" s="1550"/>
      <c r="CM638" s="1550">
        <f>IF(J774="5 Bedrooms",O774,0)</f>
        <v>0</v>
      </c>
      <c r="CN638" s="1550"/>
      <c r="CO638" s="1550"/>
      <c r="CP638" s="1550"/>
      <c r="CQ638" s="1550"/>
      <c r="CR638" s="6"/>
      <c r="CS638" s="3"/>
      <c r="CT638" s="3"/>
      <c r="CU638" s="3"/>
      <c r="CV638" s="3"/>
      <c r="CW638" s="3"/>
      <c r="CX638" s="3"/>
      <c r="CY638" s="3"/>
      <c r="CZ638" s="3"/>
      <c r="DA638" s="3"/>
      <c r="DB638" s="3"/>
      <c r="DC638" s="3"/>
      <c r="DD638" s="3"/>
      <c r="DE638" s="3"/>
      <c r="DF638" s="3"/>
      <c r="DX638" s="1537" t="e">
        <f t="shared" si="29"/>
        <v>#VALUE!</v>
      </c>
      <c r="DY638" s="1537"/>
      <c r="DZ638" s="1537"/>
      <c r="EA638" s="1537"/>
      <c r="EB638" s="1537"/>
      <c r="EC638" s="1537" t="e">
        <f t="shared" si="24"/>
        <v>#VALUE!</v>
      </c>
      <c r="ED638" s="1537"/>
      <c r="EE638" s="1537"/>
      <c r="EF638" s="1537"/>
      <c r="EG638" s="1537"/>
      <c r="EH638" s="1537">
        <f t="shared" si="25"/>
        <v>118.98734177215191</v>
      </c>
      <c r="EI638" s="1537"/>
      <c r="EJ638" s="1537"/>
      <c r="EK638" s="1537"/>
      <c r="EL638" s="1537"/>
      <c r="EM638" s="1537" t="e">
        <f t="shared" si="26"/>
        <v>#VALUE!</v>
      </c>
      <c r="EN638" s="1537"/>
      <c r="EO638" s="1537"/>
      <c r="EP638" s="1537"/>
      <c r="EQ638" s="1537"/>
      <c r="ER638" s="1537" t="e">
        <f t="shared" si="27"/>
        <v>#VALUE!</v>
      </c>
      <c r="ES638" s="1537"/>
      <c r="ET638" s="1537"/>
      <c r="EU638" s="1537"/>
      <c r="EV638" s="1537"/>
      <c r="EW638" s="1537" t="e">
        <f t="shared" si="28"/>
        <v>#VALUE!</v>
      </c>
      <c r="EX638" s="1537"/>
      <c r="EY638" s="1537"/>
      <c r="EZ638" s="1537"/>
      <c r="FA638" s="1537"/>
    </row>
    <row r="639" spans="2:157" ht="12.95" customHeight="1">
      <c r="B639" s="1676" t="s">
        <v>128</v>
      </c>
      <c r="C639" s="1677"/>
      <c r="D639" s="1677"/>
      <c r="E639" s="1677"/>
      <c r="F639" s="1677"/>
      <c r="G639" s="1677"/>
      <c r="H639" s="1677"/>
      <c r="I639" s="1677"/>
      <c r="J639" s="1677"/>
      <c r="K639" s="1677"/>
      <c r="L639" s="1677"/>
      <c r="M639" s="1677"/>
      <c r="N639" s="1677"/>
      <c r="O639" s="1677"/>
      <c r="P639" s="1677"/>
      <c r="Q639" s="1677"/>
      <c r="R639" s="1677"/>
      <c r="S639" s="1677"/>
      <c r="T639" s="1677"/>
      <c r="U639" s="1677"/>
      <c r="V639" s="1677"/>
      <c r="W639" s="1677"/>
      <c r="X639" s="1677"/>
      <c r="Y639" s="1677"/>
      <c r="Z639" s="1677"/>
      <c r="AA639" s="1677"/>
      <c r="AB639" s="1677"/>
      <c r="AC639" s="1677"/>
      <c r="AD639" s="1677"/>
      <c r="AE639" s="1677"/>
      <c r="AF639" s="1677"/>
      <c r="AG639" s="1677"/>
      <c r="AH639" s="1677"/>
      <c r="AI639" s="1677"/>
      <c r="AJ639" s="1677"/>
      <c r="AK639" s="1677"/>
      <c r="AL639" s="1677"/>
      <c r="AM639" s="1677"/>
      <c r="AN639" s="1678"/>
      <c r="AO639" s="1414">
        <f>SUM(AO627:AR638)</f>
        <v>81863290</v>
      </c>
      <c r="AP639" s="1415"/>
      <c r="AQ639" s="1415"/>
      <c r="AR639" s="1415"/>
      <c r="AS639" s="1416"/>
      <c r="AV639" s="3"/>
      <c r="AW639" s="3"/>
      <c r="AX639" s="3"/>
      <c r="AY639" s="3"/>
      <c r="AZ639" s="34"/>
      <c r="BA639" s="34"/>
      <c r="BB639" s="34"/>
      <c r="BC639" s="34"/>
      <c r="BD639" s="34"/>
      <c r="BE639" s="34"/>
      <c r="BF639" s="34"/>
      <c r="BG639" s="34"/>
      <c r="BH639" s="34"/>
      <c r="BI639" s="34"/>
      <c r="BJ639" s="34"/>
      <c r="BK639" s="34"/>
      <c r="BL639" s="34"/>
      <c r="BM639" s="34"/>
      <c r="BN639" s="1540">
        <f>IF(J775="SRO/Studio",O775,0)</f>
        <v>0</v>
      </c>
      <c r="BO639" s="1541"/>
      <c r="BP639" s="1541"/>
      <c r="BQ639" s="1541"/>
      <c r="BR639" s="1542"/>
      <c r="BS639" s="1550">
        <f>IF(J775="1 Bedroom",O775,0)</f>
        <v>0</v>
      </c>
      <c r="BT639" s="1550"/>
      <c r="BU639" s="1550"/>
      <c r="BV639" s="1550"/>
      <c r="BW639" s="1550"/>
      <c r="BX639" s="1550">
        <f>IF(J775="2 Bedrooms",O775,0)</f>
        <v>0</v>
      </c>
      <c r="BY639" s="1550"/>
      <c r="BZ639" s="1550"/>
      <c r="CA639" s="1550"/>
      <c r="CB639" s="1550"/>
      <c r="CC639" s="1550">
        <f>IF(J775="3 Bedrooms",O775,0)</f>
        <v>0</v>
      </c>
      <c r="CD639" s="1550"/>
      <c r="CE639" s="1550"/>
      <c r="CF639" s="1550"/>
      <c r="CG639" s="1550"/>
      <c r="CH639" s="1550">
        <f>IF(J775="4 Bedrooms",O775,0)</f>
        <v>0</v>
      </c>
      <c r="CI639" s="1550"/>
      <c r="CJ639" s="1550"/>
      <c r="CK639" s="1550"/>
      <c r="CL639" s="1550"/>
      <c r="CM639" s="1550">
        <f>IF(J775="5 Bedrooms",O775,0)</f>
        <v>0</v>
      </c>
      <c r="CN639" s="1550"/>
      <c r="CO639" s="1550"/>
      <c r="CP639" s="1550"/>
      <c r="CQ639" s="1550"/>
      <c r="CR639" s="1047"/>
      <c r="CV639" s="3"/>
      <c r="CW639" s="3"/>
      <c r="CX639" s="3"/>
      <c r="CY639" s="3"/>
      <c r="CZ639" s="3"/>
      <c r="DA639" s="3"/>
      <c r="DB639" s="3"/>
      <c r="DC639" s="3"/>
      <c r="DD639" s="3"/>
      <c r="DE639" s="3"/>
      <c r="DF639" s="3"/>
      <c r="DX639" s="1537" t="e">
        <f t="shared" si="29"/>
        <v>#VALUE!</v>
      </c>
      <c r="DY639" s="1537"/>
      <c r="DZ639" s="1537"/>
      <c r="EA639" s="1537"/>
      <c r="EB639" s="1537"/>
      <c r="EC639" s="1537" t="e">
        <f t="shared" si="24"/>
        <v>#VALUE!</v>
      </c>
      <c r="ED639" s="1537"/>
      <c r="EE639" s="1537"/>
      <c r="EF639" s="1537"/>
      <c r="EG639" s="1537"/>
      <c r="EH639" s="1537" t="e">
        <f t="shared" si="25"/>
        <v>#VALUE!</v>
      </c>
      <c r="EI639" s="1537"/>
      <c r="EJ639" s="1537"/>
      <c r="EK639" s="1537"/>
      <c r="EL639" s="1537"/>
      <c r="EM639" s="1537" t="e">
        <f t="shared" si="26"/>
        <v>#VALUE!</v>
      </c>
      <c r="EN639" s="1537"/>
      <c r="EO639" s="1537"/>
      <c r="EP639" s="1537"/>
      <c r="EQ639" s="1537"/>
      <c r="ER639" s="1537" t="e">
        <f t="shared" si="27"/>
        <v>#VALUE!</v>
      </c>
      <c r="ES639" s="1537"/>
      <c r="ET639" s="1537"/>
      <c r="EU639" s="1537"/>
      <c r="EV639" s="1537"/>
      <c r="EW639" s="1537" t="e">
        <f t="shared" si="28"/>
        <v>#VALUE!</v>
      </c>
      <c r="EX639" s="1537"/>
      <c r="EY639" s="1537"/>
      <c r="EZ639" s="1537"/>
      <c r="FA639" s="1537"/>
    </row>
    <row r="640" spans="2:157" ht="12.95" customHeight="1">
      <c r="B640" s="1676" t="s">
        <v>268</v>
      </c>
      <c r="C640" s="1677"/>
      <c r="D640" s="1677"/>
      <c r="E640" s="1677"/>
      <c r="F640" s="1677"/>
      <c r="G640" s="1677"/>
      <c r="H640" s="1677"/>
      <c r="I640" s="1677"/>
      <c r="J640" s="1677"/>
      <c r="K640" s="1677"/>
      <c r="L640" s="1677"/>
      <c r="M640" s="1677"/>
      <c r="N640" s="1677"/>
      <c r="O640" s="1677"/>
      <c r="P640" s="1677"/>
      <c r="Q640" s="1677"/>
      <c r="R640" s="1677"/>
      <c r="S640" s="1677"/>
      <c r="T640" s="1677"/>
      <c r="U640" s="1677"/>
      <c r="V640" s="1677"/>
      <c r="W640" s="1677"/>
      <c r="X640" s="1677"/>
      <c r="Y640" s="1677"/>
      <c r="Z640" s="1677"/>
      <c r="AA640" s="1677"/>
      <c r="AB640" s="1677"/>
      <c r="AC640" s="1677"/>
      <c r="AD640" s="1677"/>
      <c r="AE640" s="1677"/>
      <c r="AF640" s="1677"/>
      <c r="AG640" s="1677"/>
      <c r="AH640" s="1677"/>
      <c r="AI640" s="1677"/>
      <c r="AJ640" s="1677"/>
      <c r="AK640" s="1677"/>
      <c r="AL640" s="1677"/>
      <c r="AM640" s="1677"/>
      <c r="AN640" s="1678"/>
      <c r="AO640" s="1451">
        <v>36766836</v>
      </c>
      <c r="AP640" s="1452"/>
      <c r="AQ640" s="1452"/>
      <c r="AR640" s="1452"/>
      <c r="AS640" s="1453"/>
      <c r="AV640" s="3"/>
      <c r="AW640" s="3"/>
      <c r="AX640" s="3"/>
      <c r="AY640" s="3"/>
      <c r="AZ640" s="34"/>
      <c r="BA640" s="34"/>
      <c r="BB640" s="34"/>
      <c r="BC640" s="34"/>
      <c r="BD640" s="34"/>
      <c r="BE640" s="34"/>
      <c r="BF640" s="34"/>
      <c r="BG640" s="34"/>
      <c r="BH640" s="34"/>
      <c r="BI640" s="34"/>
      <c r="BJ640" s="34"/>
      <c r="BK640" s="34"/>
      <c r="BL640" s="34"/>
      <c r="BM640" s="34"/>
      <c r="BN640" s="1540">
        <f>IF(J776="SRO/Studio",O776,0)</f>
        <v>0</v>
      </c>
      <c r="BO640" s="1541"/>
      <c r="BP640" s="1541"/>
      <c r="BQ640" s="1541"/>
      <c r="BR640" s="1542"/>
      <c r="BS640" s="1550">
        <f>IF(J776="1 Bedroom",O776,0)</f>
        <v>0</v>
      </c>
      <c r="BT640" s="1550"/>
      <c r="BU640" s="1550"/>
      <c r="BV640" s="1550"/>
      <c r="BW640" s="1550"/>
      <c r="BX640" s="1550">
        <f>IF(J776="2 Bedrooms",O776,0)</f>
        <v>0</v>
      </c>
      <c r="BY640" s="1550"/>
      <c r="BZ640" s="1550"/>
      <c r="CA640" s="1550"/>
      <c r="CB640" s="1550"/>
      <c r="CC640" s="1550">
        <f>IF(J776="3 Bedrooms",O776,0)</f>
        <v>0</v>
      </c>
      <c r="CD640" s="1550"/>
      <c r="CE640" s="1550"/>
      <c r="CF640" s="1550"/>
      <c r="CG640" s="1550"/>
      <c r="CH640" s="1550">
        <f>IF(J776="4 Bedrooms",O776,0)</f>
        <v>0</v>
      </c>
      <c r="CI640" s="1550"/>
      <c r="CJ640" s="1550"/>
      <c r="CK640" s="1550"/>
      <c r="CL640" s="1550"/>
      <c r="CM640" s="1550">
        <f>IF(J776="5 Bedrooms",O776,0)</f>
        <v>0</v>
      </c>
      <c r="CN640" s="1550"/>
      <c r="CO640" s="1550"/>
      <c r="CP640" s="1550"/>
      <c r="CQ640" s="1550"/>
      <c r="CV640" s="3"/>
      <c r="CW640" s="3"/>
      <c r="CX640" s="3"/>
      <c r="CY640" s="3"/>
      <c r="CZ640" s="3"/>
      <c r="DA640" s="3"/>
      <c r="DB640" s="3"/>
      <c r="DC640" s="3"/>
      <c r="DD640" s="3"/>
      <c r="DE640" s="3"/>
      <c r="DF640" s="3"/>
      <c r="DX640" s="1537" t="e">
        <f t="shared" si="29"/>
        <v>#VALUE!</v>
      </c>
      <c r="DY640" s="1537"/>
      <c r="DZ640" s="1537"/>
      <c r="EA640" s="1537"/>
      <c r="EB640" s="1537"/>
      <c r="EC640" s="1537">
        <f t="shared" si="24"/>
        <v>46.5</v>
      </c>
      <c r="ED640" s="1537"/>
      <c r="EE640" s="1537"/>
      <c r="EF640" s="1537"/>
      <c r="EG640" s="1537"/>
      <c r="EH640" s="1537" t="e">
        <f t="shared" si="25"/>
        <v>#VALUE!</v>
      </c>
      <c r="EI640" s="1537"/>
      <c r="EJ640" s="1537"/>
      <c r="EK640" s="1537"/>
      <c r="EL640" s="1537"/>
      <c r="EM640" s="1537" t="e">
        <f t="shared" si="26"/>
        <v>#VALUE!</v>
      </c>
      <c r="EN640" s="1537"/>
      <c r="EO640" s="1537"/>
      <c r="EP640" s="1537"/>
      <c r="EQ640" s="1537"/>
      <c r="ER640" s="1537" t="e">
        <f t="shared" si="27"/>
        <v>#VALUE!</v>
      </c>
      <c r="ES640" s="1537"/>
      <c r="ET640" s="1537"/>
      <c r="EU640" s="1537"/>
      <c r="EV640" s="1537"/>
      <c r="EW640" s="1537" t="e">
        <f t="shared" si="28"/>
        <v>#VALUE!</v>
      </c>
      <c r="EX640" s="1537"/>
      <c r="EY640" s="1537"/>
      <c r="EZ640" s="1537"/>
      <c r="FA640" s="1537"/>
    </row>
    <row r="641" spans="1:157" ht="12.95" customHeight="1">
      <c r="B641" s="1788" t="s">
        <v>269</v>
      </c>
      <c r="C641" s="1711"/>
      <c r="D641" s="1711"/>
      <c r="E641" s="1711"/>
      <c r="F641" s="1711"/>
      <c r="G641" s="1711"/>
      <c r="H641" s="1711"/>
      <c r="I641" s="1711"/>
      <c r="J641" s="1711"/>
      <c r="K641" s="1711"/>
      <c r="L641" s="1711"/>
      <c r="M641" s="1711"/>
      <c r="N641" s="1711"/>
      <c r="O641" s="1711"/>
      <c r="P641" s="1711"/>
      <c r="Q641" s="1711"/>
      <c r="R641" s="1711"/>
      <c r="S641" s="1711"/>
      <c r="T641" s="1711"/>
      <c r="U641" s="1711"/>
      <c r="V641" s="1711"/>
      <c r="W641" s="1711"/>
      <c r="X641" s="1711"/>
      <c r="Y641" s="1711"/>
      <c r="Z641" s="1711"/>
      <c r="AA641" s="1711"/>
      <c r="AB641" s="1711"/>
      <c r="AC641" s="1711"/>
      <c r="AD641" s="1711"/>
      <c r="AE641" s="1711"/>
      <c r="AF641" s="1711"/>
      <c r="AG641" s="1711"/>
      <c r="AH641" s="1711"/>
      <c r="AI641" s="1711"/>
      <c r="AJ641" s="1711"/>
      <c r="AK641" s="1711"/>
      <c r="AL641" s="1711"/>
      <c r="AM641" s="1711"/>
      <c r="AN641" s="1789"/>
      <c r="AO641" s="1414">
        <f>AO639+AO640</f>
        <v>118630126</v>
      </c>
      <c r="AP641" s="1415"/>
      <c r="AQ641" s="1415"/>
      <c r="AR641" s="1415"/>
      <c r="AS641" s="1416"/>
      <c r="AV641" s="3"/>
      <c r="AW641" s="3"/>
      <c r="AX641" s="3"/>
      <c r="AY641" s="3"/>
      <c r="AZ641" s="34"/>
      <c r="BA641" s="34"/>
      <c r="BB641" s="34"/>
      <c r="BC641" s="34"/>
      <c r="BD641" s="34"/>
      <c r="BE641" s="34"/>
      <c r="BF641" s="34"/>
      <c r="BG641" s="34"/>
      <c r="BH641" s="34"/>
      <c r="BI641" s="34"/>
      <c r="BJ641" s="34"/>
      <c r="BK641" s="34"/>
      <c r="BL641" s="34"/>
      <c r="BM641" s="34"/>
      <c r="BN641" s="1565">
        <f>SUM(BN637:BR640)</f>
        <v>0</v>
      </c>
      <c r="BO641" s="1566"/>
      <c r="BP641" s="1566"/>
      <c r="BQ641" s="1566"/>
      <c r="BR641" s="1567"/>
      <c r="BS641" s="1544">
        <f>SUM(BS637:BW640)</f>
        <v>0</v>
      </c>
      <c r="BT641" s="1545"/>
      <c r="BU641" s="1545"/>
      <c r="BV641" s="1545"/>
      <c r="BW641" s="1546"/>
      <c r="BX641" s="1544">
        <f>SUM(BX637:CB640)</f>
        <v>1</v>
      </c>
      <c r="BY641" s="1545"/>
      <c r="BZ641" s="1545"/>
      <c r="CA641" s="1545"/>
      <c r="CB641" s="1546"/>
      <c r="CC641" s="1544">
        <f>SUM(CC637:CG640)</f>
        <v>0</v>
      </c>
      <c r="CD641" s="1545"/>
      <c r="CE641" s="1545"/>
      <c r="CF641" s="1545"/>
      <c r="CG641" s="1546"/>
      <c r="CH641" s="1544">
        <f>SUM(CH637:CL640)</f>
        <v>0</v>
      </c>
      <c r="CI641" s="1545"/>
      <c r="CJ641" s="1545"/>
      <c r="CK641" s="1545"/>
      <c r="CL641" s="1546"/>
      <c r="CM641" s="1544">
        <f>SUM(CM637:CQ640)</f>
        <v>0</v>
      </c>
      <c r="CN641" s="1545"/>
      <c r="CO641" s="1545"/>
      <c r="CP641" s="1545"/>
      <c r="CQ641" s="1546"/>
      <c r="CS641" s="895">
        <f>BN641+BS641+BX641+CC641+CH641+CM641</f>
        <v>1</v>
      </c>
      <c r="CT641" s="57" t="s">
        <v>2052</v>
      </c>
      <c r="CU641" s="3"/>
      <c r="CV641" s="3"/>
      <c r="CW641" s="3"/>
      <c r="CX641" s="3"/>
      <c r="CY641" s="3"/>
      <c r="CZ641" s="3"/>
      <c r="DA641" s="3"/>
      <c r="DB641" s="3"/>
      <c r="DC641" s="3"/>
      <c r="DD641" s="3"/>
      <c r="DE641" s="3"/>
      <c r="DF641" s="3"/>
      <c r="DX641" s="1537" t="e">
        <f t="shared" si="29"/>
        <v>#VALUE!</v>
      </c>
      <c r="DY641" s="1537"/>
      <c r="DZ641" s="1537"/>
      <c r="EA641" s="1537"/>
      <c r="EB641" s="1537"/>
      <c r="EC641" s="1537" t="e">
        <f t="shared" si="24"/>
        <v>#VALUE!</v>
      </c>
      <c r="ED641" s="1537"/>
      <c r="EE641" s="1537"/>
      <c r="EF641" s="1537"/>
      <c r="EG641" s="1537"/>
      <c r="EH641" s="1537">
        <f t="shared" si="25"/>
        <v>42.189873417721522</v>
      </c>
      <c r="EI641" s="1537"/>
      <c r="EJ641" s="1537"/>
      <c r="EK641" s="1537"/>
      <c r="EL641" s="1537"/>
      <c r="EM641" s="1537" t="e">
        <f t="shared" si="26"/>
        <v>#VALUE!</v>
      </c>
      <c r="EN641" s="1537"/>
      <c r="EO641" s="1537"/>
      <c r="EP641" s="1537"/>
      <c r="EQ641" s="1537"/>
      <c r="ER641" s="1537" t="e">
        <f t="shared" si="27"/>
        <v>#VALUE!</v>
      </c>
      <c r="ES641" s="1537"/>
      <c r="ET641" s="1537"/>
      <c r="EU641" s="1537"/>
      <c r="EV641" s="1537"/>
      <c r="EW641" s="1537" t="e">
        <f t="shared" si="28"/>
        <v>#VALUE!</v>
      </c>
      <c r="EX641" s="1537"/>
      <c r="EY641" s="1537"/>
      <c r="EZ641" s="1537"/>
      <c r="FA641" s="153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537" t="e">
        <f t="shared" si="29"/>
        <v>#VALUE!</v>
      </c>
      <c r="DY642" s="1537"/>
      <c r="DZ642" s="1537"/>
      <c r="EA642" s="1537"/>
      <c r="EB642" s="1537"/>
      <c r="EC642" s="1537" t="e">
        <f t="shared" si="24"/>
        <v>#VALUE!</v>
      </c>
      <c r="ED642" s="1537"/>
      <c r="EE642" s="1537"/>
      <c r="EF642" s="1537"/>
      <c r="EG642" s="1537"/>
      <c r="EH642" s="1537">
        <f t="shared" si="25"/>
        <v>13.632911392405063</v>
      </c>
      <c r="EI642" s="1537"/>
      <c r="EJ642" s="1537"/>
      <c r="EK642" s="1537"/>
      <c r="EL642" s="1537"/>
      <c r="EM642" s="1537" t="e">
        <f t="shared" si="26"/>
        <v>#VALUE!</v>
      </c>
      <c r="EN642" s="1537"/>
      <c r="EO642" s="1537"/>
      <c r="EP642" s="1537"/>
      <c r="EQ642" s="1537"/>
      <c r="ER642" s="1537" t="e">
        <f t="shared" si="27"/>
        <v>#VALUE!</v>
      </c>
      <c r="ES642" s="1537"/>
      <c r="ET642" s="1537"/>
      <c r="EU642" s="1537"/>
      <c r="EV642" s="1537"/>
      <c r="EW642" s="1537" t="e">
        <f t="shared" si="28"/>
        <v>#VALUE!</v>
      </c>
      <c r="EX642" s="1537"/>
      <c r="EY642" s="1537"/>
      <c r="EZ642" s="1537"/>
      <c r="FA642" s="1537"/>
    </row>
    <row r="643" spans="1:157" ht="12.95" customHeight="1">
      <c r="A643" s="55" t="s">
        <v>112</v>
      </c>
      <c r="B643" t="s">
        <v>472</v>
      </c>
      <c r="G643" s="1488" t="str">
        <f>C627</f>
        <v>CitiBank Tax-Exempt Bonds</v>
      </c>
      <c r="H643" s="1488"/>
      <c r="I643" s="1488"/>
      <c r="J643" s="1488"/>
      <c r="K643" s="1488"/>
      <c r="L643" s="1488"/>
      <c r="M643" s="1488"/>
      <c r="N643" s="1488"/>
      <c r="O643" s="1488"/>
      <c r="P643" s="1488"/>
      <c r="Q643" s="1488"/>
      <c r="R643" s="1488"/>
      <c r="S643" s="8"/>
      <c r="T643" s="55" t="s">
        <v>113</v>
      </c>
      <c r="U643" t="s">
        <v>472</v>
      </c>
      <c r="Z643" s="1488" t="str">
        <f>C628</f>
        <v>CitiBank - Recycled TE bonds</v>
      </c>
      <c r="AA643" s="1488"/>
      <c r="AB643" s="1488"/>
      <c r="AC643" s="1488"/>
      <c r="AD643" s="1488"/>
      <c r="AE643" s="1488"/>
      <c r="AF643" s="1488"/>
      <c r="AG643" s="1488"/>
      <c r="AH643" s="1488"/>
      <c r="AI643" s="1488"/>
      <c r="AJ643" s="1488"/>
      <c r="AK643" s="148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37" t="e">
        <f t="shared" si="29"/>
        <v>#VALUE!</v>
      </c>
      <c r="DY643" s="1537"/>
      <c r="DZ643" s="1537"/>
      <c r="EA643" s="1537"/>
      <c r="EB643" s="1537"/>
      <c r="EC643" s="1537" t="e">
        <f t="shared" si="24"/>
        <v>#VALUE!</v>
      </c>
      <c r="ED643" s="1537"/>
      <c r="EE643" s="1537"/>
      <c r="EF643" s="1537"/>
      <c r="EG643" s="1537"/>
      <c r="EH643" s="1537" t="e">
        <f t="shared" si="25"/>
        <v>#VALUE!</v>
      </c>
      <c r="EI643" s="1537"/>
      <c r="EJ643" s="1537"/>
      <c r="EK643" s="1537"/>
      <c r="EL643" s="1537"/>
      <c r="EM643" s="1537" t="e">
        <f t="shared" si="26"/>
        <v>#VALUE!</v>
      </c>
      <c r="EN643" s="1537"/>
      <c r="EO643" s="1537"/>
      <c r="EP643" s="1537"/>
      <c r="EQ643" s="1537"/>
      <c r="ER643" s="1537" t="e">
        <f t="shared" si="27"/>
        <v>#VALUE!</v>
      </c>
      <c r="ES643" s="1537"/>
      <c r="ET643" s="1537"/>
      <c r="EU643" s="1537"/>
      <c r="EV643" s="1537"/>
      <c r="EW643" s="1537" t="e">
        <f t="shared" si="28"/>
        <v>#VALUE!</v>
      </c>
      <c r="EX643" s="1537"/>
      <c r="EY643" s="1537"/>
      <c r="EZ643" s="1537"/>
      <c r="FA643" s="1537"/>
    </row>
    <row r="644" spans="1:157" ht="12.95" customHeight="1">
      <c r="A644" s="22"/>
      <c r="B644" t="s">
        <v>85</v>
      </c>
      <c r="G644" s="1493" t="str">
        <f>G569</f>
        <v>One Market Street, 40th Floor</v>
      </c>
      <c r="H644" s="1493"/>
      <c r="I644" s="1493"/>
      <c r="J644" s="1493"/>
      <c r="K644" s="1493"/>
      <c r="L644" s="1493"/>
      <c r="M644" s="1493"/>
      <c r="N644" s="1493"/>
      <c r="O644" s="1493"/>
      <c r="P644" s="1493"/>
      <c r="Q644" s="1493"/>
      <c r="R644" s="1493"/>
      <c r="S644" s="8"/>
      <c r="T644" s="22"/>
      <c r="U644" t="s">
        <v>85</v>
      </c>
      <c r="Z644" s="1493" t="str">
        <f>G644</f>
        <v>One Market Street, 40th Floor</v>
      </c>
      <c r="AA644" s="1493"/>
      <c r="AB644" s="1493"/>
      <c r="AC644" s="1493"/>
      <c r="AD644" s="1493"/>
      <c r="AE644" s="1493"/>
      <c r="AF644" s="1493"/>
      <c r="AG644" s="1493"/>
      <c r="AH644" s="1493"/>
      <c r="AI644" s="1493"/>
      <c r="AJ644" s="1493"/>
      <c r="AK644" s="1493"/>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537" t="e">
        <f t="shared" si="29"/>
        <v>#VALUE!</v>
      </c>
      <c r="DY644" s="1537"/>
      <c r="DZ644" s="1537"/>
      <c r="EA644" s="1537"/>
      <c r="EB644" s="1537"/>
      <c r="EC644" s="1537" t="e">
        <f t="shared" si="24"/>
        <v>#VALUE!</v>
      </c>
      <c r="ED644" s="1537"/>
      <c r="EE644" s="1537"/>
      <c r="EF644" s="1537"/>
      <c r="EG644" s="1537"/>
      <c r="EH644" s="1537" t="e">
        <f t="shared" si="25"/>
        <v>#VALUE!</v>
      </c>
      <c r="EI644" s="1537"/>
      <c r="EJ644" s="1537"/>
      <c r="EK644" s="1537"/>
      <c r="EL644" s="1537"/>
      <c r="EM644" s="1537" t="e">
        <f t="shared" si="26"/>
        <v>#VALUE!</v>
      </c>
      <c r="EN644" s="1537"/>
      <c r="EO644" s="1537"/>
      <c r="EP644" s="1537"/>
      <c r="EQ644" s="1537"/>
      <c r="ER644" s="1537" t="e">
        <f t="shared" si="27"/>
        <v>#VALUE!</v>
      </c>
      <c r="ES644" s="1537"/>
      <c r="ET644" s="1537"/>
      <c r="EU644" s="1537"/>
      <c r="EV644" s="1537"/>
      <c r="EW644" s="1537" t="e">
        <f t="shared" si="28"/>
        <v>#VALUE!</v>
      </c>
      <c r="EX644" s="1537"/>
      <c r="EY644" s="1537"/>
      <c r="EZ644" s="1537"/>
      <c r="FA644" s="1537"/>
    </row>
    <row r="645" spans="1:157" ht="12.95" customHeight="1">
      <c r="A645" s="22"/>
      <c r="B645" t="s">
        <v>589</v>
      </c>
      <c r="G645" s="1493" t="str">
        <f>G570</f>
        <v>San Francisco, CA 94111</v>
      </c>
      <c r="H645" s="1493"/>
      <c r="I645" s="1493"/>
      <c r="J645" s="1493"/>
      <c r="K645" s="1493"/>
      <c r="L645" s="1493"/>
      <c r="M645" s="1493"/>
      <c r="N645" s="1493"/>
      <c r="O645" s="1493"/>
      <c r="P645" s="1493"/>
      <c r="Q645" s="1493"/>
      <c r="R645" s="1493"/>
      <c r="T645" s="22"/>
      <c r="U645" t="s">
        <v>589</v>
      </c>
      <c r="Z645" s="1516" t="str">
        <f>G645</f>
        <v>San Francisco, CA 94111</v>
      </c>
      <c r="AA645" s="1516"/>
      <c r="AB645" s="1516"/>
      <c r="AC645" s="1516"/>
      <c r="AD645" s="1516"/>
      <c r="AE645" s="1516"/>
      <c r="AF645" s="1516"/>
      <c r="AG645" s="1516"/>
      <c r="AH645" s="1516"/>
      <c r="AI645" s="1516"/>
      <c r="AJ645" s="1516"/>
      <c r="AK645" s="1516"/>
      <c r="AV645" s="3"/>
      <c r="AW645" s="3"/>
      <c r="AX645" s="3"/>
      <c r="AY645" s="3"/>
      <c r="AZ645" s="3"/>
      <c r="BA645" s="3"/>
      <c r="BB645" s="3"/>
      <c r="BC645" s="3"/>
      <c r="BD645" s="3"/>
      <c r="BE645" s="3"/>
      <c r="BF645" s="3"/>
      <c r="BG645" s="3"/>
      <c r="BH645" s="3"/>
      <c r="BI645" s="3"/>
      <c r="BJ645" s="3"/>
      <c r="BK645" s="3"/>
      <c r="BL645" s="3"/>
      <c r="BM645" s="3"/>
      <c r="BN645" s="1540">
        <f t="shared" ref="BN645:BN654" si="30">IF(J787="SRO/Studio",O787,0)</f>
        <v>0</v>
      </c>
      <c r="BO645" s="1541"/>
      <c r="BP645" s="1541"/>
      <c r="BQ645" s="1541"/>
      <c r="BR645" s="1542"/>
      <c r="BS645" s="1550">
        <f t="shared" ref="BS645:BS654" si="31">IF(J787="1 Bedroom",O787,0)</f>
        <v>0</v>
      </c>
      <c r="BT645" s="1550"/>
      <c r="BU645" s="1550"/>
      <c r="BV645" s="1550"/>
      <c r="BW645" s="1550"/>
      <c r="BX645" s="1550">
        <f t="shared" ref="BX645:BX654" si="32">IF(J787="2 Bedrooms",O787,0)</f>
        <v>0</v>
      </c>
      <c r="BY645" s="1550"/>
      <c r="BZ645" s="1550"/>
      <c r="CA645" s="1550"/>
      <c r="CB645" s="1550"/>
      <c r="CC645" s="1550">
        <f t="shared" ref="CC645:CC654" si="33">IF(J787="3 Bedrooms",O787,0)</f>
        <v>0</v>
      </c>
      <c r="CD645" s="1550"/>
      <c r="CE645" s="1550"/>
      <c r="CF645" s="1550"/>
      <c r="CG645" s="1550"/>
      <c r="CH645" s="1550">
        <f t="shared" ref="CH645:CH654" si="34">IF(J787="4 Bedrooms",O787,0)</f>
        <v>0</v>
      </c>
      <c r="CI645" s="1550"/>
      <c r="CJ645" s="1550"/>
      <c r="CK645" s="1550"/>
      <c r="CL645" s="1550"/>
      <c r="CM645" s="1550">
        <f t="shared" ref="CM645:CM654" si="35">IF(J787="5 Bedrooms",O787,0)</f>
        <v>0</v>
      </c>
      <c r="CN645" s="1550"/>
      <c r="CO645" s="1550"/>
      <c r="CP645" s="1550"/>
      <c r="CQ645" s="1550"/>
      <c r="CR645" s="6"/>
      <c r="CS645" s="1540">
        <f t="shared" ref="CS645:CS654" si="36">IF(AND(BN645&gt;=1,AH787&gt;=0.1,AH787&lt;=1),O787,0)</f>
        <v>0</v>
      </c>
      <c r="CT645" s="1541"/>
      <c r="CU645" s="1541"/>
      <c r="CV645" s="1541"/>
      <c r="CW645" s="1542"/>
      <c r="CX645" s="1540">
        <f t="shared" ref="CX645:CX654" si="37">IF(AND(BS645&gt;=1,AH787&gt;=0.1,AH787&lt;=1),O787,0)</f>
        <v>0</v>
      </c>
      <c r="CY645" s="1541"/>
      <c r="CZ645" s="1541"/>
      <c r="DA645" s="1541"/>
      <c r="DB645" s="1542"/>
      <c r="DC645" s="1540">
        <f t="shared" ref="DC645:DC654" si="38">IF(AND(BX645&gt;=1,AH787&gt;=0.1,AH787&lt;=1),O787,0)</f>
        <v>0</v>
      </c>
      <c r="DD645" s="1541"/>
      <c r="DE645" s="1541"/>
      <c r="DF645" s="1541"/>
      <c r="DG645" s="1542"/>
      <c r="DH645" s="1540">
        <f t="shared" ref="DH645:DH654" si="39">IF(AND(CC645&gt;=1,AH787&gt;=0.1,AH787&lt;=1),O787,0)</f>
        <v>0</v>
      </c>
      <c r="DI645" s="1541"/>
      <c r="DJ645" s="1541"/>
      <c r="DK645" s="1541"/>
      <c r="DL645" s="1542"/>
      <c r="DM645" s="1540">
        <f t="shared" ref="DM645:DM654" si="40">IF(AND(CH645&gt;=1,AH787&gt;=0.1,AH787&lt;=1),O787,0)</f>
        <v>0</v>
      </c>
      <c r="DN645" s="1541"/>
      <c r="DO645" s="1541"/>
      <c r="DP645" s="1541"/>
      <c r="DQ645" s="1542"/>
      <c r="DR645" s="1540">
        <f t="shared" ref="DR645:DR654" si="41">IF(AND(CM645&gt;=1,AH787&gt;=0.1,AH787&lt;=1),O787,0)</f>
        <v>0</v>
      </c>
      <c r="DS645" s="1541"/>
      <c r="DT645" s="1541"/>
      <c r="DU645" s="1541"/>
      <c r="DV645" s="1542"/>
      <c r="DX645" s="1537" t="e">
        <f t="shared" si="29"/>
        <v>#VALUE!</v>
      </c>
      <c r="DY645" s="1537"/>
      <c r="DZ645" s="1537"/>
      <c r="EA645" s="1537"/>
      <c r="EB645" s="1537"/>
      <c r="EC645" s="1537" t="e">
        <f t="shared" si="24"/>
        <v>#VALUE!</v>
      </c>
      <c r="ED645" s="1537"/>
      <c r="EE645" s="1537"/>
      <c r="EF645" s="1537"/>
      <c r="EG645" s="1537"/>
      <c r="EH645" s="1537">
        <f t="shared" si="25"/>
        <v>29.60759493670886</v>
      </c>
      <c r="EI645" s="1537"/>
      <c r="EJ645" s="1537"/>
      <c r="EK645" s="1537"/>
      <c r="EL645" s="1537"/>
      <c r="EM645" s="1537" t="e">
        <f t="shared" si="26"/>
        <v>#VALUE!</v>
      </c>
      <c r="EN645" s="1537"/>
      <c r="EO645" s="1537"/>
      <c r="EP645" s="1537"/>
      <c r="EQ645" s="1537"/>
      <c r="ER645" s="1537" t="e">
        <f t="shared" si="27"/>
        <v>#VALUE!</v>
      </c>
      <c r="ES645" s="1537"/>
      <c r="ET645" s="1537"/>
      <c r="EU645" s="1537"/>
      <c r="EV645" s="1537"/>
      <c r="EW645" s="1537" t="e">
        <f t="shared" si="28"/>
        <v>#VALUE!</v>
      </c>
      <c r="EX645" s="1537"/>
      <c r="EY645" s="1537"/>
      <c r="EZ645" s="1537"/>
      <c r="FA645" s="1537"/>
    </row>
    <row r="646" spans="1:157" ht="12.95" customHeight="1">
      <c r="A646" s="22"/>
      <c r="B646" t="s">
        <v>17</v>
      </c>
      <c r="G646" s="1493" t="s">
        <v>2730</v>
      </c>
      <c r="H646" s="1493"/>
      <c r="I646" s="1493"/>
      <c r="J646" s="1493"/>
      <c r="K646" s="1493"/>
      <c r="L646" s="1493"/>
      <c r="M646" s="1493"/>
      <c r="N646" s="1493"/>
      <c r="O646" s="1493"/>
      <c r="P646" s="1493"/>
      <c r="Q646" s="1493"/>
      <c r="R646" s="1493"/>
      <c r="S646" s="8"/>
      <c r="T646" s="22"/>
      <c r="U646" t="s">
        <v>17</v>
      </c>
      <c r="Z646" s="1516" t="str">
        <f>G646</f>
        <v>Jacob St. Onge</v>
      </c>
      <c r="AA646" s="1516"/>
      <c r="AB646" s="1516"/>
      <c r="AC646" s="1516"/>
      <c r="AD646" s="1516"/>
      <c r="AE646" s="1516"/>
      <c r="AF646" s="1516"/>
      <c r="AG646" s="1516"/>
      <c r="AH646" s="1516"/>
      <c r="AI646" s="1516"/>
      <c r="AJ646" s="1516"/>
      <c r="AK646" s="1516"/>
      <c r="AZ646" s="3"/>
      <c r="BA646" s="3"/>
      <c r="BB646" s="3"/>
      <c r="BC646" s="3"/>
      <c r="BD646" s="3"/>
      <c r="BE646" s="3"/>
      <c r="BF646" s="3"/>
      <c r="BG646" s="3"/>
      <c r="BH646" s="3"/>
      <c r="BI646" s="3"/>
      <c r="BJ646" s="3"/>
      <c r="BK646" s="3"/>
      <c r="BL646" s="3"/>
      <c r="BM646" s="3"/>
      <c r="BN646" s="1540">
        <f t="shared" si="30"/>
        <v>0</v>
      </c>
      <c r="BO646" s="1541"/>
      <c r="BP646" s="1541"/>
      <c r="BQ646" s="1541"/>
      <c r="BR646" s="1542"/>
      <c r="BS646" s="1550">
        <f t="shared" si="31"/>
        <v>0</v>
      </c>
      <c r="BT646" s="1550"/>
      <c r="BU646" s="1550"/>
      <c r="BV646" s="1550"/>
      <c r="BW646" s="1550"/>
      <c r="BX646" s="1550">
        <f t="shared" si="32"/>
        <v>0</v>
      </c>
      <c r="BY646" s="1550"/>
      <c r="BZ646" s="1550"/>
      <c r="CA646" s="1550"/>
      <c r="CB646" s="1550"/>
      <c r="CC646" s="1550">
        <f t="shared" si="33"/>
        <v>0</v>
      </c>
      <c r="CD646" s="1550"/>
      <c r="CE646" s="1550"/>
      <c r="CF646" s="1550"/>
      <c r="CG646" s="1550"/>
      <c r="CH646" s="1550">
        <f t="shared" si="34"/>
        <v>0</v>
      </c>
      <c r="CI646" s="1550"/>
      <c r="CJ646" s="1550"/>
      <c r="CK646" s="1550"/>
      <c r="CL646" s="1550"/>
      <c r="CM646" s="1550">
        <f t="shared" si="35"/>
        <v>0</v>
      </c>
      <c r="CN646" s="1550"/>
      <c r="CO646" s="1550"/>
      <c r="CP646" s="1550"/>
      <c r="CQ646" s="1550"/>
      <c r="CR646" s="6"/>
      <c r="CS646" s="1540">
        <f t="shared" si="36"/>
        <v>0</v>
      </c>
      <c r="CT646" s="1541"/>
      <c r="CU646" s="1541"/>
      <c r="CV646" s="1541"/>
      <c r="CW646" s="1542"/>
      <c r="CX646" s="1540">
        <f t="shared" si="37"/>
        <v>0</v>
      </c>
      <c r="CY646" s="1541"/>
      <c r="CZ646" s="1541"/>
      <c r="DA646" s="1541"/>
      <c r="DB646" s="1542"/>
      <c r="DC646" s="1540">
        <f t="shared" si="38"/>
        <v>0</v>
      </c>
      <c r="DD646" s="1541"/>
      <c r="DE646" s="1541"/>
      <c r="DF646" s="1541"/>
      <c r="DG646" s="1542"/>
      <c r="DH646" s="1540">
        <f t="shared" si="39"/>
        <v>0</v>
      </c>
      <c r="DI646" s="1541"/>
      <c r="DJ646" s="1541"/>
      <c r="DK646" s="1541"/>
      <c r="DL646" s="1542"/>
      <c r="DM646" s="1540">
        <f t="shared" si="40"/>
        <v>0</v>
      </c>
      <c r="DN646" s="1541"/>
      <c r="DO646" s="1541"/>
      <c r="DP646" s="1541"/>
      <c r="DQ646" s="1542"/>
      <c r="DR646" s="1540">
        <f t="shared" si="41"/>
        <v>0</v>
      </c>
      <c r="DS646" s="1541"/>
      <c r="DT646" s="1541"/>
      <c r="DU646" s="1541"/>
      <c r="DV646" s="1542"/>
      <c r="DX646" s="1537" t="e">
        <f t="shared" si="29"/>
        <v>#VALUE!</v>
      </c>
      <c r="DY646" s="1537"/>
      <c r="DZ646" s="1537"/>
      <c r="EA646" s="1537"/>
      <c r="EB646" s="1537"/>
      <c r="EC646" s="1537" t="e">
        <f t="shared" si="24"/>
        <v>#VALUE!</v>
      </c>
      <c r="ED646" s="1537"/>
      <c r="EE646" s="1537"/>
      <c r="EF646" s="1537"/>
      <c r="EG646" s="1537"/>
      <c r="EH646" s="1537">
        <f t="shared" si="25"/>
        <v>29.177215189873419</v>
      </c>
      <c r="EI646" s="1537"/>
      <c r="EJ646" s="1537"/>
      <c r="EK646" s="1537"/>
      <c r="EL646" s="1537"/>
      <c r="EM646" s="1537" t="e">
        <f t="shared" si="26"/>
        <v>#VALUE!</v>
      </c>
      <c r="EN646" s="1537"/>
      <c r="EO646" s="1537"/>
      <c r="EP646" s="1537"/>
      <c r="EQ646" s="1537"/>
      <c r="ER646" s="1537" t="e">
        <f t="shared" si="27"/>
        <v>#VALUE!</v>
      </c>
      <c r="ES646" s="1537"/>
      <c r="ET646" s="1537"/>
      <c r="EU646" s="1537"/>
      <c r="EV646" s="1537"/>
      <c r="EW646" s="1537" t="e">
        <f t="shared" si="28"/>
        <v>#VALUE!</v>
      </c>
      <c r="EX646" s="1537"/>
      <c r="EY646" s="1537"/>
      <c r="EZ646" s="1537"/>
      <c r="FA646" s="1537"/>
    </row>
    <row r="647" spans="1:157" ht="12.95" customHeight="1">
      <c r="A647" s="22"/>
      <c r="B647" t="s">
        <v>317</v>
      </c>
      <c r="G647" s="1701" t="s">
        <v>2733</v>
      </c>
      <c r="H647" s="1492"/>
      <c r="I647" s="1492"/>
      <c r="J647" s="1492"/>
      <c r="K647" s="1492"/>
      <c r="L647" s="1492"/>
      <c r="O647" s="33" t="s">
        <v>207</v>
      </c>
      <c r="P647" s="1520"/>
      <c r="Q647" s="1520"/>
      <c r="R647" s="1520"/>
      <c r="S647" s="10"/>
      <c r="T647" s="22"/>
      <c r="U647" t="s">
        <v>317</v>
      </c>
      <c r="Z647" s="1492" t="str">
        <f>G647</f>
        <v>(415) 658-3118</v>
      </c>
      <c r="AA647" s="1492"/>
      <c r="AB647" s="1492"/>
      <c r="AC647" s="1492"/>
      <c r="AD647" s="1492"/>
      <c r="AE647" s="1492"/>
      <c r="AH647" s="33" t="s">
        <v>207</v>
      </c>
      <c r="AI647" s="1520"/>
      <c r="AJ647" s="1520"/>
      <c r="AK647" s="1520"/>
      <c r="AZ647" s="34"/>
      <c r="BA647" s="34"/>
      <c r="BB647" s="34"/>
      <c r="BC647" s="34"/>
      <c r="BD647" s="34"/>
      <c r="BE647" s="34"/>
      <c r="BF647" s="34"/>
      <c r="BG647" s="34"/>
      <c r="BH647" s="34"/>
      <c r="BI647" s="34"/>
      <c r="BJ647" s="34"/>
      <c r="BK647" s="34"/>
      <c r="BL647" s="34"/>
      <c r="BM647" s="34"/>
      <c r="BN647" s="1540">
        <f t="shared" si="30"/>
        <v>0</v>
      </c>
      <c r="BO647" s="1541"/>
      <c r="BP647" s="1541"/>
      <c r="BQ647" s="1541"/>
      <c r="BR647" s="1542"/>
      <c r="BS647" s="1550">
        <f t="shared" si="31"/>
        <v>0</v>
      </c>
      <c r="BT647" s="1550"/>
      <c r="BU647" s="1550"/>
      <c r="BV647" s="1550"/>
      <c r="BW647" s="1550"/>
      <c r="BX647" s="1550">
        <f t="shared" si="32"/>
        <v>0</v>
      </c>
      <c r="BY647" s="1550"/>
      <c r="BZ647" s="1550"/>
      <c r="CA647" s="1550"/>
      <c r="CB647" s="1550"/>
      <c r="CC647" s="1550">
        <f t="shared" si="33"/>
        <v>0</v>
      </c>
      <c r="CD647" s="1550"/>
      <c r="CE647" s="1550"/>
      <c r="CF647" s="1550"/>
      <c r="CG647" s="1550"/>
      <c r="CH647" s="1550">
        <f t="shared" si="34"/>
        <v>0</v>
      </c>
      <c r="CI647" s="1550"/>
      <c r="CJ647" s="1550"/>
      <c r="CK647" s="1550"/>
      <c r="CL647" s="1550"/>
      <c r="CM647" s="1550">
        <f t="shared" si="35"/>
        <v>0</v>
      </c>
      <c r="CN647" s="1550"/>
      <c r="CO647" s="1550"/>
      <c r="CP647" s="1550"/>
      <c r="CQ647" s="1550"/>
      <c r="CR647" s="6"/>
      <c r="CS647" s="1540">
        <f t="shared" si="36"/>
        <v>0</v>
      </c>
      <c r="CT647" s="1541"/>
      <c r="CU647" s="1541"/>
      <c r="CV647" s="1541"/>
      <c r="CW647" s="1542"/>
      <c r="CX647" s="1540">
        <f t="shared" si="37"/>
        <v>0</v>
      </c>
      <c r="CY647" s="1541"/>
      <c r="CZ647" s="1541"/>
      <c r="DA647" s="1541"/>
      <c r="DB647" s="1542"/>
      <c r="DC647" s="1540">
        <f t="shared" si="38"/>
        <v>0</v>
      </c>
      <c r="DD647" s="1541"/>
      <c r="DE647" s="1541"/>
      <c r="DF647" s="1541"/>
      <c r="DG647" s="1542"/>
      <c r="DH647" s="1540">
        <f t="shared" si="39"/>
        <v>0</v>
      </c>
      <c r="DI647" s="1541"/>
      <c r="DJ647" s="1541"/>
      <c r="DK647" s="1541"/>
      <c r="DL647" s="1542"/>
      <c r="DM647" s="1540">
        <f t="shared" si="40"/>
        <v>0</v>
      </c>
      <c r="DN647" s="1541"/>
      <c r="DO647" s="1541"/>
      <c r="DP647" s="1541"/>
      <c r="DQ647" s="1542"/>
      <c r="DR647" s="1540">
        <f t="shared" si="41"/>
        <v>0</v>
      </c>
      <c r="DS647" s="1541"/>
      <c r="DT647" s="1541"/>
      <c r="DU647" s="1541"/>
      <c r="DV647" s="1542"/>
      <c r="DX647" s="1537" t="e">
        <f t="shared" si="29"/>
        <v>#VALUE!</v>
      </c>
      <c r="DY647" s="1537"/>
      <c r="DZ647" s="1537"/>
      <c r="EA647" s="1537"/>
      <c r="EB647" s="1537"/>
      <c r="EC647" s="1537" t="e">
        <f t="shared" si="24"/>
        <v>#VALUE!</v>
      </c>
      <c r="ED647" s="1537"/>
      <c r="EE647" s="1537"/>
      <c r="EF647" s="1537"/>
      <c r="EG647" s="1537"/>
      <c r="EH647" s="1537" t="e">
        <f t="shared" si="25"/>
        <v>#VALUE!</v>
      </c>
      <c r="EI647" s="1537"/>
      <c r="EJ647" s="1537"/>
      <c r="EK647" s="1537"/>
      <c r="EL647" s="1537"/>
      <c r="EM647" s="1537" t="e">
        <f t="shared" si="26"/>
        <v>#VALUE!</v>
      </c>
      <c r="EN647" s="1537"/>
      <c r="EO647" s="1537"/>
      <c r="EP647" s="1537"/>
      <c r="EQ647" s="1537"/>
      <c r="ER647" s="1537" t="e">
        <f t="shared" si="27"/>
        <v>#VALUE!</v>
      </c>
      <c r="ES647" s="1537"/>
      <c r="ET647" s="1537"/>
      <c r="EU647" s="1537"/>
      <c r="EV647" s="1537"/>
      <c r="EW647" s="1537" t="e">
        <f t="shared" si="28"/>
        <v>#VALUE!</v>
      </c>
      <c r="EX647" s="1537"/>
      <c r="EY647" s="1537"/>
      <c r="EZ647" s="1537"/>
      <c r="FA647" s="1537"/>
    </row>
    <row r="648" spans="1:157" ht="12.95" customHeight="1">
      <c r="A648" s="22"/>
      <c r="B648" t="s">
        <v>18</v>
      </c>
      <c r="H648" s="1493"/>
      <c r="I648" s="1493"/>
      <c r="J648" s="1493"/>
      <c r="K648" s="1493"/>
      <c r="L648" s="1493"/>
      <c r="M648" s="1493"/>
      <c r="N648" s="1493"/>
      <c r="O648" s="1493"/>
      <c r="P648" s="1493"/>
      <c r="Q648" s="1493"/>
      <c r="R648" s="1493"/>
      <c r="S648" s="8"/>
      <c r="T648" s="22"/>
      <c r="U648" t="s">
        <v>18</v>
      </c>
      <c r="AA648" s="1493"/>
      <c r="AB648" s="1493"/>
      <c r="AC648" s="1493"/>
      <c r="AD648" s="1493"/>
      <c r="AE648" s="1493"/>
      <c r="AF648" s="1493"/>
      <c r="AG648" s="1493"/>
      <c r="AH648" s="1493"/>
      <c r="AI648" s="1493"/>
      <c r="AJ648" s="1493"/>
      <c r="AK648" s="1493"/>
      <c r="AZ648" s="34"/>
      <c r="BA648" s="34"/>
      <c r="BB648" s="34"/>
      <c r="BC648" s="34"/>
      <c r="BD648" s="34"/>
      <c r="BE648" s="34"/>
      <c r="BF648" s="34"/>
      <c r="BG648" s="34"/>
      <c r="BH648" s="34"/>
      <c r="BI648" s="34"/>
      <c r="BJ648" s="34"/>
      <c r="BK648" s="34"/>
      <c r="BL648" s="34"/>
      <c r="BM648" s="34"/>
      <c r="BN648" s="1540">
        <f t="shared" si="30"/>
        <v>0</v>
      </c>
      <c r="BO648" s="1541"/>
      <c r="BP648" s="1541"/>
      <c r="BQ648" s="1541"/>
      <c r="BR648" s="1542"/>
      <c r="BS648" s="1550">
        <f t="shared" si="31"/>
        <v>0</v>
      </c>
      <c r="BT648" s="1550"/>
      <c r="BU648" s="1550"/>
      <c r="BV648" s="1550"/>
      <c r="BW648" s="1550"/>
      <c r="BX648" s="1550">
        <f t="shared" si="32"/>
        <v>0</v>
      </c>
      <c r="BY648" s="1550"/>
      <c r="BZ648" s="1550"/>
      <c r="CA648" s="1550"/>
      <c r="CB648" s="1550"/>
      <c r="CC648" s="1550">
        <f t="shared" si="33"/>
        <v>0</v>
      </c>
      <c r="CD648" s="1550"/>
      <c r="CE648" s="1550"/>
      <c r="CF648" s="1550"/>
      <c r="CG648" s="1550"/>
      <c r="CH648" s="1550">
        <f t="shared" si="34"/>
        <v>0</v>
      </c>
      <c r="CI648" s="1550"/>
      <c r="CJ648" s="1550"/>
      <c r="CK648" s="1550"/>
      <c r="CL648" s="1550"/>
      <c r="CM648" s="1550">
        <f t="shared" si="35"/>
        <v>0</v>
      </c>
      <c r="CN648" s="1550"/>
      <c r="CO648" s="1550"/>
      <c r="CP648" s="1550"/>
      <c r="CQ648" s="1550"/>
      <c r="CR648" s="6"/>
      <c r="CS648" s="1540">
        <f t="shared" si="36"/>
        <v>0</v>
      </c>
      <c r="CT648" s="1541"/>
      <c r="CU648" s="1541"/>
      <c r="CV648" s="1541"/>
      <c r="CW648" s="1542"/>
      <c r="CX648" s="1540">
        <f t="shared" si="37"/>
        <v>0</v>
      </c>
      <c r="CY648" s="1541"/>
      <c r="CZ648" s="1541"/>
      <c r="DA648" s="1541"/>
      <c r="DB648" s="1542"/>
      <c r="DC648" s="1540">
        <f t="shared" si="38"/>
        <v>0</v>
      </c>
      <c r="DD648" s="1541"/>
      <c r="DE648" s="1541"/>
      <c r="DF648" s="1541"/>
      <c r="DG648" s="1542"/>
      <c r="DH648" s="1540">
        <f t="shared" si="39"/>
        <v>0</v>
      </c>
      <c r="DI648" s="1541"/>
      <c r="DJ648" s="1541"/>
      <c r="DK648" s="1541"/>
      <c r="DL648" s="1542"/>
      <c r="DM648" s="1540">
        <f t="shared" si="40"/>
        <v>0</v>
      </c>
      <c r="DN648" s="1541"/>
      <c r="DO648" s="1541"/>
      <c r="DP648" s="1541"/>
      <c r="DQ648" s="1542"/>
      <c r="DR648" s="1540">
        <f t="shared" si="41"/>
        <v>0</v>
      </c>
      <c r="DS648" s="1541"/>
      <c r="DT648" s="1541"/>
      <c r="DU648" s="1541"/>
      <c r="DV648" s="1542"/>
      <c r="DX648" s="1537" t="e">
        <f t="shared" si="29"/>
        <v>#VALUE!</v>
      </c>
      <c r="DY648" s="1537"/>
      <c r="DZ648" s="1537"/>
      <c r="EA648" s="1537"/>
      <c r="EB648" s="1537"/>
      <c r="EC648" s="1537" t="e">
        <f t="shared" si="24"/>
        <v>#VALUE!</v>
      </c>
      <c r="ED648" s="1537"/>
      <c r="EE648" s="1537"/>
      <c r="EF648" s="1537"/>
      <c r="EG648" s="1537"/>
      <c r="EH648" s="1537" t="e">
        <f t="shared" si="25"/>
        <v>#VALUE!</v>
      </c>
      <c r="EI648" s="1537"/>
      <c r="EJ648" s="1537"/>
      <c r="EK648" s="1537"/>
      <c r="EL648" s="1537"/>
      <c r="EM648" s="1537" t="e">
        <f t="shared" si="26"/>
        <v>#VALUE!</v>
      </c>
      <c r="EN648" s="1537"/>
      <c r="EO648" s="1537"/>
      <c r="EP648" s="1537"/>
      <c r="EQ648" s="1537"/>
      <c r="ER648" s="1537" t="e">
        <f t="shared" si="27"/>
        <v>#VALUE!</v>
      </c>
      <c r="ES648" s="1537"/>
      <c r="ET648" s="1537"/>
      <c r="EU648" s="1537"/>
      <c r="EV648" s="1537"/>
      <c r="EW648" s="1537" t="e">
        <f t="shared" si="28"/>
        <v>#VALUE!</v>
      </c>
      <c r="EX648" s="1537"/>
      <c r="EY648" s="1537"/>
      <c r="EZ648" s="1537"/>
      <c r="FA648" s="1537"/>
    </row>
    <row r="649" spans="1:157" ht="12.95" customHeight="1">
      <c r="A649" s="22"/>
      <c r="B649" t="s">
        <v>20</v>
      </c>
      <c r="N649" s="1499" t="s">
        <v>554</v>
      </c>
      <c r="O649" s="1499"/>
      <c r="T649" s="22"/>
      <c r="U649" t="s">
        <v>20</v>
      </c>
      <c r="AG649" s="1499" t="s">
        <v>554</v>
      </c>
      <c r="AH649" s="1499"/>
      <c r="AZ649" s="34"/>
      <c r="BA649" s="34"/>
      <c r="BB649" s="34"/>
      <c r="BC649" s="34"/>
      <c r="BD649" s="34"/>
      <c r="BE649" s="34"/>
      <c r="BF649" s="34"/>
      <c r="BG649" s="34"/>
      <c r="BH649" s="34"/>
      <c r="BI649" s="34"/>
      <c r="BJ649" s="34"/>
      <c r="BK649" s="34"/>
      <c r="BL649" s="34"/>
      <c r="BM649" s="34"/>
      <c r="BN649" s="1540">
        <f t="shared" si="30"/>
        <v>0</v>
      </c>
      <c r="BO649" s="1541"/>
      <c r="BP649" s="1541"/>
      <c r="BQ649" s="1541"/>
      <c r="BR649" s="1542"/>
      <c r="BS649" s="1550">
        <f t="shared" si="31"/>
        <v>0</v>
      </c>
      <c r="BT649" s="1550"/>
      <c r="BU649" s="1550"/>
      <c r="BV649" s="1550"/>
      <c r="BW649" s="1550"/>
      <c r="BX649" s="1550">
        <f t="shared" si="32"/>
        <v>0</v>
      </c>
      <c r="BY649" s="1550"/>
      <c r="BZ649" s="1550"/>
      <c r="CA649" s="1550"/>
      <c r="CB649" s="1550"/>
      <c r="CC649" s="1550">
        <f t="shared" si="33"/>
        <v>0</v>
      </c>
      <c r="CD649" s="1550"/>
      <c r="CE649" s="1550"/>
      <c r="CF649" s="1550"/>
      <c r="CG649" s="1550"/>
      <c r="CH649" s="1550">
        <f t="shared" si="34"/>
        <v>0</v>
      </c>
      <c r="CI649" s="1550"/>
      <c r="CJ649" s="1550"/>
      <c r="CK649" s="1550"/>
      <c r="CL649" s="1550"/>
      <c r="CM649" s="1550">
        <f t="shared" si="35"/>
        <v>0</v>
      </c>
      <c r="CN649" s="1550"/>
      <c r="CO649" s="1550"/>
      <c r="CP649" s="1550"/>
      <c r="CQ649" s="1550"/>
      <c r="CR649" s="6"/>
      <c r="CS649" s="1540">
        <f t="shared" si="36"/>
        <v>0</v>
      </c>
      <c r="CT649" s="1541"/>
      <c r="CU649" s="1541"/>
      <c r="CV649" s="1541"/>
      <c r="CW649" s="1542"/>
      <c r="CX649" s="1540">
        <f t="shared" si="37"/>
        <v>0</v>
      </c>
      <c r="CY649" s="1541"/>
      <c r="CZ649" s="1541"/>
      <c r="DA649" s="1541"/>
      <c r="DB649" s="1542"/>
      <c r="DC649" s="1540">
        <f t="shared" si="38"/>
        <v>0</v>
      </c>
      <c r="DD649" s="1541"/>
      <c r="DE649" s="1541"/>
      <c r="DF649" s="1541"/>
      <c r="DG649" s="1542"/>
      <c r="DH649" s="1540">
        <f t="shared" si="39"/>
        <v>0</v>
      </c>
      <c r="DI649" s="1541"/>
      <c r="DJ649" s="1541"/>
      <c r="DK649" s="1541"/>
      <c r="DL649" s="1542"/>
      <c r="DM649" s="1540">
        <f t="shared" si="40"/>
        <v>0</v>
      </c>
      <c r="DN649" s="1541"/>
      <c r="DO649" s="1541"/>
      <c r="DP649" s="1541"/>
      <c r="DQ649" s="1542"/>
      <c r="DR649" s="1540">
        <f t="shared" si="41"/>
        <v>0</v>
      </c>
      <c r="DS649" s="1541"/>
      <c r="DT649" s="1541"/>
      <c r="DU649" s="1541"/>
      <c r="DV649" s="1542"/>
      <c r="DX649" s="1537" t="e">
        <f t="shared" si="29"/>
        <v>#VALUE!</v>
      </c>
      <c r="DY649" s="1537"/>
      <c r="DZ649" s="1537"/>
      <c r="EA649" s="1537"/>
      <c r="EB649" s="1537"/>
      <c r="EC649" s="1537" t="e">
        <f t="shared" si="24"/>
        <v>#VALUE!</v>
      </c>
      <c r="ED649" s="1537"/>
      <c r="EE649" s="1537"/>
      <c r="EF649" s="1537"/>
      <c r="EG649" s="1537"/>
      <c r="EH649" s="1537" t="e">
        <f t="shared" si="25"/>
        <v>#VALUE!</v>
      </c>
      <c r="EI649" s="1537"/>
      <c r="EJ649" s="1537"/>
      <c r="EK649" s="1537"/>
      <c r="EL649" s="1537"/>
      <c r="EM649" s="1537" t="e">
        <f t="shared" si="26"/>
        <v>#VALUE!</v>
      </c>
      <c r="EN649" s="1537"/>
      <c r="EO649" s="1537"/>
      <c r="EP649" s="1537"/>
      <c r="EQ649" s="1537"/>
      <c r="ER649" s="1537" t="e">
        <f t="shared" si="27"/>
        <v>#VALUE!</v>
      </c>
      <c r="ES649" s="1537"/>
      <c r="ET649" s="1537"/>
      <c r="EU649" s="1537"/>
      <c r="EV649" s="1537"/>
      <c r="EW649" s="1537" t="e">
        <f t="shared" si="28"/>
        <v>#VALUE!</v>
      </c>
      <c r="EX649" s="1537"/>
      <c r="EY649" s="1537"/>
      <c r="EZ649" s="1537"/>
      <c r="FA649" s="1537"/>
    </row>
    <row r="650" spans="1:157" ht="12.95" customHeight="1">
      <c r="A650" s="22"/>
      <c r="T650" s="22"/>
      <c r="AZ650" s="34"/>
      <c r="BA650" s="34"/>
      <c r="BB650" s="34"/>
      <c r="BC650" s="34"/>
      <c r="BD650" s="34"/>
      <c r="BE650" s="34"/>
      <c r="BF650" s="34"/>
      <c r="BG650" s="34"/>
      <c r="BH650" s="34"/>
      <c r="BI650" s="34"/>
      <c r="BJ650" s="34"/>
      <c r="BK650" s="34"/>
      <c r="BL650" s="34"/>
      <c r="BM650" s="34"/>
      <c r="BN650" s="1540">
        <f t="shared" si="30"/>
        <v>0</v>
      </c>
      <c r="BO650" s="1541"/>
      <c r="BP650" s="1541"/>
      <c r="BQ650" s="1541"/>
      <c r="BR650" s="1542"/>
      <c r="BS650" s="1550">
        <f t="shared" si="31"/>
        <v>0</v>
      </c>
      <c r="BT650" s="1550"/>
      <c r="BU650" s="1550"/>
      <c r="BV650" s="1550"/>
      <c r="BW650" s="1550"/>
      <c r="BX650" s="1550">
        <f t="shared" si="32"/>
        <v>0</v>
      </c>
      <c r="BY650" s="1550"/>
      <c r="BZ650" s="1550"/>
      <c r="CA650" s="1550"/>
      <c r="CB650" s="1550"/>
      <c r="CC650" s="1550">
        <f t="shared" si="33"/>
        <v>0</v>
      </c>
      <c r="CD650" s="1550"/>
      <c r="CE650" s="1550"/>
      <c r="CF650" s="1550"/>
      <c r="CG650" s="1550"/>
      <c r="CH650" s="1550">
        <f t="shared" si="34"/>
        <v>0</v>
      </c>
      <c r="CI650" s="1550"/>
      <c r="CJ650" s="1550"/>
      <c r="CK650" s="1550"/>
      <c r="CL650" s="1550"/>
      <c r="CM650" s="1550">
        <f t="shared" si="35"/>
        <v>0</v>
      </c>
      <c r="CN650" s="1550"/>
      <c r="CO650" s="1550"/>
      <c r="CP650" s="1550"/>
      <c r="CQ650" s="1550"/>
      <c r="CR650" s="6"/>
      <c r="CS650" s="1540">
        <f t="shared" si="36"/>
        <v>0</v>
      </c>
      <c r="CT650" s="1541"/>
      <c r="CU650" s="1541"/>
      <c r="CV650" s="1541"/>
      <c r="CW650" s="1542"/>
      <c r="CX650" s="1540">
        <f t="shared" si="37"/>
        <v>0</v>
      </c>
      <c r="CY650" s="1541"/>
      <c r="CZ650" s="1541"/>
      <c r="DA650" s="1541"/>
      <c r="DB650" s="1542"/>
      <c r="DC650" s="1540">
        <f t="shared" si="38"/>
        <v>0</v>
      </c>
      <c r="DD650" s="1541"/>
      <c r="DE650" s="1541"/>
      <c r="DF650" s="1541"/>
      <c r="DG650" s="1542"/>
      <c r="DH650" s="1540">
        <f t="shared" si="39"/>
        <v>0</v>
      </c>
      <c r="DI650" s="1541"/>
      <c r="DJ650" s="1541"/>
      <c r="DK650" s="1541"/>
      <c r="DL650" s="1542"/>
      <c r="DM650" s="1540">
        <f t="shared" si="40"/>
        <v>0</v>
      </c>
      <c r="DN650" s="1541"/>
      <c r="DO650" s="1541"/>
      <c r="DP650" s="1541"/>
      <c r="DQ650" s="1542"/>
      <c r="DR650" s="1540">
        <f t="shared" si="41"/>
        <v>0</v>
      </c>
      <c r="DS650" s="1541"/>
      <c r="DT650" s="1541"/>
      <c r="DU650" s="1541"/>
      <c r="DV650" s="1542"/>
      <c r="DX650" s="1537" t="e">
        <f t="shared" si="29"/>
        <v>#VALUE!</v>
      </c>
      <c r="DY650" s="1537"/>
      <c r="DZ650" s="1537"/>
      <c r="EA650" s="1537"/>
      <c r="EB650" s="1537"/>
      <c r="EC650" s="1537" t="e">
        <f t="shared" si="24"/>
        <v>#VALUE!</v>
      </c>
      <c r="ED650" s="1537"/>
      <c r="EE650" s="1537"/>
      <c r="EF650" s="1537"/>
      <c r="EG650" s="1537"/>
      <c r="EH650" s="1537" t="e">
        <f t="shared" si="25"/>
        <v>#VALUE!</v>
      </c>
      <c r="EI650" s="1537"/>
      <c r="EJ650" s="1537"/>
      <c r="EK650" s="1537"/>
      <c r="EL650" s="1537"/>
      <c r="EM650" s="1537" t="e">
        <f t="shared" si="26"/>
        <v>#VALUE!</v>
      </c>
      <c r="EN650" s="1537"/>
      <c r="EO650" s="1537"/>
      <c r="EP650" s="1537"/>
      <c r="EQ650" s="1537"/>
      <c r="ER650" s="1537" t="e">
        <f t="shared" si="27"/>
        <v>#VALUE!</v>
      </c>
      <c r="ES650" s="1537"/>
      <c r="ET650" s="1537"/>
      <c r="EU650" s="1537"/>
      <c r="EV650" s="1537"/>
      <c r="EW650" s="1537" t="e">
        <f t="shared" si="28"/>
        <v>#VALUE!</v>
      </c>
      <c r="EX650" s="1537"/>
      <c r="EY650" s="1537"/>
      <c r="EZ650" s="1537"/>
      <c r="FA650" s="1537"/>
    </row>
    <row r="651" spans="1:157" ht="12.95" customHeight="1">
      <c r="A651" s="55" t="s">
        <v>119</v>
      </c>
      <c r="B651" t="s">
        <v>472</v>
      </c>
      <c r="G651" s="1488" t="str">
        <f>C629</f>
        <v>Subordinate Tax Exempt Loan (CAP 10)</v>
      </c>
      <c r="H651" s="1488"/>
      <c r="I651" s="1488"/>
      <c r="J651" s="1488"/>
      <c r="K651" s="1488"/>
      <c r="L651" s="1488"/>
      <c r="M651" s="1488"/>
      <c r="N651" s="1488"/>
      <c r="O651" s="1488"/>
      <c r="P651" s="1488"/>
      <c r="Q651" s="1488"/>
      <c r="R651" s="1488"/>
      <c r="T651" s="55" t="s">
        <v>590</v>
      </c>
      <c r="U651" t="s">
        <v>472</v>
      </c>
      <c r="Z651" s="1488" t="str">
        <f>C630</f>
        <v>Net Operating Income</v>
      </c>
      <c r="AA651" s="1488"/>
      <c r="AB651" s="1488"/>
      <c r="AC651" s="1488"/>
      <c r="AD651" s="1488"/>
      <c r="AE651" s="1488"/>
      <c r="AF651" s="1488"/>
      <c r="AG651" s="1488"/>
      <c r="AH651" s="1488"/>
      <c r="AI651" s="1488"/>
      <c r="AJ651" s="1488"/>
      <c r="AK651" s="1488"/>
      <c r="AZ651" s="34"/>
      <c r="BA651" s="34"/>
      <c r="BB651" s="34"/>
      <c r="BC651" s="34"/>
      <c r="BD651" s="34"/>
      <c r="BE651" s="34"/>
      <c r="BF651" s="34"/>
      <c r="BG651" s="34"/>
      <c r="BH651" s="34"/>
      <c r="BI651" s="34"/>
      <c r="BJ651" s="34"/>
      <c r="BK651" s="34"/>
      <c r="BL651" s="34"/>
      <c r="BM651" s="34"/>
      <c r="BN651" s="1540">
        <f t="shared" si="30"/>
        <v>0</v>
      </c>
      <c r="BO651" s="1541"/>
      <c r="BP651" s="1541"/>
      <c r="BQ651" s="1541"/>
      <c r="BR651" s="1542"/>
      <c r="BS651" s="1550">
        <f t="shared" si="31"/>
        <v>0</v>
      </c>
      <c r="BT651" s="1550"/>
      <c r="BU651" s="1550"/>
      <c r="BV651" s="1550"/>
      <c r="BW651" s="1550"/>
      <c r="BX651" s="1550">
        <f t="shared" si="32"/>
        <v>0</v>
      </c>
      <c r="BY651" s="1550"/>
      <c r="BZ651" s="1550"/>
      <c r="CA651" s="1550"/>
      <c r="CB651" s="1550"/>
      <c r="CC651" s="1550">
        <f t="shared" si="33"/>
        <v>0</v>
      </c>
      <c r="CD651" s="1550"/>
      <c r="CE651" s="1550"/>
      <c r="CF651" s="1550"/>
      <c r="CG651" s="1550"/>
      <c r="CH651" s="1550">
        <f t="shared" si="34"/>
        <v>0</v>
      </c>
      <c r="CI651" s="1550"/>
      <c r="CJ651" s="1550"/>
      <c r="CK651" s="1550"/>
      <c r="CL651" s="1550"/>
      <c r="CM651" s="1550">
        <f t="shared" si="35"/>
        <v>0</v>
      </c>
      <c r="CN651" s="1550"/>
      <c r="CO651" s="1550"/>
      <c r="CP651" s="1550"/>
      <c r="CQ651" s="1550"/>
      <c r="CR651" s="6"/>
      <c r="CS651" s="1540">
        <f t="shared" si="36"/>
        <v>0</v>
      </c>
      <c r="CT651" s="1541"/>
      <c r="CU651" s="1541"/>
      <c r="CV651" s="1541"/>
      <c r="CW651" s="1542"/>
      <c r="CX651" s="1540">
        <f t="shared" si="37"/>
        <v>0</v>
      </c>
      <c r="CY651" s="1541"/>
      <c r="CZ651" s="1541"/>
      <c r="DA651" s="1541"/>
      <c r="DB651" s="1542"/>
      <c r="DC651" s="1540">
        <f t="shared" si="38"/>
        <v>0</v>
      </c>
      <c r="DD651" s="1541"/>
      <c r="DE651" s="1541"/>
      <c r="DF651" s="1541"/>
      <c r="DG651" s="1542"/>
      <c r="DH651" s="1540">
        <f t="shared" si="39"/>
        <v>0</v>
      </c>
      <c r="DI651" s="1541"/>
      <c r="DJ651" s="1541"/>
      <c r="DK651" s="1541"/>
      <c r="DL651" s="1542"/>
      <c r="DM651" s="1540">
        <f t="shared" si="40"/>
        <v>0</v>
      </c>
      <c r="DN651" s="1541"/>
      <c r="DO651" s="1541"/>
      <c r="DP651" s="1541"/>
      <c r="DQ651" s="1542"/>
      <c r="DR651" s="1540">
        <f t="shared" si="41"/>
        <v>0</v>
      </c>
      <c r="DS651" s="1541"/>
      <c r="DT651" s="1541"/>
      <c r="DU651" s="1541"/>
      <c r="DV651" s="1542"/>
      <c r="DX651" s="1537" t="e">
        <f t="shared" si="29"/>
        <v>#VALUE!</v>
      </c>
      <c r="DY651" s="1537"/>
      <c r="DZ651" s="1537"/>
      <c r="EA651" s="1537"/>
      <c r="EB651" s="1537"/>
      <c r="EC651" s="1537" t="e">
        <f t="shared" si="24"/>
        <v>#VALUE!</v>
      </c>
      <c r="ED651" s="1537"/>
      <c r="EE651" s="1537"/>
      <c r="EF651" s="1537"/>
      <c r="EG651" s="1537"/>
      <c r="EH651" s="1537" t="e">
        <f t="shared" si="25"/>
        <v>#VALUE!</v>
      </c>
      <c r="EI651" s="1537"/>
      <c r="EJ651" s="1537"/>
      <c r="EK651" s="1537"/>
      <c r="EL651" s="1537"/>
      <c r="EM651" s="1537" t="e">
        <f t="shared" si="26"/>
        <v>#VALUE!</v>
      </c>
      <c r="EN651" s="1537"/>
      <c r="EO651" s="1537"/>
      <c r="EP651" s="1537"/>
      <c r="EQ651" s="1537"/>
      <c r="ER651" s="1537" t="e">
        <f t="shared" si="27"/>
        <v>#VALUE!</v>
      </c>
      <c r="ES651" s="1537"/>
      <c r="ET651" s="1537"/>
      <c r="EU651" s="1537"/>
      <c r="EV651" s="1537"/>
      <c r="EW651" s="1537" t="e">
        <f t="shared" si="28"/>
        <v>#VALUE!</v>
      </c>
      <c r="EX651" s="1537"/>
      <c r="EY651" s="1537"/>
      <c r="EZ651" s="1537"/>
      <c r="FA651" s="1537"/>
    </row>
    <row r="652" spans="1:157" ht="12.95" customHeight="1">
      <c r="A652" s="22"/>
      <c r="B652" t="s">
        <v>85</v>
      </c>
      <c r="G652" s="1493" t="s">
        <v>2650</v>
      </c>
      <c r="H652" s="1493"/>
      <c r="I652" s="1493"/>
      <c r="J652" s="1493"/>
      <c r="K652" s="1493"/>
      <c r="L652" s="1493"/>
      <c r="M652" s="1493"/>
      <c r="N652" s="1493"/>
      <c r="O652" s="1493"/>
      <c r="P652" s="1493"/>
      <c r="Q652" s="1493"/>
      <c r="R652" s="1493"/>
      <c r="T652" s="22"/>
      <c r="U652" t="s">
        <v>85</v>
      </c>
      <c r="Z652" s="1493"/>
      <c r="AA652" s="1493"/>
      <c r="AB652" s="1493"/>
      <c r="AC652" s="1493"/>
      <c r="AD652" s="1493"/>
      <c r="AE652" s="1493"/>
      <c r="AF652" s="1493"/>
      <c r="AG652" s="1493"/>
      <c r="AH652" s="1493"/>
      <c r="AI652" s="1493"/>
      <c r="AJ652" s="1493"/>
      <c r="AK652" s="1493"/>
      <c r="AZ652" s="34"/>
      <c r="BA652" s="34"/>
      <c r="BB652" s="34"/>
      <c r="BC652" s="34"/>
      <c r="BD652" s="34"/>
      <c r="BE652" s="34"/>
      <c r="BF652" s="34"/>
      <c r="BG652" s="34"/>
      <c r="BH652" s="34"/>
      <c r="BI652" s="34"/>
      <c r="BJ652" s="34"/>
      <c r="BK652" s="34"/>
      <c r="BL652" s="34"/>
      <c r="BM652" s="34"/>
      <c r="BN652" s="1540">
        <f t="shared" si="30"/>
        <v>0</v>
      </c>
      <c r="BO652" s="1541"/>
      <c r="BP652" s="1541"/>
      <c r="BQ652" s="1541"/>
      <c r="BR652" s="1542"/>
      <c r="BS652" s="1550">
        <f t="shared" si="31"/>
        <v>0</v>
      </c>
      <c r="BT652" s="1550"/>
      <c r="BU652" s="1550"/>
      <c r="BV652" s="1550"/>
      <c r="BW652" s="1550"/>
      <c r="BX652" s="1550">
        <f t="shared" si="32"/>
        <v>0</v>
      </c>
      <c r="BY652" s="1550"/>
      <c r="BZ652" s="1550"/>
      <c r="CA652" s="1550"/>
      <c r="CB652" s="1550"/>
      <c r="CC652" s="1550">
        <f t="shared" si="33"/>
        <v>0</v>
      </c>
      <c r="CD652" s="1550"/>
      <c r="CE652" s="1550"/>
      <c r="CF652" s="1550"/>
      <c r="CG652" s="1550"/>
      <c r="CH652" s="1550">
        <f t="shared" si="34"/>
        <v>0</v>
      </c>
      <c r="CI652" s="1550"/>
      <c r="CJ652" s="1550"/>
      <c r="CK652" s="1550"/>
      <c r="CL652" s="1550"/>
      <c r="CM652" s="1550">
        <f t="shared" si="35"/>
        <v>0</v>
      </c>
      <c r="CN652" s="1550"/>
      <c r="CO652" s="1550"/>
      <c r="CP652" s="1550"/>
      <c r="CQ652" s="1550"/>
      <c r="CR652" s="6"/>
      <c r="CS652" s="1540">
        <f t="shared" si="36"/>
        <v>0</v>
      </c>
      <c r="CT652" s="1541"/>
      <c r="CU652" s="1541"/>
      <c r="CV652" s="1541"/>
      <c r="CW652" s="1542"/>
      <c r="CX652" s="1540">
        <f t="shared" si="37"/>
        <v>0</v>
      </c>
      <c r="CY652" s="1541"/>
      <c r="CZ652" s="1541"/>
      <c r="DA652" s="1541"/>
      <c r="DB652" s="1542"/>
      <c r="DC652" s="1540">
        <f t="shared" si="38"/>
        <v>0</v>
      </c>
      <c r="DD652" s="1541"/>
      <c r="DE652" s="1541"/>
      <c r="DF652" s="1541"/>
      <c r="DG652" s="1542"/>
      <c r="DH652" s="1540">
        <f t="shared" si="39"/>
        <v>0</v>
      </c>
      <c r="DI652" s="1541"/>
      <c r="DJ652" s="1541"/>
      <c r="DK652" s="1541"/>
      <c r="DL652" s="1542"/>
      <c r="DM652" s="1540">
        <f t="shared" si="40"/>
        <v>0</v>
      </c>
      <c r="DN652" s="1541"/>
      <c r="DO652" s="1541"/>
      <c r="DP652" s="1541"/>
      <c r="DQ652" s="1542"/>
      <c r="DR652" s="1540">
        <f t="shared" si="41"/>
        <v>0</v>
      </c>
      <c r="DS652" s="1541"/>
      <c r="DT652" s="1541"/>
      <c r="DU652" s="1541"/>
      <c r="DV652" s="1542"/>
      <c r="DX652" s="1537" t="e">
        <f t="shared" si="29"/>
        <v>#VALUE!</v>
      </c>
      <c r="DY652" s="1537"/>
      <c r="DZ652" s="1537"/>
      <c r="EA652" s="1537"/>
      <c r="EB652" s="1537"/>
      <c r="EC652" s="1537" t="e">
        <f t="shared" si="24"/>
        <v>#VALUE!</v>
      </c>
      <c r="ED652" s="1537"/>
      <c r="EE652" s="1537"/>
      <c r="EF652" s="1537"/>
      <c r="EG652" s="1537"/>
      <c r="EH652" s="1537" t="e">
        <f t="shared" si="25"/>
        <v>#VALUE!</v>
      </c>
      <c r="EI652" s="1537"/>
      <c r="EJ652" s="1537"/>
      <c r="EK652" s="1537"/>
      <c r="EL652" s="1537"/>
      <c r="EM652" s="1537" t="e">
        <f t="shared" si="26"/>
        <v>#VALUE!</v>
      </c>
      <c r="EN652" s="1537"/>
      <c r="EO652" s="1537"/>
      <c r="EP652" s="1537"/>
      <c r="EQ652" s="1537"/>
      <c r="ER652" s="1537" t="e">
        <f t="shared" si="27"/>
        <v>#VALUE!</v>
      </c>
      <c r="ES652" s="1537"/>
      <c r="ET652" s="1537"/>
      <c r="EU652" s="1537"/>
      <c r="EV652" s="1537"/>
      <c r="EW652" s="1537" t="e">
        <f t="shared" si="28"/>
        <v>#VALUE!</v>
      </c>
      <c r="EX652" s="1537"/>
      <c r="EY652" s="1537"/>
      <c r="EZ652" s="1537"/>
      <c r="FA652" s="1537"/>
    </row>
    <row r="653" spans="1:157" ht="12.95" customHeight="1">
      <c r="A653" s="22"/>
      <c r="B653" t="s">
        <v>589</v>
      </c>
      <c r="G653" s="1516" t="s">
        <v>2667</v>
      </c>
      <c r="H653" s="1516"/>
      <c r="I653" s="1516"/>
      <c r="J653" s="1516"/>
      <c r="K653" s="1516"/>
      <c r="L653" s="1516"/>
      <c r="M653" s="1516"/>
      <c r="N653" s="1516"/>
      <c r="O653" s="1516"/>
      <c r="P653" s="1516"/>
      <c r="Q653" s="1516"/>
      <c r="R653" s="1516"/>
      <c r="T653" s="22"/>
      <c r="U653" t="s">
        <v>589</v>
      </c>
      <c r="Z653" s="1516"/>
      <c r="AA653" s="1516"/>
      <c r="AB653" s="1516"/>
      <c r="AC653" s="1516"/>
      <c r="AD653" s="1516"/>
      <c r="AE653" s="1516"/>
      <c r="AF653" s="1516"/>
      <c r="AG653" s="1516"/>
      <c r="AH653" s="1516"/>
      <c r="AI653" s="1516"/>
      <c r="AJ653" s="1516"/>
      <c r="AK653" s="1516"/>
      <c r="AZ653" s="34"/>
      <c r="BA653" s="34"/>
      <c r="BB653" s="34"/>
      <c r="BC653" s="34"/>
      <c r="BD653" s="34"/>
      <c r="BE653" s="34"/>
      <c r="BF653" s="34"/>
      <c r="BG653" s="34"/>
      <c r="BH653" s="34"/>
      <c r="BI653" s="34"/>
      <c r="BJ653" s="34"/>
      <c r="BK653" s="34"/>
      <c r="BL653" s="34"/>
      <c r="BM653" s="34"/>
      <c r="BN653" s="1540">
        <f t="shared" si="30"/>
        <v>0</v>
      </c>
      <c r="BO653" s="1541"/>
      <c r="BP653" s="1541"/>
      <c r="BQ653" s="1541"/>
      <c r="BR653" s="1542"/>
      <c r="BS653" s="1550">
        <f t="shared" si="31"/>
        <v>0</v>
      </c>
      <c r="BT653" s="1550"/>
      <c r="BU653" s="1550"/>
      <c r="BV653" s="1550"/>
      <c r="BW653" s="1550"/>
      <c r="BX653" s="1550">
        <f t="shared" si="32"/>
        <v>0</v>
      </c>
      <c r="BY653" s="1550"/>
      <c r="BZ653" s="1550"/>
      <c r="CA653" s="1550"/>
      <c r="CB653" s="1550"/>
      <c r="CC653" s="1550">
        <f t="shared" si="33"/>
        <v>0</v>
      </c>
      <c r="CD653" s="1550"/>
      <c r="CE653" s="1550"/>
      <c r="CF653" s="1550"/>
      <c r="CG653" s="1550"/>
      <c r="CH653" s="1550">
        <f t="shared" si="34"/>
        <v>0</v>
      </c>
      <c r="CI653" s="1550"/>
      <c r="CJ653" s="1550"/>
      <c r="CK653" s="1550"/>
      <c r="CL653" s="1550"/>
      <c r="CM653" s="1550">
        <f t="shared" si="35"/>
        <v>0</v>
      </c>
      <c r="CN653" s="1550"/>
      <c r="CO653" s="1550"/>
      <c r="CP653" s="1550"/>
      <c r="CQ653" s="1550"/>
      <c r="CR653" s="6"/>
      <c r="CS653" s="1540">
        <f t="shared" si="36"/>
        <v>0</v>
      </c>
      <c r="CT653" s="1541"/>
      <c r="CU653" s="1541"/>
      <c r="CV653" s="1541"/>
      <c r="CW653" s="1542"/>
      <c r="CX653" s="1540">
        <f t="shared" si="37"/>
        <v>0</v>
      </c>
      <c r="CY653" s="1541"/>
      <c r="CZ653" s="1541"/>
      <c r="DA653" s="1541"/>
      <c r="DB653" s="1542"/>
      <c r="DC653" s="1540">
        <f t="shared" si="38"/>
        <v>0</v>
      </c>
      <c r="DD653" s="1541"/>
      <c r="DE653" s="1541"/>
      <c r="DF653" s="1541"/>
      <c r="DG653" s="1542"/>
      <c r="DH653" s="1540">
        <f t="shared" si="39"/>
        <v>0</v>
      </c>
      <c r="DI653" s="1541"/>
      <c r="DJ653" s="1541"/>
      <c r="DK653" s="1541"/>
      <c r="DL653" s="1542"/>
      <c r="DM653" s="1540">
        <f t="shared" si="40"/>
        <v>0</v>
      </c>
      <c r="DN653" s="1541"/>
      <c r="DO653" s="1541"/>
      <c r="DP653" s="1541"/>
      <c r="DQ653" s="1542"/>
      <c r="DR653" s="1540">
        <f t="shared" si="41"/>
        <v>0</v>
      </c>
      <c r="DS653" s="1541"/>
      <c r="DT653" s="1541"/>
      <c r="DU653" s="1541"/>
      <c r="DV653" s="1542"/>
      <c r="DX653" s="1537" t="e">
        <f t="shared" si="29"/>
        <v>#VALUE!</v>
      </c>
      <c r="DY653" s="1537"/>
      <c r="DZ653" s="1537"/>
      <c r="EA653" s="1537"/>
      <c r="EB653" s="1537"/>
      <c r="EC653" s="1537" t="e">
        <f t="shared" si="24"/>
        <v>#VALUE!</v>
      </c>
      <c r="ED653" s="1537"/>
      <c r="EE653" s="1537"/>
      <c r="EF653" s="1537"/>
      <c r="EG653" s="1537"/>
      <c r="EH653" s="1537" t="e">
        <f t="shared" si="25"/>
        <v>#VALUE!</v>
      </c>
      <c r="EI653" s="1537"/>
      <c r="EJ653" s="1537"/>
      <c r="EK653" s="1537"/>
      <c r="EL653" s="1537"/>
      <c r="EM653" s="1537" t="e">
        <f t="shared" si="26"/>
        <v>#VALUE!</v>
      </c>
      <c r="EN653" s="1537"/>
      <c r="EO653" s="1537"/>
      <c r="EP653" s="1537"/>
      <c r="EQ653" s="1537"/>
      <c r="ER653" s="1537" t="e">
        <f t="shared" si="27"/>
        <v>#VALUE!</v>
      </c>
      <c r="ES653" s="1537"/>
      <c r="ET653" s="1537"/>
      <c r="EU653" s="1537"/>
      <c r="EV653" s="1537"/>
      <c r="EW653" s="1537" t="e">
        <f t="shared" si="28"/>
        <v>#VALUE!</v>
      </c>
      <c r="EX653" s="1537"/>
      <c r="EY653" s="1537"/>
      <c r="EZ653" s="1537"/>
      <c r="FA653" s="1537"/>
    </row>
    <row r="654" spans="1:157" ht="12.95" customHeight="1">
      <c r="A654" s="22"/>
      <c r="B654" t="s">
        <v>17</v>
      </c>
      <c r="G654" s="1516" t="s">
        <v>2734</v>
      </c>
      <c r="H654" s="1516"/>
      <c r="I654" s="1516"/>
      <c r="J654" s="1516"/>
      <c r="K654" s="1516"/>
      <c r="L654" s="1516"/>
      <c r="M654" s="1516"/>
      <c r="N654" s="1516"/>
      <c r="O654" s="1516"/>
      <c r="P654" s="1516"/>
      <c r="Q654" s="1516"/>
      <c r="R654" s="1516"/>
      <c r="T654" s="22"/>
      <c r="U654" t="s">
        <v>17</v>
      </c>
      <c r="Z654" s="1516"/>
      <c r="AA654" s="1516"/>
      <c r="AB654" s="1516"/>
      <c r="AC654" s="1516"/>
      <c r="AD654" s="1516"/>
      <c r="AE654" s="1516"/>
      <c r="AF654" s="1516"/>
      <c r="AG654" s="1516"/>
      <c r="AH654" s="1516"/>
      <c r="AI654" s="1516"/>
      <c r="AJ654" s="1516"/>
      <c r="AK654" s="1516"/>
      <c r="AZ654" s="34"/>
      <c r="BA654" s="34"/>
      <c r="BB654" s="34"/>
      <c r="BC654" s="34"/>
      <c r="BD654" s="34"/>
      <c r="BE654" s="34"/>
      <c r="BF654" s="34"/>
      <c r="BG654" s="34"/>
      <c r="BH654" s="34"/>
      <c r="BI654" s="34"/>
      <c r="BJ654" s="34"/>
      <c r="BK654" s="34"/>
      <c r="BL654" s="34"/>
      <c r="BM654" s="34"/>
      <c r="BN654" s="1540">
        <f t="shared" si="30"/>
        <v>0</v>
      </c>
      <c r="BO654" s="1541"/>
      <c r="BP654" s="1541"/>
      <c r="BQ654" s="1541"/>
      <c r="BR654" s="1542"/>
      <c r="BS654" s="1550">
        <f t="shared" si="31"/>
        <v>0</v>
      </c>
      <c r="BT654" s="1550"/>
      <c r="BU654" s="1550"/>
      <c r="BV654" s="1550"/>
      <c r="BW654" s="1550"/>
      <c r="BX654" s="1550">
        <f t="shared" si="32"/>
        <v>0</v>
      </c>
      <c r="BY654" s="1550"/>
      <c r="BZ654" s="1550"/>
      <c r="CA654" s="1550"/>
      <c r="CB654" s="1550"/>
      <c r="CC654" s="1550">
        <f t="shared" si="33"/>
        <v>0</v>
      </c>
      <c r="CD654" s="1550"/>
      <c r="CE654" s="1550"/>
      <c r="CF654" s="1550"/>
      <c r="CG654" s="1550"/>
      <c r="CH654" s="1550">
        <f t="shared" si="34"/>
        <v>0</v>
      </c>
      <c r="CI654" s="1550"/>
      <c r="CJ654" s="1550"/>
      <c r="CK654" s="1550"/>
      <c r="CL654" s="1550"/>
      <c r="CM654" s="1550">
        <f t="shared" si="35"/>
        <v>0</v>
      </c>
      <c r="CN654" s="1550"/>
      <c r="CO654" s="1550"/>
      <c r="CP654" s="1550"/>
      <c r="CQ654" s="1550"/>
      <c r="CR654" s="6"/>
      <c r="CS654" s="1540">
        <f t="shared" si="36"/>
        <v>0</v>
      </c>
      <c r="CT654" s="1541"/>
      <c r="CU654" s="1541"/>
      <c r="CV654" s="1541"/>
      <c r="CW654" s="1542"/>
      <c r="CX654" s="1540">
        <f t="shared" si="37"/>
        <v>0</v>
      </c>
      <c r="CY654" s="1541"/>
      <c r="CZ654" s="1541"/>
      <c r="DA654" s="1541"/>
      <c r="DB654" s="1542"/>
      <c r="DC654" s="1540">
        <f t="shared" si="38"/>
        <v>0</v>
      </c>
      <c r="DD654" s="1541"/>
      <c r="DE654" s="1541"/>
      <c r="DF654" s="1541"/>
      <c r="DG654" s="1542"/>
      <c r="DH654" s="1540">
        <f t="shared" si="39"/>
        <v>0</v>
      </c>
      <c r="DI654" s="1541"/>
      <c r="DJ654" s="1541"/>
      <c r="DK654" s="1541"/>
      <c r="DL654" s="1542"/>
      <c r="DM654" s="1540">
        <f t="shared" si="40"/>
        <v>0</v>
      </c>
      <c r="DN654" s="1541"/>
      <c r="DO654" s="1541"/>
      <c r="DP654" s="1541"/>
      <c r="DQ654" s="1542"/>
      <c r="DR654" s="1540">
        <f t="shared" si="41"/>
        <v>0</v>
      </c>
      <c r="DS654" s="1541"/>
      <c r="DT654" s="1541"/>
      <c r="DU654" s="1541"/>
      <c r="DV654" s="1542"/>
      <c r="DX654" s="1537" t="e">
        <f t="shared" si="29"/>
        <v>#VALUE!</v>
      </c>
      <c r="DY654" s="1537"/>
      <c r="DZ654" s="1537"/>
      <c r="EA654" s="1537"/>
      <c r="EB654" s="1537"/>
      <c r="EC654" s="1537" t="e">
        <f t="shared" si="24"/>
        <v>#VALUE!</v>
      </c>
      <c r="ED654" s="1537"/>
      <c r="EE654" s="1537"/>
      <c r="EF654" s="1537"/>
      <c r="EG654" s="1537"/>
      <c r="EH654" s="1537" t="e">
        <f t="shared" si="25"/>
        <v>#VALUE!</v>
      </c>
      <c r="EI654" s="1537"/>
      <c r="EJ654" s="1537"/>
      <c r="EK654" s="1537"/>
      <c r="EL654" s="1537"/>
      <c r="EM654" s="1537" t="e">
        <f t="shared" si="26"/>
        <v>#VALUE!</v>
      </c>
      <c r="EN654" s="1537"/>
      <c r="EO654" s="1537"/>
      <c r="EP654" s="1537"/>
      <c r="EQ654" s="1537"/>
      <c r="ER654" s="1537" t="e">
        <f t="shared" si="27"/>
        <v>#VALUE!</v>
      </c>
      <c r="ES654" s="1537"/>
      <c r="ET654" s="1537"/>
      <c r="EU654" s="1537"/>
      <c r="EV654" s="1537"/>
      <c r="EW654" s="1537" t="e">
        <f t="shared" si="28"/>
        <v>#VALUE!</v>
      </c>
      <c r="EX654" s="1537"/>
      <c r="EY654" s="1537"/>
      <c r="EZ654" s="1537"/>
      <c r="FA654" s="1537"/>
    </row>
    <row r="655" spans="1:157" ht="12.95" customHeight="1">
      <c r="A655" s="22"/>
      <c r="B655" t="s">
        <v>317</v>
      </c>
      <c r="G655" s="1492"/>
      <c r="H655" s="1492"/>
      <c r="I655" s="1492"/>
      <c r="J655" s="1492"/>
      <c r="K655" s="1492"/>
      <c r="L655" s="1492"/>
      <c r="O655" s="33" t="s">
        <v>207</v>
      </c>
      <c r="P655" s="1520"/>
      <c r="Q655" s="1520"/>
      <c r="R655" s="1520"/>
      <c r="T655" s="22"/>
      <c r="U655" t="s">
        <v>317</v>
      </c>
      <c r="Z655" s="1492"/>
      <c r="AA655" s="1492"/>
      <c r="AB655" s="1492"/>
      <c r="AC655" s="1492"/>
      <c r="AD655" s="1492"/>
      <c r="AE655" s="1492"/>
      <c r="AH655" s="33" t="s">
        <v>207</v>
      </c>
      <c r="AI655" s="1520"/>
      <c r="AJ655" s="1520"/>
      <c r="AK655" s="1520"/>
      <c r="AZ655" s="34"/>
      <c r="BA655" s="34"/>
      <c r="BB655" s="34"/>
      <c r="BC655" s="34"/>
      <c r="BD655" s="34"/>
      <c r="BE655" s="34"/>
      <c r="BF655" s="34"/>
      <c r="BG655" s="34"/>
      <c r="BH655" s="34"/>
      <c r="BI655" s="34"/>
      <c r="BJ655" s="34"/>
      <c r="BK655" s="34"/>
      <c r="BL655" s="34"/>
      <c r="BM655" s="34"/>
      <c r="BN655" s="1565">
        <f>SUM(BN645:BR654)</f>
        <v>0</v>
      </c>
      <c r="BO655" s="1566"/>
      <c r="BP655" s="1566"/>
      <c r="BQ655" s="1566"/>
      <c r="BR655" s="1567"/>
      <c r="BS655" s="1544">
        <f>SUM(BS645:BW654)</f>
        <v>0</v>
      </c>
      <c r="BT655" s="1545"/>
      <c r="BU655" s="1545"/>
      <c r="BV655" s="1545"/>
      <c r="BW655" s="1546"/>
      <c r="BX655" s="1544">
        <f>SUM(BX645:CB654)</f>
        <v>0</v>
      </c>
      <c r="BY655" s="1545"/>
      <c r="BZ655" s="1545"/>
      <c r="CA655" s="1545"/>
      <c r="CB655" s="1546"/>
      <c r="CC655" s="1544">
        <f>SUM(CC645:CG654)</f>
        <v>0</v>
      </c>
      <c r="CD655" s="1545"/>
      <c r="CE655" s="1545"/>
      <c r="CF655" s="1545"/>
      <c r="CG655" s="1546"/>
      <c r="CH655" s="1544">
        <f>SUM(CH645:CL654)</f>
        <v>0</v>
      </c>
      <c r="CI655" s="1545"/>
      <c r="CJ655" s="1545"/>
      <c r="CK655" s="1545"/>
      <c r="CL655" s="1546"/>
      <c r="CM655" s="1544">
        <f>SUM(CM645:CQ654)</f>
        <v>0</v>
      </c>
      <c r="CN655" s="1545"/>
      <c r="CO655" s="1545"/>
      <c r="CP655" s="1545"/>
      <c r="CQ655" s="1546"/>
      <c r="CR655" s="1047"/>
      <c r="CS655" s="1543">
        <f>SUM(CS645:CW654)</f>
        <v>0</v>
      </c>
      <c r="CT655" s="1543"/>
      <c r="CU655" s="1543"/>
      <c r="CV655" s="1543"/>
      <c r="CW655" s="1543"/>
      <c r="CX655" s="1543">
        <f>SUM(CX645:DB654)</f>
        <v>0</v>
      </c>
      <c r="CY655" s="1543"/>
      <c r="CZ655" s="1543"/>
      <c r="DA655" s="1543"/>
      <c r="DB655" s="1543"/>
      <c r="DC655" s="1543">
        <f>SUM(DC645:DG654)</f>
        <v>0</v>
      </c>
      <c r="DD655" s="1543"/>
      <c r="DE655" s="1543"/>
      <c r="DF655" s="1543"/>
      <c r="DG655" s="1543"/>
      <c r="DH655" s="1543">
        <f>SUM(DH645:DL654)</f>
        <v>0</v>
      </c>
      <c r="DI655" s="1543"/>
      <c r="DJ655" s="1543"/>
      <c r="DK655" s="1543"/>
      <c r="DL655" s="1543"/>
      <c r="DM655" s="1543">
        <f>SUM(DM645:DQ654)</f>
        <v>0</v>
      </c>
      <c r="DN655" s="1543"/>
      <c r="DO655" s="1543"/>
      <c r="DP655" s="1543"/>
      <c r="DQ655" s="1543"/>
      <c r="DR655" s="1543">
        <f>SUM(DR645:DV654)</f>
        <v>0</v>
      </c>
      <c r="DS655" s="1543"/>
      <c r="DT655" s="1543"/>
      <c r="DU655" s="1543"/>
      <c r="DV655" s="1543"/>
      <c r="DX655" s="1537" t="e">
        <f t="shared" si="29"/>
        <v>#VALUE!</v>
      </c>
      <c r="DY655" s="1537"/>
      <c r="DZ655" s="1537"/>
      <c r="EA655" s="1537"/>
      <c r="EB655" s="1537"/>
      <c r="EC655" s="1537" t="e">
        <f t="shared" si="24"/>
        <v>#VALUE!</v>
      </c>
      <c r="ED655" s="1537"/>
      <c r="EE655" s="1537"/>
      <c r="EF655" s="1537"/>
      <c r="EG655" s="1537"/>
      <c r="EH655" s="1537" t="e">
        <f t="shared" si="25"/>
        <v>#VALUE!</v>
      </c>
      <c r="EI655" s="1537"/>
      <c r="EJ655" s="1537"/>
      <c r="EK655" s="1537"/>
      <c r="EL655" s="1537"/>
      <c r="EM655" s="1537" t="e">
        <f t="shared" si="26"/>
        <v>#VALUE!</v>
      </c>
      <c r="EN655" s="1537"/>
      <c r="EO655" s="1537"/>
      <c r="EP655" s="1537"/>
      <c r="EQ655" s="1537"/>
      <c r="ER655" s="1537" t="e">
        <f t="shared" si="27"/>
        <v>#VALUE!</v>
      </c>
      <c r="ES655" s="1537"/>
      <c r="ET655" s="1537"/>
      <c r="EU655" s="1537"/>
      <c r="EV655" s="1537"/>
      <c r="EW655" s="1537" t="e">
        <f t="shared" si="28"/>
        <v>#VALUE!</v>
      </c>
      <c r="EX655" s="1537"/>
      <c r="EY655" s="1537"/>
      <c r="EZ655" s="1537"/>
      <c r="FA655" s="1537"/>
    </row>
    <row r="656" spans="1:157" ht="12.95" customHeight="1">
      <c r="A656" s="22"/>
      <c r="B656" t="s">
        <v>18</v>
      </c>
      <c r="H656" s="1493"/>
      <c r="I656" s="1493"/>
      <c r="J656" s="1493"/>
      <c r="K656" s="1493"/>
      <c r="L656" s="1493"/>
      <c r="M656" s="1493"/>
      <c r="N656" s="1493"/>
      <c r="O656" s="1493"/>
      <c r="P656" s="1493"/>
      <c r="Q656" s="1493"/>
      <c r="R656" s="1493"/>
      <c r="T656" s="22"/>
      <c r="U656" t="s">
        <v>18</v>
      </c>
      <c r="AA656" s="1493"/>
      <c r="AB656" s="1493"/>
      <c r="AC656" s="1493"/>
      <c r="AD656" s="1493"/>
      <c r="AE656" s="1493"/>
      <c r="AF656" s="1493"/>
      <c r="AG656" s="1493"/>
      <c r="AH656" s="1493"/>
      <c r="AI656" s="1493"/>
      <c r="AJ656" s="1493"/>
      <c r="AK656" s="1493"/>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37" t="e">
        <f t="shared" si="29"/>
        <v>#VALUE!</v>
      </c>
      <c r="DY656" s="1537"/>
      <c r="DZ656" s="1537"/>
      <c r="EA656" s="1537"/>
      <c r="EB656" s="1537"/>
      <c r="EC656" s="1537" t="e">
        <f t="shared" si="24"/>
        <v>#VALUE!</v>
      </c>
      <c r="ED656" s="1537"/>
      <c r="EE656" s="1537"/>
      <c r="EF656" s="1537"/>
      <c r="EG656" s="1537"/>
      <c r="EH656" s="1537" t="e">
        <f t="shared" si="25"/>
        <v>#VALUE!</v>
      </c>
      <c r="EI656" s="1537"/>
      <c r="EJ656" s="1537"/>
      <c r="EK656" s="1537"/>
      <c r="EL656" s="1537"/>
      <c r="EM656" s="1537" t="e">
        <f t="shared" si="26"/>
        <v>#VALUE!</v>
      </c>
      <c r="EN656" s="1537"/>
      <c r="EO656" s="1537"/>
      <c r="EP656" s="1537"/>
      <c r="EQ656" s="1537"/>
      <c r="ER656" s="1537" t="e">
        <f t="shared" si="27"/>
        <v>#VALUE!</v>
      </c>
      <c r="ES656" s="1537"/>
      <c r="ET656" s="1537"/>
      <c r="EU656" s="1537"/>
      <c r="EV656" s="1537"/>
      <c r="EW656" s="1537" t="e">
        <f t="shared" si="28"/>
        <v>#VALUE!</v>
      </c>
      <c r="EX656" s="1537"/>
      <c r="EY656" s="1537"/>
      <c r="EZ656" s="1537"/>
      <c r="FA656" s="1537"/>
    </row>
    <row r="657" spans="1:157" ht="12.95" customHeight="1">
      <c r="A657" s="22"/>
      <c r="B657" t="s">
        <v>20</v>
      </c>
      <c r="N657" s="1499" t="s">
        <v>554</v>
      </c>
      <c r="O657" s="1499"/>
      <c r="T657" s="22"/>
      <c r="U657" t="s">
        <v>20</v>
      </c>
      <c r="AG657" s="1499" t="s">
        <v>554</v>
      </c>
      <c r="AH657" s="1499"/>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537">
        <f>SUM(CS655:DV655)</f>
        <v>0</v>
      </c>
      <c r="DS657" s="1537"/>
      <c r="DT657" s="1537"/>
      <c r="DU657" s="1537"/>
      <c r="DV657" s="1537"/>
      <c r="DX657" s="1537" t="e">
        <f t="shared" si="29"/>
        <v>#VALUE!</v>
      </c>
      <c r="DY657" s="1537"/>
      <c r="DZ657" s="1537"/>
      <c r="EA657" s="1537"/>
      <c r="EB657" s="1537"/>
      <c r="EC657" s="1537" t="e">
        <f t="shared" si="24"/>
        <v>#VALUE!</v>
      </c>
      <c r="ED657" s="1537"/>
      <c r="EE657" s="1537"/>
      <c r="EF657" s="1537"/>
      <c r="EG657" s="1537"/>
      <c r="EH657" s="1537" t="e">
        <f t="shared" si="25"/>
        <v>#VALUE!</v>
      </c>
      <c r="EI657" s="1537"/>
      <c r="EJ657" s="1537"/>
      <c r="EK657" s="1537"/>
      <c r="EL657" s="1537"/>
      <c r="EM657" s="1537" t="e">
        <f t="shared" si="26"/>
        <v>#VALUE!</v>
      </c>
      <c r="EN657" s="1537"/>
      <c r="EO657" s="1537"/>
      <c r="EP657" s="1537"/>
      <c r="EQ657" s="1537"/>
      <c r="ER657" s="1537" t="e">
        <f t="shared" si="27"/>
        <v>#VALUE!</v>
      </c>
      <c r="ES657" s="1537"/>
      <c r="ET657" s="1537"/>
      <c r="EU657" s="1537"/>
      <c r="EV657" s="1537"/>
      <c r="EW657" s="1537" t="e">
        <f t="shared" si="28"/>
        <v>#VALUE!</v>
      </c>
      <c r="EX657" s="1537"/>
      <c r="EY657" s="1537"/>
      <c r="EZ657" s="1537"/>
      <c r="FA657" s="153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537" t="e">
        <f t="shared" ref="DX658:DX667" si="42">DX620*(BN620/$BN$632)</f>
        <v>#VALUE!</v>
      </c>
      <c r="DY658" s="1537"/>
      <c r="DZ658" s="1537"/>
      <c r="EA658" s="1537"/>
      <c r="EB658" s="1537"/>
      <c r="EC658" s="1537" t="e">
        <f t="shared" ref="EC658:EC667" si="43">EC620*(BS620/$BS$632)</f>
        <v>#VALUE!</v>
      </c>
      <c r="ED658" s="1537"/>
      <c r="EE658" s="1537"/>
      <c r="EF658" s="1537"/>
      <c r="EG658" s="1537"/>
      <c r="EH658" s="1537" t="e">
        <f t="shared" ref="EH658:EH667" si="44">EH620*(BX620/$BX$632)</f>
        <v>#VALUE!</v>
      </c>
      <c r="EI658" s="1537"/>
      <c r="EJ658" s="1537"/>
      <c r="EK658" s="1537"/>
      <c r="EL658" s="1537"/>
      <c r="EM658" s="1537" t="e">
        <f t="shared" ref="EM658:EM667" si="45">EM620*(CC620/$CC$632)</f>
        <v>#VALUE!</v>
      </c>
      <c r="EN658" s="1537"/>
      <c r="EO658" s="1537"/>
      <c r="EP658" s="1537"/>
      <c r="EQ658" s="1537"/>
      <c r="ER658" s="1537" t="e">
        <f t="shared" ref="ER658:ER667" si="46">ER620*(CH620/$CH$632)</f>
        <v>#VALUE!</v>
      </c>
      <c r="ES658" s="1537"/>
      <c r="ET658" s="1537"/>
      <c r="EU658" s="1537"/>
      <c r="EV658" s="1537"/>
      <c r="EW658" s="1537" t="e">
        <f t="shared" ref="EW658:EW667" si="47">EW620*(CM620/$CM$632)</f>
        <v>#VALUE!</v>
      </c>
      <c r="EX658" s="1537"/>
      <c r="EY658" s="1537"/>
      <c r="EZ658" s="1537"/>
      <c r="FA658" s="1537"/>
    </row>
    <row r="659" spans="1:157" ht="12.95" customHeight="1">
      <c r="A659" s="55" t="s">
        <v>773</v>
      </c>
      <c r="B659" t="s">
        <v>472</v>
      </c>
      <c r="G659" s="1488" t="str">
        <f>C631</f>
        <v>Deferred Developer Fee</v>
      </c>
      <c r="H659" s="1488"/>
      <c r="I659" s="1488"/>
      <c r="J659" s="1488"/>
      <c r="K659" s="1488"/>
      <c r="L659" s="1488"/>
      <c r="M659" s="1488"/>
      <c r="N659" s="1488"/>
      <c r="O659" s="1488"/>
      <c r="P659" s="1488"/>
      <c r="Q659" s="1488"/>
      <c r="R659" s="1488"/>
      <c r="T659" s="55" t="s">
        <v>593</v>
      </c>
      <c r="U659" t="s">
        <v>472</v>
      </c>
      <c r="Z659" s="1488">
        <f>C632</f>
        <v>0</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37" t="e">
        <f t="shared" si="42"/>
        <v>#VALUE!</v>
      </c>
      <c r="DY659" s="1537"/>
      <c r="DZ659" s="1537"/>
      <c r="EA659" s="1537"/>
      <c r="EB659" s="1537"/>
      <c r="EC659" s="1537" t="e">
        <f t="shared" si="43"/>
        <v>#VALUE!</v>
      </c>
      <c r="ED659" s="1537"/>
      <c r="EE659" s="1537"/>
      <c r="EF659" s="1537"/>
      <c r="EG659" s="1537"/>
      <c r="EH659" s="1537" t="e">
        <f t="shared" si="44"/>
        <v>#VALUE!</v>
      </c>
      <c r="EI659" s="1537"/>
      <c r="EJ659" s="1537"/>
      <c r="EK659" s="1537"/>
      <c r="EL659" s="1537"/>
      <c r="EM659" s="1537" t="e">
        <f t="shared" si="45"/>
        <v>#VALUE!</v>
      </c>
      <c r="EN659" s="1537"/>
      <c r="EO659" s="1537"/>
      <c r="EP659" s="1537"/>
      <c r="EQ659" s="1537"/>
      <c r="ER659" s="1537" t="e">
        <f t="shared" si="46"/>
        <v>#VALUE!</v>
      </c>
      <c r="ES659" s="1537"/>
      <c r="ET659" s="1537"/>
      <c r="EU659" s="1537"/>
      <c r="EV659" s="1537"/>
      <c r="EW659" s="1537" t="e">
        <f t="shared" si="47"/>
        <v>#VALUE!</v>
      </c>
      <c r="EX659" s="1537"/>
      <c r="EY659" s="1537"/>
      <c r="EZ659" s="1537"/>
      <c r="FA659" s="1537"/>
    </row>
    <row r="660" spans="1:157" ht="12.95" customHeight="1">
      <c r="A660" s="22"/>
      <c r="B660" t="s">
        <v>85</v>
      </c>
      <c r="G660" s="1493"/>
      <c r="H660" s="1493"/>
      <c r="I660" s="1493"/>
      <c r="J660" s="1493"/>
      <c r="K660" s="1493"/>
      <c r="L660" s="1493"/>
      <c r="M660" s="1493"/>
      <c r="N660" s="1493"/>
      <c r="O660" s="1493"/>
      <c r="P660" s="1493"/>
      <c r="Q660" s="1493"/>
      <c r="R660" s="1493"/>
      <c r="T660" s="22"/>
      <c r="U660" t="s">
        <v>85</v>
      </c>
      <c r="Z660" s="1493"/>
      <c r="AA660" s="1493"/>
      <c r="AB660" s="1493"/>
      <c r="AC660" s="1493"/>
      <c r="AD660" s="1493"/>
      <c r="AE660" s="1493"/>
      <c r="AF660" s="1493"/>
      <c r="AG660" s="1493"/>
      <c r="AH660" s="1493"/>
      <c r="AI660" s="1493"/>
      <c r="AJ660" s="1493"/>
      <c r="AK660" s="1493"/>
      <c r="AZ660" s="34"/>
      <c r="BA660" s="34"/>
      <c r="BB660" s="34"/>
      <c r="BC660" s="34"/>
      <c r="BD660" s="34"/>
      <c r="BE660" s="34"/>
      <c r="BF660" s="34"/>
      <c r="BG660" s="34"/>
      <c r="BH660" s="34"/>
      <c r="BI660" s="34"/>
      <c r="BJ660" s="34"/>
      <c r="BK660" s="34"/>
      <c r="BL660" s="34"/>
      <c r="BM660" s="34"/>
      <c r="BN660" s="1544">
        <f>BN632+BN641+BN655</f>
        <v>0</v>
      </c>
      <c r="BO660" s="1545"/>
      <c r="BP660" s="1545"/>
      <c r="BQ660" s="1545"/>
      <c r="BR660" s="1546"/>
      <c r="BS660" s="1544">
        <f>BS632+BS641+BS655</f>
        <v>80</v>
      </c>
      <c r="BT660" s="1545"/>
      <c r="BU660" s="1545"/>
      <c r="BV660" s="1545"/>
      <c r="BW660" s="1546"/>
      <c r="BX660" s="1544">
        <f>BX632+BX641+BX655</f>
        <v>80</v>
      </c>
      <c r="BY660" s="1545"/>
      <c r="BZ660" s="1545"/>
      <c r="CA660" s="1545"/>
      <c r="CB660" s="1546"/>
      <c r="CC660" s="1544">
        <f>CC632+CC641+CC655</f>
        <v>0</v>
      </c>
      <c r="CD660" s="1545"/>
      <c r="CE660" s="1545"/>
      <c r="CF660" s="1545"/>
      <c r="CG660" s="1546"/>
      <c r="CH660" s="1544">
        <f>CH632+CH641+CH655</f>
        <v>0</v>
      </c>
      <c r="CI660" s="1545"/>
      <c r="CJ660" s="1545"/>
      <c r="CK660" s="1545"/>
      <c r="CL660" s="1546"/>
      <c r="CM660" s="1547">
        <f>CM655+CM641+CM632</f>
        <v>0</v>
      </c>
      <c r="CN660" s="1548"/>
      <c r="CO660" s="1548"/>
      <c r="CP660" s="1548"/>
      <c r="CQ660" s="1549"/>
      <c r="CR660" s="3"/>
      <c r="CS660" s="895">
        <f>CS634+CS658</f>
        <v>238</v>
      </c>
      <c r="CT660" s="57" t="s">
        <v>2056</v>
      </c>
      <c r="CU660" s="3"/>
      <c r="CV660" s="3"/>
      <c r="CW660" s="3"/>
      <c r="CX660" s="3"/>
      <c r="CY660" s="3"/>
      <c r="CZ660" s="3"/>
      <c r="DA660" s="3"/>
      <c r="DB660" s="3"/>
      <c r="DC660" s="3"/>
      <c r="DD660" s="3"/>
      <c r="DE660" s="3"/>
      <c r="DF660" s="3"/>
      <c r="DX660" s="1537" t="e">
        <f t="shared" si="42"/>
        <v>#VALUE!</v>
      </c>
      <c r="DY660" s="1537"/>
      <c r="DZ660" s="1537"/>
      <c r="EA660" s="1537"/>
      <c r="EB660" s="1537"/>
      <c r="EC660" s="1537" t="e">
        <f t="shared" si="43"/>
        <v>#VALUE!</v>
      </c>
      <c r="ED660" s="1537"/>
      <c r="EE660" s="1537"/>
      <c r="EF660" s="1537"/>
      <c r="EG660" s="1537"/>
      <c r="EH660" s="1537" t="e">
        <f t="shared" si="44"/>
        <v>#VALUE!</v>
      </c>
      <c r="EI660" s="1537"/>
      <c r="EJ660" s="1537"/>
      <c r="EK660" s="1537"/>
      <c r="EL660" s="1537"/>
      <c r="EM660" s="1537" t="e">
        <f t="shared" si="45"/>
        <v>#VALUE!</v>
      </c>
      <c r="EN660" s="1537"/>
      <c r="EO660" s="1537"/>
      <c r="EP660" s="1537"/>
      <c r="EQ660" s="1537"/>
      <c r="ER660" s="1537" t="e">
        <f t="shared" si="46"/>
        <v>#VALUE!</v>
      </c>
      <c r="ES660" s="1537"/>
      <c r="ET660" s="1537"/>
      <c r="EU660" s="1537"/>
      <c r="EV660" s="1537"/>
      <c r="EW660" s="1537" t="e">
        <f t="shared" si="47"/>
        <v>#VALUE!</v>
      </c>
      <c r="EX660" s="1537"/>
      <c r="EY660" s="1537"/>
      <c r="EZ660" s="1537"/>
      <c r="FA660" s="1537"/>
    </row>
    <row r="661" spans="1:157" ht="12.95" customHeight="1">
      <c r="A661" s="22"/>
      <c r="B661" t="s">
        <v>589</v>
      </c>
      <c r="G661" s="1493"/>
      <c r="H661" s="1493"/>
      <c r="I661" s="1493"/>
      <c r="J661" s="1493"/>
      <c r="K661" s="1493"/>
      <c r="L661" s="1493"/>
      <c r="M661" s="1493"/>
      <c r="N661" s="1493"/>
      <c r="O661" s="1493"/>
      <c r="P661" s="1493"/>
      <c r="Q661" s="1493"/>
      <c r="R661" s="1493"/>
      <c r="T661" s="22"/>
      <c r="U661" t="s">
        <v>589</v>
      </c>
      <c r="Z661" s="1516"/>
      <c r="AA661" s="1516"/>
      <c r="AB661" s="1516"/>
      <c r="AC661" s="1516"/>
      <c r="AD661" s="1516"/>
      <c r="AE661" s="1516"/>
      <c r="AF661" s="1516"/>
      <c r="AG661" s="1516"/>
      <c r="AH661" s="1516"/>
      <c r="AI661" s="1516"/>
      <c r="AJ661" s="1516"/>
      <c r="AK661" s="1516"/>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37" t="e">
        <f t="shared" si="42"/>
        <v>#VALUE!</v>
      </c>
      <c r="DY661" s="1537"/>
      <c r="DZ661" s="1537"/>
      <c r="EA661" s="1537"/>
      <c r="EB661" s="1537"/>
      <c r="EC661" s="1537" t="e">
        <f t="shared" si="43"/>
        <v>#VALUE!</v>
      </c>
      <c r="ED661" s="1537"/>
      <c r="EE661" s="1537"/>
      <c r="EF661" s="1537"/>
      <c r="EG661" s="1537"/>
      <c r="EH661" s="1537" t="e">
        <f t="shared" si="44"/>
        <v>#VALUE!</v>
      </c>
      <c r="EI661" s="1537"/>
      <c r="EJ661" s="1537"/>
      <c r="EK661" s="1537"/>
      <c r="EL661" s="1537"/>
      <c r="EM661" s="1537" t="e">
        <f t="shared" si="45"/>
        <v>#VALUE!</v>
      </c>
      <c r="EN661" s="1537"/>
      <c r="EO661" s="1537"/>
      <c r="EP661" s="1537"/>
      <c r="EQ661" s="1537"/>
      <c r="ER661" s="1537" t="e">
        <f t="shared" si="46"/>
        <v>#VALUE!</v>
      </c>
      <c r="ES661" s="1537"/>
      <c r="ET661" s="1537"/>
      <c r="EU661" s="1537"/>
      <c r="EV661" s="1537"/>
      <c r="EW661" s="1537" t="e">
        <f t="shared" si="47"/>
        <v>#VALUE!</v>
      </c>
      <c r="EX661" s="1537"/>
      <c r="EY661" s="1537"/>
      <c r="EZ661" s="1537"/>
      <c r="FA661" s="1537"/>
    </row>
    <row r="662" spans="1:157" ht="12.95" customHeight="1">
      <c r="A662" s="22"/>
      <c r="B662" t="s">
        <v>17</v>
      </c>
      <c r="G662" s="1493"/>
      <c r="H662" s="1493"/>
      <c r="I662" s="1493"/>
      <c r="J662" s="1493"/>
      <c r="K662" s="1493"/>
      <c r="L662" s="1493"/>
      <c r="M662" s="1493"/>
      <c r="N662" s="1493"/>
      <c r="O662" s="1493"/>
      <c r="P662" s="1493"/>
      <c r="Q662" s="1493"/>
      <c r="R662" s="1493"/>
      <c r="T662" s="22"/>
      <c r="U662" t="s">
        <v>17</v>
      </c>
      <c r="Z662" s="1516"/>
      <c r="AA662" s="1516"/>
      <c r="AB662" s="1516"/>
      <c r="AC662" s="1516"/>
      <c r="AD662" s="1516"/>
      <c r="AE662" s="1516"/>
      <c r="AF662" s="1516"/>
      <c r="AG662" s="1516"/>
      <c r="AH662" s="1516"/>
      <c r="AI662" s="1516"/>
      <c r="AJ662" s="1516"/>
      <c r="AK662" s="1516"/>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37" t="e">
        <f t="shared" si="42"/>
        <v>#VALUE!</v>
      </c>
      <c r="DY662" s="1537"/>
      <c r="DZ662" s="1537"/>
      <c r="EA662" s="1537"/>
      <c r="EB662" s="1537"/>
      <c r="EC662" s="1537" t="e">
        <f t="shared" si="43"/>
        <v>#VALUE!</v>
      </c>
      <c r="ED662" s="1537"/>
      <c r="EE662" s="1537"/>
      <c r="EF662" s="1537"/>
      <c r="EG662" s="1537"/>
      <c r="EH662" s="1537" t="e">
        <f t="shared" si="44"/>
        <v>#VALUE!</v>
      </c>
      <c r="EI662" s="1537"/>
      <c r="EJ662" s="1537"/>
      <c r="EK662" s="1537"/>
      <c r="EL662" s="1537"/>
      <c r="EM662" s="1537" t="e">
        <f t="shared" si="45"/>
        <v>#VALUE!</v>
      </c>
      <c r="EN662" s="1537"/>
      <c r="EO662" s="1537"/>
      <c r="EP662" s="1537"/>
      <c r="EQ662" s="1537"/>
      <c r="ER662" s="1537" t="e">
        <f t="shared" si="46"/>
        <v>#VALUE!</v>
      </c>
      <c r="ES662" s="1537"/>
      <c r="ET662" s="1537"/>
      <c r="EU662" s="1537"/>
      <c r="EV662" s="1537"/>
      <c r="EW662" s="1537" t="e">
        <f t="shared" si="47"/>
        <v>#VALUE!</v>
      </c>
      <c r="EX662" s="1537"/>
      <c r="EY662" s="1537"/>
      <c r="EZ662" s="1537"/>
      <c r="FA662" s="1537"/>
    </row>
    <row r="663" spans="1:157" ht="12.95" customHeight="1">
      <c r="A663" s="22"/>
      <c r="B663" t="s">
        <v>317</v>
      </c>
      <c r="G663" s="1492"/>
      <c r="H663" s="1492"/>
      <c r="I663" s="1492"/>
      <c r="J663" s="1492"/>
      <c r="K663" s="1492"/>
      <c r="L663" s="1492"/>
      <c r="O663" s="33" t="s">
        <v>207</v>
      </c>
      <c r="P663" s="1520"/>
      <c r="Q663" s="1520"/>
      <c r="R663" s="1520"/>
      <c r="T663" s="22"/>
      <c r="U663" t="s">
        <v>317</v>
      </c>
      <c r="Z663" s="1492"/>
      <c r="AA663" s="1492"/>
      <c r="AB663" s="1492"/>
      <c r="AC663" s="1492"/>
      <c r="AD663" s="1492"/>
      <c r="AE663" s="1492"/>
      <c r="AH663" s="33" t="s">
        <v>207</v>
      </c>
      <c r="AI663" s="1520"/>
      <c r="AJ663" s="1520"/>
      <c r="AK663" s="152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37" t="e">
        <f t="shared" si="42"/>
        <v>#VALUE!</v>
      </c>
      <c r="DY663" s="1537"/>
      <c r="DZ663" s="1537"/>
      <c r="EA663" s="1537"/>
      <c r="EB663" s="1537"/>
      <c r="EC663" s="1537" t="e">
        <f t="shared" si="43"/>
        <v>#VALUE!</v>
      </c>
      <c r="ED663" s="1537"/>
      <c r="EE663" s="1537"/>
      <c r="EF663" s="1537"/>
      <c r="EG663" s="1537"/>
      <c r="EH663" s="1537" t="e">
        <f t="shared" si="44"/>
        <v>#VALUE!</v>
      </c>
      <c r="EI663" s="1537"/>
      <c r="EJ663" s="1537"/>
      <c r="EK663" s="1537"/>
      <c r="EL663" s="1537"/>
      <c r="EM663" s="1537" t="e">
        <f t="shared" si="45"/>
        <v>#VALUE!</v>
      </c>
      <c r="EN663" s="1537"/>
      <c r="EO663" s="1537"/>
      <c r="EP663" s="1537"/>
      <c r="EQ663" s="1537"/>
      <c r="ER663" s="1537" t="e">
        <f t="shared" si="46"/>
        <v>#VALUE!</v>
      </c>
      <c r="ES663" s="1537"/>
      <c r="ET663" s="1537"/>
      <c r="EU663" s="1537"/>
      <c r="EV663" s="1537"/>
      <c r="EW663" s="1537" t="e">
        <f t="shared" si="47"/>
        <v>#VALUE!</v>
      </c>
      <c r="EX663" s="1537"/>
      <c r="EY663" s="1537"/>
      <c r="EZ663" s="1537"/>
      <c r="FA663" s="1537"/>
    </row>
    <row r="664" spans="1:157" ht="12.95" customHeight="1">
      <c r="A664" s="22"/>
      <c r="B664" t="s">
        <v>18</v>
      </c>
      <c r="H664" s="1493"/>
      <c r="I664" s="1493"/>
      <c r="J664" s="1493"/>
      <c r="K664" s="1493"/>
      <c r="L664" s="1493"/>
      <c r="M664" s="1493"/>
      <c r="N664" s="1493"/>
      <c r="O664" s="1493"/>
      <c r="P664" s="1493"/>
      <c r="Q664" s="1493"/>
      <c r="R664" s="1493"/>
      <c r="T664" s="22"/>
      <c r="U664" t="s">
        <v>18</v>
      </c>
      <c r="AA664" s="1493"/>
      <c r="AB664" s="1493"/>
      <c r="AC664" s="1493"/>
      <c r="AD664" s="1493"/>
      <c r="AE664" s="1493"/>
      <c r="AF664" s="1493"/>
      <c r="AG664" s="1493"/>
      <c r="AH664" s="1493"/>
      <c r="AI664" s="1493"/>
      <c r="AJ664" s="1493"/>
      <c r="AK664" s="149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37" t="e">
        <f t="shared" si="42"/>
        <v>#VALUE!</v>
      </c>
      <c r="DY664" s="1537"/>
      <c r="DZ664" s="1537"/>
      <c r="EA664" s="1537"/>
      <c r="EB664" s="1537"/>
      <c r="EC664" s="1537" t="e">
        <f t="shared" si="43"/>
        <v>#VALUE!</v>
      </c>
      <c r="ED664" s="1537"/>
      <c r="EE664" s="1537"/>
      <c r="EF664" s="1537"/>
      <c r="EG664" s="1537"/>
      <c r="EH664" s="1537" t="e">
        <f t="shared" si="44"/>
        <v>#VALUE!</v>
      </c>
      <c r="EI664" s="1537"/>
      <c r="EJ664" s="1537"/>
      <c r="EK664" s="1537"/>
      <c r="EL664" s="1537"/>
      <c r="EM664" s="1537" t="e">
        <f t="shared" si="45"/>
        <v>#VALUE!</v>
      </c>
      <c r="EN664" s="1537"/>
      <c r="EO664" s="1537"/>
      <c r="EP664" s="1537"/>
      <c r="EQ664" s="1537"/>
      <c r="ER664" s="1537" t="e">
        <f t="shared" si="46"/>
        <v>#VALUE!</v>
      </c>
      <c r="ES664" s="1537"/>
      <c r="ET664" s="1537"/>
      <c r="EU664" s="1537"/>
      <c r="EV664" s="1537"/>
      <c r="EW664" s="1537" t="e">
        <f t="shared" si="47"/>
        <v>#VALUE!</v>
      </c>
      <c r="EX664" s="1537"/>
      <c r="EY664" s="1537"/>
      <c r="EZ664" s="1537"/>
      <c r="FA664" s="1537"/>
    </row>
    <row r="665" spans="1:157" ht="12.95" customHeight="1">
      <c r="A665" s="22"/>
      <c r="B665" t="s">
        <v>20</v>
      </c>
      <c r="N665" s="1499" t="s">
        <v>554</v>
      </c>
      <c r="O665" s="1499"/>
      <c r="T665" s="22"/>
      <c r="U665" t="s">
        <v>20</v>
      </c>
      <c r="AG665" s="1499" t="s">
        <v>554</v>
      </c>
      <c r="AH665" s="149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37" t="e">
        <f t="shared" si="42"/>
        <v>#VALUE!</v>
      </c>
      <c r="DY665" s="1537"/>
      <c r="DZ665" s="1537"/>
      <c r="EA665" s="1537"/>
      <c r="EB665" s="1537"/>
      <c r="EC665" s="1537" t="e">
        <f t="shared" si="43"/>
        <v>#VALUE!</v>
      </c>
      <c r="ED665" s="1537"/>
      <c r="EE665" s="1537"/>
      <c r="EF665" s="1537"/>
      <c r="EG665" s="1537"/>
      <c r="EH665" s="1537" t="e">
        <f t="shared" si="44"/>
        <v>#VALUE!</v>
      </c>
      <c r="EI665" s="1537"/>
      <c r="EJ665" s="1537"/>
      <c r="EK665" s="1537"/>
      <c r="EL665" s="1537"/>
      <c r="EM665" s="1537" t="e">
        <f t="shared" si="45"/>
        <v>#VALUE!</v>
      </c>
      <c r="EN665" s="1537"/>
      <c r="EO665" s="1537"/>
      <c r="EP665" s="1537"/>
      <c r="EQ665" s="1537"/>
      <c r="ER665" s="1537" t="e">
        <f t="shared" si="46"/>
        <v>#VALUE!</v>
      </c>
      <c r="ES665" s="1537"/>
      <c r="ET665" s="1537"/>
      <c r="EU665" s="1537"/>
      <c r="EV665" s="1537"/>
      <c r="EW665" s="1537" t="e">
        <f t="shared" si="47"/>
        <v>#VALUE!</v>
      </c>
      <c r="EX665" s="1537"/>
      <c r="EY665" s="1537"/>
      <c r="EZ665" s="1537"/>
      <c r="FA665" s="1537"/>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37" t="e">
        <f t="shared" si="42"/>
        <v>#VALUE!</v>
      </c>
      <c r="DY666" s="1537"/>
      <c r="DZ666" s="1537"/>
      <c r="EA666" s="1537"/>
      <c r="EB666" s="1537"/>
      <c r="EC666" s="1537" t="e">
        <f t="shared" si="43"/>
        <v>#VALUE!</v>
      </c>
      <c r="ED666" s="1537"/>
      <c r="EE666" s="1537"/>
      <c r="EF666" s="1537"/>
      <c r="EG666" s="1537"/>
      <c r="EH666" s="1537" t="e">
        <f t="shared" si="44"/>
        <v>#VALUE!</v>
      </c>
      <c r="EI666" s="1537"/>
      <c r="EJ666" s="1537"/>
      <c r="EK666" s="1537"/>
      <c r="EL666" s="1537"/>
      <c r="EM666" s="1537" t="e">
        <f t="shared" si="45"/>
        <v>#VALUE!</v>
      </c>
      <c r="EN666" s="1537"/>
      <c r="EO666" s="1537"/>
      <c r="EP666" s="1537"/>
      <c r="EQ666" s="1537"/>
      <c r="ER666" s="1537" t="e">
        <f t="shared" si="46"/>
        <v>#VALUE!</v>
      </c>
      <c r="ES666" s="1537"/>
      <c r="ET666" s="1537"/>
      <c r="EU666" s="1537"/>
      <c r="EV666" s="1537"/>
      <c r="EW666" s="1537" t="e">
        <f t="shared" si="47"/>
        <v>#VALUE!</v>
      </c>
      <c r="EX666" s="1537"/>
      <c r="EY666" s="1537"/>
      <c r="EZ666" s="1537"/>
      <c r="FA666" s="1537"/>
    </row>
    <row r="667" spans="1:157" ht="12.95" customHeight="1">
      <c r="A667" s="55" t="s">
        <v>464</v>
      </c>
      <c r="B667" t="s">
        <v>472</v>
      </c>
      <c r="G667" s="1488">
        <f>C633</f>
        <v>0</v>
      </c>
      <c r="H667" s="1488"/>
      <c r="I667" s="1488"/>
      <c r="J667" s="1488"/>
      <c r="K667" s="1488"/>
      <c r="L667" s="1488"/>
      <c r="M667" s="1488"/>
      <c r="N667" s="1488"/>
      <c r="O667" s="1488"/>
      <c r="P667" s="1488"/>
      <c r="Q667" s="1488"/>
      <c r="R667" s="1488"/>
      <c r="T667" s="55" t="s">
        <v>465</v>
      </c>
      <c r="U667" t="s">
        <v>472</v>
      </c>
      <c r="Z667" s="1488">
        <f>C634</f>
        <v>0</v>
      </c>
      <c r="AA667" s="1488"/>
      <c r="AB667" s="1488"/>
      <c r="AC667" s="1488"/>
      <c r="AD667" s="1488"/>
      <c r="AE667" s="1488"/>
      <c r="AF667" s="1488"/>
      <c r="AG667" s="1488"/>
      <c r="AH667" s="1488"/>
      <c r="AI667" s="1488"/>
      <c r="AJ667" s="1488"/>
      <c r="AK667" s="1488"/>
      <c r="AZ667" s="3"/>
      <c r="BA667" s="118">
        <f t="shared" ref="BA667:BA699" si="48">IF($G718=0,"N/A",VLOOKUP($T$189,TC_Rent,(MATCH($B718,bedrooms,FALSE))))</f>
        <v>3346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37" t="e">
        <f t="shared" si="42"/>
        <v>#VALUE!</v>
      </c>
      <c r="DY667" s="1537"/>
      <c r="DZ667" s="1537"/>
      <c r="EA667" s="1537"/>
      <c r="EB667" s="1537"/>
      <c r="EC667" s="1537" t="e">
        <f t="shared" si="43"/>
        <v>#VALUE!</v>
      </c>
      <c r="ED667" s="1537"/>
      <c r="EE667" s="1537"/>
      <c r="EF667" s="1537"/>
      <c r="EG667" s="1537"/>
      <c r="EH667" s="1537" t="e">
        <f t="shared" si="44"/>
        <v>#VALUE!</v>
      </c>
      <c r="EI667" s="1537"/>
      <c r="EJ667" s="1537"/>
      <c r="EK667" s="1537"/>
      <c r="EL667" s="1537"/>
      <c r="EM667" s="1537" t="e">
        <f t="shared" si="45"/>
        <v>#VALUE!</v>
      </c>
      <c r="EN667" s="1537"/>
      <c r="EO667" s="1537"/>
      <c r="EP667" s="1537"/>
      <c r="EQ667" s="1537"/>
      <c r="ER667" s="1537" t="e">
        <f t="shared" si="46"/>
        <v>#VALUE!</v>
      </c>
      <c r="ES667" s="1537"/>
      <c r="ET667" s="1537"/>
      <c r="EU667" s="1537"/>
      <c r="EV667" s="1537"/>
      <c r="EW667" s="1537" t="e">
        <f t="shared" si="47"/>
        <v>#VALUE!</v>
      </c>
      <c r="EX667" s="1537"/>
      <c r="EY667" s="1537"/>
      <c r="EZ667" s="1537"/>
      <c r="FA667" s="1537"/>
    </row>
    <row r="668" spans="1:157" ht="12.95" customHeight="1">
      <c r="A668" s="22"/>
      <c r="B668" t="s">
        <v>85</v>
      </c>
      <c r="G668" s="1493"/>
      <c r="H668" s="1493"/>
      <c r="I668" s="1493"/>
      <c r="J668" s="1493"/>
      <c r="K668" s="1493"/>
      <c r="L668" s="1493"/>
      <c r="M668" s="1493"/>
      <c r="N668" s="1493"/>
      <c r="O668" s="1493"/>
      <c r="P668" s="1493"/>
      <c r="Q668" s="1493"/>
      <c r="R668" s="1493"/>
      <c r="T668" s="22"/>
      <c r="U668" t="s">
        <v>85</v>
      </c>
      <c r="Z668" s="1493"/>
      <c r="AA668" s="1493"/>
      <c r="AB668" s="1493"/>
      <c r="AC668" s="1493"/>
      <c r="AD668" s="1493"/>
      <c r="AE668" s="1493"/>
      <c r="AF668" s="1493"/>
      <c r="AG668" s="1493"/>
      <c r="AH668" s="1493"/>
      <c r="AI668" s="1493"/>
      <c r="AJ668" s="1493"/>
      <c r="AK668" s="1493"/>
      <c r="AZ668" s="3"/>
      <c r="BA668" s="118">
        <f t="shared" si="48"/>
        <v>4014</v>
      </c>
      <c r="BB668" s="3"/>
      <c r="BC668" s="3"/>
      <c r="BD668" s="3"/>
      <c r="BE668" s="3"/>
      <c r="BF668" s="218"/>
      <c r="BG668" s="315">
        <f t="shared" ref="BG668:BG700" si="49">G718</f>
        <v>76</v>
      </c>
      <c r="BH668" s="319">
        <f t="shared" ref="BH668:BH702" si="50">IF($BG$703=0,0,BG668/$BG$703)</f>
        <v>0.4779874213836478</v>
      </c>
      <c r="BI668" s="320">
        <f t="shared" ref="BI668:BI691" si="51">IF(BH668=0,"",BH668*AC718)</f>
        <v>0.2389937106918239</v>
      </c>
      <c r="BJ668" s="3"/>
      <c r="BK668" s="3"/>
      <c r="BL668" s="3"/>
      <c r="BM668" s="3"/>
      <c r="BN668" s="3"/>
      <c r="BO668" s="3"/>
      <c r="BT668" s="315">
        <f t="shared" ref="BT668:BT700" si="52">G718</f>
        <v>76</v>
      </c>
      <c r="BU668" s="319">
        <f t="shared" ref="BU668:BU702" si="53">IF($BT$703=0,0,BT668/$BT$703)</f>
        <v>0.4779874213836478</v>
      </c>
      <c r="BV668" s="320">
        <f t="shared" ref="BV668:BV700" si="54">IF(BU668=0,"",BU668*AH718)</f>
        <v>0.2389937106918239</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37" t="e">
        <f>DX630*(BN630/$BN$632)</f>
        <v>#VALUE!</v>
      </c>
      <c r="DY668" s="1537"/>
      <c r="DZ668" s="1537"/>
      <c r="EA668" s="1537"/>
      <c r="EB668" s="1537"/>
      <c r="EC668" s="1537" t="e">
        <f>EC630*(BS630/$BS$632)</f>
        <v>#VALUE!</v>
      </c>
      <c r="ED668" s="1537"/>
      <c r="EE668" s="1537"/>
      <c r="EF668" s="1537"/>
      <c r="EG668" s="1537"/>
      <c r="EH668" s="1537" t="e">
        <f>EH630*(BX630/$BX$632)</f>
        <v>#VALUE!</v>
      </c>
      <c r="EI668" s="1537"/>
      <c r="EJ668" s="1537"/>
      <c r="EK668" s="1537"/>
      <c r="EL668" s="1537"/>
      <c r="EM668" s="1537" t="e">
        <f>EM630*(CC630/$CC$632)</f>
        <v>#VALUE!</v>
      </c>
      <c r="EN668" s="1537"/>
      <c r="EO668" s="1537"/>
      <c r="EP668" s="1537"/>
      <c r="EQ668" s="1537"/>
      <c r="ER668" s="1537" t="e">
        <f>ER630*(CH630/$CH$632)</f>
        <v>#VALUE!</v>
      </c>
      <c r="ES668" s="1537"/>
      <c r="ET668" s="1537"/>
      <c r="EU668" s="1537"/>
      <c r="EV668" s="1537"/>
      <c r="EW668" s="1537" t="e">
        <f>EW630*(CM630/$CM$632)</f>
        <v>#VALUE!</v>
      </c>
      <c r="EX668" s="1537"/>
      <c r="EY668" s="1537"/>
      <c r="EZ668" s="1537"/>
      <c r="FA668" s="1537"/>
    </row>
    <row r="669" spans="1:157" ht="12.95" customHeight="1">
      <c r="A669" s="22"/>
      <c r="B669" t="s">
        <v>589</v>
      </c>
      <c r="G669" s="1493"/>
      <c r="H669" s="1493"/>
      <c r="I669" s="1493"/>
      <c r="J669" s="1493"/>
      <c r="K669" s="1493"/>
      <c r="L669" s="1493"/>
      <c r="M669" s="1493"/>
      <c r="N669" s="1493"/>
      <c r="O669" s="1493"/>
      <c r="P669" s="1493"/>
      <c r="Q669" s="1493"/>
      <c r="R669" s="1493"/>
      <c r="T669" s="22"/>
      <c r="U669" t="s">
        <v>589</v>
      </c>
      <c r="Z669" s="1516"/>
      <c r="AA669" s="1516"/>
      <c r="AB669" s="1516"/>
      <c r="AC669" s="1516"/>
      <c r="AD669" s="1516"/>
      <c r="AE669" s="1516"/>
      <c r="AF669" s="1516"/>
      <c r="AG669" s="1516"/>
      <c r="AH669" s="1516"/>
      <c r="AI669" s="1516"/>
      <c r="AJ669" s="1516"/>
      <c r="AK669" s="1516"/>
      <c r="AZ669" s="3"/>
      <c r="BA669" s="118">
        <f t="shared" si="48"/>
        <v>4014</v>
      </c>
      <c r="BB669" s="3"/>
      <c r="BC669" s="3"/>
      <c r="BD669" s="3"/>
      <c r="BE669" s="3"/>
      <c r="BF669" s="218"/>
      <c r="BG669" s="316">
        <f t="shared" si="49"/>
        <v>66</v>
      </c>
      <c r="BH669" s="319">
        <f t="shared" si="50"/>
        <v>0.41509433962264153</v>
      </c>
      <c r="BI669" s="320">
        <f t="shared" si="51"/>
        <v>0.20754716981132076</v>
      </c>
      <c r="BJ669" s="3"/>
      <c r="BK669" s="3"/>
      <c r="BL669" s="3"/>
      <c r="BM669" s="3"/>
      <c r="BN669" s="3"/>
      <c r="BO669" s="3"/>
      <c r="BT669" s="316">
        <f t="shared" si="52"/>
        <v>66</v>
      </c>
      <c r="BU669" s="319">
        <f t="shared" si="53"/>
        <v>0.41509433962264153</v>
      </c>
      <c r="BV669" s="320">
        <f t="shared" si="54"/>
        <v>0.20754716981132076</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37" t="e">
        <f>DX631*(BN631/$BN$632)</f>
        <v>#VALUE!</v>
      </c>
      <c r="DY669" s="1537"/>
      <c r="DZ669" s="1537"/>
      <c r="EA669" s="1537"/>
      <c r="EB669" s="1537"/>
      <c r="EC669" s="1537" t="e">
        <f>EC631*(BS631/$BS$632)</f>
        <v>#VALUE!</v>
      </c>
      <c r="ED669" s="1537"/>
      <c r="EE669" s="1537"/>
      <c r="EF669" s="1537"/>
      <c r="EG669" s="1537"/>
      <c r="EH669" s="1537" t="e">
        <f>EH631*(BX631/$BX$632)</f>
        <v>#VALUE!</v>
      </c>
      <c r="EI669" s="1537"/>
      <c r="EJ669" s="1537"/>
      <c r="EK669" s="1537"/>
      <c r="EL669" s="1537"/>
      <c r="EM669" s="1537" t="e">
        <f>EM631*(CC631/$CC$632)</f>
        <v>#VALUE!</v>
      </c>
      <c r="EN669" s="1537"/>
      <c r="EO669" s="1537"/>
      <c r="EP669" s="1537"/>
      <c r="EQ669" s="1537"/>
      <c r="ER669" s="1537" t="e">
        <f>ER631*(CH631/$CH$632)</f>
        <v>#VALUE!</v>
      </c>
      <c r="ES669" s="1537"/>
      <c r="ET669" s="1537"/>
      <c r="EU669" s="1537"/>
      <c r="EV669" s="1537"/>
      <c r="EW669" s="1537" t="e">
        <f>EW631*(CM631/$CM$632)</f>
        <v>#VALUE!</v>
      </c>
      <c r="EX669" s="1537"/>
      <c r="EY669" s="1537"/>
      <c r="EZ669" s="1537"/>
      <c r="FA669" s="1537"/>
    </row>
    <row r="670" spans="1:157" ht="12.95" customHeight="1">
      <c r="A670" s="22"/>
      <c r="B670" t="s">
        <v>17</v>
      </c>
      <c r="G670" s="1493"/>
      <c r="H670" s="1493"/>
      <c r="I670" s="1493"/>
      <c r="J670" s="1493"/>
      <c r="K670" s="1493"/>
      <c r="L670" s="1493"/>
      <c r="M670" s="1493"/>
      <c r="N670" s="1493"/>
      <c r="O670" s="1493"/>
      <c r="P670" s="1493"/>
      <c r="Q670" s="1493"/>
      <c r="R670" s="1493"/>
      <c r="T670" s="22"/>
      <c r="U670" t="s">
        <v>17</v>
      </c>
      <c r="Z670" s="1516"/>
      <c r="AA670" s="1516"/>
      <c r="AB670" s="1516"/>
      <c r="AC670" s="1516"/>
      <c r="AD670" s="1516"/>
      <c r="AE670" s="1516"/>
      <c r="AF670" s="1516"/>
      <c r="AG670" s="1516"/>
      <c r="AH670" s="1516"/>
      <c r="AI670" s="1516"/>
      <c r="AJ670" s="1516"/>
      <c r="AK670" s="1516"/>
      <c r="AZ670" s="3"/>
      <c r="BA670" s="118">
        <f t="shared" si="48"/>
        <v>4014</v>
      </c>
      <c r="BB670" s="3"/>
      <c r="BC670" s="3"/>
      <c r="BD670" s="3"/>
      <c r="BE670" s="3"/>
      <c r="BF670" s="218"/>
      <c r="BG670" s="316">
        <f t="shared" si="49"/>
        <v>2</v>
      </c>
      <c r="BH670" s="319">
        <f t="shared" si="50"/>
        <v>1.2578616352201259E-2</v>
      </c>
      <c r="BI670" s="320">
        <f t="shared" si="51"/>
        <v>6.2893081761006293E-3</v>
      </c>
      <c r="BJ670" s="3"/>
      <c r="BK670" s="3"/>
      <c r="BL670" s="3"/>
      <c r="BM670" s="3"/>
      <c r="BN670" s="3"/>
      <c r="BO670" s="3"/>
      <c r="BT670" s="316">
        <f t="shared" si="52"/>
        <v>2</v>
      </c>
      <c r="BU670" s="319">
        <f t="shared" si="53"/>
        <v>1.2578616352201259E-2</v>
      </c>
      <c r="BV670" s="320">
        <f t="shared" si="54"/>
        <v>6.2893081761006293E-3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37">
        <f>SUMIF(DX635:EB669,"&gt;0")</f>
        <v>0</v>
      </c>
      <c r="DY670" s="1537"/>
      <c r="DZ670" s="1537"/>
      <c r="EA670" s="1537"/>
      <c r="EB670" s="1537"/>
      <c r="EC670" s="1537">
        <f>SUMIF(EC635:EG669,"&gt;0")</f>
        <v>1566.5</v>
      </c>
      <c r="ED670" s="1537"/>
      <c r="EE670" s="1537"/>
      <c r="EF670" s="1537"/>
      <c r="EG670" s="1537"/>
      <c r="EH670" s="1537">
        <f>SUMIF(EH635:EL669,"&gt;0")</f>
        <v>1881.1139240506329</v>
      </c>
      <c r="EI670" s="1537"/>
      <c r="EJ670" s="1537"/>
      <c r="EK670" s="1537"/>
      <c r="EL670" s="1537"/>
      <c r="EM670" s="1537">
        <f>SUMIF(EM635:EQ669,"&gt;0")</f>
        <v>0</v>
      </c>
      <c r="EN670" s="1537"/>
      <c r="EO670" s="1537"/>
      <c r="EP670" s="1537"/>
      <c r="EQ670" s="1537"/>
      <c r="ER670" s="1537">
        <f>SUMIF(ER635:EV669,"&gt;0")</f>
        <v>0</v>
      </c>
      <c r="ES670" s="1537"/>
      <c r="ET670" s="1537"/>
      <c r="EU670" s="1537"/>
      <c r="EV670" s="1537"/>
      <c r="EW670" s="1537">
        <f>SUMIF(EW635:FA669,"&gt;0")</f>
        <v>0</v>
      </c>
      <c r="EX670" s="1537"/>
      <c r="EY670" s="1537"/>
      <c r="EZ670" s="1537"/>
      <c r="FA670" s="1537"/>
    </row>
    <row r="671" spans="1:157" ht="12.95" customHeight="1">
      <c r="A671" s="22"/>
      <c r="B671" t="s">
        <v>317</v>
      </c>
      <c r="G671" s="1492"/>
      <c r="H671" s="1492"/>
      <c r="I671" s="1492"/>
      <c r="J671" s="1492"/>
      <c r="K671" s="1492"/>
      <c r="L671" s="1492"/>
      <c r="O671" s="33" t="s">
        <v>207</v>
      </c>
      <c r="P671" s="1520"/>
      <c r="Q671" s="1520"/>
      <c r="R671" s="1520"/>
      <c r="T671" s="22"/>
      <c r="U671" t="s">
        <v>317</v>
      </c>
      <c r="Z671" s="1492"/>
      <c r="AA671" s="1492"/>
      <c r="AB671" s="1492"/>
      <c r="AC671" s="1492"/>
      <c r="AD671" s="1492"/>
      <c r="AE671" s="1492"/>
      <c r="AH671" s="33" t="s">
        <v>207</v>
      </c>
      <c r="AI671" s="1520"/>
      <c r="AJ671" s="1520"/>
      <c r="AK671" s="1520"/>
      <c r="AZ671" s="3"/>
      <c r="BA671" s="118" t="str">
        <f t="shared" si="48"/>
        <v>N/A</v>
      </c>
      <c r="BB671" s="3"/>
      <c r="BC671" s="3"/>
      <c r="BD671" s="3"/>
      <c r="BE671" s="3"/>
      <c r="BF671" s="218"/>
      <c r="BG671" s="316">
        <f t="shared" si="49"/>
        <v>5</v>
      </c>
      <c r="BH671" s="319">
        <f t="shared" si="50"/>
        <v>3.1446540880503145E-2</v>
      </c>
      <c r="BI671" s="320">
        <f t="shared" si="51"/>
        <v>1.5723270440251572E-2</v>
      </c>
      <c r="BJ671" s="3"/>
      <c r="BK671" s="3"/>
      <c r="BL671" s="3"/>
      <c r="BM671" s="3"/>
      <c r="BN671" s="3"/>
      <c r="BO671" s="3"/>
      <c r="BT671" s="316">
        <f t="shared" si="52"/>
        <v>5</v>
      </c>
      <c r="BU671" s="319">
        <f t="shared" si="53"/>
        <v>3.1446540880503145E-2</v>
      </c>
      <c r="BV671" s="320">
        <f t="shared" si="54"/>
        <v>1.5723270440251572E-2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93"/>
      <c r="I672" s="1493"/>
      <c r="J672" s="1493"/>
      <c r="K672" s="1493"/>
      <c r="L672" s="1493"/>
      <c r="M672" s="1493"/>
      <c r="N672" s="1493"/>
      <c r="O672" s="1493"/>
      <c r="P672" s="1493"/>
      <c r="Q672" s="1493"/>
      <c r="R672" s="1493"/>
      <c r="T672" s="22"/>
      <c r="U672" t="s">
        <v>18</v>
      </c>
      <c r="AA672" s="1493"/>
      <c r="AB672" s="1493"/>
      <c r="AC672" s="1493"/>
      <c r="AD672" s="1493"/>
      <c r="AE672" s="1493"/>
      <c r="AF672" s="1493"/>
      <c r="AG672" s="1493"/>
      <c r="AH672" s="1493"/>
      <c r="AI672" s="1493"/>
      <c r="AJ672" s="1493"/>
      <c r="AK672" s="1493"/>
      <c r="AZ672" s="3"/>
      <c r="BA672" s="118">
        <f t="shared" si="48"/>
        <v>3346</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99" t="s">
        <v>678</v>
      </c>
      <c r="O673" s="1499"/>
      <c r="T673" s="22"/>
      <c r="U673" t="s">
        <v>20</v>
      </c>
      <c r="AG673" s="1499" t="s">
        <v>678</v>
      </c>
      <c r="AH673" s="1499"/>
      <c r="AZ673" s="3"/>
      <c r="BA673" s="118">
        <f t="shared" si="48"/>
        <v>4014</v>
      </c>
      <c r="BB673" s="3"/>
      <c r="BC673" s="3"/>
      <c r="BD673" s="3"/>
      <c r="BE673" s="3"/>
      <c r="BF673" s="218"/>
      <c r="BG673" s="316">
        <f t="shared" si="49"/>
        <v>4</v>
      </c>
      <c r="BH673" s="319">
        <f t="shared" si="50"/>
        <v>2.5157232704402517E-2</v>
      </c>
      <c r="BI673" s="320">
        <f t="shared" si="51"/>
        <v>7.5471698113207548E-3</v>
      </c>
      <c r="BJ673" s="3"/>
      <c r="BK673" s="3"/>
      <c r="BL673" s="3"/>
      <c r="BM673" s="3"/>
      <c r="BN673" s="3"/>
      <c r="BO673" s="3"/>
      <c r="BT673" s="316">
        <f t="shared" si="52"/>
        <v>4</v>
      </c>
      <c r="BU673" s="319">
        <f t="shared" si="53"/>
        <v>2.5157232704402517E-2</v>
      </c>
      <c r="BV673" s="320">
        <f t="shared" si="54"/>
        <v>7.541154932013067E-3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IF($G725=0,"N/A",VLOOKUP($T$189,TC_Rent,(MATCH($B725,bedrooms,FALSE))))</f>
        <v>4014</v>
      </c>
      <c r="BB674" s="3"/>
      <c r="BC674" s="3"/>
      <c r="BD674" s="3"/>
      <c r="BE674" s="3"/>
      <c r="BF674" s="218"/>
      <c r="BG674" s="316">
        <f t="shared" si="49"/>
        <v>3</v>
      </c>
      <c r="BH674" s="319">
        <f t="shared" si="50"/>
        <v>1.8867924528301886E-2</v>
      </c>
      <c r="BI674" s="320">
        <f t="shared" si="51"/>
        <v>5.6603773584905656E-3</v>
      </c>
      <c r="BJ674" s="3"/>
      <c r="BK674" s="3"/>
      <c r="BL674" s="3"/>
      <c r="BM674" s="3"/>
      <c r="BN674" s="3"/>
      <c r="BO674" s="3"/>
      <c r="BT674" s="316">
        <f t="shared" si="52"/>
        <v>3</v>
      </c>
      <c r="BU674" s="319">
        <f t="shared" si="53"/>
        <v>1.8867924528301886E-2</v>
      </c>
      <c r="BV674" s="320">
        <f t="shared" si="54"/>
        <v>5.6594372526346465E-3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88">
        <f>C635</f>
        <v>0</v>
      </c>
      <c r="H675" s="1488"/>
      <c r="I675" s="1488"/>
      <c r="J675" s="1488"/>
      <c r="K675" s="1488"/>
      <c r="L675" s="1488"/>
      <c r="M675" s="1488"/>
      <c r="N675" s="1488"/>
      <c r="O675" s="1488"/>
      <c r="P675" s="1488"/>
      <c r="Q675" s="1488"/>
      <c r="R675" s="1488"/>
      <c r="T675" s="55" t="s">
        <v>655</v>
      </c>
      <c r="U675" t="s">
        <v>472</v>
      </c>
      <c r="Z675" s="1488">
        <f>C636</f>
        <v>0</v>
      </c>
      <c r="AA675" s="1488"/>
      <c r="AB675" s="1488"/>
      <c r="AC675" s="1488"/>
      <c r="AD675" s="1488"/>
      <c r="AE675" s="1488"/>
      <c r="AF675" s="1488"/>
      <c r="AG675" s="1488"/>
      <c r="AH675" s="1488"/>
      <c r="AI675" s="1488"/>
      <c r="AJ675" s="1488"/>
      <c r="AK675" s="1488"/>
      <c r="AZ675" s="3"/>
      <c r="BA675" s="118" t="str">
        <f>IF($G726=0,"N/A",VLOOKUP($T$189,TC_Rent,(MATCH($B726,bedrooms,FALSE))))</f>
        <v>N/A</v>
      </c>
      <c r="BB675" s="3"/>
      <c r="BC675" s="3"/>
      <c r="BD675" s="3"/>
      <c r="BE675" s="3"/>
      <c r="BF675" s="218"/>
      <c r="BG675" s="316">
        <f t="shared" si="49"/>
        <v>1</v>
      </c>
      <c r="BH675" s="319">
        <f t="shared" si="50"/>
        <v>6.2893081761006293E-3</v>
      </c>
      <c r="BI675" s="320">
        <f t="shared" si="51"/>
        <v>1.8867924528301887E-3</v>
      </c>
      <c r="BJ675" s="3"/>
      <c r="BK675" s="3"/>
      <c r="BL675" s="3"/>
      <c r="BM675" s="3"/>
      <c r="BN675" s="3"/>
      <c r="BO675" s="3"/>
      <c r="BT675" s="316">
        <f t="shared" si="52"/>
        <v>1</v>
      </c>
      <c r="BU675" s="319">
        <f t="shared" si="53"/>
        <v>6.2893081761006293E-3</v>
      </c>
      <c r="BV675" s="320">
        <f t="shared" si="54"/>
        <v>1.8864790842115491E-3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93"/>
      <c r="H676" s="1493"/>
      <c r="I676" s="1493"/>
      <c r="J676" s="1493"/>
      <c r="K676" s="1493"/>
      <c r="L676" s="1493"/>
      <c r="M676" s="1493"/>
      <c r="N676" s="1493"/>
      <c r="O676" s="1493"/>
      <c r="P676" s="1493"/>
      <c r="Q676" s="1493"/>
      <c r="R676" s="1493"/>
      <c r="T676" s="22"/>
      <c r="U676" t="s">
        <v>85</v>
      </c>
      <c r="Z676" s="1493"/>
      <c r="AA676" s="1493"/>
      <c r="AB676" s="1493"/>
      <c r="AC676" s="1493"/>
      <c r="AD676" s="1493"/>
      <c r="AE676" s="1493"/>
      <c r="AF676" s="1493"/>
      <c r="AG676" s="1493"/>
      <c r="AH676" s="1493"/>
      <c r="AI676" s="1493"/>
      <c r="AJ676" s="1493"/>
      <c r="AK676" s="1493"/>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93"/>
      <c r="H677" s="1493"/>
      <c r="I677" s="1493"/>
      <c r="J677" s="1493"/>
      <c r="K677" s="1493"/>
      <c r="L677" s="1493"/>
      <c r="M677" s="1493"/>
      <c r="N677" s="1493"/>
      <c r="O677" s="1493"/>
      <c r="P677" s="1493"/>
      <c r="Q677" s="1493"/>
      <c r="R677" s="1493"/>
      <c r="T677" s="22"/>
      <c r="U677" t="s">
        <v>589</v>
      </c>
      <c r="Z677" s="1516"/>
      <c r="AA677" s="1516"/>
      <c r="AB677" s="1516"/>
      <c r="AC677" s="1516"/>
      <c r="AD677" s="1516"/>
      <c r="AE677" s="1516"/>
      <c r="AF677" s="1516"/>
      <c r="AG677" s="1516"/>
      <c r="AH677" s="1516"/>
      <c r="AI677" s="1516"/>
      <c r="AJ677" s="1516"/>
      <c r="AK677" s="1516"/>
      <c r="AZ677" s="3"/>
      <c r="BA677" s="118">
        <f t="shared" si="48"/>
        <v>4014</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93"/>
      <c r="H678" s="1493"/>
      <c r="I678" s="1493"/>
      <c r="J678" s="1493"/>
      <c r="K678" s="1493"/>
      <c r="L678" s="1493"/>
      <c r="M678" s="1493"/>
      <c r="N678" s="1493"/>
      <c r="O678" s="1493"/>
      <c r="P678" s="1493"/>
      <c r="Q678" s="1493"/>
      <c r="R678" s="1493"/>
      <c r="T678" s="22"/>
      <c r="U678" t="s">
        <v>17</v>
      </c>
      <c r="Z678" s="1516"/>
      <c r="AA678" s="1516"/>
      <c r="AB678" s="1516"/>
      <c r="AC678" s="1516"/>
      <c r="AD678" s="1516"/>
      <c r="AE678" s="1516"/>
      <c r="AF678" s="1516"/>
      <c r="AG678" s="1516"/>
      <c r="AH678" s="1516"/>
      <c r="AI678" s="1516"/>
      <c r="AJ678" s="1516"/>
      <c r="AK678" s="1516"/>
      <c r="AZ678" s="3"/>
      <c r="BA678" s="118">
        <f t="shared" si="48"/>
        <v>4014</v>
      </c>
      <c r="BB678" s="3"/>
      <c r="BC678" s="3"/>
      <c r="BD678" s="3"/>
      <c r="BE678" s="3"/>
      <c r="BF678" s="218"/>
      <c r="BG678" s="316">
        <f t="shared" si="49"/>
        <v>1</v>
      </c>
      <c r="BH678" s="319">
        <f t="shared" si="50"/>
        <v>6.2893081761006293E-3</v>
      </c>
      <c r="BI678" s="320">
        <f t="shared" si="51"/>
        <v>5.0314465408805038E-3</v>
      </c>
      <c r="BJ678" s="3"/>
      <c r="BK678" s="3"/>
      <c r="BL678" s="3"/>
      <c r="BM678" s="3"/>
      <c r="BN678" s="3"/>
      <c r="BO678" s="3"/>
      <c r="BT678" s="316">
        <f t="shared" si="52"/>
        <v>1</v>
      </c>
      <c r="BU678" s="319">
        <f t="shared" si="53"/>
        <v>6.2893081761006293E-3</v>
      </c>
      <c r="BV678" s="320">
        <f t="shared" si="54"/>
        <v>3.8105624026598729E-3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92"/>
      <c r="H679" s="1492"/>
      <c r="I679" s="1492"/>
      <c r="J679" s="1492"/>
      <c r="K679" s="1492"/>
      <c r="L679" s="1492"/>
      <c r="O679" s="33" t="s">
        <v>207</v>
      </c>
      <c r="P679" s="1520"/>
      <c r="Q679" s="1520"/>
      <c r="R679" s="1520"/>
      <c r="T679" s="22"/>
      <c r="U679" t="s">
        <v>317</v>
      </c>
      <c r="Z679" s="1492"/>
      <c r="AA679" s="1492"/>
      <c r="AB679" s="1492"/>
      <c r="AC679" s="1492"/>
      <c r="AD679" s="1492"/>
      <c r="AE679" s="1492"/>
      <c r="AH679" s="33" t="s">
        <v>207</v>
      </c>
      <c r="AI679" s="1520"/>
      <c r="AJ679" s="1520"/>
      <c r="AK679" s="1520"/>
      <c r="AZ679" s="3"/>
      <c r="BA679" s="118" t="str">
        <f t="shared" si="48"/>
        <v>N/A</v>
      </c>
      <c r="BB679" s="3"/>
      <c r="BC679" s="3"/>
      <c r="BD679" s="3"/>
      <c r="BE679" s="3"/>
      <c r="BF679" s="218"/>
      <c r="BG679" s="316">
        <f t="shared" si="49"/>
        <v>1</v>
      </c>
      <c r="BH679" s="319">
        <f t="shared" si="50"/>
        <v>6.2893081761006293E-3</v>
      </c>
      <c r="BI679" s="320">
        <f t="shared" si="51"/>
        <v>5.0314465408805038E-3</v>
      </c>
      <c r="BJ679" s="3"/>
      <c r="BK679" s="3"/>
      <c r="BL679" s="3"/>
      <c r="BM679" s="3"/>
      <c r="BN679" s="3"/>
      <c r="BO679" s="3"/>
      <c r="BT679" s="316">
        <f t="shared" si="52"/>
        <v>1</v>
      </c>
      <c r="BU679" s="319">
        <f t="shared" si="53"/>
        <v>6.2893081761006293E-3</v>
      </c>
      <c r="BV679" s="320">
        <f t="shared" si="54"/>
        <v>3.8105624026598729E-3</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93"/>
      <c r="I680" s="1493"/>
      <c r="J680" s="1493"/>
      <c r="K680" s="1493"/>
      <c r="L680" s="1493"/>
      <c r="M680" s="1493"/>
      <c r="N680" s="1493"/>
      <c r="O680" s="1493"/>
      <c r="P680" s="1493"/>
      <c r="Q680" s="1493"/>
      <c r="R680" s="1493"/>
      <c r="T680" s="22"/>
      <c r="U680" t="s">
        <v>18</v>
      </c>
      <c r="AA680" s="1493"/>
      <c r="AB680" s="1493"/>
      <c r="AC680" s="1493"/>
      <c r="AD680" s="1493"/>
      <c r="AE680" s="1493"/>
      <c r="AF680" s="1493"/>
      <c r="AG680" s="1493"/>
      <c r="AH680" s="1493"/>
      <c r="AI680" s="1493"/>
      <c r="AJ680" s="1493"/>
      <c r="AK680" s="1493"/>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99" t="s">
        <v>678</v>
      </c>
      <c r="O681" s="1499"/>
      <c r="T681" s="22"/>
      <c r="U681" t="s">
        <v>20</v>
      </c>
      <c r="AG681" s="1499" t="s">
        <v>678</v>
      </c>
      <c r="AH681" s="149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88">
        <f>C637</f>
        <v>0</v>
      </c>
      <c r="H683" s="1488"/>
      <c r="I683" s="1488"/>
      <c r="J683" s="1488"/>
      <c r="K683" s="1488"/>
      <c r="L683" s="1488"/>
      <c r="M683" s="1488"/>
      <c r="N683" s="1488"/>
      <c r="O683" s="1488"/>
      <c r="P683" s="1488"/>
      <c r="Q683" s="1488"/>
      <c r="R683" s="1488"/>
      <c r="T683" s="55" t="s">
        <v>364</v>
      </c>
      <c r="U683" t="s">
        <v>472</v>
      </c>
      <c r="Z683" s="1488">
        <f>C638</f>
        <v>0</v>
      </c>
      <c r="AA683" s="1488"/>
      <c r="AB683" s="1488"/>
      <c r="AC683" s="1488"/>
      <c r="AD683" s="1488"/>
      <c r="AE683" s="1488"/>
      <c r="AF683" s="1488"/>
      <c r="AG683" s="1488"/>
      <c r="AH683" s="1488"/>
      <c r="AI683" s="1488"/>
      <c r="AJ683" s="1488"/>
      <c r="AK683" s="148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93"/>
      <c r="H684" s="1493"/>
      <c r="I684" s="1493"/>
      <c r="J684" s="1493"/>
      <c r="K684" s="1493"/>
      <c r="L684" s="1493"/>
      <c r="M684" s="1493"/>
      <c r="N684" s="1493"/>
      <c r="O684" s="1493"/>
      <c r="P684" s="1493"/>
      <c r="Q684" s="1493"/>
      <c r="R684" s="1493"/>
      <c r="T684" s="22"/>
      <c r="U684" t="s">
        <v>85</v>
      </c>
      <c r="Z684" s="1493"/>
      <c r="AA684" s="1493"/>
      <c r="AB684" s="1493"/>
      <c r="AC684" s="1493"/>
      <c r="AD684" s="1493"/>
      <c r="AE684" s="1493"/>
      <c r="AF684" s="1493"/>
      <c r="AG684" s="1493"/>
      <c r="AH684" s="1493"/>
      <c r="AI684" s="1493"/>
      <c r="AJ684" s="1493"/>
      <c r="AK684" s="1493"/>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93"/>
      <c r="H685" s="1493"/>
      <c r="I685" s="1493"/>
      <c r="J685" s="1493"/>
      <c r="K685" s="1493"/>
      <c r="L685" s="1493"/>
      <c r="M685" s="1493"/>
      <c r="N685" s="1493"/>
      <c r="O685" s="1493"/>
      <c r="P685" s="1493"/>
      <c r="Q685" s="1493"/>
      <c r="R685" s="1493"/>
      <c r="U685" t="s">
        <v>589</v>
      </c>
      <c r="Z685" s="1516"/>
      <c r="AA685" s="1516"/>
      <c r="AB685" s="1516"/>
      <c r="AC685" s="1516"/>
      <c r="AD685" s="1516"/>
      <c r="AE685" s="1516"/>
      <c r="AF685" s="1516"/>
      <c r="AG685" s="1516"/>
      <c r="AH685" s="1516"/>
      <c r="AI685" s="1516"/>
      <c r="AJ685" s="1516"/>
      <c r="AK685" s="1516"/>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93"/>
      <c r="H686" s="1493"/>
      <c r="I686" s="1493"/>
      <c r="J686" s="1493"/>
      <c r="K686" s="1493"/>
      <c r="L686" s="1493"/>
      <c r="M686" s="1493"/>
      <c r="N686" s="1493"/>
      <c r="O686" s="1493"/>
      <c r="P686" s="1493"/>
      <c r="Q686" s="1493"/>
      <c r="R686" s="1493"/>
      <c r="U686" t="s">
        <v>17</v>
      </c>
      <c r="Z686" s="1516"/>
      <c r="AA686" s="1516"/>
      <c r="AB686" s="1516"/>
      <c r="AC686" s="1516"/>
      <c r="AD686" s="1516"/>
      <c r="AE686" s="1516"/>
      <c r="AF686" s="1516"/>
      <c r="AG686" s="1516"/>
      <c r="AH686" s="1516"/>
      <c r="AI686" s="1516"/>
      <c r="AJ686" s="1516"/>
      <c r="AK686" s="1516"/>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92"/>
      <c r="H687" s="1492"/>
      <c r="I687" s="1492"/>
      <c r="J687" s="1492"/>
      <c r="K687" s="1492"/>
      <c r="L687" s="1492"/>
      <c r="O687" s="33" t="s">
        <v>207</v>
      </c>
      <c r="P687" s="1520"/>
      <c r="Q687" s="1520"/>
      <c r="R687" s="1520"/>
      <c r="U687" t="s">
        <v>317</v>
      </c>
      <c r="Z687" s="1492"/>
      <c r="AA687" s="1492"/>
      <c r="AB687" s="1492"/>
      <c r="AC687" s="1492"/>
      <c r="AD687" s="1492"/>
      <c r="AE687" s="1492"/>
      <c r="AH687" s="33" t="s">
        <v>207</v>
      </c>
      <c r="AI687" s="1520"/>
      <c r="AJ687" s="1520"/>
      <c r="AK687" s="152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93"/>
      <c r="I688" s="1493"/>
      <c r="J688" s="1493"/>
      <c r="K688" s="1493"/>
      <c r="L688" s="1493"/>
      <c r="M688" s="1493"/>
      <c r="N688" s="1493"/>
      <c r="O688" s="1493"/>
      <c r="P688" s="1493"/>
      <c r="Q688" s="1493"/>
      <c r="R688" s="1493"/>
      <c r="U688" t="s">
        <v>18</v>
      </c>
      <c r="AA688" s="1493"/>
      <c r="AB688" s="1493"/>
      <c r="AC688" s="1493"/>
      <c r="AD688" s="1493"/>
      <c r="AE688" s="1493"/>
      <c r="AF688" s="1493"/>
      <c r="AG688" s="1493"/>
      <c r="AH688" s="1493"/>
      <c r="AI688" s="1493"/>
      <c r="AJ688" s="1493"/>
      <c r="AK688" s="1493"/>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99" t="s">
        <v>678</v>
      </c>
      <c r="O689" s="1499"/>
      <c r="U689" t="s">
        <v>20</v>
      </c>
      <c r="AG689" s="1499" t="s">
        <v>678</v>
      </c>
      <c r="AH689" s="149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99" t="s">
        <v>554</v>
      </c>
      <c r="AF693" s="149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99" t="s">
        <v>554</v>
      </c>
      <c r="AF694" s="149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538">
        <v>45405</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539">
        <v>45511</v>
      </c>
      <c r="AF696" s="1539"/>
      <c r="AG696" s="1539"/>
      <c r="AH696" s="1539"/>
      <c r="AI696" s="153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538">
        <v>45585</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86">
        <v>0.55000000000000004</v>
      </c>
      <c r="AF699" s="1786"/>
      <c r="AG699" s="1786"/>
      <c r="AH699" s="1786"/>
      <c r="AI699" s="178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88" t="str">
        <f>H335</f>
        <v>California Municipal Finance Authority</v>
      </c>
      <c r="X700" s="1488"/>
      <c r="Y700" s="1488"/>
      <c r="Z700" s="1488"/>
      <c r="AA700" s="1488"/>
      <c r="AB700" s="1488"/>
      <c r="AC700" s="1488"/>
      <c r="AD700" s="1488"/>
      <c r="AE700" s="1488"/>
      <c r="AF700" s="1488"/>
      <c r="AG700" s="1488"/>
      <c r="AH700" s="1488"/>
      <c r="AI700" s="1488"/>
      <c r="AJ700" s="1488"/>
      <c r="AK700" s="148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99" t="s">
        <v>678</v>
      </c>
      <c r="AF702" s="149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93"/>
      <c r="X703" s="1493"/>
      <c r="Y703" s="1493"/>
      <c r="Z703" s="1493"/>
      <c r="AA703" s="1493"/>
      <c r="AB703" s="1493"/>
      <c r="AC703" s="1493"/>
      <c r="AD703" s="1493"/>
      <c r="AE703" s="1493"/>
      <c r="AF703" s="1493"/>
      <c r="AG703" s="1493"/>
      <c r="AH703" s="1493"/>
      <c r="AI703" s="1493"/>
      <c r="AJ703" s="1493"/>
      <c r="AK703" s="1493"/>
      <c r="AZ703" s="34"/>
      <c r="BA703" s="34"/>
      <c r="BB703" s="34"/>
      <c r="BC703" s="34"/>
      <c r="BD703" s="34"/>
      <c r="BE703" s="3"/>
      <c r="BF703" s="312" t="s">
        <v>915</v>
      </c>
      <c r="BG703" s="321">
        <f>SUM(BG668:BG702)</f>
        <v>159</v>
      </c>
      <c r="BH703" s="322">
        <f>SUM(BH668:BH702)</f>
        <v>1</v>
      </c>
      <c r="BI703" s="322">
        <f>SUM(BI668:BI702)</f>
        <v>0.49371069182389937</v>
      </c>
      <c r="BN703" s="3"/>
      <c r="BO703" s="3"/>
      <c r="BT703" s="893">
        <f>SUM(BT668:BT702)</f>
        <v>159</v>
      </c>
      <c r="BU703" s="322">
        <f>SUM(BU668:BU702)</f>
        <v>1</v>
      </c>
      <c r="BV703" s="322">
        <f>SUM(BV668:BV702)</f>
        <v>0.49126165519367582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93"/>
      <c r="K704" s="1493"/>
      <c r="L704" s="1493"/>
      <c r="M704" s="1493"/>
      <c r="N704" s="1493"/>
      <c r="O704" s="1493"/>
      <c r="P704" s="1493"/>
      <c r="Q704" s="1493"/>
      <c r="R704" s="1493"/>
      <c r="S704" s="1493"/>
      <c r="T704" s="1493"/>
      <c r="U704" s="1493"/>
      <c r="V704" s="1493"/>
      <c r="W704" s="1493"/>
      <c r="X704" s="1493"/>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92"/>
      <c r="K705" s="1492"/>
      <c r="L705" s="1492"/>
      <c r="M705" s="1492"/>
      <c r="N705" s="1492"/>
      <c r="O705" s="1492"/>
      <c r="P705" s="4" t="s">
        <v>207</v>
      </c>
      <c r="Q705" s="4"/>
      <c r="R705" s="1520"/>
      <c r="S705" s="1520"/>
      <c r="T705" s="152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93" t="s">
        <v>308</v>
      </c>
      <c r="X706" s="1493"/>
      <c r="Y706" s="1493"/>
      <c r="Z706" s="1493"/>
      <c r="AA706" s="1493"/>
      <c r="AB706" s="1493"/>
      <c r="AC706" s="1493"/>
      <c r="AD706" s="1493"/>
      <c r="AE706" s="1493"/>
      <c r="AF706" s="1493"/>
      <c r="AG706" s="1493"/>
      <c r="AH706" s="1493"/>
      <c r="AI706" s="1493"/>
      <c r="AJ706" s="1493"/>
      <c r="AK706" s="1493"/>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93" t="s">
        <v>335</v>
      </c>
      <c r="F707" s="1493"/>
      <c r="G707" s="1493"/>
      <c r="H707" s="1493"/>
      <c r="I707" s="1493"/>
      <c r="J707" s="1493"/>
      <c r="K707" s="1493"/>
      <c r="L707" s="1493"/>
      <c r="M707" s="1493"/>
      <c r="N707" s="1493"/>
      <c r="O707" s="1493"/>
      <c r="P707" s="1493"/>
      <c r="Q707" s="1493"/>
      <c r="R707" s="1493"/>
      <c r="S707" s="1493"/>
      <c r="T707" s="1493"/>
      <c r="U707" s="1493"/>
      <c r="V707" s="1493"/>
      <c r="W707" s="1493"/>
      <c r="X707" s="1493"/>
      <c r="Y707" s="1493"/>
      <c r="Z707" s="1493"/>
      <c r="AA707" s="1493"/>
      <c r="AB707" s="1493"/>
      <c r="AC707" s="1493"/>
      <c r="AD707" s="1493"/>
      <c r="AE707" s="1493"/>
      <c r="AF707" s="1493"/>
      <c r="AG707" s="1493"/>
      <c r="AH707" s="1493"/>
      <c r="AI707" s="1493"/>
      <c r="AJ707" s="1493"/>
      <c r="AK707" s="1493"/>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643" t="s">
        <v>390</v>
      </c>
      <c r="C714" s="1529"/>
      <c r="D714" s="1529"/>
      <c r="E714" s="1529"/>
      <c r="F714" s="1530"/>
      <c r="G714" s="1643" t="s">
        <v>286</v>
      </c>
      <c r="H714" s="1529"/>
      <c r="I714" s="1529"/>
      <c r="J714" s="1530"/>
      <c r="K714" s="1774" t="s">
        <v>1869</v>
      </c>
      <c r="L714" s="1775"/>
      <c r="M714" s="1775"/>
      <c r="N714" s="1776"/>
      <c r="O714" s="1643" t="s">
        <v>456</v>
      </c>
      <c r="P714" s="1529"/>
      <c r="Q714" s="1529"/>
      <c r="R714" s="1529"/>
      <c r="S714" s="1530"/>
      <c r="T714" s="1528" t="s">
        <v>2253</v>
      </c>
      <c r="U714" s="1529"/>
      <c r="V714" s="1529"/>
      <c r="W714" s="1530"/>
      <c r="X714" s="1528" t="s">
        <v>2255</v>
      </c>
      <c r="Y714" s="1529"/>
      <c r="Z714" s="1529"/>
      <c r="AA714" s="1529"/>
      <c r="AB714" s="1530"/>
      <c r="AC714" s="1528" t="s">
        <v>2254</v>
      </c>
      <c r="AD714" s="1529"/>
      <c r="AE714" s="1529"/>
      <c r="AF714" s="1529"/>
      <c r="AG714" s="1530"/>
      <c r="AH714" s="1528" t="s">
        <v>2256</v>
      </c>
      <c r="AI714" s="1529"/>
      <c r="AJ714" s="1530"/>
      <c r="AK714" s="1528" t="s">
        <v>2290</v>
      </c>
      <c r="AL714" s="1529"/>
      <c r="AM714" s="1529"/>
      <c r="AN714" s="1529"/>
      <c r="AO714" s="153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531"/>
      <c r="C715" s="1532"/>
      <c r="D715" s="1532"/>
      <c r="E715" s="1532"/>
      <c r="F715" s="1533"/>
      <c r="G715" s="1531"/>
      <c r="H715" s="1532"/>
      <c r="I715" s="1532"/>
      <c r="J715" s="1533"/>
      <c r="K715" s="1777"/>
      <c r="L715" s="1778"/>
      <c r="M715" s="1778"/>
      <c r="N715" s="1779"/>
      <c r="O715" s="1531"/>
      <c r="P715" s="1532"/>
      <c r="Q715" s="1532"/>
      <c r="R715" s="1532"/>
      <c r="S715" s="1533"/>
      <c r="T715" s="1531"/>
      <c r="U715" s="1532"/>
      <c r="V715" s="1532"/>
      <c r="W715" s="1533"/>
      <c r="X715" s="1531"/>
      <c r="Y715" s="1532"/>
      <c r="Z715" s="1532"/>
      <c r="AA715" s="1532"/>
      <c r="AB715" s="1533"/>
      <c r="AC715" s="1531"/>
      <c r="AD715" s="1532"/>
      <c r="AE715" s="1532"/>
      <c r="AF715" s="1532"/>
      <c r="AG715" s="1533"/>
      <c r="AH715" s="1531"/>
      <c r="AI715" s="1532"/>
      <c r="AJ715" s="1533"/>
      <c r="AK715" s="1531"/>
      <c r="AL715" s="1532"/>
      <c r="AM715" s="1532"/>
      <c r="AN715" s="1532"/>
      <c r="AO715" s="153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31"/>
      <c r="C716" s="1532"/>
      <c r="D716" s="1532"/>
      <c r="E716" s="1532"/>
      <c r="F716" s="1533"/>
      <c r="G716" s="1531"/>
      <c r="H716" s="1532"/>
      <c r="I716" s="1532"/>
      <c r="J716" s="1533"/>
      <c r="K716" s="1777"/>
      <c r="L716" s="1778"/>
      <c r="M716" s="1778"/>
      <c r="N716" s="1779"/>
      <c r="O716" s="1531"/>
      <c r="P716" s="1532"/>
      <c r="Q716" s="1532"/>
      <c r="R716" s="1532"/>
      <c r="S716" s="1533"/>
      <c r="T716" s="1531"/>
      <c r="U716" s="1532"/>
      <c r="V716" s="1532"/>
      <c r="W716" s="1533"/>
      <c r="X716" s="1531"/>
      <c r="Y716" s="1532"/>
      <c r="Z716" s="1532"/>
      <c r="AA716" s="1532"/>
      <c r="AB716" s="1533"/>
      <c r="AC716" s="1531"/>
      <c r="AD716" s="1532"/>
      <c r="AE716" s="1532"/>
      <c r="AF716" s="1532"/>
      <c r="AG716" s="1533"/>
      <c r="AH716" s="1531"/>
      <c r="AI716" s="1532"/>
      <c r="AJ716" s="1533"/>
      <c r="AK716" s="1531"/>
      <c r="AL716" s="1532"/>
      <c r="AM716" s="1532"/>
      <c r="AN716" s="1532"/>
      <c r="AO716" s="153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534"/>
      <c r="C717" s="1535"/>
      <c r="D717" s="1535"/>
      <c r="E717" s="1535"/>
      <c r="F717" s="1536"/>
      <c r="G717" s="1534"/>
      <c r="H717" s="1535"/>
      <c r="I717" s="1535"/>
      <c r="J717" s="1536"/>
      <c r="K717" s="1777"/>
      <c r="L717" s="1778"/>
      <c r="M717" s="1778"/>
      <c r="N717" s="1779"/>
      <c r="O717" s="1534"/>
      <c r="P717" s="1535"/>
      <c r="Q717" s="1535"/>
      <c r="R717" s="1535"/>
      <c r="S717" s="1536"/>
      <c r="T717" s="1534"/>
      <c r="U717" s="1535"/>
      <c r="V717" s="1535"/>
      <c r="W717" s="1536"/>
      <c r="X717" s="1534"/>
      <c r="Y717" s="1535"/>
      <c r="Z717" s="1535"/>
      <c r="AA717" s="1535"/>
      <c r="AB717" s="1536"/>
      <c r="AC717" s="1534"/>
      <c r="AD717" s="1535"/>
      <c r="AE717" s="1535"/>
      <c r="AF717" s="1535"/>
      <c r="AG717" s="1536"/>
      <c r="AH717" s="1534"/>
      <c r="AI717" s="1535"/>
      <c r="AJ717" s="1536"/>
      <c r="AK717" s="1534"/>
      <c r="AL717" s="1535"/>
      <c r="AM717" s="1535"/>
      <c r="AN717" s="1535"/>
      <c r="AO717" s="153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429" t="s">
        <v>326</v>
      </c>
      <c r="C718" s="1430"/>
      <c r="D718" s="1430"/>
      <c r="E718" s="1430"/>
      <c r="F718" s="1431"/>
      <c r="G718" s="1432">
        <f>74+2</f>
        <v>76</v>
      </c>
      <c r="H718" s="1433"/>
      <c r="I718" s="1433"/>
      <c r="J718" s="1434"/>
      <c r="K718" s="1426">
        <v>620</v>
      </c>
      <c r="L718" s="1427"/>
      <c r="M718" s="1427"/>
      <c r="N718" s="1428"/>
      <c r="O718" s="1435">
        <f>1673-73</f>
        <v>1600</v>
      </c>
      <c r="P718" s="1436"/>
      <c r="Q718" s="1436"/>
      <c r="R718" s="1436"/>
      <c r="S718" s="1437"/>
      <c r="T718" s="1435">
        <v>73</v>
      </c>
      <c r="U718" s="1436"/>
      <c r="V718" s="1436"/>
      <c r="W718" s="1437"/>
      <c r="X718" s="1417">
        <f t="shared" ref="X718:X741" si="59">O718+T718</f>
        <v>1673</v>
      </c>
      <c r="Y718" s="1418"/>
      <c r="Z718" s="1418"/>
      <c r="AA718" s="1418"/>
      <c r="AB718" s="1419"/>
      <c r="AC718" s="1370">
        <v>0.5</v>
      </c>
      <c r="AD718" s="1371"/>
      <c r="AE718" s="1371"/>
      <c r="AF718" s="1371"/>
      <c r="AG718" s="1372"/>
      <c r="AH718" s="1420">
        <f t="shared" ref="AH718:AH751" si="60">IF($AC718&gt;0,($X718/$BA667), "")</f>
        <v>0.5</v>
      </c>
      <c r="AI718" s="1421"/>
      <c r="AJ718" s="1422"/>
      <c r="AK718" s="1429" t="s">
        <v>600</v>
      </c>
      <c r="AL718" s="1430"/>
      <c r="AM718" s="1430"/>
      <c r="AN718" s="1430"/>
      <c r="AO718" s="143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429" t="s">
        <v>163</v>
      </c>
      <c r="C719" s="1430"/>
      <c r="D719" s="1430"/>
      <c r="E719" s="1430"/>
      <c r="F719" s="1431"/>
      <c r="G719" s="1432">
        <f>67+1-2</f>
        <v>66</v>
      </c>
      <c r="H719" s="1433"/>
      <c r="I719" s="1433"/>
      <c r="J719" s="1434"/>
      <c r="K719" s="1426">
        <v>850</v>
      </c>
      <c r="L719" s="1427"/>
      <c r="M719" s="1427"/>
      <c r="N719" s="1428"/>
      <c r="O719" s="1435">
        <f>2007-93</f>
        <v>1914</v>
      </c>
      <c r="P719" s="1436"/>
      <c r="Q719" s="1436"/>
      <c r="R719" s="1436"/>
      <c r="S719" s="1437"/>
      <c r="T719" s="1435">
        <v>93</v>
      </c>
      <c r="U719" s="1436"/>
      <c r="V719" s="1436"/>
      <c r="W719" s="1437"/>
      <c r="X719" s="1417">
        <f t="shared" si="59"/>
        <v>2007</v>
      </c>
      <c r="Y719" s="1418"/>
      <c r="Z719" s="1418"/>
      <c r="AA719" s="1418"/>
      <c r="AB719" s="1419"/>
      <c r="AC719" s="1370">
        <v>0.5</v>
      </c>
      <c r="AD719" s="1371"/>
      <c r="AE719" s="1371"/>
      <c r="AF719" s="1371"/>
      <c r="AG719" s="1372"/>
      <c r="AH719" s="1420">
        <f t="shared" si="60"/>
        <v>0.5</v>
      </c>
      <c r="AI719" s="1421"/>
      <c r="AJ719" s="1422"/>
      <c r="AK719" s="1429" t="s">
        <v>600</v>
      </c>
      <c r="AL719" s="1430"/>
      <c r="AM719" s="1430"/>
      <c r="AN719" s="1430"/>
      <c r="AO719" s="143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429" t="s">
        <v>163</v>
      </c>
      <c r="C720" s="1430"/>
      <c r="D720" s="1430"/>
      <c r="E720" s="1430"/>
      <c r="F720" s="1431"/>
      <c r="G720" s="1838">
        <f>2</f>
        <v>2</v>
      </c>
      <c r="H720" s="1433"/>
      <c r="I720" s="1433"/>
      <c r="J720" s="1434"/>
      <c r="K720" s="1426">
        <v>850</v>
      </c>
      <c r="L720" s="1427"/>
      <c r="M720" s="1427"/>
      <c r="N720" s="1428"/>
      <c r="O720" s="1435">
        <f>2007-92</f>
        <v>1915</v>
      </c>
      <c r="P720" s="1436"/>
      <c r="Q720" s="1436"/>
      <c r="R720" s="1436"/>
      <c r="S720" s="1437"/>
      <c r="T720" s="1435">
        <v>92</v>
      </c>
      <c r="U720" s="1436"/>
      <c r="V720" s="1436"/>
      <c r="W720" s="1437"/>
      <c r="X720" s="1417">
        <f t="shared" si="59"/>
        <v>2007</v>
      </c>
      <c r="Y720" s="1418"/>
      <c r="Z720" s="1418"/>
      <c r="AA720" s="1418"/>
      <c r="AB720" s="1419"/>
      <c r="AC720" s="1370">
        <v>0.5</v>
      </c>
      <c r="AD720" s="1371"/>
      <c r="AE720" s="1371"/>
      <c r="AF720" s="1371"/>
      <c r="AG720" s="1372"/>
      <c r="AH720" s="1420">
        <f t="shared" si="60"/>
        <v>0.5</v>
      </c>
      <c r="AI720" s="1421"/>
      <c r="AJ720" s="1422"/>
      <c r="AK720" s="1429" t="s">
        <v>600</v>
      </c>
      <c r="AL720" s="1430"/>
      <c r="AM720" s="1430"/>
      <c r="AN720" s="1430"/>
      <c r="AO720" s="143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29" t="s">
        <v>163</v>
      </c>
      <c r="C721" s="1430"/>
      <c r="D721" s="1430"/>
      <c r="E721" s="1430"/>
      <c r="F721" s="1431"/>
      <c r="G721" s="1432">
        <f>4+1</f>
        <v>5</v>
      </c>
      <c r="H721" s="1433"/>
      <c r="I721" s="1433"/>
      <c r="J721" s="1434"/>
      <c r="K721" s="1426">
        <v>1150</v>
      </c>
      <c r="L721" s="1427"/>
      <c r="M721" s="1427"/>
      <c r="N721" s="1428"/>
      <c r="O721" s="1435">
        <f>2007-127</f>
        <v>1880</v>
      </c>
      <c r="P721" s="1436"/>
      <c r="Q721" s="1436"/>
      <c r="R721" s="1436"/>
      <c r="S721" s="1437"/>
      <c r="T721" s="1435">
        <v>127</v>
      </c>
      <c r="U721" s="1436"/>
      <c r="V721" s="1436"/>
      <c r="W721" s="1437"/>
      <c r="X721" s="1417">
        <f t="shared" si="59"/>
        <v>2007</v>
      </c>
      <c r="Y721" s="1418"/>
      <c r="Z721" s="1418"/>
      <c r="AA721" s="1418"/>
      <c r="AB721" s="1419"/>
      <c r="AC721" s="1370">
        <v>0.5</v>
      </c>
      <c r="AD721" s="1371"/>
      <c r="AE721" s="1371"/>
      <c r="AF721" s="1371"/>
      <c r="AG721" s="1372"/>
      <c r="AH721" s="1420">
        <f t="shared" si="60"/>
        <v>0.5</v>
      </c>
      <c r="AI721" s="1421"/>
      <c r="AJ721" s="1422"/>
      <c r="AK721" s="1429" t="s">
        <v>600</v>
      </c>
      <c r="AL721" s="1430"/>
      <c r="AM721" s="1430"/>
      <c r="AN721" s="1430"/>
      <c r="AO721" s="143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29"/>
      <c r="C722" s="1430"/>
      <c r="D722" s="1430"/>
      <c r="E722" s="1430"/>
      <c r="F722" s="1431"/>
      <c r="G722" s="1432"/>
      <c r="H722" s="1433"/>
      <c r="I722" s="1433"/>
      <c r="J722" s="1434"/>
      <c r="K722" s="1426"/>
      <c r="L722" s="1427"/>
      <c r="M722" s="1427"/>
      <c r="N722" s="1428"/>
      <c r="O722" s="1435"/>
      <c r="P722" s="1436"/>
      <c r="Q722" s="1436"/>
      <c r="R722" s="1436"/>
      <c r="S722" s="1437"/>
      <c r="T722" s="1435"/>
      <c r="U722" s="1436"/>
      <c r="V722" s="1436"/>
      <c r="W722" s="1437"/>
      <c r="X722" s="1417">
        <f t="shared" si="59"/>
        <v>0</v>
      </c>
      <c r="Y722" s="1418"/>
      <c r="Z722" s="1418"/>
      <c r="AA722" s="1418"/>
      <c r="AB722" s="1419"/>
      <c r="AC722" s="1370"/>
      <c r="AD722" s="1371"/>
      <c r="AE722" s="1371"/>
      <c r="AF722" s="1371"/>
      <c r="AG722" s="1372"/>
      <c r="AH722" s="1420" t="str">
        <f t="shared" si="60"/>
        <v/>
      </c>
      <c r="AI722" s="1421"/>
      <c r="AJ722" s="1422"/>
      <c r="AK722" s="1429" t="s">
        <v>600</v>
      </c>
      <c r="AL722" s="1430"/>
      <c r="AM722" s="1430"/>
      <c r="AN722" s="1430"/>
      <c r="AO722" s="143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429" t="s">
        <v>326</v>
      </c>
      <c r="C723" s="1430"/>
      <c r="D723" s="1430"/>
      <c r="E723" s="1430"/>
      <c r="F723" s="1431"/>
      <c r="G723" s="1432">
        <v>4</v>
      </c>
      <c r="H723" s="1433"/>
      <c r="I723" s="1433"/>
      <c r="J723" s="1434"/>
      <c r="K723" s="1426">
        <v>620</v>
      </c>
      <c r="L723" s="1427"/>
      <c r="M723" s="1427"/>
      <c r="N723" s="1428"/>
      <c r="O723" s="1435">
        <f>1003-73</f>
        <v>930</v>
      </c>
      <c r="P723" s="1436"/>
      <c r="Q723" s="1436"/>
      <c r="R723" s="1436"/>
      <c r="S723" s="1437"/>
      <c r="T723" s="1435">
        <v>73</v>
      </c>
      <c r="U723" s="1436"/>
      <c r="V723" s="1436"/>
      <c r="W723" s="1437"/>
      <c r="X723" s="1417">
        <f t="shared" si="59"/>
        <v>1003</v>
      </c>
      <c r="Y723" s="1418"/>
      <c r="Z723" s="1418"/>
      <c r="AA723" s="1418"/>
      <c r="AB723" s="1419"/>
      <c r="AC723" s="1370">
        <v>0.3</v>
      </c>
      <c r="AD723" s="1371"/>
      <c r="AE723" s="1371"/>
      <c r="AF723" s="1371"/>
      <c r="AG723" s="1372"/>
      <c r="AH723" s="1420">
        <f t="shared" si="60"/>
        <v>0.29976090854751941</v>
      </c>
      <c r="AI723" s="1421"/>
      <c r="AJ723" s="1422"/>
      <c r="AK723" s="1429" t="s">
        <v>600</v>
      </c>
      <c r="AL723" s="1430"/>
      <c r="AM723" s="1430"/>
      <c r="AN723" s="1430"/>
      <c r="AO723" s="143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429" t="s">
        <v>163</v>
      </c>
      <c r="C724" s="1430"/>
      <c r="D724" s="1430"/>
      <c r="E724" s="1430"/>
      <c r="F724" s="1431"/>
      <c r="G724" s="1432">
        <v>3</v>
      </c>
      <c r="H724" s="1433"/>
      <c r="I724" s="1433"/>
      <c r="J724" s="1434"/>
      <c r="K724" s="1426">
        <v>850</v>
      </c>
      <c r="L724" s="1427"/>
      <c r="M724" s="1427"/>
      <c r="N724" s="1428"/>
      <c r="O724" s="1435">
        <f>1204-93</f>
        <v>1111</v>
      </c>
      <c r="P724" s="1436"/>
      <c r="Q724" s="1436"/>
      <c r="R724" s="1436"/>
      <c r="S724" s="1437"/>
      <c r="T724" s="1435">
        <v>93</v>
      </c>
      <c r="U724" s="1436"/>
      <c r="V724" s="1436"/>
      <c r="W724" s="1437"/>
      <c r="X724" s="1417">
        <f t="shared" si="59"/>
        <v>1204</v>
      </c>
      <c r="Y724" s="1418"/>
      <c r="Z724" s="1418"/>
      <c r="AA724" s="1418"/>
      <c r="AB724" s="1419"/>
      <c r="AC724" s="1370">
        <v>0.3</v>
      </c>
      <c r="AD724" s="1371"/>
      <c r="AE724" s="1371"/>
      <c r="AF724" s="1371"/>
      <c r="AG724" s="1372"/>
      <c r="AH724" s="1420">
        <f t="shared" si="60"/>
        <v>0.29995017438963628</v>
      </c>
      <c r="AI724" s="1421"/>
      <c r="AJ724" s="1422"/>
      <c r="AK724" s="1429" t="s">
        <v>600</v>
      </c>
      <c r="AL724" s="1430"/>
      <c r="AM724" s="1430"/>
      <c r="AN724" s="1430"/>
      <c r="AO724" s="143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429" t="s">
        <v>163</v>
      </c>
      <c r="C725" s="1430"/>
      <c r="D725" s="1430"/>
      <c r="E725" s="1430"/>
      <c r="F725" s="1431"/>
      <c r="G725" s="1432">
        <f>2-1</f>
        <v>1</v>
      </c>
      <c r="H725" s="1433"/>
      <c r="I725" s="1433"/>
      <c r="J725" s="1434"/>
      <c r="K725" s="1426">
        <v>1150</v>
      </c>
      <c r="L725" s="1427"/>
      <c r="M725" s="1427"/>
      <c r="N725" s="1428"/>
      <c r="O725" s="1435">
        <f>1204-127</f>
        <v>1077</v>
      </c>
      <c r="P725" s="1436"/>
      <c r="Q725" s="1436"/>
      <c r="R725" s="1436"/>
      <c r="S725" s="1437"/>
      <c r="T725" s="1435">
        <v>127</v>
      </c>
      <c r="U725" s="1436"/>
      <c r="V725" s="1436"/>
      <c r="W725" s="1437"/>
      <c r="X725" s="1417">
        <f t="shared" si="59"/>
        <v>1204</v>
      </c>
      <c r="Y725" s="1418"/>
      <c r="Z725" s="1418"/>
      <c r="AA725" s="1418"/>
      <c r="AB725" s="1419"/>
      <c r="AC725" s="1370">
        <v>0.3</v>
      </c>
      <c r="AD725" s="1371"/>
      <c r="AE725" s="1371"/>
      <c r="AF725" s="1371"/>
      <c r="AG725" s="1372"/>
      <c r="AH725" s="1420">
        <f t="shared" si="60"/>
        <v>0.29995017438963628</v>
      </c>
      <c r="AI725" s="1421"/>
      <c r="AJ725" s="1422"/>
      <c r="AK725" s="1429" t="s">
        <v>600</v>
      </c>
      <c r="AL725" s="1430"/>
      <c r="AM725" s="1430"/>
      <c r="AN725" s="1430"/>
      <c r="AO725" s="143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29"/>
      <c r="C726" s="1430"/>
      <c r="D726" s="1430"/>
      <c r="E726" s="1430"/>
      <c r="F726" s="1431"/>
      <c r="G726" s="1432"/>
      <c r="H726" s="1433"/>
      <c r="I726" s="1433"/>
      <c r="J726" s="1434"/>
      <c r="K726" s="1426"/>
      <c r="L726" s="1427"/>
      <c r="M726" s="1427"/>
      <c r="N726" s="1428"/>
      <c r="O726" s="1435"/>
      <c r="P726" s="1436"/>
      <c r="Q726" s="1436"/>
      <c r="R726" s="1436"/>
      <c r="S726" s="1437"/>
      <c r="T726" s="1435"/>
      <c r="U726" s="1436"/>
      <c r="V726" s="1436"/>
      <c r="W726" s="1437"/>
      <c r="X726" s="1417">
        <f t="shared" si="59"/>
        <v>0</v>
      </c>
      <c r="Y726" s="1418"/>
      <c r="Z726" s="1418"/>
      <c r="AA726" s="1418"/>
      <c r="AB726" s="1419"/>
      <c r="AC726" s="1370"/>
      <c r="AD726" s="1371"/>
      <c r="AE726" s="1371"/>
      <c r="AF726" s="1371"/>
      <c r="AG726" s="1372"/>
      <c r="AH726" s="1420" t="str">
        <f t="shared" si="60"/>
        <v/>
      </c>
      <c r="AI726" s="1421"/>
      <c r="AJ726" s="1422"/>
      <c r="AK726" s="1429" t="s">
        <v>600</v>
      </c>
      <c r="AL726" s="1430"/>
      <c r="AM726" s="1430"/>
      <c r="AN726" s="1430"/>
      <c r="AO726" s="143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429"/>
      <c r="C727" s="1430"/>
      <c r="D727" s="1430"/>
      <c r="E727" s="1430"/>
      <c r="F727" s="1431"/>
      <c r="G727" s="1432"/>
      <c r="H727" s="1433"/>
      <c r="I727" s="1433"/>
      <c r="J727" s="1434"/>
      <c r="K727" s="1426"/>
      <c r="L727" s="1427"/>
      <c r="M727" s="1427"/>
      <c r="N727" s="1428"/>
      <c r="O727" s="1435"/>
      <c r="P727" s="1436"/>
      <c r="Q727" s="1436"/>
      <c r="R727" s="1436"/>
      <c r="S727" s="1437"/>
      <c r="T727" s="1435"/>
      <c r="U727" s="1436"/>
      <c r="V727" s="1436"/>
      <c r="W727" s="1437"/>
      <c r="X727" s="1417">
        <f t="shared" si="59"/>
        <v>0</v>
      </c>
      <c r="Y727" s="1418"/>
      <c r="Z727" s="1418"/>
      <c r="AA727" s="1418"/>
      <c r="AB727" s="1419"/>
      <c r="AC727" s="1370"/>
      <c r="AD727" s="1371"/>
      <c r="AE727" s="1371"/>
      <c r="AF727" s="1371"/>
      <c r="AG727" s="1372"/>
      <c r="AH727" s="1420" t="str">
        <f t="shared" si="60"/>
        <v/>
      </c>
      <c r="AI727" s="1421"/>
      <c r="AJ727" s="1422"/>
      <c r="AK727" s="1429" t="s">
        <v>600</v>
      </c>
      <c r="AL727" s="1430"/>
      <c r="AM727" s="1430"/>
      <c r="AN727" s="1430"/>
      <c r="AO727" s="143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429" t="s">
        <v>163</v>
      </c>
      <c r="C728" s="1430"/>
      <c r="D728" s="1430"/>
      <c r="E728" s="1430"/>
      <c r="F728" s="1431"/>
      <c r="G728" s="1432">
        <f>2-1</f>
        <v>1</v>
      </c>
      <c r="H728" s="1433"/>
      <c r="I728" s="1433"/>
      <c r="J728" s="1434"/>
      <c r="K728" s="1426">
        <v>850</v>
      </c>
      <c r="L728" s="1427"/>
      <c r="M728" s="1427"/>
      <c r="N728" s="1428"/>
      <c r="O728" s="1435">
        <v>2339</v>
      </c>
      <c r="P728" s="1436"/>
      <c r="Q728" s="1436"/>
      <c r="R728" s="1436"/>
      <c r="S728" s="1437"/>
      <c r="T728" s="1435">
        <v>93</v>
      </c>
      <c r="U728" s="1436"/>
      <c r="V728" s="1436"/>
      <c r="W728" s="1437"/>
      <c r="X728" s="1417">
        <f t="shared" si="59"/>
        <v>2432</v>
      </c>
      <c r="Y728" s="1418"/>
      <c r="Z728" s="1418"/>
      <c r="AA728" s="1418"/>
      <c r="AB728" s="1419"/>
      <c r="AC728" s="1370">
        <v>0.8</v>
      </c>
      <c r="AD728" s="1371"/>
      <c r="AE728" s="1371"/>
      <c r="AF728" s="1371"/>
      <c r="AG728" s="1372"/>
      <c r="AH728" s="1420">
        <f t="shared" si="60"/>
        <v>0.60587942202291978</v>
      </c>
      <c r="AI728" s="1421"/>
      <c r="AJ728" s="1422"/>
      <c r="AK728" s="1429" t="s">
        <v>600</v>
      </c>
      <c r="AL728" s="1430"/>
      <c r="AM728" s="1430"/>
      <c r="AN728" s="1430"/>
      <c r="AO728" s="143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429" t="s">
        <v>163</v>
      </c>
      <c r="C729" s="1430"/>
      <c r="D729" s="1430"/>
      <c r="E729" s="1430"/>
      <c r="F729" s="1431"/>
      <c r="G729" s="1432">
        <f>2-1</f>
        <v>1</v>
      </c>
      <c r="H729" s="1433"/>
      <c r="I729" s="1433"/>
      <c r="J729" s="1434"/>
      <c r="K729" s="1426">
        <v>1150</v>
      </c>
      <c r="L729" s="1427"/>
      <c r="M729" s="1427"/>
      <c r="N729" s="1428"/>
      <c r="O729" s="1435">
        <v>2305</v>
      </c>
      <c r="P729" s="1436"/>
      <c r="Q729" s="1436"/>
      <c r="R729" s="1436"/>
      <c r="S729" s="1437"/>
      <c r="T729" s="1435">
        <v>127</v>
      </c>
      <c r="U729" s="1436"/>
      <c r="V729" s="1436"/>
      <c r="W729" s="1437"/>
      <c r="X729" s="1417">
        <f t="shared" si="59"/>
        <v>2432</v>
      </c>
      <c r="Y729" s="1418"/>
      <c r="Z729" s="1418"/>
      <c r="AA729" s="1418"/>
      <c r="AB729" s="1419"/>
      <c r="AC729" s="1370">
        <v>0.8</v>
      </c>
      <c r="AD729" s="1371"/>
      <c r="AE729" s="1371"/>
      <c r="AF729" s="1371"/>
      <c r="AG729" s="1372"/>
      <c r="AH729" s="1420">
        <f t="shared" si="60"/>
        <v>0.60587942202291978</v>
      </c>
      <c r="AI729" s="1421"/>
      <c r="AJ729" s="1422"/>
      <c r="AK729" s="1429" t="s">
        <v>600</v>
      </c>
      <c r="AL729" s="1430"/>
      <c r="AM729" s="1430"/>
      <c r="AN729" s="1430"/>
      <c r="AO729" s="143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29"/>
      <c r="C730" s="1430"/>
      <c r="D730" s="1430"/>
      <c r="E730" s="1430"/>
      <c r="F730" s="1431"/>
      <c r="G730" s="1432"/>
      <c r="H730" s="1433"/>
      <c r="I730" s="1433"/>
      <c r="J730" s="1434"/>
      <c r="K730" s="1426"/>
      <c r="L730" s="1427"/>
      <c r="M730" s="1427"/>
      <c r="N730" s="1428"/>
      <c r="O730" s="1435"/>
      <c r="P730" s="1436"/>
      <c r="Q730" s="1436"/>
      <c r="R730" s="1436"/>
      <c r="S730" s="1437"/>
      <c r="T730" s="1435"/>
      <c r="U730" s="1436"/>
      <c r="V730" s="1436"/>
      <c r="W730" s="1437"/>
      <c r="X730" s="1417">
        <f t="shared" si="59"/>
        <v>0</v>
      </c>
      <c r="Y730" s="1418"/>
      <c r="Z730" s="1418"/>
      <c r="AA730" s="1418"/>
      <c r="AB730" s="1419"/>
      <c r="AC730" s="1370"/>
      <c r="AD730" s="1371"/>
      <c r="AE730" s="1371"/>
      <c r="AF730" s="1371"/>
      <c r="AG730" s="1372"/>
      <c r="AH730" s="1420" t="str">
        <f t="shared" si="60"/>
        <v/>
      </c>
      <c r="AI730" s="1421"/>
      <c r="AJ730" s="1422"/>
      <c r="AK730" s="1429" t="s">
        <v>600</v>
      </c>
      <c r="AL730" s="1430"/>
      <c r="AM730" s="1430"/>
      <c r="AN730" s="1430"/>
      <c r="AO730" s="143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29"/>
      <c r="C731" s="1430"/>
      <c r="D731" s="1430"/>
      <c r="E731" s="1430"/>
      <c r="F731" s="1431"/>
      <c r="G731" s="1432"/>
      <c r="H731" s="1433"/>
      <c r="I731" s="1433"/>
      <c r="J731" s="1434"/>
      <c r="K731" s="1426"/>
      <c r="L731" s="1427"/>
      <c r="M731" s="1427"/>
      <c r="N731" s="1428"/>
      <c r="O731" s="1435"/>
      <c r="P731" s="1436"/>
      <c r="Q731" s="1436"/>
      <c r="R731" s="1436"/>
      <c r="S731" s="1437"/>
      <c r="T731" s="1435"/>
      <c r="U731" s="1436"/>
      <c r="V731" s="1436"/>
      <c r="W731" s="1437"/>
      <c r="X731" s="1417">
        <f t="shared" si="59"/>
        <v>0</v>
      </c>
      <c r="Y731" s="1418"/>
      <c r="Z731" s="1418"/>
      <c r="AA731" s="1418"/>
      <c r="AB731" s="1419"/>
      <c r="AC731" s="1370"/>
      <c r="AD731" s="1371"/>
      <c r="AE731" s="1371"/>
      <c r="AF731" s="1371"/>
      <c r="AG731" s="1372"/>
      <c r="AH731" s="1420" t="str">
        <f t="shared" si="60"/>
        <v/>
      </c>
      <c r="AI731" s="1421"/>
      <c r="AJ731" s="1422"/>
      <c r="AK731" s="1429" t="s">
        <v>600</v>
      </c>
      <c r="AL731" s="1430"/>
      <c r="AM731" s="1430"/>
      <c r="AN731" s="1430"/>
      <c r="AO731" s="143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29"/>
      <c r="C732" s="1430"/>
      <c r="D732" s="1430"/>
      <c r="E732" s="1430"/>
      <c r="F732" s="1431"/>
      <c r="G732" s="1432"/>
      <c r="H732" s="1433"/>
      <c r="I732" s="1433"/>
      <c r="J732" s="1434"/>
      <c r="K732" s="1426"/>
      <c r="L732" s="1427"/>
      <c r="M732" s="1427"/>
      <c r="N732" s="1428"/>
      <c r="O732" s="1435"/>
      <c r="P732" s="1436"/>
      <c r="Q732" s="1436"/>
      <c r="R732" s="1436"/>
      <c r="S732" s="1437"/>
      <c r="T732" s="1435"/>
      <c r="U732" s="1436"/>
      <c r="V732" s="1436"/>
      <c r="W732" s="1437"/>
      <c r="X732" s="1417">
        <f t="shared" si="59"/>
        <v>0</v>
      </c>
      <c r="Y732" s="1418"/>
      <c r="Z732" s="1418"/>
      <c r="AA732" s="1418"/>
      <c r="AB732" s="1419"/>
      <c r="AC732" s="1370"/>
      <c r="AD732" s="1371"/>
      <c r="AE732" s="1371"/>
      <c r="AF732" s="1371"/>
      <c r="AG732" s="1372"/>
      <c r="AH732" s="1420" t="str">
        <f t="shared" si="60"/>
        <v/>
      </c>
      <c r="AI732" s="1421"/>
      <c r="AJ732" s="1422"/>
      <c r="AK732" s="1429" t="s">
        <v>600</v>
      </c>
      <c r="AL732" s="1430"/>
      <c r="AM732" s="1430"/>
      <c r="AN732" s="1430"/>
      <c r="AO732" s="143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29"/>
      <c r="C733" s="1430"/>
      <c r="D733" s="1430"/>
      <c r="E733" s="1430"/>
      <c r="F733" s="1431"/>
      <c r="G733" s="1432"/>
      <c r="H733" s="1433"/>
      <c r="I733" s="1433"/>
      <c r="J733" s="1434"/>
      <c r="K733" s="1426"/>
      <c r="L733" s="1427"/>
      <c r="M733" s="1427"/>
      <c r="N733" s="1428"/>
      <c r="O733" s="1435"/>
      <c r="P733" s="1436"/>
      <c r="Q733" s="1436"/>
      <c r="R733" s="1436"/>
      <c r="S733" s="1437"/>
      <c r="T733" s="1435"/>
      <c r="U733" s="1436"/>
      <c r="V733" s="1436"/>
      <c r="W733" s="1437"/>
      <c r="X733" s="1417">
        <f t="shared" si="59"/>
        <v>0</v>
      </c>
      <c r="Y733" s="1418"/>
      <c r="Z733" s="1418"/>
      <c r="AA733" s="1418"/>
      <c r="AB733" s="1419"/>
      <c r="AC733" s="1370"/>
      <c r="AD733" s="1371"/>
      <c r="AE733" s="1371"/>
      <c r="AF733" s="1371"/>
      <c r="AG733" s="1372"/>
      <c r="AH733" s="1420" t="str">
        <f t="shared" si="60"/>
        <v/>
      </c>
      <c r="AI733" s="1421"/>
      <c r="AJ733" s="1422"/>
      <c r="AK733" s="1429" t="s">
        <v>600</v>
      </c>
      <c r="AL733" s="1430"/>
      <c r="AM733" s="1430"/>
      <c r="AN733" s="1430"/>
      <c r="AO733" s="143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29"/>
      <c r="C734" s="1430"/>
      <c r="D734" s="1430"/>
      <c r="E734" s="1430"/>
      <c r="F734" s="1431"/>
      <c r="G734" s="1432"/>
      <c r="H734" s="1433"/>
      <c r="I734" s="1433"/>
      <c r="J734" s="1434"/>
      <c r="K734" s="1426"/>
      <c r="L734" s="1427"/>
      <c r="M734" s="1427"/>
      <c r="N734" s="1428"/>
      <c r="O734" s="1435"/>
      <c r="P734" s="1436"/>
      <c r="Q734" s="1436"/>
      <c r="R734" s="1436"/>
      <c r="S734" s="1437"/>
      <c r="T734" s="1435"/>
      <c r="U734" s="1436"/>
      <c r="V734" s="1436"/>
      <c r="W734" s="1437"/>
      <c r="X734" s="1417">
        <f t="shared" si="59"/>
        <v>0</v>
      </c>
      <c r="Y734" s="1418"/>
      <c r="Z734" s="1418"/>
      <c r="AA734" s="1418"/>
      <c r="AB734" s="1419"/>
      <c r="AC734" s="1370"/>
      <c r="AD734" s="1371"/>
      <c r="AE734" s="1371"/>
      <c r="AF734" s="1371"/>
      <c r="AG734" s="1372"/>
      <c r="AH734" s="1420" t="str">
        <f t="shared" si="60"/>
        <v/>
      </c>
      <c r="AI734" s="1421"/>
      <c r="AJ734" s="1422"/>
      <c r="AK734" s="1429" t="s">
        <v>600</v>
      </c>
      <c r="AL734" s="1430"/>
      <c r="AM734" s="1430"/>
      <c r="AN734" s="1430"/>
      <c r="AO734" s="143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29"/>
      <c r="C735" s="1430"/>
      <c r="D735" s="1430"/>
      <c r="E735" s="1430"/>
      <c r="F735" s="1431"/>
      <c r="G735" s="1432"/>
      <c r="H735" s="1433"/>
      <c r="I735" s="1433"/>
      <c r="J735" s="1434"/>
      <c r="K735" s="1426"/>
      <c r="L735" s="1427"/>
      <c r="M735" s="1427"/>
      <c r="N735" s="1428"/>
      <c r="O735" s="1435"/>
      <c r="P735" s="1436"/>
      <c r="Q735" s="1436"/>
      <c r="R735" s="1436"/>
      <c r="S735" s="1437"/>
      <c r="T735" s="1435"/>
      <c r="U735" s="1436"/>
      <c r="V735" s="1436"/>
      <c r="W735" s="1437"/>
      <c r="X735" s="1417">
        <f t="shared" si="59"/>
        <v>0</v>
      </c>
      <c r="Y735" s="1418"/>
      <c r="Z735" s="1418"/>
      <c r="AA735" s="1418"/>
      <c r="AB735" s="1419"/>
      <c r="AC735" s="1370"/>
      <c r="AD735" s="1371"/>
      <c r="AE735" s="1371"/>
      <c r="AF735" s="1371"/>
      <c r="AG735" s="1372"/>
      <c r="AH735" s="1420" t="str">
        <f t="shared" si="60"/>
        <v/>
      </c>
      <c r="AI735" s="1421"/>
      <c r="AJ735" s="1422"/>
      <c r="AK735" s="1429" t="s">
        <v>600</v>
      </c>
      <c r="AL735" s="1430"/>
      <c r="AM735" s="1430"/>
      <c r="AN735" s="1430"/>
      <c r="AO735" s="143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29"/>
      <c r="C736" s="1430"/>
      <c r="D736" s="1430"/>
      <c r="E736" s="1430"/>
      <c r="F736" s="1431"/>
      <c r="G736" s="1432"/>
      <c r="H736" s="1433"/>
      <c r="I736" s="1433"/>
      <c r="J736" s="1434"/>
      <c r="K736" s="1426"/>
      <c r="L736" s="1427"/>
      <c r="M736" s="1427"/>
      <c r="N736" s="1428"/>
      <c r="O736" s="1435"/>
      <c r="P736" s="1436"/>
      <c r="Q736" s="1436"/>
      <c r="R736" s="1436"/>
      <c r="S736" s="1437"/>
      <c r="T736" s="1435"/>
      <c r="U736" s="1436"/>
      <c r="V736" s="1436"/>
      <c r="W736" s="1437"/>
      <c r="X736" s="1417">
        <f t="shared" si="59"/>
        <v>0</v>
      </c>
      <c r="Y736" s="1418"/>
      <c r="Z736" s="1418"/>
      <c r="AA736" s="1418"/>
      <c r="AB736" s="1419"/>
      <c r="AC736" s="1370"/>
      <c r="AD736" s="1371"/>
      <c r="AE736" s="1371"/>
      <c r="AF736" s="1371"/>
      <c r="AG736" s="1372"/>
      <c r="AH736" s="1420" t="str">
        <f t="shared" si="60"/>
        <v/>
      </c>
      <c r="AI736" s="1421"/>
      <c r="AJ736" s="1422"/>
      <c r="AK736" s="1429" t="s">
        <v>600</v>
      </c>
      <c r="AL736" s="1430"/>
      <c r="AM736" s="1430"/>
      <c r="AN736" s="1430"/>
      <c r="AO736" s="143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29"/>
      <c r="C737" s="1430"/>
      <c r="D737" s="1430"/>
      <c r="E737" s="1430"/>
      <c r="F737" s="1431"/>
      <c r="G737" s="1432"/>
      <c r="H737" s="1433"/>
      <c r="I737" s="1433"/>
      <c r="J737" s="1434"/>
      <c r="K737" s="1426"/>
      <c r="L737" s="1427"/>
      <c r="M737" s="1427"/>
      <c r="N737" s="1428"/>
      <c r="O737" s="1435"/>
      <c r="P737" s="1436"/>
      <c r="Q737" s="1436"/>
      <c r="R737" s="1436"/>
      <c r="S737" s="1437"/>
      <c r="T737" s="1435"/>
      <c r="U737" s="1436"/>
      <c r="V737" s="1436"/>
      <c r="W737" s="1437"/>
      <c r="X737" s="1417">
        <f t="shared" si="59"/>
        <v>0</v>
      </c>
      <c r="Y737" s="1418"/>
      <c r="Z737" s="1418"/>
      <c r="AA737" s="1418"/>
      <c r="AB737" s="1419"/>
      <c r="AC737" s="1370"/>
      <c r="AD737" s="1371"/>
      <c r="AE737" s="1371"/>
      <c r="AF737" s="1371"/>
      <c r="AG737" s="1372"/>
      <c r="AH737" s="1420" t="str">
        <f t="shared" si="60"/>
        <v/>
      </c>
      <c r="AI737" s="1421"/>
      <c r="AJ737" s="1422"/>
      <c r="AK737" s="1429" t="s">
        <v>600</v>
      </c>
      <c r="AL737" s="1430"/>
      <c r="AM737" s="1430"/>
      <c r="AN737" s="1430"/>
      <c r="AO737" s="143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29"/>
      <c r="C738" s="1430"/>
      <c r="D738" s="1430"/>
      <c r="E738" s="1430"/>
      <c r="F738" s="1431"/>
      <c r="G738" s="1432"/>
      <c r="H738" s="1433"/>
      <c r="I738" s="1433"/>
      <c r="J738" s="1434"/>
      <c r="K738" s="1426"/>
      <c r="L738" s="1427"/>
      <c r="M738" s="1427"/>
      <c r="N738" s="1428"/>
      <c r="O738" s="1435"/>
      <c r="P738" s="1436"/>
      <c r="Q738" s="1436"/>
      <c r="R738" s="1436"/>
      <c r="S738" s="1437"/>
      <c r="T738" s="1435"/>
      <c r="U738" s="1436"/>
      <c r="V738" s="1436"/>
      <c r="W738" s="1437"/>
      <c r="X738" s="1417">
        <f t="shared" si="59"/>
        <v>0</v>
      </c>
      <c r="Y738" s="1418"/>
      <c r="Z738" s="1418"/>
      <c r="AA738" s="1418"/>
      <c r="AB738" s="1419"/>
      <c r="AC738" s="1370"/>
      <c r="AD738" s="1371"/>
      <c r="AE738" s="1371"/>
      <c r="AF738" s="1371"/>
      <c r="AG738" s="1372"/>
      <c r="AH738" s="1420" t="str">
        <f t="shared" si="60"/>
        <v/>
      </c>
      <c r="AI738" s="1421"/>
      <c r="AJ738" s="1422"/>
      <c r="AK738" s="1429" t="s">
        <v>600</v>
      </c>
      <c r="AL738" s="1430"/>
      <c r="AM738" s="1430"/>
      <c r="AN738" s="1430"/>
      <c r="AO738" s="143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29"/>
      <c r="C739" s="1430"/>
      <c r="D739" s="1430"/>
      <c r="E739" s="1430"/>
      <c r="F739" s="1431"/>
      <c r="G739" s="1432"/>
      <c r="H739" s="1433"/>
      <c r="I739" s="1433"/>
      <c r="J739" s="1434"/>
      <c r="K739" s="1426"/>
      <c r="L739" s="1427"/>
      <c r="M739" s="1427"/>
      <c r="N739" s="1428"/>
      <c r="O739" s="1435"/>
      <c r="P739" s="1436"/>
      <c r="Q739" s="1436"/>
      <c r="R739" s="1436"/>
      <c r="S739" s="1437"/>
      <c r="T739" s="1435"/>
      <c r="U739" s="1436"/>
      <c r="V739" s="1436"/>
      <c r="W739" s="1437"/>
      <c r="X739" s="1417">
        <f t="shared" si="59"/>
        <v>0</v>
      </c>
      <c r="Y739" s="1418"/>
      <c r="Z739" s="1418"/>
      <c r="AA739" s="1418"/>
      <c r="AB739" s="1419"/>
      <c r="AC739" s="1370"/>
      <c r="AD739" s="1371"/>
      <c r="AE739" s="1371"/>
      <c r="AF739" s="1371"/>
      <c r="AG739" s="1372"/>
      <c r="AH739" s="1420" t="str">
        <f t="shared" si="60"/>
        <v/>
      </c>
      <c r="AI739" s="1421"/>
      <c r="AJ739" s="1422"/>
      <c r="AK739" s="1429" t="s">
        <v>600</v>
      </c>
      <c r="AL739" s="1430"/>
      <c r="AM739" s="1430"/>
      <c r="AN739" s="1430"/>
      <c r="AO739" s="143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29"/>
      <c r="C740" s="1430"/>
      <c r="D740" s="1430"/>
      <c r="E740" s="1430"/>
      <c r="F740" s="1431"/>
      <c r="G740" s="1432"/>
      <c r="H740" s="1433"/>
      <c r="I740" s="1433"/>
      <c r="J740" s="1434"/>
      <c r="K740" s="1426"/>
      <c r="L740" s="1427"/>
      <c r="M740" s="1427"/>
      <c r="N740" s="1428"/>
      <c r="O740" s="1435"/>
      <c r="P740" s="1436"/>
      <c r="Q740" s="1436"/>
      <c r="R740" s="1436"/>
      <c r="S740" s="1437"/>
      <c r="T740" s="1435"/>
      <c r="U740" s="1436"/>
      <c r="V740" s="1436"/>
      <c r="W740" s="1437"/>
      <c r="X740" s="1417">
        <f t="shared" si="59"/>
        <v>0</v>
      </c>
      <c r="Y740" s="1418"/>
      <c r="Z740" s="1418"/>
      <c r="AA740" s="1418"/>
      <c r="AB740" s="1419"/>
      <c r="AC740" s="1370"/>
      <c r="AD740" s="1371"/>
      <c r="AE740" s="1371"/>
      <c r="AF740" s="1371"/>
      <c r="AG740" s="1372"/>
      <c r="AH740" s="1420" t="str">
        <f t="shared" si="60"/>
        <v/>
      </c>
      <c r="AI740" s="1421"/>
      <c r="AJ740" s="1422"/>
      <c r="AK740" s="1429" t="s">
        <v>600</v>
      </c>
      <c r="AL740" s="1430"/>
      <c r="AM740" s="1430"/>
      <c r="AN740" s="1430"/>
      <c r="AO740" s="143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29"/>
      <c r="C741" s="1430"/>
      <c r="D741" s="1430"/>
      <c r="E741" s="1430"/>
      <c r="F741" s="1431"/>
      <c r="G741" s="1432"/>
      <c r="H741" s="1433"/>
      <c r="I741" s="1433"/>
      <c r="J741" s="1434"/>
      <c r="K741" s="1426"/>
      <c r="L741" s="1427"/>
      <c r="M741" s="1427"/>
      <c r="N741" s="1428"/>
      <c r="O741" s="1435"/>
      <c r="P741" s="1436"/>
      <c r="Q741" s="1436"/>
      <c r="R741" s="1436"/>
      <c r="S741" s="1437"/>
      <c r="T741" s="1435"/>
      <c r="U741" s="1436"/>
      <c r="V741" s="1436"/>
      <c r="W741" s="1437"/>
      <c r="X741" s="1417">
        <f t="shared" si="59"/>
        <v>0</v>
      </c>
      <c r="Y741" s="1418"/>
      <c r="Z741" s="1418"/>
      <c r="AA741" s="1418"/>
      <c r="AB741" s="1419"/>
      <c r="AC741" s="1370"/>
      <c r="AD741" s="1371"/>
      <c r="AE741" s="1371"/>
      <c r="AF741" s="1371"/>
      <c r="AG741" s="1372"/>
      <c r="AH741" s="1420" t="str">
        <f t="shared" si="60"/>
        <v/>
      </c>
      <c r="AI741" s="1421"/>
      <c r="AJ741" s="1422"/>
      <c r="AK741" s="1429" t="s">
        <v>600</v>
      </c>
      <c r="AL741" s="1430"/>
      <c r="AM741" s="1430"/>
      <c r="AN741" s="1430"/>
      <c r="AO741" s="143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429"/>
      <c r="C742" s="1430"/>
      <c r="D742" s="1430"/>
      <c r="E742" s="1430"/>
      <c r="F742" s="1431"/>
      <c r="G742" s="1432"/>
      <c r="H742" s="1433"/>
      <c r="I742" s="1433"/>
      <c r="J742" s="1434"/>
      <c r="K742" s="1426"/>
      <c r="L742" s="1427"/>
      <c r="M742" s="1427"/>
      <c r="N742" s="1428"/>
      <c r="O742" s="1435"/>
      <c r="P742" s="1436"/>
      <c r="Q742" s="1436"/>
      <c r="R742" s="1436"/>
      <c r="S742" s="1437"/>
      <c r="T742" s="1435"/>
      <c r="U742" s="1436"/>
      <c r="V742" s="1436"/>
      <c r="W742" s="1437"/>
      <c r="X742" s="1417">
        <f t="shared" ref="X742:X751" si="61">O742+T742</f>
        <v>0</v>
      </c>
      <c r="Y742" s="1418"/>
      <c r="Z742" s="1418"/>
      <c r="AA742" s="1418"/>
      <c r="AB742" s="1419"/>
      <c r="AC742" s="1370"/>
      <c r="AD742" s="1371"/>
      <c r="AE742" s="1371"/>
      <c r="AF742" s="1371"/>
      <c r="AG742" s="1372"/>
      <c r="AH742" s="1420" t="str">
        <f t="shared" si="60"/>
        <v/>
      </c>
      <c r="AI742" s="1421"/>
      <c r="AJ742" s="1422"/>
      <c r="AK742" s="1429" t="s">
        <v>600</v>
      </c>
      <c r="AL742" s="1430"/>
      <c r="AM742" s="1430"/>
      <c r="AN742" s="1430"/>
      <c r="AO742" s="143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429"/>
      <c r="C743" s="1430"/>
      <c r="D743" s="1430"/>
      <c r="E743" s="1430"/>
      <c r="F743" s="1431"/>
      <c r="G743" s="1432"/>
      <c r="H743" s="1433"/>
      <c r="I743" s="1433"/>
      <c r="J743" s="1434"/>
      <c r="K743" s="1426"/>
      <c r="L743" s="1427"/>
      <c r="M743" s="1427"/>
      <c r="N743" s="1428"/>
      <c r="O743" s="1435"/>
      <c r="P743" s="1436"/>
      <c r="Q743" s="1436"/>
      <c r="R743" s="1436"/>
      <c r="S743" s="1437"/>
      <c r="T743" s="1435"/>
      <c r="U743" s="1436"/>
      <c r="V743" s="1436"/>
      <c r="W743" s="1437"/>
      <c r="X743" s="1417">
        <f t="shared" si="61"/>
        <v>0</v>
      </c>
      <c r="Y743" s="1418"/>
      <c r="Z743" s="1418"/>
      <c r="AA743" s="1418"/>
      <c r="AB743" s="1419"/>
      <c r="AC743" s="1370"/>
      <c r="AD743" s="1371"/>
      <c r="AE743" s="1371"/>
      <c r="AF743" s="1371"/>
      <c r="AG743" s="1372"/>
      <c r="AH743" s="1420" t="str">
        <f t="shared" si="60"/>
        <v/>
      </c>
      <c r="AI743" s="1421"/>
      <c r="AJ743" s="1422"/>
      <c r="AK743" s="1429" t="s">
        <v>600</v>
      </c>
      <c r="AL743" s="1430"/>
      <c r="AM743" s="1430"/>
      <c r="AN743" s="1430"/>
      <c r="AO743" s="143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429"/>
      <c r="C744" s="1430"/>
      <c r="D744" s="1430"/>
      <c r="E744" s="1430"/>
      <c r="F744" s="1431"/>
      <c r="G744" s="1432"/>
      <c r="H744" s="1433"/>
      <c r="I744" s="1433"/>
      <c r="J744" s="1434"/>
      <c r="K744" s="1426"/>
      <c r="L744" s="1427"/>
      <c r="M744" s="1427"/>
      <c r="N744" s="1428"/>
      <c r="O744" s="1435"/>
      <c r="P744" s="1436"/>
      <c r="Q744" s="1436"/>
      <c r="R744" s="1436"/>
      <c r="S744" s="1437"/>
      <c r="T744" s="1435"/>
      <c r="U744" s="1436"/>
      <c r="V744" s="1436"/>
      <c r="W744" s="1437"/>
      <c r="X744" s="1417">
        <f t="shared" si="61"/>
        <v>0</v>
      </c>
      <c r="Y744" s="1418"/>
      <c r="Z744" s="1418"/>
      <c r="AA744" s="1418"/>
      <c r="AB744" s="1419"/>
      <c r="AC744" s="1370"/>
      <c r="AD744" s="1371"/>
      <c r="AE744" s="1371"/>
      <c r="AF744" s="1371"/>
      <c r="AG744" s="1372"/>
      <c r="AH744" s="1420" t="str">
        <f t="shared" si="60"/>
        <v/>
      </c>
      <c r="AI744" s="1421"/>
      <c r="AJ744" s="1422"/>
      <c r="AK744" s="1429" t="s">
        <v>600</v>
      </c>
      <c r="AL744" s="1430"/>
      <c r="AM744" s="1430"/>
      <c r="AN744" s="1430"/>
      <c r="AO744" s="143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429"/>
      <c r="C745" s="1430"/>
      <c r="D745" s="1430"/>
      <c r="E745" s="1430"/>
      <c r="F745" s="1431"/>
      <c r="G745" s="1432"/>
      <c r="H745" s="1433"/>
      <c r="I745" s="1433"/>
      <c r="J745" s="1434"/>
      <c r="K745" s="1426"/>
      <c r="L745" s="1427"/>
      <c r="M745" s="1427"/>
      <c r="N745" s="1428"/>
      <c r="O745" s="1435"/>
      <c r="P745" s="1436"/>
      <c r="Q745" s="1436"/>
      <c r="R745" s="1436"/>
      <c r="S745" s="1437"/>
      <c r="T745" s="1435"/>
      <c r="U745" s="1436"/>
      <c r="V745" s="1436"/>
      <c r="W745" s="1437"/>
      <c r="X745" s="1417">
        <f t="shared" si="61"/>
        <v>0</v>
      </c>
      <c r="Y745" s="1418"/>
      <c r="Z745" s="1418"/>
      <c r="AA745" s="1418"/>
      <c r="AB745" s="1419"/>
      <c r="AC745" s="1370"/>
      <c r="AD745" s="1371"/>
      <c r="AE745" s="1371"/>
      <c r="AF745" s="1371"/>
      <c r="AG745" s="1372"/>
      <c r="AH745" s="1420" t="str">
        <f t="shared" si="60"/>
        <v/>
      </c>
      <c r="AI745" s="1421"/>
      <c r="AJ745" s="1422"/>
      <c r="AK745" s="1429" t="s">
        <v>600</v>
      </c>
      <c r="AL745" s="1430"/>
      <c r="AM745" s="1430"/>
      <c r="AN745" s="1430"/>
      <c r="AO745" s="143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429"/>
      <c r="C746" s="1430"/>
      <c r="D746" s="1430"/>
      <c r="E746" s="1430"/>
      <c r="F746" s="1431"/>
      <c r="G746" s="1432"/>
      <c r="H746" s="1433"/>
      <c r="I746" s="1433"/>
      <c r="J746" s="1434"/>
      <c r="K746" s="1426"/>
      <c r="L746" s="1427"/>
      <c r="M746" s="1427"/>
      <c r="N746" s="1428"/>
      <c r="O746" s="1435"/>
      <c r="P746" s="1436"/>
      <c r="Q746" s="1436"/>
      <c r="R746" s="1436"/>
      <c r="S746" s="1437"/>
      <c r="T746" s="1435"/>
      <c r="U746" s="1436"/>
      <c r="V746" s="1436"/>
      <c r="W746" s="1437"/>
      <c r="X746" s="1417">
        <f t="shared" si="61"/>
        <v>0</v>
      </c>
      <c r="Y746" s="1418"/>
      <c r="Z746" s="1418"/>
      <c r="AA746" s="1418"/>
      <c r="AB746" s="1419"/>
      <c r="AC746" s="1370"/>
      <c r="AD746" s="1371"/>
      <c r="AE746" s="1371"/>
      <c r="AF746" s="1371"/>
      <c r="AG746" s="1372"/>
      <c r="AH746" s="1420" t="str">
        <f t="shared" si="60"/>
        <v/>
      </c>
      <c r="AI746" s="1421"/>
      <c r="AJ746" s="1422"/>
      <c r="AK746" s="1429" t="s">
        <v>600</v>
      </c>
      <c r="AL746" s="1430"/>
      <c r="AM746" s="1430"/>
      <c r="AN746" s="1430"/>
      <c r="AO746" s="143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429"/>
      <c r="C747" s="1430"/>
      <c r="D747" s="1430"/>
      <c r="E747" s="1430"/>
      <c r="F747" s="1431"/>
      <c r="G747" s="1432"/>
      <c r="H747" s="1433"/>
      <c r="I747" s="1433"/>
      <c r="J747" s="1434"/>
      <c r="K747" s="1426"/>
      <c r="L747" s="1427"/>
      <c r="M747" s="1427"/>
      <c r="N747" s="1428"/>
      <c r="O747" s="1435"/>
      <c r="P747" s="1436"/>
      <c r="Q747" s="1436"/>
      <c r="R747" s="1436"/>
      <c r="S747" s="1437"/>
      <c r="T747" s="1435"/>
      <c r="U747" s="1436"/>
      <c r="V747" s="1436"/>
      <c r="W747" s="1437"/>
      <c r="X747" s="1417">
        <f t="shared" si="61"/>
        <v>0</v>
      </c>
      <c r="Y747" s="1418"/>
      <c r="Z747" s="1418"/>
      <c r="AA747" s="1418"/>
      <c r="AB747" s="1419"/>
      <c r="AC747" s="1370"/>
      <c r="AD747" s="1371"/>
      <c r="AE747" s="1371"/>
      <c r="AF747" s="1371"/>
      <c r="AG747" s="1372"/>
      <c r="AH747" s="1420" t="str">
        <f t="shared" si="60"/>
        <v/>
      </c>
      <c r="AI747" s="1421"/>
      <c r="AJ747" s="1422"/>
      <c r="AK747" s="1429" t="s">
        <v>600</v>
      </c>
      <c r="AL747" s="1430"/>
      <c r="AM747" s="1430"/>
      <c r="AN747" s="1430"/>
      <c r="AO747" s="143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429"/>
      <c r="C748" s="1430"/>
      <c r="D748" s="1430"/>
      <c r="E748" s="1430"/>
      <c r="F748" s="1431"/>
      <c r="G748" s="1432"/>
      <c r="H748" s="1433"/>
      <c r="I748" s="1433"/>
      <c r="J748" s="1434"/>
      <c r="K748" s="1426"/>
      <c r="L748" s="1427"/>
      <c r="M748" s="1427"/>
      <c r="N748" s="1428"/>
      <c r="O748" s="1435"/>
      <c r="P748" s="1436"/>
      <c r="Q748" s="1436"/>
      <c r="R748" s="1436"/>
      <c r="S748" s="1437"/>
      <c r="T748" s="1435"/>
      <c r="U748" s="1436"/>
      <c r="V748" s="1436"/>
      <c r="W748" s="1437"/>
      <c r="X748" s="1417">
        <f t="shared" si="61"/>
        <v>0</v>
      </c>
      <c r="Y748" s="1418"/>
      <c r="Z748" s="1418"/>
      <c r="AA748" s="1418"/>
      <c r="AB748" s="1419"/>
      <c r="AC748" s="1370"/>
      <c r="AD748" s="1371"/>
      <c r="AE748" s="1371"/>
      <c r="AF748" s="1371"/>
      <c r="AG748" s="1372"/>
      <c r="AH748" s="1420" t="str">
        <f t="shared" si="60"/>
        <v/>
      </c>
      <c r="AI748" s="1421"/>
      <c r="AJ748" s="1422"/>
      <c r="AK748" s="1429" t="s">
        <v>600</v>
      </c>
      <c r="AL748" s="1430"/>
      <c r="AM748" s="1430"/>
      <c r="AN748" s="1430"/>
      <c r="AO748" s="143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429"/>
      <c r="C749" s="1430"/>
      <c r="D749" s="1430"/>
      <c r="E749" s="1430"/>
      <c r="F749" s="1431"/>
      <c r="G749" s="1432"/>
      <c r="H749" s="1433"/>
      <c r="I749" s="1433"/>
      <c r="J749" s="1434"/>
      <c r="K749" s="1426"/>
      <c r="L749" s="1427"/>
      <c r="M749" s="1427"/>
      <c r="N749" s="1428"/>
      <c r="O749" s="1435"/>
      <c r="P749" s="1436"/>
      <c r="Q749" s="1436"/>
      <c r="R749" s="1436"/>
      <c r="S749" s="1437"/>
      <c r="T749" s="1435"/>
      <c r="U749" s="1436"/>
      <c r="V749" s="1436"/>
      <c r="W749" s="1437"/>
      <c r="X749" s="1417">
        <f t="shared" si="61"/>
        <v>0</v>
      </c>
      <c r="Y749" s="1418"/>
      <c r="Z749" s="1418"/>
      <c r="AA749" s="1418"/>
      <c r="AB749" s="1419"/>
      <c r="AC749" s="1370"/>
      <c r="AD749" s="1371"/>
      <c r="AE749" s="1371"/>
      <c r="AF749" s="1371"/>
      <c r="AG749" s="1372"/>
      <c r="AH749" s="1420" t="str">
        <f t="shared" si="60"/>
        <v/>
      </c>
      <c r="AI749" s="1421"/>
      <c r="AJ749" s="1422"/>
      <c r="AK749" s="1429" t="s">
        <v>600</v>
      </c>
      <c r="AL749" s="1430"/>
      <c r="AM749" s="1430"/>
      <c r="AN749" s="1430"/>
      <c r="AO749" s="143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429"/>
      <c r="C750" s="1430"/>
      <c r="D750" s="1430"/>
      <c r="E750" s="1430"/>
      <c r="F750" s="1431"/>
      <c r="G750" s="1432"/>
      <c r="H750" s="1433"/>
      <c r="I750" s="1433"/>
      <c r="J750" s="1434"/>
      <c r="K750" s="1426"/>
      <c r="L750" s="1427"/>
      <c r="M750" s="1427"/>
      <c r="N750" s="1428"/>
      <c r="O750" s="1435"/>
      <c r="P750" s="1436"/>
      <c r="Q750" s="1436"/>
      <c r="R750" s="1436"/>
      <c r="S750" s="1437"/>
      <c r="T750" s="1435"/>
      <c r="U750" s="1436"/>
      <c r="V750" s="1436"/>
      <c r="W750" s="1437"/>
      <c r="X750" s="1417">
        <f t="shared" si="61"/>
        <v>0</v>
      </c>
      <c r="Y750" s="1418"/>
      <c r="Z750" s="1418"/>
      <c r="AA750" s="1418"/>
      <c r="AB750" s="1419"/>
      <c r="AC750" s="1370"/>
      <c r="AD750" s="1371"/>
      <c r="AE750" s="1371"/>
      <c r="AF750" s="1371"/>
      <c r="AG750" s="1372"/>
      <c r="AH750" s="1420" t="str">
        <f t="shared" si="60"/>
        <v/>
      </c>
      <c r="AI750" s="1421"/>
      <c r="AJ750" s="1422"/>
      <c r="AK750" s="1429" t="s">
        <v>600</v>
      </c>
      <c r="AL750" s="1430"/>
      <c r="AM750" s="1430"/>
      <c r="AN750" s="1430"/>
      <c r="AO750" s="143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429"/>
      <c r="C751" s="1430"/>
      <c r="D751" s="1430"/>
      <c r="E751" s="1430"/>
      <c r="F751" s="1431"/>
      <c r="G751" s="1432"/>
      <c r="H751" s="1433"/>
      <c r="I751" s="1433"/>
      <c r="J751" s="1434"/>
      <c r="K751" s="1426"/>
      <c r="L751" s="1427"/>
      <c r="M751" s="1427"/>
      <c r="N751" s="1428"/>
      <c r="O751" s="1435"/>
      <c r="P751" s="1436"/>
      <c r="Q751" s="1436"/>
      <c r="R751" s="1436"/>
      <c r="S751" s="1437"/>
      <c r="T751" s="1435"/>
      <c r="U751" s="1436"/>
      <c r="V751" s="1436"/>
      <c r="W751" s="1437"/>
      <c r="X751" s="1417">
        <f t="shared" si="61"/>
        <v>0</v>
      </c>
      <c r="Y751" s="1418"/>
      <c r="Z751" s="1418"/>
      <c r="AA751" s="1418"/>
      <c r="AB751" s="1419"/>
      <c r="AC751" s="1370"/>
      <c r="AD751" s="1371"/>
      <c r="AE751" s="1371"/>
      <c r="AF751" s="1371"/>
      <c r="AG751" s="1372"/>
      <c r="AH751" s="1420" t="str">
        <f t="shared" si="60"/>
        <v/>
      </c>
      <c r="AI751" s="1421"/>
      <c r="AJ751" s="1422"/>
      <c r="AK751" s="1429" t="s">
        <v>600</v>
      </c>
      <c r="AL751" s="1430"/>
      <c r="AM751" s="1430"/>
      <c r="AN751" s="1430"/>
      <c r="AO751" s="143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429"/>
      <c r="C752" s="1430"/>
      <c r="D752" s="1430"/>
      <c r="E752" s="1430"/>
      <c r="F752" s="1431"/>
      <c r="G752" s="1432"/>
      <c r="H752" s="1433"/>
      <c r="I752" s="1433"/>
      <c r="J752" s="1434"/>
      <c r="K752" s="1426"/>
      <c r="L752" s="1427"/>
      <c r="M752" s="1427"/>
      <c r="N752" s="1428"/>
      <c r="O752" s="1435"/>
      <c r="P752" s="1436"/>
      <c r="Q752" s="1436"/>
      <c r="R752" s="1436"/>
      <c r="S752" s="1437"/>
      <c r="T752" s="1435"/>
      <c r="U752" s="1436"/>
      <c r="V752" s="1436"/>
      <c r="W752" s="1437"/>
      <c r="X752" s="1417">
        <f>O752+T752</f>
        <v>0</v>
      </c>
      <c r="Y752" s="1418"/>
      <c r="Z752" s="1418"/>
      <c r="AA752" s="1418"/>
      <c r="AB752" s="1419"/>
      <c r="AC752" s="1370"/>
      <c r="AD752" s="1371"/>
      <c r="AE752" s="1371"/>
      <c r="AF752" s="1371"/>
      <c r="AG752" s="1372"/>
      <c r="AH752" s="1420" t="str">
        <f>IF($AC752&gt;0,($X752/$BA701), "")</f>
        <v/>
      </c>
      <c r="AI752" s="1421"/>
      <c r="AJ752" s="1422"/>
      <c r="AK752" s="1429" t="s">
        <v>600</v>
      </c>
      <c r="AL752" s="1430"/>
      <c r="AM752" s="1430"/>
      <c r="AN752" s="1430"/>
      <c r="AO752" s="143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76" t="s">
        <v>125</v>
      </c>
      <c r="C753" s="1677"/>
      <c r="D753" s="1677"/>
      <c r="E753" s="1677"/>
      <c r="F753" s="1678"/>
      <c r="G753" s="1749">
        <f>SUM(G718:G752)</f>
        <v>159</v>
      </c>
      <c r="H753" s="1750"/>
      <c r="I753" s="1750"/>
      <c r="J753" s="1751"/>
      <c r="K753" s="937" t="s">
        <v>124</v>
      </c>
      <c r="L753" s="5"/>
      <c r="M753" s="5"/>
      <c r="N753" s="46"/>
      <c r="O753" s="1417">
        <f>SUMPRODUCT(G718:G752,O718:O752)</f>
        <v>273928</v>
      </c>
      <c r="P753" s="1418"/>
      <c r="Q753" s="1418"/>
      <c r="R753" s="1418"/>
      <c r="S753" s="1419"/>
      <c r="T753"/>
      <c r="U753"/>
      <c r="V753"/>
      <c r="W753"/>
      <c r="X753" s="939" t="s">
        <v>916</v>
      </c>
      <c r="Y753" s="938"/>
      <c r="Z753" s="938"/>
      <c r="AA753" s="938"/>
      <c r="AB753" s="940"/>
      <c r="AC753" s="1746">
        <f>BI703</f>
        <v>0.49371069182389937</v>
      </c>
      <c r="AD753" s="1747"/>
      <c r="AE753" s="1747"/>
      <c r="AF753" s="1747"/>
      <c r="AG753" s="1748"/>
      <c r="AH753" s="1746">
        <f>IFERROR(BV703,"")</f>
        <v>0.49126165519367582</v>
      </c>
      <c r="AI753" s="1747"/>
      <c r="AJ753" s="1748"/>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42" t="s">
        <v>2184</v>
      </c>
      <c r="C754" s="1642"/>
      <c r="D754" s="1642"/>
      <c r="E754" s="1642"/>
      <c r="F754" s="1642"/>
      <c r="G754" s="1642"/>
      <c r="H754" s="1642"/>
      <c r="I754" s="1642"/>
      <c r="J754" s="1642"/>
      <c r="K754" s="1642"/>
      <c r="L754" s="1642"/>
      <c r="M754" s="1642"/>
      <c r="N754" s="1642"/>
      <c r="O754" s="1642"/>
      <c r="P754" s="1642"/>
      <c r="Q754" s="1642"/>
      <c r="R754" s="1642"/>
      <c r="S754" s="1642"/>
      <c r="T754" s="1642"/>
      <c r="U754" s="1642"/>
      <c r="V754" s="1642"/>
      <c r="W754" s="1642"/>
      <c r="X754" s="1642"/>
      <c r="Y754" s="1642"/>
      <c r="Z754" s="1642"/>
      <c r="AA754" s="1642"/>
      <c r="AB754" s="1642"/>
      <c r="AC754" s="1642"/>
      <c r="AD754" s="1642"/>
      <c r="AE754" s="1642"/>
      <c r="AF754" s="1642"/>
      <c r="AG754" s="1642"/>
      <c r="AH754" s="164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42"/>
      <c r="C755" s="1642"/>
      <c r="D755" s="1642"/>
      <c r="E755" s="1642"/>
      <c r="F755" s="1642"/>
      <c r="G755" s="1642"/>
      <c r="H755" s="1642"/>
      <c r="I755" s="1642"/>
      <c r="J755" s="1642"/>
      <c r="K755" s="1642"/>
      <c r="L755" s="1642"/>
      <c r="M755" s="1642"/>
      <c r="N755" s="1642"/>
      <c r="O755" s="1642"/>
      <c r="P755" s="1642"/>
      <c r="Q755" s="1642"/>
      <c r="R755" s="1642"/>
      <c r="S755" s="1642"/>
      <c r="T755" s="1642"/>
      <c r="U755" s="1642"/>
      <c r="V755" s="1642"/>
      <c r="W755" s="1642"/>
      <c r="X755" s="1642"/>
      <c r="Y755" s="1642"/>
      <c r="Z755" s="1642"/>
      <c r="AA755" s="1642"/>
      <c r="AB755" s="1642"/>
      <c r="AC755" s="1642"/>
      <c r="AD755" s="1642"/>
      <c r="AE755" s="1642"/>
      <c r="AF755" s="1642"/>
      <c r="AG755" s="1642"/>
      <c r="AH755" s="164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552">
        <f>CS634</f>
        <v>238</v>
      </c>
      <c r="P756" s="1552"/>
      <c r="Q756" s="1552"/>
      <c r="R756" s="1552"/>
      <c r="S756" s="1004"/>
      <c r="T756" s="1004"/>
      <c r="U756" s="118" t="s">
        <v>2183</v>
      </c>
      <c r="V756" s="1067"/>
      <c r="W756" s="1067"/>
      <c r="X756" s="1067"/>
      <c r="Y756" s="1068"/>
      <c r="Z756" s="1068"/>
      <c r="AA756" s="1068"/>
      <c r="AB756" s="1068"/>
      <c r="AC756" s="1067"/>
      <c r="AD756" s="1067"/>
      <c r="AE756" s="1067"/>
      <c r="AF756" s="1067"/>
      <c r="AG756" s="1772"/>
      <c r="AH756" s="1772"/>
      <c r="AI756" s="1772"/>
      <c r="AJ756" s="177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76" t="str">
        <f>IF(G753&lt;&gt;AG440,"! Total Low-Income Units in the Unit Mix Table above does not match the number of Total Low-Income Units on row #"&amp;TEXT(ROW(D440),"#"),"")</f>
        <v/>
      </c>
      <c r="D757" s="1476"/>
      <c r="E757" s="1476"/>
      <c r="F757" s="1476"/>
      <c r="G757" s="1476"/>
      <c r="H757" s="1476"/>
      <c r="I757" s="1476"/>
      <c r="J757" s="1476"/>
      <c r="K757" s="1476"/>
      <c r="L757" s="1476"/>
      <c r="M757" s="1476"/>
      <c r="N757" s="1476"/>
      <c r="O757" s="1476"/>
      <c r="P757" s="1476"/>
      <c r="Q757" s="1476"/>
      <c r="R757" s="1476"/>
      <c r="S757" s="1476"/>
      <c r="T757" s="1476"/>
      <c r="U757" s="1476"/>
      <c r="V757" s="1476"/>
      <c r="W757" s="1476"/>
      <c r="X757" s="1476"/>
      <c r="Y757" s="1476"/>
      <c r="Z757" s="1476"/>
      <c r="AA757" s="1476"/>
      <c r="AB757" s="1476"/>
      <c r="AC757" s="1476"/>
      <c r="AD757" s="1476"/>
      <c r="AE757" s="1476"/>
      <c r="AF757" s="1476"/>
      <c r="AG757" s="1476"/>
      <c r="AH757" s="1476"/>
      <c r="AI757" s="1476"/>
      <c r="AJ757" s="1476"/>
      <c r="AK757" s="1476"/>
      <c r="AL757" s="1476"/>
      <c r="AM757" s="147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76"/>
      <c r="D758" s="1476"/>
      <c r="E758" s="1476"/>
      <c r="F758" s="1476"/>
      <c r="G758" s="1476"/>
      <c r="H758" s="1476"/>
      <c r="I758" s="1476"/>
      <c r="J758" s="1476"/>
      <c r="K758" s="1476"/>
      <c r="L758" s="1476"/>
      <c r="M758" s="1476"/>
      <c r="N758" s="1476"/>
      <c r="O758" s="1476"/>
      <c r="P758" s="1476"/>
      <c r="Q758" s="1476"/>
      <c r="R758" s="1476"/>
      <c r="S758" s="1476"/>
      <c r="T758" s="1476"/>
      <c r="U758" s="1476"/>
      <c r="V758" s="1476"/>
      <c r="W758" s="1476"/>
      <c r="X758" s="1476"/>
      <c r="Y758" s="1476"/>
      <c r="Z758" s="1476"/>
      <c r="AA758" s="1476"/>
      <c r="AB758" s="1476"/>
      <c r="AC758" s="1476"/>
      <c r="AD758" s="1476"/>
      <c r="AE758" s="1476"/>
      <c r="AF758" s="1476"/>
      <c r="AG758" s="1476"/>
      <c r="AH758" s="1476"/>
      <c r="AI758" s="1476"/>
      <c r="AJ758" s="1476"/>
      <c r="AK758" s="1476"/>
      <c r="AL758" s="1476"/>
      <c r="AM758" s="147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52" t="s">
        <v>600</v>
      </c>
      <c r="AE759" s="1752"/>
      <c r="AF759" s="175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9" t="s">
        <v>2407</v>
      </c>
      <c r="D763" s="1279"/>
      <c r="E763" s="1279"/>
      <c r="F763" s="1279"/>
      <c r="G763" s="1279"/>
      <c r="H763" s="1279"/>
      <c r="I763" s="1279"/>
      <c r="J763" s="1279"/>
      <c r="K763" s="1279"/>
      <c r="L763" s="1279"/>
      <c r="M763" s="1279"/>
      <c r="N763" s="1279"/>
      <c r="O763" s="1279"/>
      <c r="P763" s="1279"/>
      <c r="Q763" s="1279"/>
      <c r="R763" s="1279"/>
      <c r="S763" s="1279"/>
      <c r="T763" s="1279"/>
      <c r="U763" s="1279"/>
      <c r="V763" s="1279"/>
      <c r="W763" s="1279"/>
      <c r="X763" s="1279"/>
      <c r="Y763" s="1279"/>
      <c r="Z763" s="1279"/>
      <c r="AA763" s="1279"/>
      <c r="AB763" s="1279"/>
      <c r="AC763" s="1279"/>
      <c r="AD763" s="1279"/>
      <c r="AE763" s="1279"/>
      <c r="AF763" s="1279"/>
      <c r="AG763" s="1279"/>
      <c r="AH763" s="1279"/>
      <c r="AI763" s="1279"/>
      <c r="AJ763" s="1279"/>
      <c r="AK763" s="1279"/>
      <c r="AL763" s="1279"/>
      <c r="AM763" s="1279"/>
      <c r="AN763" s="1279"/>
      <c r="AO763" s="1279"/>
      <c r="AP763" s="1279"/>
      <c r="AQ763" s="1279"/>
      <c r="AR763" s="127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9"/>
      <c r="D764" s="1279"/>
      <c r="E764" s="1279"/>
      <c r="F764" s="1279"/>
      <c r="G764" s="1279"/>
      <c r="H764" s="1279"/>
      <c r="I764" s="1279"/>
      <c r="J764" s="1279"/>
      <c r="K764" s="1279"/>
      <c r="L764" s="1279"/>
      <c r="M764" s="1279"/>
      <c r="N764" s="1279"/>
      <c r="O764" s="1279"/>
      <c r="P764" s="1279"/>
      <c r="Q764" s="1279"/>
      <c r="R764" s="1279"/>
      <c r="S764" s="1279"/>
      <c r="T764" s="1279"/>
      <c r="U764" s="1279"/>
      <c r="V764" s="1279"/>
      <c r="W764" s="1279"/>
      <c r="X764" s="1279"/>
      <c r="Y764" s="1279"/>
      <c r="Z764" s="1279"/>
      <c r="AA764" s="1279"/>
      <c r="AB764" s="1279"/>
      <c r="AC764" s="1279"/>
      <c r="AD764" s="1279"/>
      <c r="AE764" s="1279"/>
      <c r="AF764" s="1279"/>
      <c r="AG764" s="1279"/>
      <c r="AH764" s="1279"/>
      <c r="AI764" s="1279"/>
      <c r="AJ764" s="1279"/>
      <c r="AK764" s="1279"/>
      <c r="AL764" s="1279"/>
      <c r="AM764" s="1279"/>
      <c r="AN764" s="1279"/>
      <c r="AO764" s="1279"/>
      <c r="AP764" s="1279"/>
      <c r="AQ764" s="1279"/>
      <c r="AR764" s="127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9"/>
      <c r="D765" s="1279"/>
      <c r="E765" s="1279"/>
      <c r="F765" s="1279"/>
      <c r="G765" s="1279"/>
      <c r="H765" s="1279"/>
      <c r="I765" s="1279"/>
      <c r="J765" s="1279"/>
      <c r="K765" s="1279"/>
      <c r="L765" s="1279"/>
      <c r="M765" s="1279"/>
      <c r="N765" s="1279"/>
      <c r="O765" s="1279"/>
      <c r="P765" s="1279"/>
      <c r="Q765" s="1279"/>
      <c r="R765" s="1279"/>
      <c r="S765" s="1279"/>
      <c r="T765" s="1279"/>
      <c r="U765" s="1279"/>
      <c r="V765" s="1279"/>
      <c r="W765" s="1279"/>
      <c r="X765" s="1279"/>
      <c r="Y765" s="1279"/>
      <c r="Z765" s="1279"/>
      <c r="AA765" s="1279"/>
      <c r="AB765" s="1279"/>
      <c r="AC765" s="1279"/>
      <c r="AD765" s="1279"/>
      <c r="AE765" s="1279"/>
      <c r="AF765" s="1279"/>
      <c r="AG765" s="1279"/>
      <c r="AH765" s="1279"/>
      <c r="AI765" s="1279"/>
      <c r="AJ765" s="1279"/>
      <c r="AK765" s="1279"/>
      <c r="AL765" s="1279"/>
      <c r="AM765" s="1279"/>
      <c r="AN765" s="1279"/>
      <c r="AO765" s="1279"/>
      <c r="AP765" s="1279"/>
      <c r="AQ765" s="1279"/>
      <c r="AR765" s="127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9" t="s">
        <v>2408</v>
      </c>
      <c r="D766" s="1279"/>
      <c r="E766" s="1279"/>
      <c r="F766" s="1279"/>
      <c r="G766" s="1279"/>
      <c r="H766" s="1279"/>
      <c r="I766" s="1279"/>
      <c r="J766" s="1279"/>
      <c r="K766" s="1279"/>
      <c r="L766" s="1279"/>
      <c r="M766" s="1279"/>
      <c r="N766" s="1279"/>
      <c r="O766" s="1279"/>
      <c r="P766" s="1279"/>
      <c r="Q766" s="1279"/>
      <c r="R766" s="1279"/>
      <c r="S766" s="1279"/>
      <c r="T766" s="1279"/>
      <c r="U766" s="1279"/>
      <c r="V766" s="1279"/>
      <c r="W766" s="1279"/>
      <c r="X766" s="1279"/>
      <c r="Y766" s="1279"/>
      <c r="Z766" s="1279"/>
      <c r="AA766" s="1279"/>
      <c r="AB766" s="1279"/>
      <c r="AC766" s="1279"/>
      <c r="AD766" s="1279"/>
      <c r="AE766" s="1279"/>
      <c r="AF766" s="1279"/>
      <c r="AG766" s="1279"/>
      <c r="AH766" s="1279"/>
      <c r="AI766" s="1279"/>
      <c r="AJ766" s="1279"/>
      <c r="AK766" s="1279"/>
      <c r="AL766" s="1279"/>
      <c r="AM766" s="1279"/>
      <c r="AN766" s="1279"/>
      <c r="AO766" s="1279"/>
      <c r="AP766" s="1279"/>
      <c r="AQ766" s="1279"/>
      <c r="AR766" s="127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9"/>
      <c r="D767" s="1279"/>
      <c r="E767" s="1279"/>
      <c r="F767" s="1279"/>
      <c r="G767" s="1279"/>
      <c r="H767" s="1279"/>
      <c r="I767" s="1279"/>
      <c r="J767" s="1279"/>
      <c r="K767" s="1279"/>
      <c r="L767" s="1279"/>
      <c r="M767" s="1279"/>
      <c r="N767" s="1279"/>
      <c r="O767" s="1279"/>
      <c r="P767" s="1279"/>
      <c r="Q767" s="1279"/>
      <c r="R767" s="1279"/>
      <c r="S767" s="1279"/>
      <c r="T767" s="1279"/>
      <c r="U767" s="1279"/>
      <c r="V767" s="1279"/>
      <c r="W767" s="1279"/>
      <c r="X767" s="1279"/>
      <c r="Y767" s="1279"/>
      <c r="Z767" s="1279"/>
      <c r="AA767" s="1279"/>
      <c r="AB767" s="1279"/>
      <c r="AC767" s="1279"/>
      <c r="AD767" s="1279"/>
      <c r="AE767" s="1279"/>
      <c r="AF767" s="1279"/>
      <c r="AG767" s="1279"/>
      <c r="AH767" s="1279"/>
      <c r="AI767" s="1279"/>
      <c r="AJ767" s="1279"/>
      <c r="AK767" s="1279"/>
      <c r="AL767" s="1279"/>
      <c r="AM767" s="1279"/>
      <c r="AN767" s="1279"/>
      <c r="AO767" s="1279"/>
      <c r="AP767" s="1279"/>
      <c r="AQ767" s="1279"/>
      <c r="AR767" s="127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9"/>
      <c r="D768" s="1279"/>
      <c r="E768" s="1279"/>
      <c r="F768" s="1279"/>
      <c r="G768" s="1279"/>
      <c r="H768" s="1279"/>
      <c r="I768" s="1279"/>
      <c r="J768" s="1279"/>
      <c r="K768" s="1279"/>
      <c r="L768" s="1279"/>
      <c r="M768" s="1279"/>
      <c r="N768" s="1279"/>
      <c r="O768" s="1279"/>
      <c r="P768" s="1279"/>
      <c r="Q768" s="1279"/>
      <c r="R768" s="1279"/>
      <c r="S768" s="1279"/>
      <c r="T768" s="1279"/>
      <c r="U768" s="1279"/>
      <c r="V768" s="1279"/>
      <c r="W768" s="1279"/>
      <c r="X768" s="1279"/>
      <c r="Y768" s="1279"/>
      <c r="Z768" s="1279"/>
      <c r="AA768" s="1279"/>
      <c r="AB768" s="1279"/>
      <c r="AC768" s="1279"/>
      <c r="AD768" s="1279"/>
      <c r="AE768" s="1279"/>
      <c r="AF768" s="1279"/>
      <c r="AG768" s="1279"/>
      <c r="AH768" s="1279"/>
      <c r="AI768" s="1279"/>
      <c r="AJ768" s="1279"/>
      <c r="AK768" s="1279"/>
      <c r="AL768" s="1279"/>
      <c r="AM768" s="1279"/>
      <c r="AN768" s="1279"/>
      <c r="AO768" s="1279"/>
      <c r="AP768" s="1279"/>
      <c r="AQ768" s="1279"/>
      <c r="AR768" s="127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643" t="s">
        <v>390</v>
      </c>
      <c r="K769" s="1529"/>
      <c r="L769" s="1529"/>
      <c r="M769" s="1529"/>
      <c r="N769" s="1530"/>
      <c r="O769" s="1771" t="s">
        <v>286</v>
      </c>
      <c r="P769" s="1771"/>
      <c r="Q769" s="1771"/>
      <c r="R769" s="1771"/>
      <c r="S769" s="1771"/>
      <c r="T769" s="1774" t="s">
        <v>1869</v>
      </c>
      <c r="U769" s="1775"/>
      <c r="V769" s="1775"/>
      <c r="W769" s="1776"/>
      <c r="X769" s="1643" t="s">
        <v>456</v>
      </c>
      <c r="Y769" s="1529"/>
      <c r="Z769" s="1529"/>
      <c r="AA769" s="1529"/>
      <c r="AB769" s="1530"/>
      <c r="AC769" s="1643" t="s">
        <v>287</v>
      </c>
      <c r="AD769" s="1529"/>
      <c r="AE769" s="1529"/>
      <c r="AF769" s="1529"/>
      <c r="AG769" s="153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531"/>
      <c r="K770" s="1532"/>
      <c r="L770" s="1532"/>
      <c r="M770" s="1532"/>
      <c r="N770" s="1533"/>
      <c r="O770" s="1771"/>
      <c r="P770" s="1771"/>
      <c r="Q770" s="1771"/>
      <c r="R770" s="1771"/>
      <c r="S770" s="1771"/>
      <c r="T770" s="1777"/>
      <c r="U770" s="1778"/>
      <c r="V770" s="1778"/>
      <c r="W770" s="1779"/>
      <c r="X770" s="1531"/>
      <c r="Y770" s="1532"/>
      <c r="Z770" s="1532"/>
      <c r="AA770" s="1532"/>
      <c r="AB770" s="1533"/>
      <c r="AC770" s="1531"/>
      <c r="AD770" s="1532"/>
      <c r="AE770" s="1532"/>
      <c r="AF770" s="1532"/>
      <c r="AG770" s="153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531"/>
      <c r="K771" s="1532"/>
      <c r="L771" s="1532"/>
      <c r="M771" s="1532"/>
      <c r="N771" s="1533"/>
      <c r="O771" s="1771"/>
      <c r="P771" s="1771"/>
      <c r="Q771" s="1771"/>
      <c r="R771" s="1771"/>
      <c r="S771" s="1771"/>
      <c r="T771" s="1777"/>
      <c r="U771" s="1778"/>
      <c r="V771" s="1778"/>
      <c r="W771" s="1779"/>
      <c r="X771" s="1531"/>
      <c r="Y771" s="1532"/>
      <c r="Z771" s="1532"/>
      <c r="AA771" s="1532"/>
      <c r="AB771" s="1533"/>
      <c r="AC771" s="1531"/>
      <c r="AD771" s="1532"/>
      <c r="AE771" s="1532"/>
      <c r="AF771" s="1532"/>
      <c r="AG771" s="153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534"/>
      <c r="K772" s="1535"/>
      <c r="L772" s="1535"/>
      <c r="M772" s="1535"/>
      <c r="N772" s="1536"/>
      <c r="O772" s="1771"/>
      <c r="P772" s="1771"/>
      <c r="Q772" s="1771"/>
      <c r="R772" s="1771"/>
      <c r="S772" s="1771"/>
      <c r="T772" s="1780"/>
      <c r="U772" s="1781"/>
      <c r="V772" s="1781"/>
      <c r="W772" s="1782"/>
      <c r="X772" s="1534"/>
      <c r="Y772" s="1535"/>
      <c r="Z772" s="1535"/>
      <c r="AA772" s="1535"/>
      <c r="AB772" s="1536"/>
      <c r="AC772" s="1534"/>
      <c r="AD772" s="1535"/>
      <c r="AE772" s="1535"/>
      <c r="AF772" s="1535"/>
      <c r="AG772" s="153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429" t="s">
        <v>163</v>
      </c>
      <c r="K773" s="1430"/>
      <c r="L773" s="1430"/>
      <c r="M773" s="1430"/>
      <c r="N773" s="1431"/>
      <c r="O773" s="1664">
        <v>1</v>
      </c>
      <c r="P773" s="1664"/>
      <c r="Q773" s="1664"/>
      <c r="R773" s="1664"/>
      <c r="S773" s="1664"/>
      <c r="T773" s="1426">
        <v>1150</v>
      </c>
      <c r="U773" s="1427"/>
      <c r="V773" s="1427"/>
      <c r="W773" s="1428"/>
      <c r="X773" s="1435"/>
      <c r="Y773" s="1436"/>
      <c r="Z773" s="1436"/>
      <c r="AA773" s="1436"/>
      <c r="AB773" s="1437"/>
      <c r="AC773" s="1417">
        <f>X773*O773</f>
        <v>0</v>
      </c>
      <c r="AD773" s="1418"/>
      <c r="AE773" s="1418"/>
      <c r="AF773" s="1418"/>
      <c r="AG773" s="141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429"/>
      <c r="K774" s="1430"/>
      <c r="L774" s="1430"/>
      <c r="M774" s="1430"/>
      <c r="N774" s="1431"/>
      <c r="O774" s="1664"/>
      <c r="P774" s="1664"/>
      <c r="Q774" s="1664"/>
      <c r="R774" s="1664"/>
      <c r="S774" s="1664"/>
      <c r="T774" s="1426"/>
      <c r="U774" s="1427"/>
      <c r="V774" s="1427"/>
      <c r="W774" s="1428"/>
      <c r="X774" s="1435"/>
      <c r="Y774" s="1436"/>
      <c r="Z774" s="1436"/>
      <c r="AA774" s="1436"/>
      <c r="AB774" s="1437"/>
      <c r="AC774" s="1417">
        <f>X774*O774</f>
        <v>0</v>
      </c>
      <c r="AD774" s="1418"/>
      <c r="AE774" s="1418"/>
      <c r="AF774" s="1418"/>
      <c r="AG774" s="141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429"/>
      <c r="K775" s="1430"/>
      <c r="L775" s="1430"/>
      <c r="M775" s="1430"/>
      <c r="N775" s="1431"/>
      <c r="O775" s="1664"/>
      <c r="P775" s="1664"/>
      <c r="Q775" s="1664"/>
      <c r="R775" s="1664"/>
      <c r="S775" s="1664"/>
      <c r="T775" s="1426"/>
      <c r="U775" s="1427"/>
      <c r="V775" s="1427"/>
      <c r="W775" s="1428"/>
      <c r="X775" s="1435"/>
      <c r="Y775" s="1436"/>
      <c r="Z775" s="1436"/>
      <c r="AA775" s="1436"/>
      <c r="AB775" s="1437"/>
      <c r="AC775" s="1417">
        <f>X775*O775</f>
        <v>0</v>
      </c>
      <c r="AD775" s="1418"/>
      <c r="AE775" s="1418"/>
      <c r="AF775" s="1418"/>
      <c r="AG775" s="141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429"/>
      <c r="K776" s="1430"/>
      <c r="L776" s="1430"/>
      <c r="M776" s="1430"/>
      <c r="N776" s="1431"/>
      <c r="O776" s="1664"/>
      <c r="P776" s="1664"/>
      <c r="Q776" s="1664"/>
      <c r="R776" s="1664"/>
      <c r="S776" s="1664"/>
      <c r="T776" s="1426"/>
      <c r="U776" s="1427"/>
      <c r="V776" s="1427"/>
      <c r="W776" s="1428"/>
      <c r="X776" s="1435"/>
      <c r="Y776" s="1436"/>
      <c r="Z776" s="1436"/>
      <c r="AA776" s="1436"/>
      <c r="AB776" s="1437"/>
      <c r="AC776" s="1417">
        <f>X776*O776</f>
        <v>0</v>
      </c>
      <c r="AD776" s="1418"/>
      <c r="AE776" s="1418"/>
      <c r="AF776" s="1418"/>
      <c r="AG776" s="141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76" t="s">
        <v>125</v>
      </c>
      <c r="K777" s="1677"/>
      <c r="L777" s="1677"/>
      <c r="M777" s="1677"/>
      <c r="N777" s="1678"/>
      <c r="O777" s="1565">
        <f>SUM(O773:S776)</f>
        <v>1</v>
      </c>
      <c r="P777" s="1566"/>
      <c r="Q777" s="1566"/>
      <c r="R777" s="1566"/>
      <c r="S777" s="1567"/>
      <c r="X777" s="1676" t="s">
        <v>124</v>
      </c>
      <c r="Y777" s="1677"/>
      <c r="Z777" s="1677"/>
      <c r="AA777" s="1677"/>
      <c r="AB777" s="1678"/>
      <c r="AC777" s="1417">
        <f>SUM(AC773:AG776)</f>
        <v>0</v>
      </c>
      <c r="AD777" s="1418"/>
      <c r="AE777" s="1418"/>
      <c r="AF777" s="1418"/>
      <c r="AG777" s="141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82" t="s">
        <v>678</v>
      </c>
      <c r="K779" s="168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643" t="s">
        <v>390</v>
      </c>
      <c r="K783" s="1529"/>
      <c r="L783" s="1529"/>
      <c r="M783" s="1529"/>
      <c r="N783" s="1530"/>
      <c r="O783" s="1771" t="s">
        <v>286</v>
      </c>
      <c r="P783" s="1771"/>
      <c r="Q783" s="1771"/>
      <c r="R783" s="1771"/>
      <c r="S783" s="1771"/>
      <c r="T783" s="1774" t="s">
        <v>1869</v>
      </c>
      <c r="U783" s="1775"/>
      <c r="V783" s="1775"/>
      <c r="W783" s="1776"/>
      <c r="X783" s="1643" t="s">
        <v>456</v>
      </c>
      <c r="Y783" s="1529"/>
      <c r="Z783" s="1529"/>
      <c r="AA783" s="1529"/>
      <c r="AB783" s="1530"/>
      <c r="AC783" s="1643" t="s">
        <v>287</v>
      </c>
      <c r="AD783" s="1529"/>
      <c r="AE783" s="1529"/>
      <c r="AF783" s="1529"/>
      <c r="AG783" s="153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531"/>
      <c r="K784" s="1532"/>
      <c r="L784" s="1532"/>
      <c r="M784" s="1532"/>
      <c r="N784" s="1533"/>
      <c r="O784" s="1771"/>
      <c r="P784" s="1771"/>
      <c r="Q784" s="1771"/>
      <c r="R784" s="1771"/>
      <c r="S784" s="1771"/>
      <c r="T784" s="1777"/>
      <c r="U784" s="1778"/>
      <c r="V784" s="1778"/>
      <c r="W784" s="1779"/>
      <c r="X784" s="1531"/>
      <c r="Y784" s="1532"/>
      <c r="Z784" s="1532"/>
      <c r="AA784" s="1532"/>
      <c r="AB784" s="1533"/>
      <c r="AC784" s="1531"/>
      <c r="AD784" s="1532"/>
      <c r="AE784" s="1532"/>
      <c r="AF784" s="1532"/>
      <c r="AG784" s="153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531"/>
      <c r="K785" s="1532"/>
      <c r="L785" s="1532"/>
      <c r="M785" s="1532"/>
      <c r="N785" s="1533"/>
      <c r="O785" s="1771"/>
      <c r="P785" s="1771"/>
      <c r="Q785" s="1771"/>
      <c r="R785" s="1771"/>
      <c r="S785" s="1771"/>
      <c r="T785" s="1777"/>
      <c r="U785" s="1778"/>
      <c r="V785" s="1778"/>
      <c r="W785" s="1779"/>
      <c r="X785" s="1531"/>
      <c r="Y785" s="1532"/>
      <c r="Z785" s="1532"/>
      <c r="AA785" s="1532"/>
      <c r="AB785" s="1533"/>
      <c r="AC785" s="1531"/>
      <c r="AD785" s="1532"/>
      <c r="AE785" s="1532"/>
      <c r="AF785" s="1532"/>
      <c r="AG785" s="153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534"/>
      <c r="K786" s="1535"/>
      <c r="L786" s="1535"/>
      <c r="M786" s="1535"/>
      <c r="N786" s="1536"/>
      <c r="O786" s="1771"/>
      <c r="P786" s="1771"/>
      <c r="Q786" s="1771"/>
      <c r="R786" s="1771"/>
      <c r="S786" s="1771"/>
      <c r="T786" s="1780"/>
      <c r="U786" s="1781"/>
      <c r="V786" s="1781"/>
      <c r="W786" s="1782"/>
      <c r="X786" s="1534"/>
      <c r="Y786" s="1535"/>
      <c r="Z786" s="1535"/>
      <c r="AA786" s="1535"/>
      <c r="AB786" s="1536"/>
      <c r="AC786" s="1534"/>
      <c r="AD786" s="1535"/>
      <c r="AE786" s="1535"/>
      <c r="AF786" s="1535"/>
      <c r="AG786" s="153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429"/>
      <c r="K787" s="1430"/>
      <c r="L787" s="1430"/>
      <c r="M787" s="1430"/>
      <c r="N787" s="1431"/>
      <c r="O787" s="1664"/>
      <c r="P787" s="1664"/>
      <c r="Q787" s="1664"/>
      <c r="R787" s="1664"/>
      <c r="S787" s="1664"/>
      <c r="T787" s="1426"/>
      <c r="U787" s="1427"/>
      <c r="V787" s="1427"/>
      <c r="W787" s="1428"/>
      <c r="X787" s="1435"/>
      <c r="Y787" s="1436"/>
      <c r="Z787" s="1436"/>
      <c r="AA787" s="1436"/>
      <c r="AB787" s="1437"/>
      <c r="AC787" s="1417">
        <f t="shared" ref="AC787:AC796" si="62">X787*O787</f>
        <v>0</v>
      </c>
      <c r="AD787" s="1418"/>
      <c r="AE787" s="1418"/>
      <c r="AF787" s="1418"/>
      <c r="AG787" s="14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429"/>
      <c r="K788" s="1430"/>
      <c r="L788" s="1430"/>
      <c r="M788" s="1430"/>
      <c r="N788" s="1431"/>
      <c r="O788" s="1664"/>
      <c r="P788" s="1664"/>
      <c r="Q788" s="1664"/>
      <c r="R788" s="1664"/>
      <c r="S788" s="1664"/>
      <c r="T788" s="1426"/>
      <c r="U788" s="1427"/>
      <c r="V788" s="1427"/>
      <c r="W788" s="1428"/>
      <c r="X788" s="1435"/>
      <c r="Y788" s="1436"/>
      <c r="Z788" s="1436"/>
      <c r="AA788" s="1436"/>
      <c r="AB788" s="1437"/>
      <c r="AC788" s="1417">
        <f t="shared" si="62"/>
        <v>0</v>
      </c>
      <c r="AD788" s="1418"/>
      <c r="AE788" s="1418"/>
      <c r="AF788" s="1418"/>
      <c r="AG788" s="14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429"/>
      <c r="K789" s="1430"/>
      <c r="L789" s="1430"/>
      <c r="M789" s="1430"/>
      <c r="N789" s="1431"/>
      <c r="O789" s="1664"/>
      <c r="P789" s="1664"/>
      <c r="Q789" s="1664"/>
      <c r="R789" s="1664"/>
      <c r="S789" s="1664"/>
      <c r="T789" s="1426"/>
      <c r="U789" s="1427"/>
      <c r="V789" s="1427"/>
      <c r="W789" s="1428"/>
      <c r="X789" s="1435"/>
      <c r="Y789" s="1436"/>
      <c r="Z789" s="1436"/>
      <c r="AA789" s="1436"/>
      <c r="AB789" s="1437"/>
      <c r="AC789" s="1417">
        <f t="shared" si="62"/>
        <v>0</v>
      </c>
      <c r="AD789" s="1418"/>
      <c r="AE789" s="1418"/>
      <c r="AF789" s="1418"/>
      <c r="AG789" s="14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429"/>
      <c r="K790" s="1430"/>
      <c r="L790" s="1430"/>
      <c r="M790" s="1430"/>
      <c r="N790" s="1431"/>
      <c r="O790" s="1664"/>
      <c r="P790" s="1664"/>
      <c r="Q790" s="1664"/>
      <c r="R790" s="1664"/>
      <c r="S790" s="1664"/>
      <c r="T790" s="1426"/>
      <c r="U790" s="1427"/>
      <c r="V790" s="1427"/>
      <c r="W790" s="1428"/>
      <c r="X790" s="1435"/>
      <c r="Y790" s="1436"/>
      <c r="Z790" s="1436"/>
      <c r="AA790" s="1436"/>
      <c r="AB790" s="1437"/>
      <c r="AC790" s="1417">
        <f t="shared" si="62"/>
        <v>0</v>
      </c>
      <c r="AD790" s="1418"/>
      <c r="AE790" s="1418"/>
      <c r="AF790" s="1418"/>
      <c r="AG790" s="14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429"/>
      <c r="K791" s="1430"/>
      <c r="L791" s="1430"/>
      <c r="M791" s="1430"/>
      <c r="N791" s="1431"/>
      <c r="O791" s="1664"/>
      <c r="P791" s="1664"/>
      <c r="Q791" s="1664"/>
      <c r="R791" s="1664"/>
      <c r="S791" s="1664"/>
      <c r="T791" s="1426"/>
      <c r="U791" s="1427"/>
      <c r="V791" s="1427"/>
      <c r="W791" s="1428"/>
      <c r="X791" s="1435"/>
      <c r="Y791" s="1436"/>
      <c r="Z791" s="1436"/>
      <c r="AA791" s="1436"/>
      <c r="AB791" s="1437"/>
      <c r="AC791" s="1417">
        <f t="shared" si="62"/>
        <v>0</v>
      </c>
      <c r="AD791" s="1418"/>
      <c r="AE791" s="1418"/>
      <c r="AF791" s="1418"/>
      <c r="AG791" s="14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429"/>
      <c r="K792" s="1430"/>
      <c r="L792" s="1430"/>
      <c r="M792" s="1430"/>
      <c r="N792" s="1431"/>
      <c r="O792" s="1664"/>
      <c r="P792" s="1664"/>
      <c r="Q792" s="1664"/>
      <c r="R792" s="1664"/>
      <c r="S792" s="1664"/>
      <c r="T792" s="1426"/>
      <c r="U792" s="1427"/>
      <c r="V792" s="1427"/>
      <c r="W792" s="1428"/>
      <c r="X792" s="1435"/>
      <c r="Y792" s="1436"/>
      <c r="Z792" s="1436"/>
      <c r="AA792" s="1436"/>
      <c r="AB792" s="1437"/>
      <c r="AC792" s="1417">
        <f t="shared" si="62"/>
        <v>0</v>
      </c>
      <c r="AD792" s="1418"/>
      <c r="AE792" s="1418"/>
      <c r="AF792" s="1418"/>
      <c r="AG792" s="14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429"/>
      <c r="K793" s="1430"/>
      <c r="L793" s="1430"/>
      <c r="M793" s="1430"/>
      <c r="N793" s="1431"/>
      <c r="O793" s="1664"/>
      <c r="P793" s="1664"/>
      <c r="Q793" s="1664"/>
      <c r="R793" s="1664"/>
      <c r="S793" s="1664"/>
      <c r="T793" s="1426"/>
      <c r="U793" s="1427"/>
      <c r="V793" s="1427"/>
      <c r="W793" s="1428"/>
      <c r="X793" s="1435"/>
      <c r="Y793" s="1436"/>
      <c r="Z793" s="1436"/>
      <c r="AA793" s="1436"/>
      <c r="AB793" s="1437"/>
      <c r="AC793" s="1417">
        <f t="shared" si="62"/>
        <v>0</v>
      </c>
      <c r="AD793" s="1418"/>
      <c r="AE793" s="1418"/>
      <c r="AF793" s="1418"/>
      <c r="AG793" s="14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429"/>
      <c r="K794" s="1430"/>
      <c r="L794" s="1430"/>
      <c r="M794" s="1430"/>
      <c r="N794" s="1431"/>
      <c r="O794" s="1664"/>
      <c r="P794" s="1664"/>
      <c r="Q794" s="1664"/>
      <c r="R794" s="1664"/>
      <c r="S794" s="1664"/>
      <c r="T794" s="1426"/>
      <c r="U794" s="1427"/>
      <c r="V794" s="1427"/>
      <c r="W794" s="1428"/>
      <c r="X794" s="1435"/>
      <c r="Y794" s="1436"/>
      <c r="Z794" s="1436"/>
      <c r="AA794" s="1436"/>
      <c r="AB794" s="1437"/>
      <c r="AC794" s="1417">
        <f t="shared" si="62"/>
        <v>0</v>
      </c>
      <c r="AD794" s="1418"/>
      <c r="AE794" s="1418"/>
      <c r="AF794" s="1418"/>
      <c r="AG794" s="14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429"/>
      <c r="K795" s="1430"/>
      <c r="L795" s="1430"/>
      <c r="M795" s="1430"/>
      <c r="N795" s="1431"/>
      <c r="O795" s="1664"/>
      <c r="P795" s="1664"/>
      <c r="Q795" s="1664"/>
      <c r="R795" s="1664"/>
      <c r="S795" s="1664"/>
      <c r="T795" s="1426"/>
      <c r="U795" s="1427"/>
      <c r="V795" s="1427"/>
      <c r="W795" s="1428"/>
      <c r="X795" s="1435"/>
      <c r="Y795" s="1436"/>
      <c r="Z795" s="1436"/>
      <c r="AA795" s="1436"/>
      <c r="AB795" s="1437"/>
      <c r="AC795" s="1417">
        <f t="shared" si="62"/>
        <v>0</v>
      </c>
      <c r="AD795" s="1418"/>
      <c r="AE795" s="1418"/>
      <c r="AF795" s="1418"/>
      <c r="AG795" s="14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429"/>
      <c r="K796" s="1430"/>
      <c r="L796" s="1430"/>
      <c r="M796" s="1430"/>
      <c r="N796" s="1431"/>
      <c r="O796" s="1664"/>
      <c r="P796" s="1664"/>
      <c r="Q796" s="1664"/>
      <c r="R796" s="1664"/>
      <c r="S796" s="1664"/>
      <c r="T796" s="1426"/>
      <c r="U796" s="1427"/>
      <c r="V796" s="1427"/>
      <c r="W796" s="1428"/>
      <c r="X796" s="1435"/>
      <c r="Y796" s="1436"/>
      <c r="Z796" s="1436"/>
      <c r="AA796" s="1436"/>
      <c r="AB796" s="1437"/>
      <c r="AC796" s="1417">
        <f t="shared" si="62"/>
        <v>0</v>
      </c>
      <c r="AD796" s="1418"/>
      <c r="AE796" s="1418"/>
      <c r="AF796" s="1418"/>
      <c r="AG796" s="141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8" t="s">
        <v>478</v>
      </c>
      <c r="BO796" s="1689"/>
      <c r="BP796" s="3"/>
      <c r="BQ796" s="3"/>
      <c r="BR796" s="3"/>
      <c r="BS796" s="14" t="s">
        <v>643</v>
      </c>
      <c r="BT796" s="14"/>
      <c r="BU796" s="14"/>
      <c r="BV796" s="14"/>
      <c r="BW796" s="14"/>
      <c r="BX796" s="14"/>
      <c r="BY796" s="14"/>
      <c r="BZ796" s="14"/>
      <c r="CA796" s="14"/>
      <c r="CB796" s="1685" t="str">
        <f>T189</f>
        <v>Santa Clara</v>
      </c>
      <c r="CC796" s="1686"/>
      <c r="CD796" s="1686"/>
      <c r="CE796" s="1686"/>
      <c r="CF796" s="1686"/>
      <c r="CG796" s="1686"/>
      <c r="CH796" s="168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76" t="s">
        <v>125</v>
      </c>
      <c r="K797" s="1677"/>
      <c r="L797" s="1677"/>
      <c r="M797" s="1677"/>
      <c r="N797" s="1678"/>
      <c r="O797" s="1543">
        <f>SUM(O787:S796)</f>
        <v>0</v>
      </c>
      <c r="P797" s="1543"/>
      <c r="Q797" s="1543"/>
      <c r="R797" s="1543"/>
      <c r="S797" s="1543"/>
      <c r="T797"/>
      <c r="U797"/>
      <c r="V797"/>
      <c r="W797"/>
      <c r="X797" s="937" t="s">
        <v>124</v>
      </c>
      <c r="Y797" s="11"/>
      <c r="Z797" s="11"/>
      <c r="AA797" s="11"/>
      <c r="AB797" s="944"/>
      <c r="AC797" s="1417">
        <f>SUM(AC787:AG796)</f>
        <v>0</v>
      </c>
      <c r="AD797" s="1418"/>
      <c r="AE797" s="1418"/>
      <c r="AF797" s="1418"/>
      <c r="AG797" s="141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84" t="str">
        <f>IF(O797&lt;&gt;AG438,"! Total market rate units in the Unit Mix Table above does not match the number of  market rate units on row #"&amp;TEXT(ROW(D438),"#"),"")</f>
        <v/>
      </c>
      <c r="D798" s="1484"/>
      <c r="E798" s="1484"/>
      <c r="F798" s="1484"/>
      <c r="G798" s="1484"/>
      <c r="H798" s="1484"/>
      <c r="I798" s="1484"/>
      <c r="J798" s="1484"/>
      <c r="K798" s="1484"/>
      <c r="L798" s="1484"/>
      <c r="M798" s="1484"/>
      <c r="N798" s="1484"/>
      <c r="O798" s="1484"/>
      <c r="P798" s="1484"/>
      <c r="Q798" s="1484"/>
      <c r="R798" s="1484"/>
      <c r="S798" s="1484"/>
      <c r="T798" s="1484"/>
      <c r="U798" s="1484"/>
      <c r="V798" s="1484"/>
      <c r="W798" s="1484"/>
      <c r="X798" s="1484"/>
      <c r="Y798" s="1484"/>
      <c r="Z798" s="1484"/>
      <c r="AA798" s="1484"/>
      <c r="AB798" s="1484"/>
      <c r="AC798" s="1484"/>
      <c r="AD798" s="1484"/>
      <c r="AE798" s="1484"/>
      <c r="AF798" s="1484"/>
      <c r="AG798" s="1484"/>
      <c r="AH798" s="1484"/>
      <c r="AI798" s="1484"/>
      <c r="AJ798" s="1484"/>
      <c r="AK798" s="1484"/>
      <c r="AL798" s="1484"/>
      <c r="AM798" s="1484"/>
      <c r="AN798" s="148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84"/>
      <c r="D799" s="1484"/>
      <c r="E799" s="1484"/>
      <c r="F799" s="1484"/>
      <c r="G799" s="1484"/>
      <c r="H799" s="1484"/>
      <c r="I799" s="1484"/>
      <c r="J799" s="1484"/>
      <c r="K799" s="1484"/>
      <c r="L799" s="1484"/>
      <c r="M799" s="1484"/>
      <c r="N799" s="1484"/>
      <c r="O799" s="1484"/>
      <c r="P799" s="1484"/>
      <c r="Q799" s="1484"/>
      <c r="R799" s="1484"/>
      <c r="S799" s="1484"/>
      <c r="T799" s="1484"/>
      <c r="U799" s="1484"/>
      <c r="V799" s="1484"/>
      <c r="W799" s="1484"/>
      <c r="X799" s="1484"/>
      <c r="Y799" s="1484"/>
      <c r="Z799" s="1484"/>
      <c r="AA799" s="1484"/>
      <c r="AB799" s="1484"/>
      <c r="AC799" s="1484"/>
      <c r="AD799" s="1484"/>
      <c r="AE799" s="1484"/>
      <c r="AF799" s="1484"/>
      <c r="AG799" s="1484"/>
      <c r="AH799" s="1484"/>
      <c r="AI799" s="1484"/>
      <c r="AJ799" s="1484"/>
      <c r="AK799" s="1484"/>
      <c r="AL799" s="1484"/>
      <c r="AM799" s="1484"/>
      <c r="AN799" s="148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63">
        <f>O753+AC777+AC797</f>
        <v>273928</v>
      </c>
      <c r="Z800" s="1763"/>
      <c r="AA800" s="1763"/>
      <c r="AB800" s="1763"/>
      <c r="AC800" s="176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3">
        <f>(O753+AC777+AC797)*12</f>
        <v>3287136</v>
      </c>
      <c r="Z801" s="1763"/>
      <c r="AA801" s="1763"/>
      <c r="AB801" s="1763"/>
      <c r="AC801" s="176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45">
        <v>159</v>
      </c>
      <c r="AA806" s="1646"/>
      <c r="AB806" s="1646"/>
      <c r="AC806" s="1646"/>
      <c r="AD806" s="1646"/>
      <c r="AE806" s="164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73">
        <v>20</v>
      </c>
      <c r="AA807" s="1646"/>
      <c r="AB807" s="1646"/>
      <c r="AC807" s="1646"/>
      <c r="AD807" s="1646"/>
      <c r="AE807" s="164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0">
        <v>52871</v>
      </c>
      <c r="AA808" s="1374"/>
      <c r="AB808" s="1374"/>
      <c r="AC808" s="1374"/>
      <c r="AD808" s="1374"/>
      <c r="AE808" s="137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14">
        <f>'Subsidy Contract Calculation'!J40</f>
        <v>2740224</v>
      </c>
      <c r="AA809" s="1415"/>
      <c r="AB809" s="1415"/>
      <c r="AC809" s="1415"/>
      <c r="AD809" s="1415"/>
      <c r="AE809" s="14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51"/>
      <c r="AA813" s="1452"/>
      <c r="AB813" s="1452"/>
      <c r="AC813" s="1452"/>
      <c r="AD813" s="1452"/>
      <c r="AE813" s="145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51"/>
      <c r="AA814" s="1452"/>
      <c r="AB814" s="1452"/>
      <c r="AC814" s="1452"/>
      <c r="AD814" s="1452"/>
      <c r="AE814" s="145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51"/>
      <c r="AA815" s="1452"/>
      <c r="AB815" s="1452"/>
      <c r="AC815" s="1452"/>
      <c r="AD815" s="1452"/>
      <c r="AE815" s="145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65" t="s">
        <v>2721</v>
      </c>
      <c r="Q816" s="1666"/>
      <c r="R816" s="1666"/>
      <c r="S816" s="1666"/>
      <c r="T816" s="1666"/>
      <c r="U816" s="1666"/>
      <c r="V816" s="1666"/>
      <c r="W816" s="1666"/>
      <c r="X816" s="1666"/>
      <c r="Y816" s="1667"/>
      <c r="Z816" s="1451">
        <v>12481</v>
      </c>
      <c r="AA816" s="1452"/>
      <c r="AB816" s="1452"/>
      <c r="AC816" s="1452"/>
      <c r="AD816" s="1452"/>
      <c r="AE816" s="145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14">
        <f>SUM(Z813:AE816)</f>
        <v>12481</v>
      </c>
      <c r="AA817" s="1415"/>
      <c r="AB817" s="1415"/>
      <c r="AC817" s="1415"/>
      <c r="AD817" s="1415"/>
      <c r="AE817" s="141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414">
        <f>Z817+Y801+Z809</f>
        <v>6039841</v>
      </c>
      <c r="AA818" s="1415"/>
      <c r="AB818" s="1415"/>
      <c r="AC818" s="1415"/>
      <c r="AD818" s="1415"/>
      <c r="AE818" s="141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8" t="s">
        <v>126</v>
      </c>
      <c r="N823" s="1638"/>
      <c r="O823" s="1638"/>
      <c r="P823" s="1783"/>
      <c r="Q823" s="1644" t="s">
        <v>291</v>
      </c>
      <c r="R823" s="1644"/>
      <c r="S823" s="1644"/>
      <c r="T823" s="1644"/>
      <c r="U823" s="1644" t="s">
        <v>292</v>
      </c>
      <c r="V823" s="1644"/>
      <c r="W823" s="1644"/>
      <c r="X823" s="1644"/>
      <c r="Y823" s="1644" t="s">
        <v>293</v>
      </c>
      <c r="Z823" s="1644"/>
      <c r="AA823" s="1644"/>
      <c r="AB823" s="1644"/>
      <c r="AC823" s="1644" t="s">
        <v>362</v>
      </c>
      <c r="AD823" s="1644"/>
      <c r="AE823" s="1644"/>
      <c r="AF823" s="1644"/>
      <c r="AG823" s="1784" t="s">
        <v>336</v>
      </c>
      <c r="AH823" s="1784"/>
      <c r="AI823" s="1784"/>
      <c r="AJ823" s="178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386"/>
      <c r="N824" s="1386"/>
      <c r="O824" s="1386"/>
      <c r="P824" s="1387"/>
      <c r="Q824" s="1644"/>
      <c r="R824" s="1644"/>
      <c r="S824" s="1644"/>
      <c r="T824" s="1644"/>
      <c r="U824" s="1644"/>
      <c r="V824" s="1644"/>
      <c r="W824" s="1644"/>
      <c r="X824" s="1644"/>
      <c r="Y824" s="1644"/>
      <c r="Z824" s="1644"/>
      <c r="AA824" s="1644"/>
      <c r="AB824" s="1644"/>
      <c r="AC824" s="1644"/>
      <c r="AD824" s="1644"/>
      <c r="AE824" s="1644"/>
      <c r="AF824" s="1644"/>
      <c r="AG824" s="1784"/>
      <c r="AH824" s="1784"/>
      <c r="AI824" s="1784"/>
      <c r="AJ824" s="178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53" t="s">
        <v>40</v>
      </c>
      <c r="D825" s="1488"/>
      <c r="E825" s="1488"/>
      <c r="F825" s="1488"/>
      <c r="G825" s="1488"/>
      <c r="H825" s="1488"/>
      <c r="I825" s="48"/>
      <c r="J825" s="48"/>
      <c r="K825" s="48"/>
      <c r="L825" s="49"/>
      <c r="M825" s="1457"/>
      <c r="N825" s="1457"/>
      <c r="O825" s="1457"/>
      <c r="P825" s="1457"/>
      <c r="Q825" s="1457"/>
      <c r="R825" s="1457"/>
      <c r="S825" s="1457"/>
      <c r="T825" s="1457"/>
      <c r="U825" s="1457"/>
      <c r="V825" s="1457"/>
      <c r="W825" s="1457"/>
      <c r="X825" s="1457"/>
      <c r="Y825" s="1457"/>
      <c r="Z825" s="1457"/>
      <c r="AA825" s="1457"/>
      <c r="AB825" s="1457"/>
      <c r="AC825" s="1562"/>
      <c r="AD825" s="1563"/>
      <c r="AE825" s="1563"/>
      <c r="AF825" s="1564"/>
      <c r="AG825" s="1562"/>
      <c r="AH825" s="1563"/>
      <c r="AI825" s="1563"/>
      <c r="AJ825" s="156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8" t="s">
        <v>41</v>
      </c>
      <c r="D826" s="1649"/>
      <c r="E826" s="1649"/>
      <c r="F826" s="1649"/>
      <c r="G826" s="1649"/>
      <c r="H826" s="1649"/>
      <c r="I826" s="5"/>
      <c r="J826" s="5"/>
      <c r="K826" s="5"/>
      <c r="L826" s="46"/>
      <c r="M826" s="1457"/>
      <c r="N826" s="1457"/>
      <c r="O826" s="1457"/>
      <c r="P826" s="1457"/>
      <c r="Q826" s="1457"/>
      <c r="R826" s="1457"/>
      <c r="S826" s="1457"/>
      <c r="T826" s="1457"/>
      <c r="U826" s="1457"/>
      <c r="V826" s="1457"/>
      <c r="W826" s="1457"/>
      <c r="X826" s="1457"/>
      <c r="Y826" s="1457"/>
      <c r="Z826" s="1457"/>
      <c r="AA826" s="1457"/>
      <c r="AB826" s="1457"/>
      <c r="AC826" s="1562"/>
      <c r="AD826" s="1563"/>
      <c r="AE826" s="1563"/>
      <c r="AF826" s="1564"/>
      <c r="AG826" s="1562"/>
      <c r="AH826" s="1563"/>
      <c r="AI826" s="1563"/>
      <c r="AJ826" s="156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8" t="s">
        <v>42</v>
      </c>
      <c r="D827" s="1649"/>
      <c r="E827" s="1649"/>
      <c r="F827" s="1649"/>
      <c r="G827" s="1649"/>
      <c r="H827" s="1649"/>
      <c r="I827" s="60"/>
      <c r="J827" s="60"/>
      <c r="K827" s="60"/>
      <c r="L827" s="61"/>
      <c r="M827" s="1457"/>
      <c r="N827" s="1457"/>
      <c r="O827" s="1457"/>
      <c r="P827" s="1457"/>
      <c r="Q827" s="1457"/>
      <c r="R827" s="1457"/>
      <c r="S827" s="1457"/>
      <c r="T827" s="1457"/>
      <c r="U827" s="1457"/>
      <c r="V827" s="1457"/>
      <c r="W827" s="1457"/>
      <c r="X827" s="1457"/>
      <c r="Y827" s="1457"/>
      <c r="Z827" s="1457"/>
      <c r="AA827" s="1457"/>
      <c r="AB827" s="1457"/>
      <c r="AC827" s="1562"/>
      <c r="AD827" s="1563"/>
      <c r="AE827" s="1563"/>
      <c r="AF827" s="1564"/>
      <c r="AG827" s="1562"/>
      <c r="AH827" s="1563"/>
      <c r="AI827" s="1563"/>
      <c r="AJ827" s="156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8" t="s">
        <v>772</v>
      </c>
      <c r="D828" s="1649"/>
      <c r="E828" s="1649"/>
      <c r="F828" s="1649"/>
      <c r="G828" s="1649"/>
      <c r="H828" s="1649"/>
      <c r="I828" s="60"/>
      <c r="J828" s="60"/>
      <c r="K828" s="60"/>
      <c r="L828" s="61"/>
      <c r="M828" s="1457"/>
      <c r="N828" s="1457"/>
      <c r="O828" s="1457"/>
      <c r="P828" s="1457"/>
      <c r="Q828" s="1457"/>
      <c r="R828" s="1457"/>
      <c r="S828" s="1457"/>
      <c r="T828" s="1457"/>
      <c r="U828" s="1457"/>
      <c r="V828" s="1457"/>
      <c r="W828" s="1457"/>
      <c r="X828" s="1457"/>
      <c r="Y828" s="1457"/>
      <c r="Z828" s="1457"/>
      <c r="AA828" s="1457"/>
      <c r="AB828" s="1457"/>
      <c r="AC828" s="1562"/>
      <c r="AD828" s="1563"/>
      <c r="AE828" s="1563"/>
      <c r="AF828" s="1564"/>
      <c r="AG828" s="1562"/>
      <c r="AH828" s="1563"/>
      <c r="AI828" s="1563"/>
      <c r="AJ828" s="156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8" t="s">
        <v>468</v>
      </c>
      <c r="D829" s="1649"/>
      <c r="E829" s="1649"/>
      <c r="F829" s="1649"/>
      <c r="G829" s="1649"/>
      <c r="H829" s="1649"/>
      <c r="I829" s="60"/>
      <c r="J829" s="60"/>
      <c r="K829" s="60"/>
      <c r="L829" s="61"/>
      <c r="M829" s="1457"/>
      <c r="N829" s="1457"/>
      <c r="O829" s="1457"/>
      <c r="P829" s="1457"/>
      <c r="Q829" s="1457">
        <v>16</v>
      </c>
      <c r="R829" s="1457"/>
      <c r="S829" s="1457"/>
      <c r="T829" s="1457"/>
      <c r="U829" s="1457">
        <v>25</v>
      </c>
      <c r="V829" s="1457"/>
      <c r="W829" s="1457"/>
      <c r="X829" s="1457"/>
      <c r="Y829" s="1457"/>
      <c r="Z829" s="1457"/>
      <c r="AA829" s="1457"/>
      <c r="AB829" s="1457"/>
      <c r="AC829" s="1562"/>
      <c r="AD829" s="1563"/>
      <c r="AE829" s="1563"/>
      <c r="AF829" s="1564"/>
      <c r="AG829" s="1562"/>
      <c r="AH829" s="1563"/>
      <c r="AI829" s="1563"/>
      <c r="AJ829" s="156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63" t="s">
        <v>793</v>
      </c>
      <c r="D830" s="1649"/>
      <c r="E830" s="1649"/>
      <c r="F830" s="1649"/>
      <c r="G830" s="1649"/>
      <c r="H830" s="1649"/>
      <c r="I830" s="60"/>
      <c r="J830" s="60"/>
      <c r="K830" s="60"/>
      <c r="L830" s="61"/>
      <c r="M830" s="1457"/>
      <c r="N830" s="1457"/>
      <c r="O830" s="1457"/>
      <c r="P830" s="1457"/>
      <c r="Q830" s="1457"/>
      <c r="R830" s="1457"/>
      <c r="S830" s="1457"/>
      <c r="T830" s="1457"/>
      <c r="U830" s="1457"/>
      <c r="V830" s="1457"/>
      <c r="W830" s="1457"/>
      <c r="X830" s="1457"/>
      <c r="Y830" s="1457"/>
      <c r="Z830" s="1457"/>
      <c r="AA830" s="1457"/>
      <c r="AB830" s="1457"/>
      <c r="AC830" s="1562"/>
      <c r="AD830" s="1563"/>
      <c r="AE830" s="1563"/>
      <c r="AF830" s="1564"/>
      <c r="AG830" s="1562"/>
      <c r="AH830" s="1563"/>
      <c r="AI830" s="1563"/>
      <c r="AJ830" s="156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65" t="s">
        <v>2677</v>
      </c>
      <c r="G831" s="1666"/>
      <c r="H831" s="1666"/>
      <c r="I831" s="1666"/>
      <c r="J831" s="1666"/>
      <c r="K831" s="1666"/>
      <c r="L831" s="1666"/>
      <c r="M831" s="1457"/>
      <c r="N831" s="1457"/>
      <c r="O831" s="1457"/>
      <c r="P831" s="1457"/>
      <c r="Q831" s="1457">
        <v>43</v>
      </c>
      <c r="R831" s="1457"/>
      <c r="S831" s="1457"/>
      <c r="T831" s="1457"/>
      <c r="U831" s="1457">
        <v>51</v>
      </c>
      <c r="V831" s="1457"/>
      <c r="W831" s="1457"/>
      <c r="X831" s="1457"/>
      <c r="Y831" s="1457"/>
      <c r="Z831" s="1457"/>
      <c r="AA831" s="1457"/>
      <c r="AB831" s="1457"/>
      <c r="AC831" s="1562"/>
      <c r="AD831" s="1563"/>
      <c r="AE831" s="1563"/>
      <c r="AF831" s="1564"/>
      <c r="AG831" s="1562"/>
      <c r="AH831" s="1563"/>
      <c r="AI831" s="1563"/>
      <c r="AJ831" s="156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76" t="s">
        <v>124</v>
      </c>
      <c r="D832" s="1677"/>
      <c r="E832" s="1677"/>
      <c r="F832" s="1677"/>
      <c r="G832" s="1677"/>
      <c r="H832" s="1677"/>
      <c r="I832" s="1677"/>
      <c r="J832" s="1677"/>
      <c r="K832" s="1677"/>
      <c r="L832" s="1678"/>
      <c r="M832" s="1762">
        <f>SUM(M825:P831)</f>
        <v>0</v>
      </c>
      <c r="N832" s="1762"/>
      <c r="O832" s="1762"/>
      <c r="P832" s="1762"/>
      <c r="Q832" s="1762">
        <f>SUM(Q825:T831)</f>
        <v>59</v>
      </c>
      <c r="R832" s="1762"/>
      <c r="S832" s="1762"/>
      <c r="T832" s="1762"/>
      <c r="U832" s="1762">
        <f>SUM(U825:X831)</f>
        <v>76</v>
      </c>
      <c r="V832" s="1762"/>
      <c r="W832" s="1762"/>
      <c r="X832" s="1762"/>
      <c r="Y832" s="1762">
        <f>SUM(Y825:AB831)</f>
        <v>0</v>
      </c>
      <c r="Z832" s="1762"/>
      <c r="AA832" s="1762"/>
      <c r="AB832" s="1762"/>
      <c r="AC832" s="1762">
        <f>SUM(AC825:AF831)</f>
        <v>0</v>
      </c>
      <c r="AD832" s="1762"/>
      <c r="AE832" s="1762"/>
      <c r="AF832" s="1762"/>
      <c r="AG832" s="1762">
        <f>SUM(AG825:AJ831)</f>
        <v>0</v>
      </c>
      <c r="AH832" s="1762"/>
      <c r="AI832" s="1762"/>
      <c r="AJ832" s="176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1" t="s">
        <v>2718</v>
      </c>
      <c r="D837" s="1692"/>
      <c r="E837" s="1692"/>
      <c r="F837" s="1692"/>
      <c r="G837" s="1692"/>
      <c r="H837" s="1692"/>
      <c r="I837" s="1692"/>
      <c r="J837" s="1692"/>
      <c r="K837" s="1692"/>
      <c r="L837" s="1692"/>
      <c r="M837" s="1692"/>
      <c r="N837" s="1692"/>
      <c r="O837" s="1692"/>
      <c r="P837" s="1692"/>
      <c r="Q837" s="1692"/>
      <c r="R837" s="1692"/>
      <c r="S837" s="1692"/>
      <c r="T837" s="1692"/>
      <c r="U837" s="1692"/>
      <c r="V837" s="1692"/>
      <c r="W837" s="1692"/>
      <c r="X837" s="1692"/>
      <c r="Y837" s="1692"/>
      <c r="Z837" s="1692"/>
      <c r="AA837" s="1692"/>
      <c r="AB837" s="1692"/>
      <c r="AC837" s="1692"/>
      <c r="AD837" s="1692"/>
      <c r="AE837" s="1692"/>
      <c r="AF837" s="1692"/>
      <c r="AG837" s="1692"/>
      <c r="AH837" s="1692"/>
      <c r="AI837" s="1692"/>
      <c r="AJ837" s="1693"/>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0">
        <f>ROUNDDOWN(BC939*2,2)</f>
        <v>0</v>
      </c>
      <c r="BJ841" s="1690"/>
      <c r="BK841" s="1690"/>
      <c r="BL841" s="1690"/>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409"/>
      <c r="X842" s="1409"/>
      <c r="Y842" s="1409"/>
      <c r="Z842" s="1409"/>
      <c r="AA842" s="1409"/>
      <c r="AB842" s="1409"/>
      <c r="AC842" s="140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409"/>
      <c r="X843" s="1409"/>
      <c r="Y843" s="1409"/>
      <c r="Z843" s="1409"/>
      <c r="AA843" s="1409"/>
      <c r="AB843" s="1409"/>
      <c r="AC843" s="1409"/>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409">
        <v>14000</v>
      </c>
      <c r="X844" s="1409"/>
      <c r="Y844" s="1409"/>
      <c r="Z844" s="1409"/>
      <c r="AA844" s="1409"/>
      <c r="AB844" s="1409"/>
      <c r="AC844" s="140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409">
        <v>11260</v>
      </c>
      <c r="X845" s="1409"/>
      <c r="Y845" s="1409"/>
      <c r="Z845" s="1409"/>
      <c r="AA845" s="1409"/>
      <c r="AB845" s="1409"/>
      <c r="AC845" s="140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65" t="s">
        <v>2681</v>
      </c>
      <c r="N846" s="1666"/>
      <c r="O846" s="1666"/>
      <c r="P846" s="1666"/>
      <c r="Q846" s="1666"/>
      <c r="R846" s="1666"/>
      <c r="S846" s="1666"/>
      <c r="T846" s="1666"/>
      <c r="U846" s="1666"/>
      <c r="V846" s="1667"/>
      <c r="W846" s="1409">
        <v>41738</v>
      </c>
      <c r="X846" s="1409"/>
      <c r="Y846" s="1409"/>
      <c r="Z846" s="1409"/>
      <c r="AA846" s="1409"/>
      <c r="AB846" s="1409"/>
      <c r="AC846" s="140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14">
        <f>SUM(W842:AC846)</f>
        <v>66998</v>
      </c>
      <c r="X847" s="1415"/>
      <c r="Y847" s="1415"/>
      <c r="Z847" s="1415"/>
      <c r="AA847" s="1415"/>
      <c r="AB847" s="1415"/>
      <c r="AC847" s="141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84"/>
      <c r="BH848" s="1684"/>
      <c r="BI848" s="1684"/>
      <c r="BJ848" s="1684"/>
      <c r="BK848" s="1684"/>
      <c r="BL848" s="168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76" t="s">
        <v>346</v>
      </c>
      <c r="K849" s="1677"/>
      <c r="L849" s="1677"/>
      <c r="M849" s="1677"/>
      <c r="N849" s="1677"/>
      <c r="O849" s="1677"/>
      <c r="P849" s="1677"/>
      <c r="Q849" s="1677"/>
      <c r="R849" s="1677"/>
      <c r="S849" s="1677"/>
      <c r="T849" s="1677"/>
      <c r="U849" s="1677"/>
      <c r="V849" s="1678"/>
      <c r="W849" s="1451">
        <v>117978</v>
      </c>
      <c r="X849" s="1452"/>
      <c r="Y849" s="1452"/>
      <c r="Z849" s="1452"/>
      <c r="AA849" s="1452"/>
      <c r="AB849" s="1452"/>
      <c r="AC849" s="1453"/>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413">
        <v>81500</v>
      </c>
      <c r="X851" s="1413"/>
      <c r="Y851" s="1413"/>
      <c r="Z851" s="1413"/>
      <c r="AA851" s="1413"/>
      <c r="AB851" s="1413"/>
      <c r="AC851" s="1413"/>
      <c r="AZ851" s="1767">
        <f>SUM(AZ818:AZ846)</f>
        <v>0</v>
      </c>
      <c r="BA851" s="176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413"/>
      <c r="X852" s="1413"/>
      <c r="Y852" s="1413"/>
      <c r="Z852" s="1413"/>
      <c r="AA852" s="1413"/>
      <c r="AB852" s="1413"/>
      <c r="AC852" s="141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413"/>
      <c r="X853" s="1413"/>
      <c r="Y853" s="1413"/>
      <c r="Z853" s="1413"/>
      <c r="AA853" s="1413"/>
      <c r="AB853" s="1413"/>
      <c r="AC853" s="141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413"/>
      <c r="X854" s="1413"/>
      <c r="Y854" s="1413"/>
      <c r="Z854" s="1413"/>
      <c r="AA854" s="1413"/>
      <c r="AB854" s="1413"/>
      <c r="AC854" s="141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7">
        <f>SUM(W851:AC854)</f>
        <v>81500</v>
      </c>
      <c r="X855" s="1757"/>
      <c r="Y855" s="1757"/>
      <c r="Z855" s="1757"/>
      <c r="AA855" s="1757"/>
      <c r="AB855" s="1757"/>
      <c r="AC855" s="175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79">
        <f>312000/2</f>
        <v>156000</v>
      </c>
      <c r="X857" s="1680"/>
      <c r="Y857" s="1680"/>
      <c r="Z857" s="1680"/>
      <c r="AA857" s="1680"/>
      <c r="AB857" s="1680"/>
      <c r="AC857" s="168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458"/>
      <c r="U858" s="1459"/>
      <c r="V858" s="1460"/>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79">
        <f>312000/2</f>
        <v>156000</v>
      </c>
      <c r="X859" s="1680"/>
      <c r="Y859" s="1680"/>
      <c r="Z859" s="1680"/>
      <c r="AA859" s="1680"/>
      <c r="AB859" s="1680"/>
      <c r="AC859" s="168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458"/>
      <c r="U860" s="1459"/>
      <c r="V860" s="1460"/>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65" t="s">
        <v>2683</v>
      </c>
      <c r="N861" s="1666"/>
      <c r="O861" s="1666"/>
      <c r="P861" s="1666"/>
      <c r="Q861" s="1666"/>
      <c r="R861" s="1666"/>
      <c r="S861" s="1666"/>
      <c r="T861" s="1666"/>
      <c r="U861" s="1666"/>
      <c r="V861" s="1667"/>
      <c r="W861" s="1679">
        <v>16000</v>
      </c>
      <c r="X861" s="1680"/>
      <c r="Y861" s="1680"/>
      <c r="Z861" s="1680"/>
      <c r="AA861" s="1680"/>
      <c r="AB861" s="1680"/>
      <c r="AC861" s="168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410">
        <f>SUM(W857:AC861)</f>
        <v>328000</v>
      </c>
      <c r="X862" s="1411"/>
      <c r="Y862" s="1411"/>
      <c r="Z862" s="1411"/>
      <c r="AA862" s="1411"/>
      <c r="AB862" s="1411"/>
      <c r="AC862" s="141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79">
        <v>140000</v>
      </c>
      <c r="X863" s="1680"/>
      <c r="Y863" s="1680"/>
      <c r="Z863" s="1680"/>
      <c r="AA863" s="1680"/>
      <c r="AB863" s="1680"/>
      <c r="AC863" s="168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409">
        <v>10000</v>
      </c>
      <c r="X865" s="1409"/>
      <c r="Y865" s="1409"/>
      <c r="Z865" s="1409"/>
      <c r="AA865" s="1409"/>
      <c r="AB865" s="1409"/>
      <c r="AC865" s="140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409">
        <v>15000</v>
      </c>
      <c r="X866" s="1409"/>
      <c r="Y866" s="1409"/>
      <c r="Z866" s="1409"/>
      <c r="AA866" s="1409"/>
      <c r="AB866" s="1409"/>
      <c r="AC866" s="140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409">
        <v>58670</v>
      </c>
      <c r="X867" s="1409"/>
      <c r="Y867" s="1409"/>
      <c r="Z867" s="1409"/>
      <c r="AA867" s="1409"/>
      <c r="AB867" s="1409"/>
      <c r="AC867" s="140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409"/>
      <c r="X868" s="1409"/>
      <c r="Y868" s="1409"/>
      <c r="Z868" s="1409"/>
      <c r="AA868" s="1409"/>
      <c r="AB868" s="1409"/>
      <c r="AC868" s="140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409">
        <v>56000</v>
      </c>
      <c r="X869" s="1409"/>
      <c r="Y869" s="1409"/>
      <c r="Z869" s="1409"/>
      <c r="AA869" s="1409"/>
      <c r="AB869" s="1409"/>
      <c r="AC869" s="140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409">
        <v>0</v>
      </c>
      <c r="X870" s="1409"/>
      <c r="Y870" s="1409"/>
      <c r="Z870" s="1409"/>
      <c r="AA870" s="1409"/>
      <c r="AB870" s="1409"/>
      <c r="AC870" s="140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65" t="s">
        <v>2682</v>
      </c>
      <c r="N871" s="1666"/>
      <c r="O871" s="1666"/>
      <c r="P871" s="1666"/>
      <c r="Q871" s="1666"/>
      <c r="R871" s="1666"/>
      <c r="S871" s="1666"/>
      <c r="T871" s="1666"/>
      <c r="U871" s="1666"/>
      <c r="V871" s="1667"/>
      <c r="W871" s="1409">
        <v>25000</v>
      </c>
      <c r="X871" s="1409"/>
      <c r="Y871" s="1409"/>
      <c r="Z871" s="1409"/>
      <c r="AA871" s="1409"/>
      <c r="AB871" s="1409"/>
      <c r="AC871" s="140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63">
        <f>SUM(W865:AC871)</f>
        <v>164670</v>
      </c>
      <c r="X872" s="1763"/>
      <c r="Y872" s="1763"/>
      <c r="Z872" s="1763"/>
      <c r="AA872" s="1763"/>
      <c r="AB872" s="1763"/>
      <c r="AC872" s="176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65" t="s">
        <v>2684</v>
      </c>
      <c r="N874" s="1666"/>
      <c r="O874" s="1666"/>
      <c r="P874" s="1666"/>
      <c r="Q874" s="1666"/>
      <c r="R874" s="1666"/>
      <c r="S874" s="1666"/>
      <c r="T874" s="1666"/>
      <c r="U874" s="1666"/>
      <c r="V874" s="1667"/>
      <c r="W874" s="1451">
        <v>10260</v>
      </c>
      <c r="X874" s="1452"/>
      <c r="Y874" s="1452"/>
      <c r="Z874" s="1452"/>
      <c r="AA874" s="1452"/>
      <c r="AB874" s="1452"/>
      <c r="AC874" s="145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65" t="s">
        <v>2685</v>
      </c>
      <c r="N875" s="1666"/>
      <c r="O875" s="1666"/>
      <c r="P875" s="1666"/>
      <c r="Q875" s="1666"/>
      <c r="R875" s="1666"/>
      <c r="S875" s="1666"/>
      <c r="T875" s="1666"/>
      <c r="U875" s="1666"/>
      <c r="V875" s="1667"/>
      <c r="W875" s="1451">
        <v>72669</v>
      </c>
      <c r="X875" s="1452"/>
      <c r="Y875" s="1452"/>
      <c r="Z875" s="1452"/>
      <c r="AA875" s="1452"/>
      <c r="AB875" s="1452"/>
      <c r="AC875" s="145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65" t="s">
        <v>2686</v>
      </c>
      <c r="N876" s="1666"/>
      <c r="O876" s="1666"/>
      <c r="P876" s="1666"/>
      <c r="Q876" s="1666"/>
      <c r="R876" s="1666"/>
      <c r="S876" s="1666"/>
      <c r="T876" s="1666"/>
      <c r="U876" s="1666"/>
      <c r="V876" s="1667"/>
      <c r="W876" s="1451">
        <v>33480</v>
      </c>
      <c r="X876" s="1452"/>
      <c r="Y876" s="1452"/>
      <c r="Z876" s="1452"/>
      <c r="AA876" s="1452"/>
      <c r="AB876" s="1452"/>
      <c r="AC876" s="145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65" t="s">
        <v>2687</v>
      </c>
      <c r="N877" s="1666"/>
      <c r="O877" s="1666"/>
      <c r="P877" s="1666"/>
      <c r="Q877" s="1666"/>
      <c r="R877" s="1666"/>
      <c r="S877" s="1666"/>
      <c r="T877" s="1666"/>
      <c r="U877" s="1666"/>
      <c r="V877" s="1667"/>
      <c r="W877" s="1451">
        <f>32868+28800</f>
        <v>61668</v>
      </c>
      <c r="X877" s="1452"/>
      <c r="Y877" s="1452"/>
      <c r="Z877" s="1452"/>
      <c r="AA877" s="1452"/>
      <c r="AB877" s="1452"/>
      <c r="AC877" s="145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65"/>
      <c r="N878" s="1666"/>
      <c r="O878" s="1666"/>
      <c r="P878" s="1666"/>
      <c r="Q878" s="1666"/>
      <c r="R878" s="1666"/>
      <c r="S878" s="1666"/>
      <c r="T878" s="1666"/>
      <c r="U878" s="1666"/>
      <c r="V878" s="1667"/>
      <c r="W878" s="1451"/>
      <c r="X878" s="1452"/>
      <c r="Y878" s="1452"/>
      <c r="Z878" s="1452"/>
      <c r="AA878" s="1452"/>
      <c r="AB878" s="1452"/>
      <c r="AC878" s="145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14">
        <f>SUM(W874:AC878)</f>
        <v>178077</v>
      </c>
      <c r="X879" s="1415"/>
      <c r="Y879" s="1415"/>
      <c r="Z879" s="1415"/>
      <c r="AA879" s="1415"/>
      <c r="AB879" s="1415"/>
      <c r="AC879" s="141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15">
        <f>W847+W855+W862+W863+W872+W879+W849</f>
        <v>1077223</v>
      </c>
      <c r="AD883" s="1415"/>
      <c r="AE883" s="1415"/>
      <c r="AF883" s="1415"/>
      <c r="AG883" s="1415"/>
      <c r="AH883" s="141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64">
        <f>O797+O777+G753</f>
        <v>160</v>
      </c>
      <c r="AD884" s="1764"/>
      <c r="AE884" s="1764"/>
      <c r="AF884" s="1764"/>
      <c r="AG884" s="1764"/>
      <c r="AH884" s="176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4" t="s">
        <v>32</v>
      </c>
      <c r="F885" s="1674"/>
      <c r="G885" s="1674"/>
      <c r="H885" s="1674"/>
      <c r="I885" s="1674"/>
      <c r="J885" s="1674"/>
      <c r="K885" s="1674"/>
      <c r="L885" s="1674"/>
      <c r="M885" s="1674"/>
      <c r="N885" s="1674"/>
      <c r="O885" s="1674"/>
      <c r="P885" s="1674"/>
      <c r="Q885" s="1674"/>
      <c r="R885" s="1674"/>
      <c r="S885" s="1674"/>
      <c r="T885" s="1674"/>
      <c r="U885" s="1674"/>
      <c r="V885" s="1674"/>
      <c r="W885" s="1674"/>
      <c r="X885" s="1674"/>
      <c r="Y885" s="1674"/>
      <c r="Z885" s="1674"/>
      <c r="AA885" s="1674"/>
      <c r="AB885" s="1675"/>
      <c r="AC885" s="1763">
        <f>IF(ISERROR((ROUNDDOWN(AC883/AC884,0))),0,(ROUNDDOWN(AC883/AC884,0)))</f>
        <v>6732</v>
      </c>
      <c r="AD885" s="1763"/>
      <c r="AE885" s="1763"/>
      <c r="AF885" s="1763"/>
      <c r="AG885" s="1763"/>
      <c r="AH885" s="176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68"/>
      <c r="AD886" s="1769"/>
      <c r="AE886" s="1769"/>
      <c r="AF886" s="1769"/>
      <c r="AG886" s="1769"/>
      <c r="AH886" s="176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53"/>
      <c r="AD887" s="1409"/>
      <c r="AE887" s="1409"/>
      <c r="AF887" s="1409"/>
      <c r="AG887" s="1409"/>
      <c r="AH887" s="140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52">
        <v>28800</v>
      </c>
      <c r="AD888" s="1452"/>
      <c r="AE888" s="1452"/>
      <c r="AF888" s="1452"/>
      <c r="AG888" s="1452"/>
      <c r="AH888" s="145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52">
        <v>48000</v>
      </c>
      <c r="AD889" s="1452"/>
      <c r="AE889" s="1452"/>
      <c r="AF889" s="1452"/>
      <c r="AG889" s="1452"/>
      <c r="AH889" s="145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562"/>
      <c r="AD890" s="1563"/>
      <c r="AE890" s="1563"/>
      <c r="AF890" s="1563"/>
      <c r="AG890" s="1563"/>
      <c r="AH890" s="156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52"/>
      <c r="AD891" s="1452"/>
      <c r="AE891" s="1452"/>
      <c r="AF891" s="1452"/>
      <c r="AG891" s="1452"/>
      <c r="AH891" s="145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52"/>
      <c r="AD892" s="1452"/>
      <c r="AE892" s="1452"/>
      <c r="AF892" s="1452"/>
      <c r="AG892" s="1452"/>
      <c r="AH892" s="145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423" t="s">
        <v>976</v>
      </c>
      <c r="D893" s="1424"/>
      <c r="E893" s="1424"/>
      <c r="F893" s="1424"/>
      <c r="G893" s="1424"/>
      <c r="H893" s="1424"/>
      <c r="I893" s="1424"/>
      <c r="J893" s="1424"/>
      <c r="K893" s="1424"/>
      <c r="L893" s="1424"/>
      <c r="M893" s="1424"/>
      <c r="N893" s="1424"/>
      <c r="O893" s="1424"/>
      <c r="P893" s="1424"/>
      <c r="Q893" s="1424"/>
      <c r="R893" s="1424"/>
      <c r="S893" s="1424"/>
      <c r="T893" s="1424"/>
      <c r="U893" s="1424"/>
      <c r="V893" s="1424"/>
      <c r="W893" s="1424"/>
      <c r="X893" s="1424"/>
      <c r="Y893" s="1424"/>
      <c r="Z893" s="1424"/>
      <c r="AA893" s="1424"/>
      <c r="AB893" s="1425"/>
      <c r="AC893" s="1409"/>
      <c r="AD893" s="1409"/>
      <c r="AE893" s="1409"/>
      <c r="AF893" s="1409"/>
      <c r="AG893" s="1409"/>
      <c r="AH893" s="140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423" t="s">
        <v>976</v>
      </c>
      <c r="D894" s="1424"/>
      <c r="E894" s="1424"/>
      <c r="F894" s="1424"/>
      <c r="G894" s="1424"/>
      <c r="H894" s="1424"/>
      <c r="I894" s="1424"/>
      <c r="J894" s="1424"/>
      <c r="K894" s="1424"/>
      <c r="L894" s="1424"/>
      <c r="M894" s="1424"/>
      <c r="N894" s="1424"/>
      <c r="O894" s="1424"/>
      <c r="P894" s="1424"/>
      <c r="Q894" s="1424"/>
      <c r="R894" s="1424"/>
      <c r="S894" s="1424"/>
      <c r="T894" s="1424"/>
      <c r="U894" s="1424"/>
      <c r="V894" s="1424"/>
      <c r="W894" s="1424"/>
      <c r="X894" s="1424"/>
      <c r="Y894" s="1424"/>
      <c r="Z894" s="1424"/>
      <c r="AA894" s="1424"/>
      <c r="AB894" s="1425"/>
      <c r="AC894" s="1409"/>
      <c r="AD894" s="1409"/>
      <c r="AE894" s="1409"/>
      <c r="AF894" s="1409"/>
      <c r="AG894" s="1409"/>
      <c r="AH894" s="140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51"/>
      <c r="AA898" s="1452"/>
      <c r="AB898" s="1452"/>
      <c r="AC898" s="1452"/>
      <c r="AD898" s="1452"/>
      <c r="AE898" s="1453"/>
      <c r="AF898" s="567"/>
      <c r="AZ898" s="34"/>
      <c r="BB898" s="30"/>
      <c r="BC898" s="850"/>
      <c r="BD898" s="1758"/>
      <c r="BE898" s="175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51"/>
      <c r="AA899" s="1452"/>
      <c r="AB899" s="1452"/>
      <c r="AC899" s="1452"/>
      <c r="AD899" s="1452"/>
      <c r="AE899" s="1453"/>
      <c r="AZ899" s="34"/>
      <c r="BB899" s="30"/>
      <c r="BC899" s="850"/>
      <c r="BD899" s="1758"/>
      <c r="BE899" s="175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51"/>
      <c r="AA900" s="1452"/>
      <c r="AB900" s="1452"/>
      <c r="AC900" s="1452"/>
      <c r="AD900" s="1452"/>
      <c r="AE900" s="1453"/>
      <c r="AZ900" s="34"/>
      <c r="BB900" s="30"/>
      <c r="BC900" s="850"/>
      <c r="BD900" s="1684"/>
      <c r="BE900" s="168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14">
        <f>Z898-(Z899+Z900)</f>
        <v>0</v>
      </c>
      <c r="AA901" s="1415"/>
      <c r="AB901" s="1415"/>
      <c r="AC901" s="1415"/>
      <c r="AD901" s="1415"/>
      <c r="AE901" s="1416"/>
      <c r="AZ901" s="34"/>
      <c r="BB901" s="30"/>
      <c r="BC901" s="850"/>
      <c r="BD901" s="1684"/>
      <c r="BE901" s="168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84"/>
      <c r="BE902" s="168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58"/>
      <c r="BE903" s="168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66"/>
      <c r="BE904" s="1766"/>
      <c r="BF904" s="176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0"/>
      <c r="BE905" s="1690"/>
      <c r="BF905" s="1690"/>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84"/>
      <c r="BE906" s="168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58"/>
      <c r="BE907" s="168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394" t="s">
        <v>96</v>
      </c>
      <c r="B909" s="1394"/>
      <c r="C909" s="1394"/>
      <c r="D909" s="1394"/>
      <c r="E909" s="1394"/>
      <c r="F909" s="1394"/>
      <c r="G909" s="1394"/>
      <c r="H909" s="1394"/>
      <c r="I909" s="1394"/>
      <c r="J909" s="1394"/>
      <c r="K909" s="1394"/>
      <c r="L909" s="1394"/>
      <c r="M909" s="1394"/>
      <c r="N909" s="1394"/>
      <c r="O909" s="1394"/>
      <c r="P909" s="1394"/>
      <c r="Q909" s="1394"/>
      <c r="R909" s="1394"/>
      <c r="S909" s="1394"/>
      <c r="T909" s="1394"/>
      <c r="U909" s="1394"/>
      <c r="V909" s="1394"/>
      <c r="W909" s="1394"/>
      <c r="X909" s="1394"/>
      <c r="Y909" s="1394"/>
      <c r="Z909" s="1394"/>
      <c r="AA909" s="1394"/>
      <c r="AB909" s="1394"/>
      <c r="AC909" s="1394"/>
      <c r="AD909" s="1394"/>
      <c r="AE909" s="1394"/>
      <c r="AF909" s="1394"/>
      <c r="AG909" s="1394"/>
      <c r="AH909" s="1394"/>
      <c r="AI909" s="1394"/>
      <c r="AJ909" s="1394"/>
      <c r="AK909" s="1394"/>
      <c r="AL909" s="1394"/>
      <c r="AM909" s="1394"/>
      <c r="AN909" s="1394"/>
      <c r="AO909" s="1394"/>
      <c r="AP909" s="1394"/>
      <c r="AQ909" s="1394"/>
      <c r="AR909" s="1394"/>
      <c r="AS909" s="1394"/>
      <c r="AT909" s="1394"/>
      <c r="AZ909" s="34"/>
      <c r="BA909" s="34"/>
      <c r="BB909" s="30"/>
      <c r="BC909" s="30"/>
      <c r="BD909" s="1758"/>
      <c r="BE909" s="168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394"/>
      <c r="B910" s="1394"/>
      <c r="C910" s="1394"/>
      <c r="D910" s="1394"/>
      <c r="E910" s="1394"/>
      <c r="F910" s="1394"/>
      <c r="G910" s="1394"/>
      <c r="H910" s="1394"/>
      <c r="I910" s="1394"/>
      <c r="J910" s="1394"/>
      <c r="K910" s="1394"/>
      <c r="L910" s="1394"/>
      <c r="M910" s="1394"/>
      <c r="N910" s="1394"/>
      <c r="O910" s="1394"/>
      <c r="P910" s="1394"/>
      <c r="Q910" s="1394"/>
      <c r="R910" s="1394"/>
      <c r="S910" s="1394"/>
      <c r="T910" s="1394"/>
      <c r="U910" s="1394"/>
      <c r="V910" s="1394"/>
      <c r="W910" s="1394"/>
      <c r="X910" s="1394"/>
      <c r="Y910" s="1394"/>
      <c r="Z910" s="1394"/>
      <c r="AA910" s="1394"/>
      <c r="AB910" s="1394"/>
      <c r="AC910" s="1394"/>
      <c r="AD910" s="1394"/>
      <c r="AE910" s="1394"/>
      <c r="AF910" s="1394"/>
      <c r="AG910" s="1394"/>
      <c r="AH910" s="1394"/>
      <c r="AI910" s="1394"/>
      <c r="AJ910" s="1394"/>
      <c r="AK910" s="1394"/>
      <c r="AL910" s="1394"/>
      <c r="AM910" s="1394"/>
      <c r="AN910" s="1394"/>
      <c r="AO910" s="1394"/>
      <c r="AP910" s="1394"/>
      <c r="AQ910" s="1394"/>
      <c r="AR910" s="1394"/>
      <c r="AS910" s="1394"/>
      <c r="AT910" s="139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95" t="s">
        <v>802</v>
      </c>
      <c r="G914" s="1596"/>
      <c r="H914" s="1596"/>
      <c r="I914" s="1596"/>
      <c r="J914" s="1596"/>
      <c r="K914" s="1596"/>
      <c r="L914" s="1596"/>
      <c r="M914" s="1596"/>
      <c r="N914" s="1596"/>
      <c r="O914" s="1596"/>
      <c r="P914" s="1596"/>
      <c r="Q914" s="1596"/>
      <c r="R914" s="1596"/>
      <c r="S914" s="1596"/>
      <c r="T914" s="1597"/>
      <c r="U914" s="1637" t="s">
        <v>31</v>
      </c>
      <c r="V914" s="1638"/>
      <c r="W914" s="1638"/>
      <c r="X914" s="1638"/>
      <c r="Y914" s="1638"/>
      <c r="Z914" s="163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382" t="s">
        <v>828</v>
      </c>
      <c r="G915" s="1383"/>
      <c r="H915" s="1383"/>
      <c r="I915" s="1383"/>
      <c r="J915" s="1383"/>
      <c r="K915" s="1383"/>
      <c r="L915" s="1383"/>
      <c r="M915" s="1383"/>
      <c r="N915" s="1383"/>
      <c r="O915" s="1383"/>
      <c r="P915" s="1383"/>
      <c r="Q915" s="1383"/>
      <c r="R915" s="1383"/>
      <c r="S915" s="1383"/>
      <c r="T915" s="1384"/>
      <c r="U915" s="1382"/>
      <c r="V915" s="1383"/>
      <c r="W915" s="1383"/>
      <c r="X915" s="1383"/>
      <c r="Y915" s="1383"/>
      <c r="Z915" s="138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385"/>
      <c r="G916" s="1386"/>
      <c r="H916" s="1386"/>
      <c r="I916" s="1386"/>
      <c r="J916" s="1386"/>
      <c r="K916" s="1386"/>
      <c r="L916" s="1386"/>
      <c r="M916" s="1386"/>
      <c r="N916" s="1386"/>
      <c r="O916" s="1386"/>
      <c r="P916" s="1386"/>
      <c r="Q916" s="1386"/>
      <c r="R916" s="1386"/>
      <c r="S916" s="1386"/>
      <c r="T916" s="1387"/>
      <c r="U916" s="1385"/>
      <c r="V916" s="1386"/>
      <c r="W916" s="1386"/>
      <c r="X916" s="1386"/>
      <c r="Y916" s="1386"/>
      <c r="Z916" s="1386"/>
      <c r="AA916" s="108"/>
      <c r="AB916" s="1438" t="s">
        <v>392</v>
      </c>
      <c r="AC916" s="1438"/>
      <c r="AD916" s="1438"/>
      <c r="AE916" s="1438"/>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388" t="s">
        <v>554</v>
      </c>
      <c r="V917" s="1389"/>
      <c r="W917" s="1389"/>
      <c r="X917" s="1389"/>
      <c r="Y917" s="1389"/>
      <c r="Z917" s="1390"/>
      <c r="AA917" s="1379">
        <f>AM554+AM555</f>
        <v>58003469</v>
      </c>
      <c r="AB917" s="1380"/>
      <c r="AC917" s="1380"/>
      <c r="AD917" s="1380"/>
      <c r="AE917" s="1380"/>
      <c r="AF917" s="138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388" t="s">
        <v>600</v>
      </c>
      <c r="V918" s="1389"/>
      <c r="W918" s="1389"/>
      <c r="X918" s="1389"/>
      <c r="Y918" s="1389"/>
      <c r="Z918" s="1390"/>
      <c r="AA918" s="1379"/>
      <c r="AB918" s="1380"/>
      <c r="AC918" s="1380"/>
      <c r="AD918" s="1380"/>
      <c r="AE918" s="1380"/>
      <c r="AF918" s="138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388" t="s">
        <v>600</v>
      </c>
      <c r="V919" s="1389"/>
      <c r="W919" s="1389"/>
      <c r="X919" s="1389"/>
      <c r="Y919" s="1389"/>
      <c r="Z919" s="1390"/>
      <c r="AA919" s="1379"/>
      <c r="AB919" s="1380"/>
      <c r="AC919" s="1380"/>
      <c r="AD919" s="1380"/>
      <c r="AE919" s="1380"/>
      <c r="AF919" s="138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388" t="s">
        <v>600</v>
      </c>
      <c r="V920" s="1389"/>
      <c r="W920" s="1389"/>
      <c r="X920" s="1389"/>
      <c r="Y920" s="1389"/>
      <c r="Z920" s="1390"/>
      <c r="AA920" s="1379"/>
      <c r="AB920" s="1380"/>
      <c r="AC920" s="1380"/>
      <c r="AD920" s="1380"/>
      <c r="AE920" s="1380"/>
      <c r="AF920" s="138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388" t="s">
        <v>600</v>
      </c>
      <c r="V921" s="1389"/>
      <c r="W921" s="1389"/>
      <c r="X921" s="1389"/>
      <c r="Y921" s="1389"/>
      <c r="Z921" s="1390"/>
      <c r="AA921" s="1379"/>
      <c r="AB921" s="1380"/>
      <c r="AC921" s="1380"/>
      <c r="AD921" s="1380"/>
      <c r="AE921" s="1380"/>
      <c r="AF921" s="138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388" t="s">
        <v>600</v>
      </c>
      <c r="V922" s="1389"/>
      <c r="W922" s="1389"/>
      <c r="X922" s="1389"/>
      <c r="Y922" s="1389"/>
      <c r="Z922" s="1390"/>
      <c r="AA922" s="1379"/>
      <c r="AB922" s="1380"/>
      <c r="AC922" s="1380"/>
      <c r="AD922" s="1380"/>
      <c r="AE922" s="1380"/>
      <c r="AF922" s="138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388" t="s">
        <v>600</v>
      </c>
      <c r="V923" s="1389"/>
      <c r="W923" s="1389"/>
      <c r="X923" s="1389"/>
      <c r="Y923" s="1389"/>
      <c r="Z923" s="1390"/>
      <c r="AA923" s="1379"/>
      <c r="AB923" s="1380"/>
      <c r="AC923" s="1380"/>
      <c r="AD923" s="1380"/>
      <c r="AE923" s="1380"/>
      <c r="AF923" s="138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388" t="s">
        <v>600</v>
      </c>
      <c r="V924" s="1389"/>
      <c r="W924" s="1389"/>
      <c r="X924" s="1389"/>
      <c r="Y924" s="1389"/>
      <c r="Z924" s="1390"/>
      <c r="AA924" s="1379"/>
      <c r="AB924" s="1380"/>
      <c r="AC924" s="1380"/>
      <c r="AD924" s="1380"/>
      <c r="AE924" s="1380"/>
      <c r="AF924" s="138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01" t="s">
        <v>2558</v>
      </c>
      <c r="G925" s="1602"/>
      <c r="H925" s="1602"/>
      <c r="I925" s="1602"/>
      <c r="J925" s="1602"/>
      <c r="K925" s="1602"/>
      <c r="L925" s="1602"/>
      <c r="M925" s="1602"/>
      <c r="N925" s="1602"/>
      <c r="O925" s="1602"/>
      <c r="P925" s="1602"/>
      <c r="Q925" s="1602"/>
      <c r="R925" s="1602"/>
      <c r="S925" s="1602"/>
      <c r="T925" s="1603"/>
      <c r="U925" s="1388" t="s">
        <v>600</v>
      </c>
      <c r="V925" s="1389"/>
      <c r="W925" s="1389"/>
      <c r="X925" s="1389"/>
      <c r="Y925" s="1389"/>
      <c r="Z925" s="1390"/>
      <c r="AA925" s="1379"/>
      <c r="AB925" s="1380"/>
      <c r="AC925" s="1380"/>
      <c r="AD925" s="1380"/>
      <c r="AE925" s="1380"/>
      <c r="AF925" s="138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01" t="s">
        <v>688</v>
      </c>
      <c r="G926" s="1602"/>
      <c r="H926" s="1602"/>
      <c r="I926" s="1602"/>
      <c r="J926" s="1602"/>
      <c r="K926" s="1602"/>
      <c r="L926" s="1602"/>
      <c r="M926" s="1602"/>
      <c r="N926" s="1602"/>
      <c r="O926" s="1602"/>
      <c r="P926" s="1602"/>
      <c r="Q926" s="1602"/>
      <c r="R926" s="1602"/>
      <c r="S926" s="1602"/>
      <c r="T926" s="1603"/>
      <c r="U926" s="1388" t="s">
        <v>600</v>
      </c>
      <c r="V926" s="1389"/>
      <c r="W926" s="1389"/>
      <c r="X926" s="1389"/>
      <c r="Y926" s="1389"/>
      <c r="Z926" s="1390"/>
      <c r="AA926" s="1379"/>
      <c r="AB926" s="1380"/>
      <c r="AC926" s="1380"/>
      <c r="AD926" s="1380"/>
      <c r="AE926" s="1380"/>
      <c r="AF926" s="138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01" t="s">
        <v>2559</v>
      </c>
      <c r="G927" s="1602"/>
      <c r="H927" s="1602"/>
      <c r="I927" s="1602"/>
      <c r="J927" s="1602"/>
      <c r="K927" s="1602"/>
      <c r="L927" s="1602"/>
      <c r="M927" s="1602"/>
      <c r="N927" s="1602"/>
      <c r="O927" s="1602"/>
      <c r="P927" s="1602"/>
      <c r="Q927" s="1602"/>
      <c r="R927" s="1602"/>
      <c r="S927" s="1602"/>
      <c r="T927" s="1603"/>
      <c r="U927" s="1388" t="s">
        <v>600</v>
      </c>
      <c r="V927" s="1389"/>
      <c r="W927" s="1389"/>
      <c r="X927" s="1389"/>
      <c r="Y927" s="1389"/>
      <c r="Z927" s="1390"/>
      <c r="AA927" s="1379"/>
      <c r="AB927" s="1380"/>
      <c r="AC927" s="1380"/>
      <c r="AD927" s="1380"/>
      <c r="AE927" s="1380"/>
      <c r="AF927" s="138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01" t="s">
        <v>2560</v>
      </c>
      <c r="G928" s="1602"/>
      <c r="H928" s="1602"/>
      <c r="I928" s="1602"/>
      <c r="J928" s="1602"/>
      <c r="K928" s="1602"/>
      <c r="L928" s="1602"/>
      <c r="M928" s="1602"/>
      <c r="N928" s="1602"/>
      <c r="O928" s="1602"/>
      <c r="P928" s="1602"/>
      <c r="Q928" s="1602"/>
      <c r="R928" s="1602"/>
      <c r="S928" s="1602"/>
      <c r="T928" s="1603"/>
      <c r="U928" s="1388" t="s">
        <v>600</v>
      </c>
      <c r="V928" s="1389"/>
      <c r="W928" s="1389"/>
      <c r="X928" s="1389"/>
      <c r="Y928" s="1389"/>
      <c r="Z928" s="1390"/>
      <c r="AA928" s="1379"/>
      <c r="AB928" s="1380"/>
      <c r="AC928" s="1380"/>
      <c r="AD928" s="1380"/>
      <c r="AE928" s="1380"/>
      <c r="AF928" s="1381"/>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01" t="s">
        <v>2561</v>
      </c>
      <c r="G929" s="1602"/>
      <c r="H929" s="1602"/>
      <c r="I929" s="1602"/>
      <c r="J929" s="1602"/>
      <c r="K929" s="1602"/>
      <c r="L929" s="1602"/>
      <c r="M929" s="1602"/>
      <c r="N929" s="1602"/>
      <c r="O929" s="1602"/>
      <c r="P929" s="1602"/>
      <c r="Q929" s="1602"/>
      <c r="R929" s="1602"/>
      <c r="S929" s="1602"/>
      <c r="T929" s="1603"/>
      <c r="U929" s="1388" t="s">
        <v>600</v>
      </c>
      <c r="V929" s="1389"/>
      <c r="W929" s="1389"/>
      <c r="X929" s="1389"/>
      <c r="Y929" s="1389"/>
      <c r="Z929" s="1390"/>
      <c r="AA929" s="1379"/>
      <c r="AB929" s="1380"/>
      <c r="AC929" s="1380"/>
      <c r="AD929" s="1380"/>
      <c r="AE929" s="1380"/>
      <c r="AF929" s="138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01" t="s">
        <v>2562</v>
      </c>
      <c r="G930" s="1602"/>
      <c r="H930" s="1602"/>
      <c r="I930" s="1602"/>
      <c r="J930" s="1602"/>
      <c r="K930" s="1602"/>
      <c r="L930" s="1602"/>
      <c r="M930" s="1602"/>
      <c r="N930" s="1602"/>
      <c r="O930" s="1602"/>
      <c r="P930" s="1602"/>
      <c r="Q930" s="1602"/>
      <c r="R930" s="1602"/>
      <c r="S930" s="1602"/>
      <c r="T930" s="1603"/>
      <c r="U930" s="1388" t="s">
        <v>600</v>
      </c>
      <c r="V930" s="1389"/>
      <c r="W930" s="1389"/>
      <c r="X930" s="1389"/>
      <c r="Y930" s="1389"/>
      <c r="Z930" s="1390"/>
      <c r="AA930" s="1379"/>
      <c r="AB930" s="1380"/>
      <c r="AC930" s="1380"/>
      <c r="AD930" s="1380"/>
      <c r="AE930" s="1380"/>
      <c r="AF930" s="138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01" t="s">
        <v>2563</v>
      </c>
      <c r="G931" s="1602"/>
      <c r="H931" s="1602"/>
      <c r="I931" s="1602"/>
      <c r="J931" s="1602"/>
      <c r="K931" s="1602"/>
      <c r="L931" s="1602"/>
      <c r="M931" s="1602"/>
      <c r="N931" s="1602"/>
      <c r="O931" s="1602"/>
      <c r="P931" s="1602"/>
      <c r="Q931" s="1602"/>
      <c r="R931" s="1602"/>
      <c r="S931" s="1602"/>
      <c r="T931" s="1603"/>
      <c r="U931" s="1388" t="s">
        <v>600</v>
      </c>
      <c r="V931" s="1389"/>
      <c r="W931" s="1389"/>
      <c r="X931" s="1389"/>
      <c r="Y931" s="1389"/>
      <c r="Z931" s="1390"/>
      <c r="AA931" s="1379"/>
      <c r="AB931" s="1380"/>
      <c r="AC931" s="1380"/>
      <c r="AD931" s="1380"/>
      <c r="AE931" s="1380"/>
      <c r="AF931" s="138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388" t="s">
        <v>600</v>
      </c>
      <c r="V932" s="1389"/>
      <c r="W932" s="1389"/>
      <c r="X932" s="1389"/>
      <c r="Y932" s="1389"/>
      <c r="Z932" s="1390"/>
      <c r="AA932" s="1379"/>
      <c r="AB932" s="1380"/>
      <c r="AC932" s="1380"/>
      <c r="AD932" s="1380"/>
      <c r="AE932" s="1380"/>
      <c r="AF932" s="138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388" t="s">
        <v>600</v>
      </c>
      <c r="V933" s="1389"/>
      <c r="W933" s="1389"/>
      <c r="X933" s="1389"/>
      <c r="Y933" s="1389"/>
      <c r="Z933" s="1390"/>
      <c r="AA933" s="1379"/>
      <c r="AB933" s="1380"/>
      <c r="AC933" s="1380"/>
      <c r="AD933" s="1380"/>
      <c r="AE933" s="1380"/>
      <c r="AF933" s="138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388" t="s">
        <v>600</v>
      </c>
      <c r="V934" s="1389"/>
      <c r="W934" s="1389"/>
      <c r="X934" s="1389"/>
      <c r="Y934" s="1389"/>
      <c r="Z934" s="1390"/>
      <c r="AA934" s="1379"/>
      <c r="AB934" s="1380"/>
      <c r="AC934" s="1380"/>
      <c r="AD934" s="1380"/>
      <c r="AE934" s="1380"/>
      <c r="AF934" s="138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8" t="s">
        <v>2567</v>
      </c>
      <c r="G935" s="1599"/>
      <c r="H935" s="1599"/>
      <c r="I935" s="1599"/>
      <c r="J935" s="1599"/>
      <c r="K935" s="1599"/>
      <c r="L935" s="1599"/>
      <c r="M935" s="1599"/>
      <c r="N935" s="1599"/>
      <c r="O935" s="1599"/>
      <c r="P935" s="1599"/>
      <c r="Q935" s="1599"/>
      <c r="R935" s="1599"/>
      <c r="S935" s="1599"/>
      <c r="T935" s="1600"/>
      <c r="U935" s="1388" t="s">
        <v>600</v>
      </c>
      <c r="V935" s="1389"/>
      <c r="W935" s="1389"/>
      <c r="X935" s="1389"/>
      <c r="Y935" s="1389"/>
      <c r="Z935" s="1390"/>
      <c r="AA935" s="1379"/>
      <c r="AB935" s="1380"/>
      <c r="AC935" s="1380"/>
      <c r="AD935" s="1380"/>
      <c r="AE935" s="1380"/>
      <c r="AF935" s="138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8" t="s">
        <v>2568</v>
      </c>
      <c r="G936" s="1599"/>
      <c r="H936" s="1599"/>
      <c r="I936" s="1599"/>
      <c r="J936" s="1599"/>
      <c r="K936" s="1599"/>
      <c r="L936" s="1599"/>
      <c r="M936" s="1599"/>
      <c r="N936" s="1599"/>
      <c r="O936" s="1599"/>
      <c r="P936" s="1599"/>
      <c r="Q936" s="1599"/>
      <c r="R936" s="1599"/>
      <c r="S936" s="1599"/>
      <c r="T936" s="1600"/>
      <c r="U936" s="1388" t="s">
        <v>600</v>
      </c>
      <c r="V936" s="1389"/>
      <c r="W936" s="1389"/>
      <c r="X936" s="1389"/>
      <c r="Y936" s="1389"/>
      <c r="Z936" s="1390"/>
      <c r="AA936" s="1379"/>
      <c r="AB936" s="1380"/>
      <c r="AC936" s="1380"/>
      <c r="AD936" s="1380"/>
      <c r="AE936" s="1380"/>
      <c r="AF936" s="138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01" t="s">
        <v>2564</v>
      </c>
      <c r="G937" s="1602"/>
      <c r="H937" s="1602"/>
      <c r="I937" s="1602"/>
      <c r="J937" s="1602"/>
      <c r="K937" s="1602"/>
      <c r="L937" s="1602"/>
      <c r="M937" s="1602"/>
      <c r="N937" s="1602"/>
      <c r="O937" s="1602"/>
      <c r="P937" s="1602"/>
      <c r="Q937" s="1602"/>
      <c r="R937" s="1602"/>
      <c r="S937" s="1602"/>
      <c r="T937" s="1603"/>
      <c r="U937" s="1388" t="s">
        <v>600</v>
      </c>
      <c r="V937" s="1389"/>
      <c r="W937" s="1389"/>
      <c r="X937" s="1389"/>
      <c r="Y937" s="1389"/>
      <c r="Z937" s="1390"/>
      <c r="AA937" s="1379"/>
      <c r="AB937" s="1380"/>
      <c r="AC937" s="1380"/>
      <c r="AD937" s="1380"/>
      <c r="AE937" s="1380"/>
      <c r="AF937" s="138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01" t="s">
        <v>2565</v>
      </c>
      <c r="G938" s="1602"/>
      <c r="H938" s="1602"/>
      <c r="I938" s="1602"/>
      <c r="J938" s="1602"/>
      <c r="K938" s="1602"/>
      <c r="L938" s="1602"/>
      <c r="M938" s="1602"/>
      <c r="N938" s="1602"/>
      <c r="O938" s="1602"/>
      <c r="P938" s="1602"/>
      <c r="Q938" s="1602"/>
      <c r="R938" s="1602"/>
      <c r="S938" s="1602"/>
      <c r="T938" s="1603"/>
      <c r="U938" s="1388" t="s">
        <v>600</v>
      </c>
      <c r="V938" s="1389"/>
      <c r="W938" s="1389"/>
      <c r="X938" s="1389"/>
      <c r="Y938" s="1389"/>
      <c r="Z938" s="139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01" t="s">
        <v>2566</v>
      </c>
      <c r="G939" s="1602"/>
      <c r="H939" s="1602"/>
      <c r="I939" s="1602"/>
      <c r="J939" s="1602"/>
      <c r="K939" s="1602"/>
      <c r="L939" s="1602"/>
      <c r="M939" s="1602"/>
      <c r="N939" s="1602"/>
      <c r="O939" s="1602"/>
      <c r="P939" s="1602"/>
      <c r="Q939" s="1602"/>
      <c r="R939" s="1602"/>
      <c r="S939" s="1602"/>
      <c r="T939" s="1603"/>
      <c r="U939" s="1388" t="s">
        <v>600</v>
      </c>
      <c r="V939" s="1389"/>
      <c r="W939" s="1389"/>
      <c r="X939" s="1389"/>
      <c r="Y939" s="1389"/>
      <c r="Z939" s="139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388" t="s">
        <v>600</v>
      </c>
      <c r="V940" s="1389"/>
      <c r="W940" s="1389"/>
      <c r="X940" s="1389"/>
      <c r="Y940" s="1389"/>
      <c r="Z940" s="1390"/>
      <c r="AA940" s="1379"/>
      <c r="AB940" s="1380"/>
      <c r="AC940" s="1380"/>
      <c r="AD940" s="1380"/>
      <c r="AE940" s="1380"/>
      <c r="AF940" s="138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8" t="s">
        <v>2569</v>
      </c>
      <c r="G941" s="1599"/>
      <c r="H941" s="1599"/>
      <c r="I941" s="1599"/>
      <c r="J941" s="1599"/>
      <c r="K941" s="1599"/>
      <c r="L941" s="1599"/>
      <c r="M941" s="1599"/>
      <c r="N941" s="1599"/>
      <c r="O941" s="1599"/>
      <c r="P941" s="1599"/>
      <c r="Q941" s="1599"/>
      <c r="R941" s="1599"/>
      <c r="S941" s="1599"/>
      <c r="T941" s="1600"/>
      <c r="U941" s="1388" t="s">
        <v>600</v>
      </c>
      <c r="V941" s="1389"/>
      <c r="W941" s="1389"/>
      <c r="X941" s="1389"/>
      <c r="Y941" s="1389"/>
      <c r="Z941" s="1390"/>
      <c r="AA941" s="1379"/>
      <c r="AB941" s="1380"/>
      <c r="AC941" s="1380"/>
      <c r="AD941" s="1380"/>
      <c r="AE941" s="1380"/>
      <c r="AF941" s="138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388" t="s">
        <v>600</v>
      </c>
      <c r="V942" s="1389"/>
      <c r="W942" s="1389"/>
      <c r="X942" s="1389"/>
      <c r="Y942" s="1389"/>
      <c r="Z942" s="1390"/>
      <c r="AA942" s="1379"/>
      <c r="AB942" s="1380"/>
      <c r="AC942" s="1380"/>
      <c r="AD942" s="1380"/>
      <c r="AE942" s="1380"/>
      <c r="AF942" s="138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8" t="s">
        <v>2570</v>
      </c>
      <c r="G943" s="1599"/>
      <c r="H943" s="1599"/>
      <c r="I943" s="1599"/>
      <c r="J943" s="1599"/>
      <c r="K943" s="1599"/>
      <c r="L943" s="1599"/>
      <c r="M943" s="1599"/>
      <c r="N943" s="1599"/>
      <c r="O943" s="1599"/>
      <c r="P943" s="1599"/>
      <c r="Q943" s="1599"/>
      <c r="R943" s="1599"/>
      <c r="S943" s="1599"/>
      <c r="T943" s="1600"/>
      <c r="U943" s="1388" t="s">
        <v>600</v>
      </c>
      <c r="V943" s="1389"/>
      <c r="W943" s="1389"/>
      <c r="X943" s="1389"/>
      <c r="Y943" s="1389"/>
      <c r="Z943" s="1390"/>
      <c r="AA943" s="1379"/>
      <c r="AB943" s="1380"/>
      <c r="AC943" s="1380"/>
      <c r="AD943" s="1380"/>
      <c r="AE943" s="1380"/>
      <c r="AF943" s="138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388" t="s">
        <v>678</v>
      </c>
      <c r="Q944" s="1389"/>
      <c r="R944" s="1389"/>
      <c r="S944" s="1389"/>
      <c r="T944" s="1390"/>
      <c r="U944" s="1388" t="s">
        <v>600</v>
      </c>
      <c r="V944" s="1389"/>
      <c r="W944" s="1389"/>
      <c r="X944" s="1389"/>
      <c r="Y944" s="1389"/>
      <c r="Z944" s="1390"/>
      <c r="AA944" s="1379"/>
      <c r="AB944" s="1380"/>
      <c r="AC944" s="1380"/>
      <c r="AD944" s="1380"/>
      <c r="AE944" s="1380"/>
      <c r="AF944" s="138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01" t="s">
        <v>2557</v>
      </c>
      <c r="G945" s="1602"/>
      <c r="H945" s="1603"/>
      <c r="I945" s="1665"/>
      <c r="J945" s="1666"/>
      <c r="K945" s="1666"/>
      <c r="L945" s="1666"/>
      <c r="M945" s="1666"/>
      <c r="N945" s="1666"/>
      <c r="O945" s="1666"/>
      <c r="P945" s="1666"/>
      <c r="Q945" s="1666"/>
      <c r="R945" s="1666"/>
      <c r="S945" s="1666"/>
      <c r="T945" s="1667"/>
      <c r="U945" s="1388" t="s">
        <v>600</v>
      </c>
      <c r="V945" s="1389"/>
      <c r="W945" s="1389"/>
      <c r="X945" s="1389"/>
      <c r="Y945" s="1389"/>
      <c r="Z945" s="1390"/>
      <c r="AA945" s="1379"/>
      <c r="AB945" s="1380"/>
      <c r="AC945" s="1380"/>
      <c r="AD945" s="1380"/>
      <c r="AE945" s="1380"/>
      <c r="AF945" s="138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65" t="s">
        <v>335</v>
      </c>
      <c r="J946" s="1666"/>
      <c r="K946" s="1666"/>
      <c r="L946" s="1666"/>
      <c r="M946" s="1666"/>
      <c r="N946" s="1666"/>
      <c r="O946" s="1666"/>
      <c r="P946" s="1666"/>
      <c r="Q946" s="1666"/>
      <c r="R946" s="1666"/>
      <c r="S946" s="1666"/>
      <c r="T946" s="1667"/>
      <c r="U946" s="1388" t="s">
        <v>600</v>
      </c>
      <c r="V946" s="1389"/>
      <c r="W946" s="1389"/>
      <c r="X946" s="1389"/>
      <c r="Y946" s="1389"/>
      <c r="Z946" s="1390"/>
      <c r="AA946" s="1379"/>
      <c r="AB946" s="1380"/>
      <c r="AC946" s="1380"/>
      <c r="AD946" s="1380"/>
      <c r="AE946" s="1380"/>
      <c r="AF946" s="138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76" t="s">
        <v>335</v>
      </c>
      <c r="J947" s="1377"/>
      <c r="K947" s="1377"/>
      <c r="L947" s="1377"/>
      <c r="M947" s="1377"/>
      <c r="N947" s="1377"/>
      <c r="O947" s="1377"/>
      <c r="P947" s="1377"/>
      <c r="Q947" s="1377"/>
      <c r="R947" s="1377"/>
      <c r="S947" s="1377"/>
      <c r="T947" s="1378"/>
      <c r="U947" s="1388" t="s">
        <v>600</v>
      </c>
      <c r="V947" s="1389"/>
      <c r="W947" s="1389"/>
      <c r="X947" s="1389"/>
      <c r="Y947" s="1389"/>
      <c r="Z947" s="1390"/>
      <c r="AA947" s="1379"/>
      <c r="AB947" s="1380"/>
      <c r="AC947" s="1380"/>
      <c r="AD947" s="1380"/>
      <c r="AE947" s="1380"/>
      <c r="AF947" s="138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65" t="s">
        <v>2754</v>
      </c>
      <c r="J948" s="1377"/>
      <c r="K948" s="1377"/>
      <c r="L948" s="1377"/>
      <c r="M948" s="1377"/>
      <c r="N948" s="1377"/>
      <c r="O948" s="1377"/>
      <c r="P948" s="1377"/>
      <c r="Q948" s="1377"/>
      <c r="R948" s="1377"/>
      <c r="S948" s="1377"/>
      <c r="T948" s="1378"/>
      <c r="U948" s="1388" t="s">
        <v>600</v>
      </c>
      <c r="V948" s="1389"/>
      <c r="W948" s="1389"/>
      <c r="X948" s="1389"/>
      <c r="Y948" s="1389"/>
      <c r="Z948" s="1390"/>
      <c r="AA948" s="1379">
        <f>AO628</f>
        <v>12346531</v>
      </c>
      <c r="AB948" s="1380"/>
      <c r="AC948" s="1380"/>
      <c r="AD948" s="1380"/>
      <c r="AE948" s="1380"/>
      <c r="AF948" s="138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376" t="s">
        <v>335</v>
      </c>
      <c r="J949" s="1377"/>
      <c r="K949" s="1377"/>
      <c r="L949" s="1377"/>
      <c r="M949" s="1377"/>
      <c r="N949" s="1377"/>
      <c r="O949" s="1377"/>
      <c r="P949" s="1377"/>
      <c r="Q949" s="1377"/>
      <c r="R949" s="1377"/>
      <c r="S949" s="1377"/>
      <c r="T949" s="1378"/>
      <c r="U949" s="1388" t="s">
        <v>600</v>
      </c>
      <c r="V949" s="1389"/>
      <c r="W949" s="1389"/>
      <c r="X949" s="1389"/>
      <c r="Y949" s="1389"/>
      <c r="Z949" s="1390"/>
      <c r="AA949" s="1379"/>
      <c r="AB949" s="1380"/>
      <c r="AC949" s="1380"/>
      <c r="AD949" s="1380"/>
      <c r="AE949" s="1380"/>
      <c r="AF949" s="138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373"/>
      <c r="N954" s="1374"/>
      <c r="O954" s="1374"/>
      <c r="P954" s="1374"/>
      <c r="Q954" s="1374"/>
      <c r="R954" s="1374"/>
      <c r="S954" s="1375"/>
      <c r="U954" s="66" t="s">
        <v>11</v>
      </c>
      <c r="V954" s="5"/>
      <c r="W954" s="5"/>
      <c r="X954" s="5"/>
      <c r="Y954" s="5"/>
      <c r="Z954" s="5"/>
      <c r="AA954" s="5"/>
      <c r="AB954" s="5"/>
      <c r="AC954" s="5"/>
      <c r="AD954" s="46"/>
      <c r="AE954" s="1373"/>
      <c r="AF954" s="1374"/>
      <c r="AG954" s="1374"/>
      <c r="AH954" s="1374"/>
      <c r="AI954" s="1374"/>
      <c r="AJ954" s="1374"/>
      <c r="AK954" s="1375"/>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48"/>
      <c r="N955" s="1449"/>
      <c r="O955" s="1449"/>
      <c r="P955" s="1449"/>
      <c r="Q955" s="1449"/>
      <c r="R955" s="1449"/>
      <c r="S955" s="1450"/>
      <c r="U955" s="66" t="s">
        <v>12</v>
      </c>
      <c r="V955" s="5"/>
      <c r="W955" s="5"/>
      <c r="X955" s="5"/>
      <c r="Y955" s="5"/>
      <c r="Z955" s="5"/>
      <c r="AA955" s="5"/>
      <c r="AB955" s="5"/>
      <c r="AC955" s="5"/>
      <c r="AD955" s="46"/>
      <c r="AE955" s="1448"/>
      <c r="AF955" s="1449"/>
      <c r="AG955" s="1449"/>
      <c r="AH955" s="1449"/>
      <c r="AI955" s="1449"/>
      <c r="AJ955" s="1449"/>
      <c r="AK955" s="1450"/>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445" t="s">
        <v>308</v>
      </c>
      <c r="K956" s="1446"/>
      <c r="L956" s="1446"/>
      <c r="M956" s="1446"/>
      <c r="N956" s="1446"/>
      <c r="O956" s="1446"/>
      <c r="P956" s="1446"/>
      <c r="Q956" s="1446"/>
      <c r="R956" s="1446"/>
      <c r="S956" s="1447"/>
      <c r="U956" s="66" t="s">
        <v>893</v>
      </c>
      <c r="V956" s="5"/>
      <c r="W956" s="5"/>
      <c r="AB956" s="1445" t="s">
        <v>308</v>
      </c>
      <c r="AC956" s="1446"/>
      <c r="AD956" s="1446"/>
      <c r="AE956" s="1446"/>
      <c r="AF956" s="1446"/>
      <c r="AG956" s="1446"/>
      <c r="AH956" s="1446"/>
      <c r="AI956" s="1446"/>
      <c r="AJ956" s="1446"/>
      <c r="AK956" s="144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439"/>
      <c r="N957" s="1440"/>
      <c r="O957" s="1440"/>
      <c r="P957" s="1440"/>
      <c r="Q957" s="1440"/>
      <c r="R957" s="1440"/>
      <c r="S957" s="1441"/>
      <c r="U957" s="66" t="s">
        <v>13</v>
      </c>
      <c r="V957" s="5"/>
      <c r="W957" s="5"/>
      <c r="X957" s="5"/>
      <c r="Y957" s="5"/>
      <c r="Z957" s="5"/>
      <c r="AA957" s="5"/>
      <c r="AB957" s="5"/>
      <c r="AC957" s="5"/>
      <c r="AD957" s="46"/>
      <c r="AE957" s="1683"/>
      <c r="AF957" s="1440"/>
      <c r="AG957" s="1440"/>
      <c r="AH957" s="1440"/>
      <c r="AI957" s="1440"/>
      <c r="AJ957" s="1440"/>
      <c r="AK957" s="144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45"/>
      <c r="N958" s="1646"/>
      <c r="O958" s="1646"/>
      <c r="P958" s="1646"/>
      <c r="Q958" s="1646"/>
      <c r="R958" s="1646"/>
      <c r="S958" s="1647"/>
      <c r="U958" s="66" t="s">
        <v>14</v>
      </c>
      <c r="V958" s="5"/>
      <c r="W958" s="5"/>
      <c r="X958" s="5"/>
      <c r="Y958" s="5"/>
      <c r="Z958" s="5"/>
      <c r="AA958" s="5"/>
      <c r="AB958" s="5"/>
      <c r="AC958" s="5"/>
      <c r="AD958" s="46"/>
      <c r="AE958" s="1645"/>
      <c r="AF958" s="1646"/>
      <c r="AG958" s="1646"/>
      <c r="AH958" s="1646"/>
      <c r="AI958" s="1646"/>
      <c r="AJ958" s="1646"/>
      <c r="AK958" s="164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79"/>
      <c r="N959" s="1380"/>
      <c r="O959" s="1380"/>
      <c r="P959" s="1380"/>
      <c r="Q959" s="1380"/>
      <c r="R959" s="1380"/>
      <c r="S959" s="1381"/>
      <c r="U959" s="66" t="s">
        <v>15</v>
      </c>
      <c r="V959" s="5"/>
      <c r="W959" s="5"/>
      <c r="X959" s="5"/>
      <c r="Y959" s="5"/>
      <c r="Z959" s="5"/>
      <c r="AA959" s="5"/>
      <c r="AB959" s="5"/>
      <c r="AC959" s="5"/>
      <c r="AD959" s="46"/>
      <c r="AE959" s="1379"/>
      <c r="AF959" s="1380"/>
      <c r="AG959" s="1380"/>
      <c r="AH959" s="1380"/>
      <c r="AI959" s="1380"/>
      <c r="AJ959" s="1380"/>
      <c r="AK959" s="138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79"/>
      <c r="N960" s="1380"/>
      <c r="O960" s="1380"/>
      <c r="P960" s="1380"/>
      <c r="Q960" s="1380"/>
      <c r="R960" s="1380"/>
      <c r="S960" s="1381"/>
      <c r="U960" s="66" t="s">
        <v>16</v>
      </c>
      <c r="V960" s="5"/>
      <c r="W960" s="5"/>
      <c r="X960" s="5"/>
      <c r="Y960" s="5"/>
      <c r="Z960" s="5"/>
      <c r="AA960" s="5"/>
      <c r="AB960" s="5"/>
      <c r="AC960" s="5"/>
      <c r="AD960" s="46"/>
      <c r="AE960" s="1379"/>
      <c r="AF960" s="1380"/>
      <c r="AG960" s="1380"/>
      <c r="AH960" s="1380"/>
      <c r="AI960" s="1380"/>
      <c r="AJ960" s="1380"/>
      <c r="AK960" s="138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54"/>
      <c r="N961" s="1455"/>
      <c r="O961" s="1455"/>
      <c r="P961" s="1455"/>
      <c r="Q961" s="1455"/>
      <c r="R961" s="1455"/>
      <c r="S961" s="1456"/>
      <c r="U961" s="121" t="s">
        <v>1776</v>
      </c>
      <c r="V961" s="5"/>
      <c r="W961" s="5"/>
      <c r="X961" s="5"/>
      <c r="Y961" s="5"/>
      <c r="Z961" s="5"/>
      <c r="AA961" s="5"/>
      <c r="AB961" s="5"/>
      <c r="AC961" s="5"/>
      <c r="AD961" s="46"/>
      <c r="AE961" s="1454"/>
      <c r="AF961" s="1455"/>
      <c r="AG961" s="1455"/>
      <c r="AH961" s="1455"/>
      <c r="AI961" s="1455"/>
      <c r="AJ961" s="1455"/>
      <c r="AK961" s="1456"/>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442"/>
      <c r="N966" s="1443"/>
      <c r="O966" s="1443"/>
      <c r="P966" s="1443"/>
      <c r="Q966" s="1443"/>
      <c r="R966" s="1443"/>
      <c r="S966" s="1444"/>
      <c r="T966" s="66" t="s">
        <v>800</v>
      </c>
      <c r="U966" s="5"/>
      <c r="V966" s="5"/>
      <c r="W966" s="5"/>
      <c r="X966" s="5"/>
      <c r="Y966" s="5"/>
      <c r="Z966" s="46"/>
      <c r="AA966" s="1442"/>
      <c r="AB966" s="1443"/>
      <c r="AC966" s="1443"/>
      <c r="AD966" s="1443"/>
      <c r="AE966" s="1443"/>
      <c r="AF966" s="1443"/>
      <c r="AG966" s="144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442"/>
      <c r="N967" s="1443"/>
      <c r="O967" s="1443"/>
      <c r="P967" s="1443"/>
      <c r="Q967" s="1443"/>
      <c r="R967" s="1443"/>
      <c r="S967" s="1444"/>
      <c r="T967" s="66" t="s">
        <v>799</v>
      </c>
      <c r="U967" s="5"/>
      <c r="V967" s="5"/>
      <c r="W967" s="5"/>
      <c r="X967" s="5"/>
      <c r="Y967" s="5"/>
      <c r="Z967" s="46"/>
      <c r="AA967" s="1442"/>
      <c r="AB967" s="1443"/>
      <c r="AC967" s="1443"/>
      <c r="AD967" s="1443"/>
      <c r="AE967" s="1443"/>
      <c r="AF967" s="1443"/>
      <c r="AG967" s="144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54" t="s">
        <v>600</v>
      </c>
      <c r="N968" s="1755"/>
      <c r="O968" s="1755"/>
      <c r="P968" s="1755"/>
      <c r="Q968" s="1755"/>
      <c r="R968" s="1755"/>
      <c r="S968" s="1756"/>
      <c r="T968" s="45" t="s">
        <v>338</v>
      </c>
      <c r="U968" s="5"/>
      <c r="V968" s="5"/>
      <c r="W968" s="5"/>
      <c r="X968" s="5"/>
      <c r="Y968" s="5"/>
      <c r="Z968" s="46"/>
      <c r="AA968" s="1442"/>
      <c r="AB968" s="1443"/>
      <c r="AC968" s="1443"/>
      <c r="AD968" s="1443"/>
      <c r="AE968" s="1443"/>
      <c r="AF968" s="1443"/>
      <c r="AG968" s="144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442"/>
      <c r="N969" s="1443"/>
      <c r="O969" s="1443"/>
      <c r="P969" s="1443"/>
      <c r="Q969" s="1443"/>
      <c r="R969" s="1443"/>
      <c r="S969" s="1444"/>
      <c r="T969" s="45" t="s">
        <v>339</v>
      </c>
      <c r="U969" s="5"/>
      <c r="V969" s="5"/>
      <c r="W969" s="5"/>
      <c r="X969" s="5"/>
      <c r="Y969" s="5"/>
      <c r="Z969" s="46"/>
      <c r="AA969" s="1442"/>
      <c r="AB969" s="1443"/>
      <c r="AC969" s="1443"/>
      <c r="AD969" s="1443"/>
      <c r="AE969" s="1443"/>
      <c r="AF969" s="1443"/>
      <c r="AG969" s="144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442" t="s">
        <v>554</v>
      </c>
      <c r="N970" s="1443"/>
      <c r="O970" s="1443"/>
      <c r="P970" s="1443"/>
      <c r="Q970" s="1443"/>
      <c r="R970" s="1443"/>
      <c r="S970" s="1444"/>
      <c r="T970" s="45" t="s">
        <v>377</v>
      </c>
      <c r="U970" s="5"/>
      <c r="V970" s="5"/>
      <c r="W970" s="5"/>
      <c r="X970" s="5"/>
      <c r="Y970" s="5"/>
      <c r="Z970" s="46"/>
      <c r="AA970" s="1442"/>
      <c r="AB970" s="1443"/>
      <c r="AC970" s="1443"/>
      <c r="AD970" s="1443"/>
      <c r="AE970" s="1443"/>
      <c r="AF970" s="1443"/>
      <c r="AG970" s="144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71" t="s">
        <v>2720</v>
      </c>
      <c r="N971" s="1672"/>
      <c r="O971" s="1672"/>
      <c r="P971" s="1672"/>
      <c r="Q971" s="1672"/>
      <c r="R971" s="1672"/>
      <c r="S971" s="1673"/>
      <c r="T971" s="1759"/>
      <c r="U971" s="1760"/>
      <c r="V971" s="1760"/>
      <c r="W971" s="1760"/>
      <c r="X971" s="1760"/>
      <c r="Y971" s="1760"/>
      <c r="Z971" s="1761"/>
      <c r="AA971" s="1442"/>
      <c r="AB971" s="1443"/>
      <c r="AC971" s="1443"/>
      <c r="AD971" s="1443"/>
      <c r="AE971" s="1443"/>
      <c r="AF971" s="1443"/>
      <c r="AG971" s="144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442"/>
      <c r="N972" s="1443"/>
      <c r="O972" s="1443"/>
      <c r="P972" s="1443"/>
      <c r="Q972" s="1443"/>
      <c r="R972" s="1443"/>
      <c r="S972" s="1444"/>
      <c r="T972" s="1759"/>
      <c r="U972" s="1760"/>
      <c r="V972" s="1760"/>
      <c r="W972" s="1760"/>
      <c r="X972" s="1760"/>
      <c r="Y972" s="1760"/>
      <c r="Z972" s="1761"/>
      <c r="AA972" s="1442"/>
      <c r="AB972" s="1443"/>
      <c r="AC972" s="1443"/>
      <c r="AD972" s="1443"/>
      <c r="AE972" s="1443"/>
      <c r="AF972" s="1443"/>
      <c r="AG972" s="144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8" t="s">
        <v>554</v>
      </c>
      <c r="P973" s="1709"/>
      <c r="Q973" s="92"/>
      <c r="R973" s="92"/>
      <c r="S973" s="93"/>
      <c r="T973" s="41" t="s">
        <v>170</v>
      </c>
      <c r="U973" s="42"/>
      <c r="V973" s="42"/>
      <c r="W973" s="1668" t="s">
        <v>335</v>
      </c>
      <c r="X973" s="1669"/>
      <c r="Y973" s="1669"/>
      <c r="Z973" s="1669"/>
      <c r="AA973" s="1669"/>
      <c r="AB973" s="1669"/>
      <c r="AC973" s="1669"/>
      <c r="AD973" s="1669"/>
      <c r="AE973" s="1669"/>
      <c r="AF973" s="1669"/>
      <c r="AG973" s="167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53" t="s">
        <v>33</v>
      </c>
      <c r="G974" s="1488"/>
      <c r="H974" s="1488"/>
      <c r="I974" s="1488"/>
      <c r="J974" s="1488"/>
      <c r="K974" s="1488"/>
      <c r="L974" s="1488"/>
      <c r="M974" s="1442">
        <f>Z809</f>
        <v>2740224</v>
      </c>
      <c r="N974" s="1443"/>
      <c r="O974" s="1443"/>
      <c r="P974" s="1443"/>
      <c r="Q974" s="1443"/>
      <c r="R974" s="1443"/>
      <c r="S974" s="1444"/>
      <c r="T974" s="47"/>
      <c r="U974" s="48"/>
      <c r="V974" s="48"/>
      <c r="W974" s="48"/>
      <c r="X974" s="48"/>
      <c r="Y974" s="48"/>
      <c r="Z974" s="124" t="s">
        <v>134</v>
      </c>
      <c r="AA974" s="1639"/>
      <c r="AB974" s="1640"/>
      <c r="AC974" s="1640"/>
      <c r="AD974" s="1640"/>
      <c r="AE974" s="1640"/>
      <c r="AF974" s="1640"/>
      <c r="AG974" s="164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84"/>
      <c r="BH975" s="1684"/>
      <c r="BI975" s="1684"/>
      <c r="BJ975" s="1684"/>
      <c r="BK975" s="1684"/>
      <c r="BL975" s="168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94" t="s">
        <v>557</v>
      </c>
      <c r="B978" s="1394"/>
      <c r="C978" s="1394"/>
      <c r="D978" s="1394"/>
      <c r="E978" s="1394"/>
      <c r="F978" s="1394"/>
      <c r="G978" s="1394"/>
      <c r="H978" s="1394"/>
      <c r="I978" s="1394"/>
      <c r="J978" s="1394"/>
      <c r="K978" s="1394"/>
      <c r="L978" s="1394"/>
      <c r="M978" s="1394"/>
      <c r="N978" s="1394"/>
      <c r="O978" s="1394"/>
      <c r="P978" s="1394"/>
      <c r="Q978" s="1394"/>
      <c r="R978" s="1394"/>
      <c r="S978" s="1394"/>
      <c r="T978" s="1394"/>
      <c r="U978" s="1394"/>
      <c r="V978" s="1394"/>
      <c r="W978" s="1394"/>
      <c r="X978" s="1394"/>
      <c r="Y978" s="1394"/>
      <c r="Z978" s="1394"/>
      <c r="AA978" s="1394"/>
      <c r="AB978" s="1394"/>
      <c r="AC978" s="1394"/>
      <c r="AD978" s="1394"/>
      <c r="AE978" s="1394"/>
      <c r="AF978" s="1394"/>
      <c r="AG978" s="1394"/>
      <c r="AH978" s="1394"/>
      <c r="AI978" s="1394"/>
      <c r="AJ978" s="1394"/>
      <c r="AK978" s="1394"/>
      <c r="AL978" s="1394"/>
      <c r="AM978" s="1394"/>
      <c r="AN978" s="1394"/>
      <c r="AO978" s="1394"/>
      <c r="AP978" s="1394"/>
      <c r="AQ978" s="1394"/>
      <c r="AR978" s="1394"/>
      <c r="AS978" s="1394"/>
      <c r="AT978" s="139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94"/>
      <c r="B979" s="1394"/>
      <c r="C979" s="1394"/>
      <c r="D979" s="1394"/>
      <c r="E979" s="1394"/>
      <c r="F979" s="1394"/>
      <c r="G979" s="1394"/>
      <c r="H979" s="1394"/>
      <c r="I979" s="1394"/>
      <c r="J979" s="1394"/>
      <c r="K979" s="1394"/>
      <c r="L979" s="1394"/>
      <c r="M979" s="1394"/>
      <c r="N979" s="1394"/>
      <c r="O979" s="1394"/>
      <c r="P979" s="1394"/>
      <c r="Q979" s="1394"/>
      <c r="R979" s="1394"/>
      <c r="S979" s="1394"/>
      <c r="T979" s="1394"/>
      <c r="U979" s="1394"/>
      <c r="V979" s="1394"/>
      <c r="W979" s="1394"/>
      <c r="X979" s="1394"/>
      <c r="Y979" s="1394"/>
      <c r="Z979" s="1394"/>
      <c r="AA979" s="1394"/>
      <c r="AB979" s="1394"/>
      <c r="AC979" s="1394"/>
      <c r="AD979" s="1394"/>
      <c r="AE979" s="1394"/>
      <c r="AF979" s="1394"/>
      <c r="AG979" s="1394"/>
      <c r="AH979" s="1394"/>
      <c r="AI979" s="1394"/>
      <c r="AJ979" s="1394"/>
      <c r="AK979" s="1394"/>
      <c r="AL979" s="1394"/>
      <c r="AM979" s="1394"/>
      <c r="AN979" s="1394"/>
      <c r="AO979" s="1394"/>
      <c r="AP979" s="1394"/>
      <c r="AQ979" s="1394"/>
      <c r="AR979" s="1394"/>
      <c r="AS979" s="1394"/>
      <c r="AT979" s="139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94"/>
      <c r="B980" s="1394"/>
      <c r="C980" s="1394"/>
      <c r="D980" s="1394"/>
      <c r="E980" s="1394"/>
      <c r="F980" s="1394"/>
      <c r="G980" s="1394"/>
      <c r="H980" s="1394"/>
      <c r="I980" s="1394"/>
      <c r="J980" s="1394"/>
      <c r="K980" s="1394"/>
      <c r="L980" s="1394"/>
      <c r="M980" s="1394"/>
      <c r="N980" s="1394"/>
      <c r="O980" s="1394"/>
      <c r="P980" s="1394"/>
      <c r="Q980" s="1394"/>
      <c r="R980" s="1394"/>
      <c r="S980" s="1394"/>
      <c r="T980" s="1394"/>
      <c r="U980" s="1394"/>
      <c r="V980" s="1394"/>
      <c r="W980" s="1394"/>
      <c r="X980" s="1394"/>
      <c r="Y980" s="1394"/>
      <c r="Z980" s="1394"/>
      <c r="AA980" s="1394"/>
      <c r="AB980" s="1394"/>
      <c r="AC980" s="1394"/>
      <c r="AD980" s="1394"/>
      <c r="AE980" s="1394"/>
      <c r="AF980" s="1394"/>
      <c r="AG980" s="1394"/>
      <c r="AH980" s="1394"/>
      <c r="AI980" s="1394"/>
      <c r="AJ980" s="1394"/>
      <c r="AK980" s="1394"/>
      <c r="AL980" s="1394"/>
      <c r="AM980" s="1394"/>
      <c r="AN980" s="1394"/>
      <c r="AO980" s="1394"/>
      <c r="AP980" s="1394"/>
      <c r="AQ980" s="1394"/>
      <c r="AR980" s="1394"/>
      <c r="AS980" s="1394"/>
      <c r="AT980" s="139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391" t="s">
        <v>647</v>
      </c>
      <c r="E984" s="1392"/>
      <c r="F984" s="1392"/>
      <c r="G984" s="1392"/>
      <c r="H984" s="1392"/>
      <c r="I984" s="1392"/>
      <c r="J984" s="1392"/>
      <c r="K984" s="1392"/>
      <c r="L984" s="1392"/>
      <c r="M984" s="1392"/>
      <c r="N984" s="1392"/>
      <c r="O984" s="1392"/>
      <c r="P984" s="1392"/>
      <c r="Q984" s="1393"/>
      <c r="R984" s="1391" t="s">
        <v>648</v>
      </c>
      <c r="S984" s="1392"/>
      <c r="T984" s="1392"/>
      <c r="U984" s="1392"/>
      <c r="V984" s="1392"/>
      <c r="W984" s="1392"/>
      <c r="X984" s="1392"/>
      <c r="Y984" s="1392"/>
      <c r="Z984" s="1392"/>
      <c r="AA984" s="1393"/>
      <c r="AB984" s="1391" t="s">
        <v>649</v>
      </c>
      <c r="AC984" s="1392"/>
      <c r="AD984" s="1392"/>
      <c r="AE984" s="1392"/>
      <c r="AF984" s="1392"/>
      <c r="AG984" s="1392"/>
      <c r="AH984" s="1392"/>
      <c r="AI984" s="1393"/>
      <c r="AJ984" s="1391" t="s">
        <v>650</v>
      </c>
      <c r="AK984" s="1392"/>
      <c r="AL984" s="1392"/>
      <c r="AM984" s="1392"/>
      <c r="AN984" s="1392"/>
      <c r="AO984" s="1392"/>
      <c r="AP984" s="1392"/>
      <c r="AQ984" s="139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65" t="s">
        <v>642</v>
      </c>
      <c r="E985" s="1366"/>
      <c r="F985" s="1366"/>
      <c r="G985" s="1366"/>
      <c r="H985" s="1366"/>
      <c r="I985" s="1366"/>
      <c r="J985" s="1366"/>
      <c r="K985" s="1366"/>
      <c r="L985" s="1366"/>
      <c r="M985" s="1366"/>
      <c r="N985" s="1366"/>
      <c r="O985" s="1366"/>
      <c r="P985" s="1366"/>
      <c r="Q985" s="1367"/>
      <c r="R985" s="1368">
        <f>IF(ISNA(IF($BN$796="4%",(INDEX($BP$806:$BT$863,MATCH($CB$796,$BO$806:$BO$863,0),MATCH(D985,$BP$805:$BT$805,0))),(INDEX($BW$806:$CA$863,MATCH($CB$796,$BV$806:$BV$863,0),MATCH(D985,$BW$805:$CA$805,0))))),0,IF($BN$796="4%",(INDEX($BP$806:$BT$863,MATCH($CB$796,$BO$806:$BO$863,0),MATCH(D985,$BP$805:$BT$805,0))),(INDEX($BW$806:$CA$863,MATCH($CB$796,$BV$806:$BV$863,0),MATCH(D985,$BW$805:$CA$805,0)))))</f>
        <v>532060</v>
      </c>
      <c r="S985" s="1368"/>
      <c r="T985" s="1368"/>
      <c r="U985" s="1368"/>
      <c r="V985" s="1368"/>
      <c r="W985" s="1368"/>
      <c r="X985" s="1368"/>
      <c r="Y985" s="1368"/>
      <c r="Z985" s="1368"/>
      <c r="AA985" s="1368"/>
      <c r="AB985" s="1362">
        <f>BN660</f>
        <v>0</v>
      </c>
      <c r="AC985" s="1363"/>
      <c r="AD985" s="1363"/>
      <c r="AE985" s="1363"/>
      <c r="AF985" s="1363"/>
      <c r="AG985" s="1363"/>
      <c r="AH985" s="1363"/>
      <c r="AI985" s="1364"/>
      <c r="AJ985" s="1461">
        <f>IF(ISERROR((R985*AB985)),0,(R985*AB985))</f>
        <v>0</v>
      </c>
      <c r="AK985" s="1462"/>
      <c r="AL985" s="1462"/>
      <c r="AM985" s="1462"/>
      <c r="AN985" s="1462"/>
      <c r="AO985" s="1462"/>
      <c r="AP985" s="1462"/>
      <c r="AQ985" s="146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65" t="s">
        <v>326</v>
      </c>
      <c r="E986" s="1366"/>
      <c r="F986" s="1366"/>
      <c r="G986" s="1366"/>
      <c r="H986" s="1366"/>
      <c r="I986" s="1366"/>
      <c r="J986" s="1366"/>
      <c r="K986" s="1366"/>
      <c r="L986" s="1366"/>
      <c r="M986" s="1366"/>
      <c r="N986" s="1366"/>
      <c r="O986" s="1366"/>
      <c r="P986" s="1366"/>
      <c r="Q986" s="1367"/>
      <c r="R986" s="1368">
        <f>IF(ISNA(IF($BN$796="4%",(INDEX($BP$806:$BT$863,MATCH($CB$796,$BO$806:$BO$863,0),MATCH(D986,$BP$805:$BT$805,0))),(INDEX($BW$806:$CA$863,MATCH($CB$796,$BV$806:$BV$863,0),MATCH(D986,$BW$805:$CA$805,0))))),0,IF($BN$796="4%",(INDEX($BP$806:$BT$863,MATCH($CB$796,$BO$806:$BO$863,0),MATCH(D986,$BP$805:$BT$805,0))),(INDEX($BW$806:$CA$863,MATCH($CB$796,$BV$806:$BV$863,0),MATCH(D986,$BW$805:$CA$805,0)))))</f>
        <v>613460</v>
      </c>
      <c r="S986" s="1368"/>
      <c r="T986" s="1368"/>
      <c r="U986" s="1368"/>
      <c r="V986" s="1368"/>
      <c r="W986" s="1368"/>
      <c r="X986" s="1368"/>
      <c r="Y986" s="1368"/>
      <c r="Z986" s="1368"/>
      <c r="AA986" s="1368"/>
      <c r="AB986" s="1362">
        <f>BS660</f>
        <v>80</v>
      </c>
      <c r="AC986" s="1363"/>
      <c r="AD986" s="1363"/>
      <c r="AE986" s="1363"/>
      <c r="AF986" s="1363"/>
      <c r="AG986" s="1363"/>
      <c r="AH986" s="1363"/>
      <c r="AI986" s="1364"/>
      <c r="AJ986" s="1461">
        <f>IF(ISERROR((R986*AB986)),0,(R986*AB986))</f>
        <v>49076800</v>
      </c>
      <c r="AK986" s="1462"/>
      <c r="AL986" s="1462"/>
      <c r="AM986" s="1462"/>
      <c r="AN986" s="1462"/>
      <c r="AO986" s="1462"/>
      <c r="AP986" s="1462"/>
      <c r="AQ986" s="146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65" t="s">
        <v>163</v>
      </c>
      <c r="E987" s="1366"/>
      <c r="F987" s="1366"/>
      <c r="G987" s="1366"/>
      <c r="H987" s="1366"/>
      <c r="I987" s="1366"/>
      <c r="J987" s="1366"/>
      <c r="K987" s="1366"/>
      <c r="L987" s="1366"/>
      <c r="M987" s="1366"/>
      <c r="N987" s="1366"/>
      <c r="O987" s="1366"/>
      <c r="P987" s="1366"/>
      <c r="Q987" s="1367"/>
      <c r="R987" s="1368">
        <f>IF(ISNA(IF($BN$796="4%",(INDEX($BP$806:$BT$863,MATCH($CB$796,$BO$806:$BO$863,0),MATCH(D987,$BP$805:$BT$805,0))),(INDEX($BW$806:$CA$863,MATCH($CB$796,$BV$806:$BV$863,0),MATCH(D987,$BW$805:$CA$805,0))))),0,IF($BN$796="4%",(INDEX($BP$806:$BT$863,MATCH($CB$796,$BO$806:$BO$863,0),MATCH(D987,$BP$805:$BT$805,0))),(INDEX($BW$806:$CA$863,MATCH($CB$796,$BV$806:$BV$863,0),MATCH(D987,$BW$805:$CA$805,0)))))</f>
        <v>740000</v>
      </c>
      <c r="S987" s="1368"/>
      <c r="T987" s="1368"/>
      <c r="U987" s="1368"/>
      <c r="V987" s="1368"/>
      <c r="W987" s="1368"/>
      <c r="X987" s="1368"/>
      <c r="Y987" s="1368"/>
      <c r="Z987" s="1368"/>
      <c r="AA987" s="1368"/>
      <c r="AB987" s="1362">
        <f>BX660</f>
        <v>80</v>
      </c>
      <c r="AC987" s="1363"/>
      <c r="AD987" s="1363"/>
      <c r="AE987" s="1363"/>
      <c r="AF987" s="1363"/>
      <c r="AG987" s="1363"/>
      <c r="AH987" s="1363"/>
      <c r="AI987" s="1364"/>
      <c r="AJ987" s="1461">
        <f>IF(ISERROR((R987*AB987)),0,(R987*AB987))</f>
        <v>59200000</v>
      </c>
      <c r="AK987" s="1462"/>
      <c r="AL987" s="1462"/>
      <c r="AM987" s="1462"/>
      <c r="AN987" s="1462"/>
      <c r="AO987" s="1462"/>
      <c r="AP987" s="1462"/>
      <c r="AQ987" s="146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65" t="s">
        <v>164</v>
      </c>
      <c r="E988" s="1366"/>
      <c r="F988" s="1366"/>
      <c r="G988" s="1366"/>
      <c r="H988" s="1366"/>
      <c r="I988" s="1366"/>
      <c r="J988" s="1366"/>
      <c r="K988" s="1366"/>
      <c r="L988" s="1366"/>
      <c r="M988" s="1366"/>
      <c r="N988" s="1366"/>
      <c r="O988" s="1366"/>
      <c r="P988" s="1366"/>
      <c r="Q988" s="1367"/>
      <c r="R988" s="1368">
        <f>IF(ISNA(IF($BN$796="4%",(INDEX($BP$806:$BT$863,MATCH($CB$796,$BO$806:$BO$863,0),MATCH(D988,$BP$805:$BT$805,0))),(INDEX($BW$806:$CA$863,MATCH($CB$796,$BV$806:$BV$863,0),MATCH(D988,$BW$805:$CA$805,0))))),0,IF($BN$796="4%",(INDEX($BP$806:$BT$863,MATCH($CB$796,$BO$806:$BO$863,0),MATCH(D988,$BP$805:$BT$805,0))),(INDEX($BW$806:$CA$863,MATCH($CB$796,$BV$806:$BV$863,0),MATCH(D988,$BW$805:$CA$805,0)))))</f>
        <v>947200</v>
      </c>
      <c r="S988" s="1368"/>
      <c r="T988" s="1368"/>
      <c r="U988" s="1368"/>
      <c r="V988" s="1368"/>
      <c r="W988" s="1368"/>
      <c r="X988" s="1368"/>
      <c r="Y988" s="1368"/>
      <c r="Z988" s="1368"/>
      <c r="AA988" s="1368"/>
      <c r="AB988" s="1362">
        <f>CC660</f>
        <v>0</v>
      </c>
      <c r="AC988" s="1363"/>
      <c r="AD988" s="1363"/>
      <c r="AE988" s="1363"/>
      <c r="AF988" s="1363"/>
      <c r="AG988" s="1363"/>
      <c r="AH988" s="1363"/>
      <c r="AI988" s="1364"/>
      <c r="AJ988" s="1461">
        <f>IF(ISERROR((R988*AB988)),0,(R988*AB988))</f>
        <v>0</v>
      </c>
      <c r="AK988" s="1462"/>
      <c r="AL988" s="1462"/>
      <c r="AM988" s="1462"/>
      <c r="AN988" s="1462"/>
      <c r="AO988" s="1462"/>
      <c r="AP988" s="1462"/>
      <c r="AQ988" s="146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65" t="s">
        <v>469</v>
      </c>
      <c r="E989" s="1366"/>
      <c r="F989" s="1366"/>
      <c r="G989" s="1366"/>
      <c r="H989" s="1366"/>
      <c r="I989" s="1366"/>
      <c r="J989" s="1366"/>
      <c r="K989" s="1366"/>
      <c r="L989" s="1366"/>
      <c r="M989" s="1366"/>
      <c r="N989" s="1366"/>
      <c r="O989" s="1366"/>
      <c r="P989" s="1366"/>
      <c r="Q989" s="1367"/>
      <c r="R989" s="1368">
        <f>IF(ISNA(IF($BN$796="4%",(INDEX($BP$806:$BT$863,MATCH($CB$796,$BO$806:$BO$863,0),MATCH(D989,$BP$805:$BT$805,0))),(INDEX($BW$806:$CA$863,MATCH($CB$796,$BV$806:$BV$863,0),MATCH(D989,$BW$805:$CA$805,0))))),0,IF($BN$796="4%",(INDEX($BP$806:$BT$863,MATCH($CB$796,$BO$806:$BO$863,0),MATCH(D989,$BP$805:$BT$805,0))),(INDEX($BW$806:$CA$863,MATCH($CB$796,$BV$806:$BV$863,0),MATCH(D989,$BW$805:$CA$805,0)))))</f>
        <v>1055240</v>
      </c>
      <c r="S989" s="1368"/>
      <c r="T989" s="1368"/>
      <c r="U989" s="1368"/>
      <c r="V989" s="1368"/>
      <c r="W989" s="1368"/>
      <c r="X989" s="1368"/>
      <c r="Y989" s="1368"/>
      <c r="Z989" s="1368"/>
      <c r="AA989" s="1368"/>
      <c r="AB989" s="1362">
        <f>CM660+CH660</f>
        <v>0</v>
      </c>
      <c r="AC989" s="1363"/>
      <c r="AD989" s="1363"/>
      <c r="AE989" s="1363"/>
      <c r="AF989" s="1363"/>
      <c r="AG989" s="1363"/>
      <c r="AH989" s="1363"/>
      <c r="AI989" s="1364"/>
      <c r="AJ989" s="1461">
        <f>IF(ISERROR((R989*AB989)),0,(R989*AB989))</f>
        <v>0</v>
      </c>
      <c r="AK989" s="1462"/>
      <c r="AL989" s="1462"/>
      <c r="AM989" s="1462"/>
      <c r="AN989" s="1462"/>
      <c r="AO989" s="1462"/>
      <c r="AP989" s="1462"/>
      <c r="AQ989" s="146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7" t="s">
        <v>801</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362">
        <f>SUM(AB985:AI989)</f>
        <v>160</v>
      </c>
      <c r="AC990" s="1363"/>
      <c r="AD990" s="1363"/>
      <c r="AE990" s="1363"/>
      <c r="AF990" s="1363"/>
      <c r="AG990" s="1363"/>
      <c r="AH990" s="1363"/>
      <c r="AI990" s="1364"/>
      <c r="AJ990" s="1461"/>
      <c r="AK990" s="1462"/>
      <c r="AL990" s="1462"/>
      <c r="AM990" s="1462"/>
      <c r="AN990" s="1462"/>
      <c r="AO990" s="1462"/>
      <c r="AP990" s="1462"/>
      <c r="AQ990" s="146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09" t="s">
        <v>521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0"/>
      <c r="AB991" s="1610"/>
      <c r="AC991" s="1610"/>
      <c r="AD991" s="1610"/>
      <c r="AE991" s="1610"/>
      <c r="AF991" s="1610"/>
      <c r="AG991" s="1610"/>
      <c r="AH991" s="1610"/>
      <c r="AI991" s="1611"/>
      <c r="AJ991" s="1461">
        <f>SUM(AJ985:AQ989)</f>
        <v>108276800</v>
      </c>
      <c r="AK991" s="1462"/>
      <c r="AL991" s="1462"/>
      <c r="AM991" s="1462"/>
      <c r="AN991" s="1462"/>
      <c r="AO991" s="1462"/>
      <c r="AP991" s="1462"/>
      <c r="AQ991" s="146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75"/>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7"/>
      <c r="AF992" s="1581" t="s">
        <v>675</v>
      </c>
      <c r="AG992" s="1582"/>
      <c r="AH992" s="1582"/>
      <c r="AI992" s="1583"/>
      <c r="AJ992" s="1575"/>
      <c r="AK992" s="1576"/>
      <c r="AL992" s="1576"/>
      <c r="AM992" s="1576"/>
      <c r="AN992" s="1576"/>
      <c r="AO992" s="1576"/>
      <c r="AP992" s="1576"/>
      <c r="AQ992" s="157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86" t="s">
        <v>1327</v>
      </c>
      <c r="E993" s="1587"/>
      <c r="F993" s="1587"/>
      <c r="G993" s="1587"/>
      <c r="H993" s="1587"/>
      <c r="I993" s="1587"/>
      <c r="J993" s="1587"/>
      <c r="K993" s="1587"/>
      <c r="L993" s="1587"/>
      <c r="M993" s="1587"/>
      <c r="N993" s="1587"/>
      <c r="O993" s="1587"/>
      <c r="P993" s="1587"/>
      <c r="Q993" s="1587"/>
      <c r="R993" s="1587"/>
      <c r="S993" s="1587"/>
      <c r="T993" s="1587"/>
      <c r="U993" s="1587"/>
      <c r="V993" s="1587"/>
      <c r="W993" s="1587"/>
      <c r="X993" s="1587"/>
      <c r="Y993" s="1587"/>
      <c r="Z993" s="1587"/>
      <c r="AA993" s="1587"/>
      <c r="AB993" s="1587"/>
      <c r="AC993" s="1587"/>
      <c r="AD993" s="1587"/>
      <c r="AE993" s="1588"/>
      <c r="AF993" s="79"/>
      <c r="AG993" s="1584" t="s">
        <v>678</v>
      </c>
      <c r="AH993" s="1585"/>
      <c r="AI993" s="87"/>
      <c r="AJ993" s="1400">
        <f>ROUND(IF(AND(AG993="yes",D999&gt;0),AJ991*0.2,0),0)</f>
        <v>0</v>
      </c>
      <c r="AK993" s="1401"/>
      <c r="AL993" s="1401"/>
      <c r="AM993" s="1401"/>
      <c r="AN993" s="1401"/>
      <c r="AO993" s="1401"/>
      <c r="AP993" s="1401"/>
      <c r="AQ993" s="140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77" t="s">
        <v>2571</v>
      </c>
      <c r="E994" s="1478"/>
      <c r="F994" s="1478"/>
      <c r="G994" s="1478"/>
      <c r="H994" s="1478"/>
      <c r="I994" s="1478"/>
      <c r="J994" s="1478"/>
      <c r="K994" s="1478"/>
      <c r="L994" s="1478"/>
      <c r="M994" s="1478"/>
      <c r="N994" s="1478"/>
      <c r="O994" s="1478"/>
      <c r="P994" s="1478"/>
      <c r="Q994" s="1478"/>
      <c r="R994" s="1478"/>
      <c r="S994" s="1478"/>
      <c r="T994" s="1478"/>
      <c r="U994" s="1478"/>
      <c r="V994" s="1478"/>
      <c r="W994" s="1478"/>
      <c r="X994" s="1478"/>
      <c r="Y994" s="1478"/>
      <c r="Z994" s="1478"/>
      <c r="AA994" s="1478"/>
      <c r="AB994" s="1478"/>
      <c r="AC994" s="1478"/>
      <c r="AD994" s="1478"/>
      <c r="AE994" s="1479"/>
      <c r="AF994" s="73"/>
      <c r="AG994" s="14"/>
      <c r="AH994" s="14"/>
      <c r="AI994" s="83"/>
      <c r="AJ994" s="1403"/>
      <c r="AK994" s="1404"/>
      <c r="AL994" s="1404"/>
      <c r="AM994" s="1404"/>
      <c r="AN994" s="1404"/>
      <c r="AO994" s="1404"/>
      <c r="AP994" s="1404"/>
      <c r="AQ994" s="140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77"/>
      <c r="E995" s="1478"/>
      <c r="F995" s="1478"/>
      <c r="G995" s="1478"/>
      <c r="H995" s="1478"/>
      <c r="I995" s="1478"/>
      <c r="J995" s="1478"/>
      <c r="K995" s="1478"/>
      <c r="L995" s="1478"/>
      <c r="M995" s="1478"/>
      <c r="N995" s="1478"/>
      <c r="O995" s="1478"/>
      <c r="P995" s="1478"/>
      <c r="Q995" s="1478"/>
      <c r="R995" s="1478"/>
      <c r="S995" s="1478"/>
      <c r="T995" s="1478"/>
      <c r="U995" s="1478"/>
      <c r="V995" s="1478"/>
      <c r="W995" s="1478"/>
      <c r="X995" s="1478"/>
      <c r="Y995" s="1478"/>
      <c r="Z995" s="1478"/>
      <c r="AA995" s="1478"/>
      <c r="AB995" s="1478"/>
      <c r="AC995" s="1478"/>
      <c r="AD995" s="1478"/>
      <c r="AE995" s="1479"/>
      <c r="AF995" s="73"/>
      <c r="AG995" s="14"/>
      <c r="AH995" s="14"/>
      <c r="AI995" s="83"/>
      <c r="AJ995" s="1403"/>
      <c r="AK995" s="1404"/>
      <c r="AL995" s="1404"/>
      <c r="AM995" s="1404"/>
      <c r="AN995" s="1404"/>
      <c r="AO995" s="1404"/>
      <c r="AP995" s="1404"/>
      <c r="AQ995" s="140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77"/>
      <c r="E996" s="1478"/>
      <c r="F996" s="1478"/>
      <c r="G996" s="1478"/>
      <c r="H996" s="1478"/>
      <c r="I996" s="1478"/>
      <c r="J996" s="1478"/>
      <c r="K996" s="1478"/>
      <c r="L996" s="1478"/>
      <c r="M996" s="1478"/>
      <c r="N996" s="1478"/>
      <c r="O996" s="1478"/>
      <c r="P996" s="1478"/>
      <c r="Q996" s="1478"/>
      <c r="R996" s="1478"/>
      <c r="S996" s="1478"/>
      <c r="T996" s="1478"/>
      <c r="U996" s="1478"/>
      <c r="V996" s="1478"/>
      <c r="W996" s="1478"/>
      <c r="X996" s="1478"/>
      <c r="Y996" s="1478"/>
      <c r="Z996" s="1478"/>
      <c r="AA996" s="1478"/>
      <c r="AB996" s="1478"/>
      <c r="AC996" s="1478"/>
      <c r="AD996" s="1478"/>
      <c r="AE996" s="1479"/>
      <c r="AF996" s="73"/>
      <c r="AG996" s="14"/>
      <c r="AH996" s="14"/>
      <c r="AI996" s="83"/>
      <c r="AJ996" s="1403"/>
      <c r="AK996" s="1404"/>
      <c r="AL996" s="1404"/>
      <c r="AM996" s="1404"/>
      <c r="AN996" s="1404"/>
      <c r="AO996" s="1404"/>
      <c r="AP996" s="1404"/>
      <c r="AQ996" s="140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77"/>
      <c r="E997" s="1478"/>
      <c r="F997" s="1478"/>
      <c r="G997" s="1478"/>
      <c r="H997" s="1478"/>
      <c r="I997" s="1478"/>
      <c r="J997" s="1478"/>
      <c r="K997" s="1478"/>
      <c r="L997" s="1478"/>
      <c r="M997" s="1478"/>
      <c r="N997" s="1478"/>
      <c r="O997" s="1478"/>
      <c r="P997" s="1478"/>
      <c r="Q997" s="1478"/>
      <c r="R997" s="1478"/>
      <c r="S997" s="1478"/>
      <c r="T997" s="1478"/>
      <c r="U997" s="1478"/>
      <c r="V997" s="1478"/>
      <c r="W997" s="1478"/>
      <c r="X997" s="1478"/>
      <c r="Y997" s="1478"/>
      <c r="Z997" s="1478"/>
      <c r="AA997" s="1478"/>
      <c r="AB997" s="1478"/>
      <c r="AC997" s="1478"/>
      <c r="AD997" s="1478"/>
      <c r="AE997" s="1479"/>
      <c r="AF997" s="73"/>
      <c r="AG997" s="14"/>
      <c r="AH997" s="14"/>
      <c r="AI997" s="83"/>
      <c r="AJ997" s="1403"/>
      <c r="AK997" s="1404"/>
      <c r="AL997" s="1404"/>
      <c r="AM997" s="1404"/>
      <c r="AN997" s="1404"/>
      <c r="AO997" s="1404"/>
      <c r="AP997" s="1404"/>
      <c r="AQ997" s="140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480" t="s">
        <v>2572</v>
      </c>
      <c r="E998" s="1481"/>
      <c r="F998" s="1481"/>
      <c r="G998" s="1481"/>
      <c r="H998" s="1481"/>
      <c r="I998" s="1481"/>
      <c r="J998" s="1481"/>
      <c r="K998" s="1481"/>
      <c r="L998" s="1481"/>
      <c r="M998" s="1481"/>
      <c r="N998" s="1481"/>
      <c r="O998" s="1481"/>
      <c r="P998" s="1481"/>
      <c r="Q998" s="1481"/>
      <c r="R998" s="1481"/>
      <c r="S998" s="1481"/>
      <c r="T998" s="1481"/>
      <c r="U998" s="1481"/>
      <c r="V998" s="1481"/>
      <c r="W998" s="1481"/>
      <c r="X998" s="1481"/>
      <c r="Y998" s="1481"/>
      <c r="Z998" s="1481"/>
      <c r="AA998" s="1481"/>
      <c r="AB998" s="1481"/>
      <c r="AC998" s="1481"/>
      <c r="AD998" s="1481"/>
      <c r="AE998" s="1482"/>
      <c r="AF998" s="73"/>
      <c r="AG998" s="14"/>
      <c r="AH998" s="14"/>
      <c r="AI998" s="83"/>
      <c r="AJ998" s="1403"/>
      <c r="AK998" s="1404"/>
      <c r="AL998" s="1404"/>
      <c r="AM998" s="1404"/>
      <c r="AN998" s="1404"/>
      <c r="AO998" s="1404"/>
      <c r="AP998" s="1404"/>
      <c r="AQ998" s="140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20"/>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77"/>
      <c r="AG999" s="7"/>
      <c r="AH999" s="7"/>
      <c r="AI999" s="78"/>
      <c r="AJ999" s="1406"/>
      <c r="AK999" s="1407"/>
      <c r="AL999" s="1407"/>
      <c r="AM999" s="1407"/>
      <c r="AN999" s="1407"/>
      <c r="AO999" s="1407"/>
      <c r="AP999" s="1407"/>
      <c r="AQ999" s="140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78" t="s">
        <v>1397</v>
      </c>
      <c r="E1000" s="1579"/>
      <c r="F1000" s="1579"/>
      <c r="G1000" s="1579"/>
      <c r="H1000" s="1579"/>
      <c r="I1000" s="1579"/>
      <c r="J1000" s="1579"/>
      <c r="K1000" s="1579"/>
      <c r="L1000" s="1579"/>
      <c r="M1000" s="1579"/>
      <c r="N1000" s="1579"/>
      <c r="O1000" s="1579"/>
      <c r="P1000" s="1579"/>
      <c r="Q1000" s="1579"/>
      <c r="R1000" s="1579"/>
      <c r="S1000" s="1579"/>
      <c r="T1000" s="1579"/>
      <c r="U1000" s="1579"/>
      <c r="V1000" s="1579"/>
      <c r="W1000" s="1579"/>
      <c r="X1000" s="1579"/>
      <c r="Y1000" s="1579"/>
      <c r="Z1000" s="1579"/>
      <c r="AA1000" s="1579"/>
      <c r="AB1000" s="1579"/>
      <c r="AC1000" s="1579"/>
      <c r="AD1000" s="1579"/>
      <c r="AE1000" s="1580"/>
      <c r="AF1000" s="79"/>
      <c r="AG1000" s="1395" t="s">
        <v>678</v>
      </c>
      <c r="AH1000" s="1396"/>
      <c r="AI1000" s="87"/>
      <c r="AJ1000" s="1400">
        <f>ROUND(IF(AG1000="yes",AJ991*0.05,0),0)</f>
        <v>0</v>
      </c>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77" t="s">
        <v>1395</v>
      </c>
      <c r="E1001" s="1478"/>
      <c r="F1001" s="1478"/>
      <c r="G1001" s="1478"/>
      <c r="H1001" s="1478"/>
      <c r="I1001" s="1478"/>
      <c r="J1001" s="1478"/>
      <c r="K1001" s="1478"/>
      <c r="L1001" s="1478"/>
      <c r="M1001" s="1478"/>
      <c r="N1001" s="1478"/>
      <c r="O1001" s="1478"/>
      <c r="P1001" s="1478"/>
      <c r="Q1001" s="1478"/>
      <c r="R1001" s="1478"/>
      <c r="S1001" s="1478"/>
      <c r="T1001" s="1478"/>
      <c r="U1001" s="1478"/>
      <c r="V1001" s="1478"/>
      <c r="W1001" s="1478"/>
      <c r="X1001" s="1478"/>
      <c r="Y1001" s="1478"/>
      <c r="Z1001" s="1478"/>
      <c r="AA1001" s="1478"/>
      <c r="AB1001" s="1478"/>
      <c r="AC1001" s="1478"/>
      <c r="AD1001" s="1478"/>
      <c r="AE1001" s="1479"/>
      <c r="AF1001" s="73"/>
      <c r="AG1001" s="14"/>
      <c r="AH1001" s="14"/>
      <c r="AI1001" s="83"/>
      <c r="AJ1001" s="1403"/>
      <c r="AK1001" s="1404"/>
      <c r="AL1001" s="1404"/>
      <c r="AM1001" s="1404"/>
      <c r="AN1001" s="1404"/>
      <c r="AO1001" s="1404"/>
      <c r="AP1001" s="1404"/>
      <c r="AQ1001" s="140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77"/>
      <c r="E1002" s="1478"/>
      <c r="F1002" s="1478"/>
      <c r="G1002" s="1478"/>
      <c r="H1002" s="1478"/>
      <c r="I1002" s="1478"/>
      <c r="J1002" s="1478"/>
      <c r="K1002" s="1478"/>
      <c r="L1002" s="1478"/>
      <c r="M1002" s="1478"/>
      <c r="N1002" s="1478"/>
      <c r="O1002" s="1478"/>
      <c r="P1002" s="1478"/>
      <c r="Q1002" s="1478"/>
      <c r="R1002" s="1478"/>
      <c r="S1002" s="1478"/>
      <c r="T1002" s="1478"/>
      <c r="U1002" s="1478"/>
      <c r="V1002" s="1478"/>
      <c r="W1002" s="1478"/>
      <c r="X1002" s="1478"/>
      <c r="Y1002" s="1478"/>
      <c r="Z1002" s="1478"/>
      <c r="AA1002" s="1478"/>
      <c r="AB1002" s="1478"/>
      <c r="AC1002" s="1478"/>
      <c r="AD1002" s="1478"/>
      <c r="AE1002" s="1479"/>
      <c r="AF1002" s="73"/>
      <c r="AG1002" s="14"/>
      <c r="AH1002" s="14"/>
      <c r="AI1002" s="83"/>
      <c r="AJ1002" s="1403"/>
      <c r="AK1002" s="1404"/>
      <c r="AL1002" s="1404"/>
      <c r="AM1002" s="1404"/>
      <c r="AN1002" s="1404"/>
      <c r="AO1002" s="1404"/>
      <c r="AP1002" s="1404"/>
      <c r="AQ1002" s="1405"/>
      <c r="AR1002" s="68"/>
      <c r="AS1002" s="68"/>
      <c r="AT1002" s="68"/>
      <c r="AU1002" s="68"/>
      <c r="AV1002" s="68"/>
      <c r="AW1002" s="68"/>
      <c r="AX1002" s="68"/>
      <c r="AY1002" s="949">
        <f>G753+O797</f>
        <v>159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77"/>
      <c r="E1003" s="1478"/>
      <c r="F1003" s="1478"/>
      <c r="G1003" s="1478"/>
      <c r="H1003" s="1478"/>
      <c r="I1003" s="1478"/>
      <c r="J1003" s="1478"/>
      <c r="K1003" s="1478"/>
      <c r="L1003" s="1478"/>
      <c r="M1003" s="1478"/>
      <c r="N1003" s="1478"/>
      <c r="O1003" s="1478"/>
      <c r="P1003" s="1478"/>
      <c r="Q1003" s="1478"/>
      <c r="R1003" s="1478"/>
      <c r="S1003" s="1478"/>
      <c r="T1003" s="1478"/>
      <c r="U1003" s="1478"/>
      <c r="V1003" s="1478"/>
      <c r="W1003" s="1478"/>
      <c r="X1003" s="1478"/>
      <c r="Y1003" s="1478"/>
      <c r="Z1003" s="1478"/>
      <c r="AA1003" s="1478"/>
      <c r="AB1003" s="1478"/>
      <c r="AC1003" s="1478"/>
      <c r="AD1003" s="1478"/>
      <c r="AE1003" s="1479"/>
      <c r="AF1003" s="73"/>
      <c r="AG1003" s="14"/>
      <c r="AH1003" s="14"/>
      <c r="AI1003" s="83"/>
      <c r="AJ1003" s="1403"/>
      <c r="AK1003" s="1404"/>
      <c r="AL1003" s="1404"/>
      <c r="AM1003" s="1404"/>
      <c r="AN1003" s="1404"/>
      <c r="AO1003" s="1404"/>
      <c r="AP1003" s="1404"/>
      <c r="AQ1003" s="140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77"/>
      <c r="E1004" s="1478"/>
      <c r="F1004" s="1478"/>
      <c r="G1004" s="1478"/>
      <c r="H1004" s="1478"/>
      <c r="I1004" s="1478"/>
      <c r="J1004" s="1478"/>
      <c r="K1004" s="1478"/>
      <c r="L1004" s="1478"/>
      <c r="M1004" s="1478"/>
      <c r="N1004" s="1478"/>
      <c r="O1004" s="1478"/>
      <c r="P1004" s="1478"/>
      <c r="Q1004" s="1478"/>
      <c r="R1004" s="1478"/>
      <c r="S1004" s="1478"/>
      <c r="T1004" s="1478"/>
      <c r="U1004" s="1478"/>
      <c r="V1004" s="1478"/>
      <c r="W1004" s="1478"/>
      <c r="X1004" s="1478"/>
      <c r="Y1004" s="1478"/>
      <c r="Z1004" s="1478"/>
      <c r="AA1004" s="1478"/>
      <c r="AB1004" s="1478"/>
      <c r="AC1004" s="1478"/>
      <c r="AD1004" s="1478"/>
      <c r="AE1004" s="1479"/>
      <c r="AF1004" s="73"/>
      <c r="AG1004" s="14"/>
      <c r="AH1004" s="14"/>
      <c r="AI1004" s="83"/>
      <c r="AJ1004" s="1403"/>
      <c r="AK1004" s="1404"/>
      <c r="AL1004" s="1404"/>
      <c r="AM1004" s="1404"/>
      <c r="AN1004" s="1404"/>
      <c r="AO1004" s="1404"/>
      <c r="AP1004" s="1404"/>
      <c r="AQ1004" s="1405"/>
      <c r="AR1004" s="68"/>
      <c r="AS1004" s="68"/>
      <c r="AT1004" s="68"/>
      <c r="AU1004" s="68"/>
      <c r="AV1004" s="68"/>
      <c r="AW1004" s="68"/>
      <c r="AX1004" s="68"/>
      <c r="AY1004" s="948">
        <f>ROUNDDOWN(X1047/I1047,2)</f>
        <v>0.93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480"/>
      <c r="E1005" s="1481"/>
      <c r="F1005" s="1481"/>
      <c r="G1005" s="1481"/>
      <c r="H1005" s="1481"/>
      <c r="I1005" s="1481"/>
      <c r="J1005" s="1481"/>
      <c r="K1005" s="1481"/>
      <c r="L1005" s="1481"/>
      <c r="M1005" s="1481"/>
      <c r="N1005" s="1481"/>
      <c r="O1005" s="1481"/>
      <c r="P1005" s="1481"/>
      <c r="Q1005" s="1481"/>
      <c r="R1005" s="1481"/>
      <c r="S1005" s="1481"/>
      <c r="T1005" s="1481"/>
      <c r="U1005" s="1481"/>
      <c r="V1005" s="1481"/>
      <c r="W1005" s="1481"/>
      <c r="X1005" s="1481"/>
      <c r="Y1005" s="1481"/>
      <c r="Z1005" s="1481"/>
      <c r="AA1005" s="1481"/>
      <c r="AB1005" s="1481"/>
      <c r="AC1005" s="1481"/>
      <c r="AD1005" s="1481"/>
      <c r="AE1005" s="1482"/>
      <c r="AF1005" s="77"/>
      <c r="AG1005" s="7"/>
      <c r="AH1005" s="7"/>
      <c r="AI1005" s="78"/>
      <c r="AJ1005" s="1406"/>
      <c r="AK1005" s="1407"/>
      <c r="AL1005" s="1407"/>
      <c r="AM1005" s="1407"/>
      <c r="AN1005" s="1407"/>
      <c r="AO1005" s="1407"/>
      <c r="AP1005" s="1407"/>
      <c r="AQ1005" s="1408"/>
      <c r="AR1005" s="68"/>
      <c r="AS1005" s="68"/>
      <c r="AT1005" s="68"/>
      <c r="AU1005" s="68"/>
      <c r="AV1005" s="68"/>
      <c r="AW1005" s="68"/>
      <c r="AX1005" s="68"/>
      <c r="AY1005" s="948">
        <f>ROUNDDOWN(X1051/I1051,2)</f>
        <v>0.05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78" t="s">
        <v>1874</v>
      </c>
      <c r="E1006" s="1579"/>
      <c r="F1006" s="1579"/>
      <c r="G1006" s="1579"/>
      <c r="H1006" s="1579"/>
      <c r="I1006" s="1579"/>
      <c r="J1006" s="1579"/>
      <c r="K1006" s="1579"/>
      <c r="L1006" s="1579"/>
      <c r="M1006" s="1579"/>
      <c r="N1006" s="1579"/>
      <c r="O1006" s="1579"/>
      <c r="P1006" s="1579"/>
      <c r="Q1006" s="1579"/>
      <c r="R1006" s="1579"/>
      <c r="S1006" s="1579"/>
      <c r="T1006" s="1579"/>
      <c r="U1006" s="1579"/>
      <c r="V1006" s="1579"/>
      <c r="W1006" s="1579"/>
      <c r="X1006" s="1579"/>
      <c r="Y1006" s="1579"/>
      <c r="Z1006" s="1579"/>
      <c r="AA1006" s="1579"/>
      <c r="AB1006" s="1579"/>
      <c r="AC1006" s="1579"/>
      <c r="AD1006" s="1579"/>
      <c r="AE1006" s="1580"/>
      <c r="AF1006" s="86"/>
      <c r="AG1006" s="1395" t="s">
        <v>678</v>
      </c>
      <c r="AH1006" s="1396"/>
      <c r="AI1006" s="87"/>
      <c r="AJ1006" s="1400">
        <f>ROUND(IF(AG1006="yes",AJ991*0.1,0),0)</f>
        <v>0</v>
      </c>
      <c r="AK1006" s="1401"/>
      <c r="AL1006" s="1401"/>
      <c r="AM1006" s="1401"/>
      <c r="AN1006" s="1401"/>
      <c r="AO1006" s="1401"/>
      <c r="AP1006" s="1401"/>
      <c r="AQ1006" s="1402"/>
      <c r="AR1006" s="68"/>
      <c r="AS1006" s="68"/>
      <c r="AT1006" s="68"/>
      <c r="AU1006" s="68"/>
      <c r="AV1006" s="68"/>
      <c r="AW1006" s="68"/>
      <c r="AX1006" s="68"/>
      <c r="BB1006" s="34"/>
      <c r="BD1006" s="34"/>
      <c r="BE1006" s="34"/>
      <c r="BF1006" s="34"/>
    </row>
    <row r="1007" spans="1:157" ht="12.95" customHeight="1">
      <c r="A1007" s="14"/>
      <c r="B1007" s="73"/>
      <c r="C1007" s="74"/>
      <c r="D1007" s="1569" t="s">
        <v>1396</v>
      </c>
      <c r="E1007" s="1570"/>
      <c r="F1007" s="1570"/>
      <c r="G1007" s="1570"/>
      <c r="H1007" s="1570"/>
      <c r="I1007" s="1570"/>
      <c r="J1007" s="1570"/>
      <c r="K1007" s="1570"/>
      <c r="L1007" s="1570"/>
      <c r="M1007" s="1570"/>
      <c r="N1007" s="1570"/>
      <c r="O1007" s="1570"/>
      <c r="P1007" s="1570"/>
      <c r="Q1007" s="1570"/>
      <c r="R1007" s="1570"/>
      <c r="S1007" s="1570"/>
      <c r="T1007" s="1570"/>
      <c r="U1007" s="1570"/>
      <c r="V1007" s="1570"/>
      <c r="W1007" s="1570"/>
      <c r="X1007" s="1570"/>
      <c r="Y1007" s="1570"/>
      <c r="Z1007" s="1570"/>
      <c r="AA1007" s="1570"/>
      <c r="AB1007" s="1570"/>
      <c r="AC1007" s="1570"/>
      <c r="AD1007" s="1570"/>
      <c r="AE1007" s="1571"/>
      <c r="AF1007" s="73"/>
      <c r="AI1007" s="83"/>
      <c r="AJ1007" s="1403"/>
      <c r="AK1007" s="1404"/>
      <c r="AL1007" s="1404"/>
      <c r="AM1007" s="1404"/>
      <c r="AN1007" s="1404"/>
      <c r="AO1007" s="1404"/>
      <c r="AP1007" s="1404"/>
      <c r="AQ1007" s="1405"/>
      <c r="AR1007" s="68"/>
      <c r="AS1007" s="68"/>
      <c r="AT1007" s="68"/>
      <c r="AU1007" s="68"/>
      <c r="AV1007" s="68"/>
      <c r="AW1007" s="68"/>
      <c r="AX1007" s="68"/>
    </row>
    <row r="1008" spans="1:157" ht="12.95" customHeight="1">
      <c r="A1008" s="14"/>
      <c r="B1008" s="73"/>
      <c r="C1008" s="74"/>
      <c r="D1008" s="1569"/>
      <c r="E1008" s="1570"/>
      <c r="F1008" s="1570"/>
      <c r="G1008" s="1570"/>
      <c r="H1008" s="1570"/>
      <c r="I1008" s="1570"/>
      <c r="J1008" s="1570"/>
      <c r="K1008" s="1570"/>
      <c r="L1008" s="1570"/>
      <c r="M1008" s="1570"/>
      <c r="N1008" s="1570"/>
      <c r="O1008" s="1570"/>
      <c r="P1008" s="1570"/>
      <c r="Q1008" s="1570"/>
      <c r="R1008" s="1570"/>
      <c r="S1008" s="1570"/>
      <c r="T1008" s="1570"/>
      <c r="U1008" s="1570"/>
      <c r="V1008" s="1570"/>
      <c r="W1008" s="1570"/>
      <c r="X1008" s="1570"/>
      <c r="Y1008" s="1570"/>
      <c r="Z1008" s="1570"/>
      <c r="AA1008" s="1570"/>
      <c r="AB1008" s="1570"/>
      <c r="AC1008" s="1570"/>
      <c r="AD1008" s="1570"/>
      <c r="AE1008" s="1571"/>
      <c r="AF1008" s="73"/>
      <c r="AG1008" s="14"/>
      <c r="AH1008" s="14"/>
      <c r="AI1008" s="83"/>
      <c r="AJ1008" s="1403"/>
      <c r="AK1008" s="1404"/>
      <c r="AL1008" s="1404"/>
      <c r="AM1008" s="1404"/>
      <c r="AN1008" s="1404"/>
      <c r="AO1008" s="1404"/>
      <c r="AP1008" s="1404"/>
      <c r="AQ1008" s="1405"/>
      <c r="AR1008" s="68"/>
      <c r="AS1008" s="68"/>
      <c r="AT1008" s="68"/>
      <c r="AU1008" s="68"/>
      <c r="AV1008" s="68"/>
      <c r="AW1008" s="68"/>
      <c r="AX1008" s="68"/>
    </row>
    <row r="1009" spans="1:51" ht="12.95" customHeight="1">
      <c r="A1009" s="14"/>
      <c r="B1009" s="85"/>
      <c r="C1009" s="76"/>
      <c r="D1009" s="1589"/>
      <c r="E1009" s="1590"/>
      <c r="F1009" s="1590"/>
      <c r="G1009" s="1590"/>
      <c r="H1009" s="1590"/>
      <c r="I1009" s="1590"/>
      <c r="J1009" s="1590"/>
      <c r="K1009" s="1590"/>
      <c r="L1009" s="1590"/>
      <c r="M1009" s="1590"/>
      <c r="N1009" s="1590"/>
      <c r="O1009" s="1590"/>
      <c r="P1009" s="1590"/>
      <c r="Q1009" s="1590"/>
      <c r="R1009" s="1590"/>
      <c r="S1009" s="1590"/>
      <c r="T1009" s="1590"/>
      <c r="U1009" s="1590"/>
      <c r="V1009" s="1590"/>
      <c r="W1009" s="1590"/>
      <c r="X1009" s="1590"/>
      <c r="Y1009" s="1590"/>
      <c r="Z1009" s="1590"/>
      <c r="AA1009" s="1590"/>
      <c r="AB1009" s="1590"/>
      <c r="AC1009" s="1590"/>
      <c r="AD1009" s="1590"/>
      <c r="AE1009" s="1591"/>
      <c r="AF1009" s="77"/>
      <c r="AG1009" s="7"/>
      <c r="AH1009" s="7"/>
      <c r="AI1009" s="78"/>
      <c r="AJ1009" s="1406"/>
      <c r="AK1009" s="1407"/>
      <c r="AL1009" s="1407"/>
      <c r="AM1009" s="1407"/>
      <c r="AN1009" s="1407"/>
      <c r="AO1009" s="1407"/>
      <c r="AP1009" s="1407"/>
      <c r="AQ1009" s="1408"/>
      <c r="AR1009" s="68"/>
      <c r="AS1009" s="68"/>
      <c r="AT1009" s="68"/>
      <c r="AU1009" s="68"/>
      <c r="AV1009" s="68"/>
      <c r="AW1009" s="68"/>
      <c r="AX1009" s="68"/>
    </row>
    <row r="1010" spans="1:51" ht="12.95" customHeight="1">
      <c r="A1010" s="14"/>
      <c r="B1010" s="79"/>
      <c r="C1010" s="80" t="s">
        <v>213</v>
      </c>
      <c r="D1010" s="1578" t="s">
        <v>1398</v>
      </c>
      <c r="E1010" s="1579"/>
      <c r="F1010" s="1579"/>
      <c r="G1010" s="1579"/>
      <c r="H1010" s="1579"/>
      <c r="I1010" s="1579"/>
      <c r="J1010" s="1579"/>
      <c r="K1010" s="1579"/>
      <c r="L1010" s="1579"/>
      <c r="M1010" s="1579"/>
      <c r="N1010" s="1579"/>
      <c r="O1010" s="1579"/>
      <c r="P1010" s="1579"/>
      <c r="Q1010" s="1579"/>
      <c r="R1010" s="1579"/>
      <c r="S1010" s="1579"/>
      <c r="T1010" s="1579"/>
      <c r="U1010" s="1579"/>
      <c r="V1010" s="1579"/>
      <c r="W1010" s="1579"/>
      <c r="X1010" s="1579"/>
      <c r="Y1010" s="1579"/>
      <c r="Z1010" s="1579"/>
      <c r="AA1010" s="1579"/>
      <c r="AB1010" s="1579"/>
      <c r="AC1010" s="1579"/>
      <c r="AD1010" s="1579"/>
      <c r="AE1010" s="1580"/>
      <c r="AF1010" s="79"/>
      <c r="AG1010" s="1395" t="s">
        <v>678</v>
      </c>
      <c r="AH1010" s="1396"/>
      <c r="AI1010" s="87"/>
      <c r="AJ1010" s="1400">
        <f>ROUND(IF(AG1010="yes",AJ991*0.02,0),0)</f>
        <v>0</v>
      </c>
      <c r="AK1010" s="1401"/>
      <c r="AL1010" s="1401"/>
      <c r="AM1010" s="1401"/>
      <c r="AN1010" s="1401"/>
      <c r="AO1010" s="1401"/>
      <c r="AP1010" s="1401"/>
      <c r="AQ1010" s="1402"/>
      <c r="AR1010" s="68"/>
      <c r="AS1010" s="68"/>
      <c r="AT1010" s="68"/>
      <c r="AU1010" s="68"/>
      <c r="AV1010" s="68"/>
      <c r="AW1010" s="68"/>
      <c r="AX1010" s="68"/>
      <c r="AY1010" s="215">
        <f>IF(SUM(AY1012:AY1020)&lt;=0.1,SUM(AY1012:AY1020),0.1)</f>
        <v>0</v>
      </c>
    </row>
    <row r="1011" spans="1:51" ht="14.25" customHeight="1">
      <c r="A1011" s="14"/>
      <c r="B1011" s="73"/>
      <c r="C1011" s="74"/>
      <c r="D1011" s="1589" t="s">
        <v>1399</v>
      </c>
      <c r="E1011" s="1590"/>
      <c r="F1011" s="1590"/>
      <c r="G1011" s="1590"/>
      <c r="H1011" s="1590"/>
      <c r="I1011" s="1590"/>
      <c r="J1011" s="1590"/>
      <c r="K1011" s="1590"/>
      <c r="L1011" s="1590"/>
      <c r="M1011" s="1590"/>
      <c r="N1011" s="1590"/>
      <c r="O1011" s="1590"/>
      <c r="P1011" s="1590"/>
      <c r="Q1011" s="1590"/>
      <c r="R1011" s="1590"/>
      <c r="S1011" s="1590"/>
      <c r="T1011" s="1590"/>
      <c r="U1011" s="1590"/>
      <c r="V1011" s="1590"/>
      <c r="W1011" s="1590"/>
      <c r="X1011" s="1590"/>
      <c r="Y1011" s="1590"/>
      <c r="Z1011" s="1590"/>
      <c r="AA1011" s="1590"/>
      <c r="AB1011" s="1590"/>
      <c r="AC1011" s="1590"/>
      <c r="AD1011" s="1590"/>
      <c r="AE1011" s="1591"/>
      <c r="AF1011" s="77"/>
      <c r="AG1011" s="7"/>
      <c r="AH1011" s="7"/>
      <c r="AI1011" s="78"/>
      <c r="AJ1011" s="1406"/>
      <c r="AK1011" s="1407"/>
      <c r="AL1011" s="1407"/>
      <c r="AM1011" s="1407"/>
      <c r="AN1011" s="1407"/>
      <c r="AO1011" s="1407"/>
      <c r="AP1011" s="1407"/>
      <c r="AQ1011" s="1408"/>
      <c r="AR1011" s="68"/>
      <c r="AS1011" s="68"/>
      <c r="AT1011" s="68"/>
      <c r="AU1011" s="68"/>
      <c r="AV1011" s="68"/>
      <c r="AW1011" s="68"/>
      <c r="AX1011" s="68"/>
    </row>
    <row r="1012" spans="1:51" ht="12.95" customHeight="1">
      <c r="A1012" s="14"/>
      <c r="B1012" s="79"/>
      <c r="C1012" s="80" t="s">
        <v>216</v>
      </c>
      <c r="D1012" s="1578" t="s">
        <v>1400</v>
      </c>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80"/>
      <c r="AF1012" s="79"/>
      <c r="AG1012" s="1395" t="s">
        <v>678</v>
      </c>
      <c r="AH1012" s="1396"/>
      <c r="AI1012" s="79"/>
      <c r="AJ1012" s="1400">
        <f>ROUND(IF(AG1012="yes",AJ991*0.02,0),0)</f>
        <v>0</v>
      </c>
      <c r="AK1012" s="1401"/>
      <c r="AL1012" s="1401"/>
      <c r="AM1012" s="1401"/>
      <c r="AN1012" s="1401"/>
      <c r="AO1012" s="1401"/>
      <c r="AP1012" s="1401"/>
      <c r="AQ1012" s="1402"/>
      <c r="AR1012" s="68"/>
      <c r="AS1012" s="68"/>
      <c r="AT1012" s="68"/>
      <c r="AU1012" s="68"/>
      <c r="AV1012" s="68"/>
      <c r="AW1012" s="68"/>
      <c r="AX1012" s="68"/>
      <c r="AY1012" s="213">
        <f>IF(A1064="Yes",0.05,0)</f>
        <v>0</v>
      </c>
    </row>
    <row r="1013" spans="1:51" ht="12.95" customHeight="1">
      <c r="A1013" s="14"/>
      <c r="B1013" s="73"/>
      <c r="C1013" s="74"/>
      <c r="D1013" s="1569" t="s">
        <v>1401</v>
      </c>
      <c r="E1013" s="1570"/>
      <c r="F1013" s="1570"/>
      <c r="G1013" s="1570"/>
      <c r="H1013" s="1570"/>
      <c r="I1013" s="1570"/>
      <c r="J1013" s="1570"/>
      <c r="K1013" s="1570"/>
      <c r="L1013" s="1570"/>
      <c r="M1013" s="1570"/>
      <c r="N1013" s="1570"/>
      <c r="O1013" s="1570"/>
      <c r="P1013" s="1570"/>
      <c r="Q1013" s="1570"/>
      <c r="R1013" s="1570"/>
      <c r="S1013" s="1570"/>
      <c r="T1013" s="1570"/>
      <c r="U1013" s="1570"/>
      <c r="V1013" s="1570"/>
      <c r="W1013" s="1570"/>
      <c r="X1013" s="1570"/>
      <c r="Y1013" s="1570"/>
      <c r="Z1013" s="1570"/>
      <c r="AA1013" s="1570"/>
      <c r="AB1013" s="1570"/>
      <c r="AC1013" s="1570"/>
      <c r="AD1013" s="1570"/>
      <c r="AE1013" s="1571"/>
      <c r="AF1013" s="1470" t="str">
        <f>IF(AND(AG1012="yes",AB212&lt;&gt;1),"The project may not be eligible for this boost","")</f>
        <v/>
      </c>
      <c r="AG1013" s="1471"/>
      <c r="AH1013" s="1471"/>
      <c r="AI1013" s="1472"/>
      <c r="AJ1013" s="1403"/>
      <c r="AK1013" s="1404"/>
      <c r="AL1013" s="1404"/>
      <c r="AM1013" s="1404"/>
      <c r="AN1013" s="1404"/>
      <c r="AO1013" s="1404"/>
      <c r="AP1013" s="1404"/>
      <c r="AQ1013" s="1405"/>
      <c r="AR1013" s="68"/>
      <c r="AS1013" s="68"/>
      <c r="AT1013" s="68"/>
      <c r="AU1013" s="68"/>
      <c r="AV1013" s="68"/>
      <c r="AW1013" s="68"/>
      <c r="AX1013" s="68"/>
      <c r="AY1013" s="213">
        <f>IF(A1070="Yes",0.02,0)</f>
        <v>0</v>
      </c>
    </row>
    <row r="1014" spans="1:51" ht="12.95" customHeight="1">
      <c r="A1014" s="14"/>
      <c r="B1014" s="75"/>
      <c r="C1014" s="76"/>
      <c r="D1014" s="1589"/>
      <c r="E1014" s="1590"/>
      <c r="F1014" s="1590"/>
      <c r="G1014" s="1590"/>
      <c r="H1014" s="1590"/>
      <c r="I1014" s="1590"/>
      <c r="J1014" s="1590"/>
      <c r="K1014" s="1590"/>
      <c r="L1014" s="1590"/>
      <c r="M1014" s="1590"/>
      <c r="N1014" s="1590"/>
      <c r="O1014" s="1590"/>
      <c r="P1014" s="1590"/>
      <c r="Q1014" s="1590"/>
      <c r="R1014" s="1590"/>
      <c r="S1014" s="1590"/>
      <c r="T1014" s="1590"/>
      <c r="U1014" s="1590"/>
      <c r="V1014" s="1590"/>
      <c r="W1014" s="1590"/>
      <c r="X1014" s="1590"/>
      <c r="Y1014" s="1590"/>
      <c r="Z1014" s="1590"/>
      <c r="AA1014" s="1590"/>
      <c r="AB1014" s="1590"/>
      <c r="AC1014" s="1590"/>
      <c r="AD1014" s="1590"/>
      <c r="AE1014" s="1591"/>
      <c r="AF1014" s="1473"/>
      <c r="AG1014" s="1474"/>
      <c r="AH1014" s="1474"/>
      <c r="AI1014" s="1475"/>
      <c r="AJ1014" s="1406"/>
      <c r="AK1014" s="1407"/>
      <c r="AL1014" s="1407"/>
      <c r="AM1014" s="1407"/>
      <c r="AN1014" s="1407"/>
      <c r="AO1014" s="1407"/>
      <c r="AP1014" s="1407"/>
      <c r="AQ1014" s="1408"/>
      <c r="AR1014" s="68"/>
      <c r="AS1014" s="68"/>
      <c r="AT1014" s="68"/>
      <c r="AU1014" s="68"/>
      <c r="AV1014" s="68"/>
      <c r="AW1014" s="68"/>
      <c r="AX1014" s="68"/>
      <c r="AY1014" s="213">
        <f>IF(A1076="Yes",0.04,0)</f>
        <v>0</v>
      </c>
    </row>
    <row r="1015" spans="1:51" ht="12.95" customHeight="1">
      <c r="A1015" s="14"/>
      <c r="B1015" s="79"/>
      <c r="C1015" s="80" t="s">
        <v>219</v>
      </c>
      <c r="D1015" s="1586" t="s">
        <v>1402</v>
      </c>
      <c r="E1015" s="1587"/>
      <c r="F1015" s="1587"/>
      <c r="G1015" s="1587"/>
      <c r="H1015" s="1587"/>
      <c r="I1015" s="1587"/>
      <c r="J1015" s="1587"/>
      <c r="K1015" s="1587"/>
      <c r="L1015" s="1587"/>
      <c r="M1015" s="1587"/>
      <c r="N1015" s="1587"/>
      <c r="O1015" s="1587"/>
      <c r="P1015" s="1587"/>
      <c r="Q1015" s="1587"/>
      <c r="R1015" s="1587"/>
      <c r="S1015" s="1587"/>
      <c r="T1015" s="1587"/>
      <c r="U1015" s="1587"/>
      <c r="V1015" s="1587"/>
      <c r="W1015" s="1587"/>
      <c r="X1015" s="1587"/>
      <c r="Y1015" s="1587"/>
      <c r="Z1015" s="1587"/>
      <c r="AA1015" s="1587"/>
      <c r="AB1015" s="1587"/>
      <c r="AC1015" s="1587"/>
      <c r="AD1015" s="1587"/>
      <c r="AE1015" s="1588"/>
      <c r="AF1015" s="79"/>
      <c r="AG1015" s="1395" t="s">
        <v>678</v>
      </c>
      <c r="AH1015" s="1396"/>
      <c r="AI1015" s="87"/>
      <c r="AJ1015" s="1400">
        <f>IF(AG1015="yes",AJ991*AY1010,0)</f>
        <v>0</v>
      </c>
      <c r="AK1015" s="1401"/>
      <c r="AL1015" s="1401"/>
      <c r="AM1015" s="1401"/>
      <c r="AN1015" s="1401"/>
      <c r="AO1015" s="1401"/>
      <c r="AP1015" s="1401"/>
      <c r="AQ1015" s="1402"/>
      <c r="AR1015" s="68"/>
      <c r="AS1015" s="68"/>
      <c r="AT1015" s="68"/>
      <c r="AU1015" s="68"/>
      <c r="AV1015" s="68"/>
      <c r="AW1015" s="68"/>
      <c r="AX1015" s="68"/>
      <c r="AY1015" s="213">
        <f>IF(A1083="Yes",0.04,0)</f>
        <v>0</v>
      </c>
    </row>
    <row r="1016" spans="1:51" ht="12.95" customHeight="1">
      <c r="A1016" s="14"/>
      <c r="B1016" s="73"/>
      <c r="C1016" s="74"/>
      <c r="D1016" s="1569" t="s">
        <v>1403</v>
      </c>
      <c r="E1016" s="1570"/>
      <c r="F1016" s="1570"/>
      <c r="G1016" s="1570"/>
      <c r="H1016" s="1570"/>
      <c r="I1016" s="1570"/>
      <c r="J1016" s="1570"/>
      <c r="K1016" s="1570"/>
      <c r="L1016" s="1570"/>
      <c r="M1016" s="1570"/>
      <c r="N1016" s="1570"/>
      <c r="O1016" s="1570"/>
      <c r="P1016" s="1570"/>
      <c r="Q1016" s="1570"/>
      <c r="R1016" s="1570"/>
      <c r="S1016" s="1570"/>
      <c r="T1016" s="1570"/>
      <c r="U1016" s="1570"/>
      <c r="V1016" s="1570"/>
      <c r="W1016" s="1570"/>
      <c r="X1016" s="1570"/>
      <c r="Y1016" s="1570"/>
      <c r="Z1016" s="1570"/>
      <c r="AA1016" s="1570"/>
      <c r="AB1016" s="1570"/>
      <c r="AC1016" s="1570"/>
      <c r="AD1016" s="1570"/>
      <c r="AE1016" s="1571"/>
      <c r="AF1016" s="1464" t="str">
        <f>IF(AND(AG1015="Yes",AY1010=0),AY1022,"")</f>
        <v/>
      </c>
      <c r="AG1016" s="1465"/>
      <c r="AH1016" s="1465"/>
      <c r="AI1016" s="1466"/>
      <c r="AJ1016" s="1403"/>
      <c r="AK1016" s="1404"/>
      <c r="AL1016" s="1404"/>
      <c r="AM1016" s="1404"/>
      <c r="AN1016" s="1404"/>
      <c r="AO1016" s="1404"/>
      <c r="AP1016" s="1404"/>
      <c r="AQ1016" s="1405"/>
      <c r="AR1016" s="68"/>
      <c r="AS1016" s="68"/>
      <c r="AT1016" s="68"/>
      <c r="AU1016" s="68"/>
      <c r="AV1016" s="68"/>
      <c r="AW1016" s="68"/>
      <c r="AX1016" s="68"/>
      <c r="AY1016" s="213">
        <f>IF(A1086="Yes",0.01,0)</f>
        <v>0</v>
      </c>
    </row>
    <row r="1017" spans="1:51" ht="12.95" customHeight="1">
      <c r="A1017" s="14"/>
      <c r="B1017" s="73"/>
      <c r="C1017" s="74"/>
      <c r="D1017" s="1569"/>
      <c r="E1017" s="1570"/>
      <c r="F1017" s="1570"/>
      <c r="G1017" s="1570"/>
      <c r="H1017" s="1570"/>
      <c r="I1017" s="1570"/>
      <c r="J1017" s="1570"/>
      <c r="K1017" s="1570"/>
      <c r="L1017" s="1570"/>
      <c r="M1017" s="1570"/>
      <c r="N1017" s="1570"/>
      <c r="O1017" s="1570"/>
      <c r="P1017" s="1570"/>
      <c r="Q1017" s="1570"/>
      <c r="R1017" s="1570"/>
      <c r="S1017" s="1570"/>
      <c r="T1017" s="1570"/>
      <c r="U1017" s="1570"/>
      <c r="V1017" s="1570"/>
      <c r="W1017" s="1570"/>
      <c r="X1017" s="1570"/>
      <c r="Y1017" s="1570"/>
      <c r="Z1017" s="1570"/>
      <c r="AA1017" s="1570"/>
      <c r="AB1017" s="1570"/>
      <c r="AC1017" s="1570"/>
      <c r="AD1017" s="1570"/>
      <c r="AE1017" s="1571"/>
      <c r="AF1017" s="1464"/>
      <c r="AG1017" s="1465"/>
      <c r="AH1017" s="1465"/>
      <c r="AI1017" s="1466"/>
      <c r="AJ1017" s="1403"/>
      <c r="AK1017" s="1404"/>
      <c r="AL1017" s="1404"/>
      <c r="AM1017" s="1404"/>
      <c r="AN1017" s="1404"/>
      <c r="AO1017" s="1404"/>
      <c r="AP1017" s="1404"/>
      <c r="AQ1017" s="1405"/>
      <c r="AR1017" s="68"/>
      <c r="AS1017" s="68"/>
      <c r="AT1017" s="68"/>
      <c r="AU1017" s="68"/>
      <c r="AV1017" s="68"/>
      <c r="AW1017" s="68"/>
      <c r="AX1017" s="68"/>
      <c r="AY1017" s="213">
        <f>IF(A1091="Yes",0.01,0)</f>
        <v>0</v>
      </c>
    </row>
    <row r="1018" spans="1:51" ht="12.95" customHeight="1">
      <c r="A1018" s="14"/>
      <c r="B1018" s="81"/>
      <c r="C1018" s="82"/>
      <c r="D1018" s="1589"/>
      <c r="E1018" s="1590"/>
      <c r="F1018" s="1590"/>
      <c r="G1018" s="1590"/>
      <c r="H1018" s="1590"/>
      <c r="I1018" s="1590"/>
      <c r="J1018" s="1590"/>
      <c r="K1018" s="1590"/>
      <c r="L1018" s="1590"/>
      <c r="M1018" s="1590"/>
      <c r="N1018" s="1590"/>
      <c r="O1018" s="1590"/>
      <c r="P1018" s="1590"/>
      <c r="Q1018" s="1590"/>
      <c r="R1018" s="1590"/>
      <c r="S1018" s="1590"/>
      <c r="T1018" s="1590"/>
      <c r="U1018" s="1590"/>
      <c r="V1018" s="1590"/>
      <c r="W1018" s="1590"/>
      <c r="X1018" s="1590"/>
      <c r="Y1018" s="1590"/>
      <c r="Z1018" s="1590"/>
      <c r="AA1018" s="1590"/>
      <c r="AB1018" s="1590"/>
      <c r="AC1018" s="1590"/>
      <c r="AD1018" s="1590"/>
      <c r="AE1018" s="1591"/>
      <c r="AF1018" s="1467"/>
      <c r="AG1018" s="1468"/>
      <c r="AH1018" s="1468"/>
      <c r="AI1018" s="1469"/>
      <c r="AJ1018" s="1406"/>
      <c r="AK1018" s="1407"/>
      <c r="AL1018" s="1407"/>
      <c r="AM1018" s="1407"/>
      <c r="AN1018" s="1407"/>
      <c r="AO1018" s="1407"/>
      <c r="AP1018" s="1407"/>
      <c r="AQ1018" s="1408"/>
      <c r="AR1018" s="68"/>
      <c r="AS1018" s="68"/>
      <c r="AT1018" s="68"/>
      <c r="AU1018" s="68"/>
      <c r="AV1018" s="68"/>
      <c r="AW1018" s="68"/>
      <c r="AX1018" s="68"/>
      <c r="AY1018" s="213">
        <f>IF(A1094="Yes",0.01,0)</f>
        <v>0</v>
      </c>
    </row>
    <row r="1019" spans="1:51" ht="12.95" customHeight="1">
      <c r="A1019" s="14"/>
      <c r="B1019" s="79"/>
      <c r="C1019" s="80" t="s">
        <v>224</v>
      </c>
      <c r="D1019" s="1623" t="s">
        <v>1404</v>
      </c>
      <c r="E1019" s="1624"/>
      <c r="F1019" s="1624"/>
      <c r="G1019" s="1624"/>
      <c r="H1019" s="1624"/>
      <c r="I1019" s="1624"/>
      <c r="J1019" s="1624"/>
      <c r="K1019" s="1624"/>
      <c r="L1019" s="1624"/>
      <c r="M1019" s="1624"/>
      <c r="N1019" s="1624"/>
      <c r="O1019" s="1624"/>
      <c r="P1019" s="1624"/>
      <c r="Q1019" s="1624"/>
      <c r="R1019" s="1624"/>
      <c r="S1019" s="1624"/>
      <c r="T1019" s="1624"/>
      <c r="U1019" s="1624"/>
      <c r="V1019" s="1624"/>
      <c r="W1019" s="1624"/>
      <c r="X1019" s="1624"/>
      <c r="Y1019" s="1624"/>
      <c r="Z1019" s="1624"/>
      <c r="AA1019" s="1624"/>
      <c r="AB1019" s="1624"/>
      <c r="AC1019" s="1624"/>
      <c r="AD1019" s="1624"/>
      <c r="AE1019" s="1625"/>
      <c r="AF1019" s="79"/>
      <c r="AG1019" s="1395" t="s">
        <v>678</v>
      </c>
      <c r="AH1019" s="1396"/>
      <c r="AI1019" s="87"/>
      <c r="AJ1019" s="1400">
        <f>ROUND(IF(AND(AG1019="Yes",J1023&lt;&gt;"N/A",AF1022&lt;&gt;""),MIN(AF1022,(0.15*AJ991)),0),0)</f>
        <v>0</v>
      </c>
      <c r="AK1019" s="1401"/>
      <c r="AL1019" s="1401"/>
      <c r="AM1019" s="1401"/>
      <c r="AN1019" s="1401"/>
      <c r="AO1019" s="1401"/>
      <c r="AP1019" s="1401"/>
      <c r="AQ1019" s="1402"/>
      <c r="AR1019" s="68"/>
      <c r="AS1019" s="68"/>
      <c r="AT1019" s="68"/>
      <c r="AU1019" s="68"/>
      <c r="AV1019" s="68"/>
      <c r="AW1019" s="68"/>
      <c r="AX1019" s="68"/>
      <c r="AY1019" s="213">
        <f>IF(A1098="Yes",0.02,0)</f>
        <v>0</v>
      </c>
    </row>
    <row r="1020" spans="1:51" ht="12.95" customHeight="1">
      <c r="A1020" s="14"/>
      <c r="B1020" s="81"/>
      <c r="C1020" s="84"/>
      <c r="D1020" s="1626"/>
      <c r="E1020" s="1627"/>
      <c r="F1020" s="1627"/>
      <c r="G1020" s="1627"/>
      <c r="H1020" s="1627"/>
      <c r="I1020" s="1627"/>
      <c r="J1020" s="1627"/>
      <c r="K1020" s="1627"/>
      <c r="L1020" s="1627"/>
      <c r="M1020" s="1627"/>
      <c r="N1020" s="1627"/>
      <c r="O1020" s="1627"/>
      <c r="P1020" s="1627"/>
      <c r="Q1020" s="1627"/>
      <c r="R1020" s="1627"/>
      <c r="S1020" s="1627"/>
      <c r="T1020" s="1627"/>
      <c r="U1020" s="1627"/>
      <c r="V1020" s="1627"/>
      <c r="W1020" s="1627"/>
      <c r="X1020" s="1627"/>
      <c r="Y1020" s="1627"/>
      <c r="Z1020" s="1627"/>
      <c r="AA1020" s="1627"/>
      <c r="AB1020" s="1627"/>
      <c r="AC1020" s="1627"/>
      <c r="AD1020" s="1627"/>
      <c r="AE1020" s="1628"/>
      <c r="AF1020" s="1592" t="str">
        <f>IF(AG1019="yes","Please Select Type and Enter Amount:","")</f>
        <v/>
      </c>
      <c r="AG1020" s="1593"/>
      <c r="AH1020" s="1593"/>
      <c r="AI1020" s="1594"/>
      <c r="AJ1020" s="1403"/>
      <c r="AK1020" s="1404"/>
      <c r="AL1020" s="1404"/>
      <c r="AM1020" s="1404"/>
      <c r="AN1020" s="1404"/>
      <c r="AO1020" s="1404"/>
      <c r="AP1020" s="1404"/>
      <c r="AQ1020" s="1405"/>
      <c r="AR1020" s="68"/>
      <c r="AS1020" s="68"/>
      <c r="AT1020" s="68"/>
      <c r="AU1020" s="68"/>
      <c r="AV1020" s="68"/>
      <c r="AW1020" s="68"/>
      <c r="AX1020" s="68"/>
      <c r="AY1020" s="214">
        <f>IF(A1103="Yes",0.02,0)</f>
        <v>0</v>
      </c>
    </row>
    <row r="1021" spans="1:51" ht="12.95" customHeight="1">
      <c r="A1021" s="14"/>
      <c r="B1021" s="81"/>
      <c r="C1021" s="84"/>
      <c r="D1021" s="1569" t="s">
        <v>1405</v>
      </c>
      <c r="E1021" s="1570"/>
      <c r="F1021" s="1570"/>
      <c r="G1021" s="1570"/>
      <c r="H1021" s="1570"/>
      <c r="I1021" s="1570"/>
      <c r="J1021" s="1570"/>
      <c r="K1021" s="1570"/>
      <c r="L1021" s="1570"/>
      <c r="M1021" s="1570"/>
      <c r="N1021" s="1570"/>
      <c r="O1021" s="1570"/>
      <c r="P1021" s="1570"/>
      <c r="Q1021" s="1570"/>
      <c r="R1021" s="1570"/>
      <c r="S1021" s="1570"/>
      <c r="T1021" s="1570"/>
      <c r="U1021" s="1570"/>
      <c r="V1021" s="1570"/>
      <c r="W1021" s="1570"/>
      <c r="X1021" s="1570"/>
      <c r="Y1021" s="1570"/>
      <c r="Z1021" s="1570"/>
      <c r="AA1021" s="1570"/>
      <c r="AB1021" s="1570"/>
      <c r="AC1021" s="1570"/>
      <c r="AD1021" s="1570"/>
      <c r="AE1021" s="1571"/>
      <c r="AF1021" s="1592"/>
      <c r="AG1021" s="1593"/>
      <c r="AH1021" s="1593"/>
      <c r="AI1021" s="1594"/>
      <c r="AJ1021" s="1403"/>
      <c r="AK1021" s="1404"/>
      <c r="AL1021" s="1404"/>
      <c r="AM1021" s="1404"/>
      <c r="AN1021" s="1404"/>
      <c r="AO1021" s="1404"/>
      <c r="AP1021" s="1404"/>
      <c r="AQ1021" s="1405"/>
      <c r="AR1021" s="68"/>
      <c r="AS1021" s="68"/>
      <c r="AT1021" s="68"/>
      <c r="AU1021" s="68"/>
      <c r="AV1021" s="68"/>
      <c r="AW1021" s="68"/>
      <c r="AX1021" s="68"/>
      <c r="AY1021" s="68"/>
    </row>
    <row r="1022" spans="1:51" ht="12.95" customHeight="1">
      <c r="A1022" s="14"/>
      <c r="B1022" s="81"/>
      <c r="C1022" s="84"/>
      <c r="D1022" s="1569"/>
      <c r="E1022" s="1570"/>
      <c r="F1022" s="1570"/>
      <c r="G1022" s="1570"/>
      <c r="H1022" s="1570"/>
      <c r="I1022" s="1570"/>
      <c r="J1022" s="1570"/>
      <c r="K1022" s="1570"/>
      <c r="L1022" s="1570"/>
      <c r="M1022" s="1570"/>
      <c r="N1022" s="1570"/>
      <c r="O1022" s="1570"/>
      <c r="P1022" s="1570"/>
      <c r="Q1022" s="1570"/>
      <c r="R1022" s="1570"/>
      <c r="S1022" s="1570"/>
      <c r="T1022" s="1570"/>
      <c r="U1022" s="1570"/>
      <c r="V1022" s="1570"/>
      <c r="W1022" s="1570"/>
      <c r="X1022" s="1570"/>
      <c r="Y1022" s="1570"/>
      <c r="Z1022" s="1570"/>
      <c r="AA1022" s="1570"/>
      <c r="AB1022" s="1570"/>
      <c r="AC1022" s="1570"/>
      <c r="AD1022" s="1570"/>
      <c r="AE1022" s="1571"/>
      <c r="AF1022" s="1369"/>
      <c r="AG1022" s="1369"/>
      <c r="AH1022" s="1369"/>
      <c r="AI1022" s="1369"/>
      <c r="AJ1022" s="1403"/>
      <c r="AK1022" s="1404"/>
      <c r="AL1022" s="1404"/>
      <c r="AM1022" s="1404"/>
      <c r="AN1022" s="1404"/>
      <c r="AO1022" s="1404"/>
      <c r="AP1022" s="1404"/>
      <c r="AQ1022" s="140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72" t="s">
        <v>600</v>
      </c>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4"/>
      <c r="AF1023" s="1369"/>
      <c r="AG1023" s="1369"/>
      <c r="AH1023" s="1369"/>
      <c r="AI1023" s="1369"/>
      <c r="AJ1023" s="1406"/>
      <c r="AK1023" s="1407"/>
      <c r="AL1023" s="1407"/>
      <c r="AM1023" s="1407"/>
      <c r="AN1023" s="1407"/>
      <c r="AO1023" s="1407"/>
      <c r="AP1023" s="1407"/>
      <c r="AQ1023" s="1408"/>
      <c r="AR1023" s="68"/>
      <c r="AS1023" s="68"/>
      <c r="AT1023" s="68"/>
      <c r="AU1023" s="68"/>
      <c r="AV1023" s="68"/>
      <c r="AW1023" s="68"/>
      <c r="AX1023" s="68"/>
      <c r="AY1023" s="68"/>
    </row>
    <row r="1024" spans="1:51" ht="12.95" customHeight="1">
      <c r="A1024" s="14"/>
      <c r="B1024" s="79"/>
      <c r="C1024" s="80" t="s">
        <v>230</v>
      </c>
      <c r="D1024" s="1578" t="s">
        <v>1406</v>
      </c>
      <c r="E1024" s="1579"/>
      <c r="F1024" s="1579"/>
      <c r="G1024" s="1579"/>
      <c r="H1024" s="1579"/>
      <c r="I1024" s="1579"/>
      <c r="J1024" s="1579"/>
      <c r="K1024" s="1579"/>
      <c r="L1024" s="1579"/>
      <c r="M1024" s="1579"/>
      <c r="N1024" s="1579"/>
      <c r="O1024" s="1579"/>
      <c r="P1024" s="1579"/>
      <c r="Q1024" s="1579"/>
      <c r="R1024" s="1579"/>
      <c r="S1024" s="1579"/>
      <c r="T1024" s="1579"/>
      <c r="U1024" s="1579"/>
      <c r="V1024" s="1579"/>
      <c r="W1024" s="1579"/>
      <c r="X1024" s="1579"/>
      <c r="Y1024" s="1579"/>
      <c r="Z1024" s="1579"/>
      <c r="AA1024" s="1579"/>
      <c r="AB1024" s="1579"/>
      <c r="AC1024" s="1579"/>
      <c r="AD1024" s="1579"/>
      <c r="AE1024" s="1580"/>
      <c r="AF1024" s="79"/>
      <c r="AG1024" s="1395" t="s">
        <v>678</v>
      </c>
      <c r="AH1024" s="1396"/>
      <c r="AI1024" s="87"/>
      <c r="AJ1024" s="1400">
        <f>ROUND(IF(AG1024="Yes",AF1026,0),0)</f>
        <v>0</v>
      </c>
      <c r="AK1024" s="1401"/>
      <c r="AL1024" s="1401"/>
      <c r="AM1024" s="1401"/>
      <c r="AN1024" s="1401"/>
      <c r="AO1024" s="1401"/>
      <c r="AP1024" s="1401"/>
      <c r="AQ1024" s="1402"/>
      <c r="AR1024" s="68"/>
      <c r="AS1024" s="68"/>
      <c r="AT1024" s="68"/>
      <c r="AU1024" s="68"/>
      <c r="AV1024" s="68"/>
      <c r="AW1024" s="68"/>
      <c r="AX1024" s="68"/>
      <c r="AY1024" s="68"/>
    </row>
    <row r="1025" spans="1:51" ht="12.95" customHeight="1">
      <c r="A1025" s="14"/>
      <c r="B1025" s="73"/>
      <c r="C1025" s="74"/>
      <c r="D1025" s="1569" t="s">
        <v>1881</v>
      </c>
      <c r="E1025" s="1570"/>
      <c r="F1025" s="1570"/>
      <c r="G1025" s="1570"/>
      <c r="H1025" s="1570"/>
      <c r="I1025" s="1570"/>
      <c r="J1025" s="1570"/>
      <c r="K1025" s="1570"/>
      <c r="L1025" s="1570"/>
      <c r="M1025" s="1570"/>
      <c r="N1025" s="1570"/>
      <c r="O1025" s="1570"/>
      <c r="P1025" s="1570"/>
      <c r="Q1025" s="1570"/>
      <c r="R1025" s="1570"/>
      <c r="S1025" s="1570"/>
      <c r="T1025" s="1570"/>
      <c r="U1025" s="1570"/>
      <c r="V1025" s="1570"/>
      <c r="W1025" s="1570"/>
      <c r="X1025" s="1570"/>
      <c r="Y1025" s="1570"/>
      <c r="Z1025" s="1570"/>
      <c r="AA1025" s="1570"/>
      <c r="AB1025" s="1570"/>
      <c r="AC1025" s="1570"/>
      <c r="AD1025" s="1570"/>
      <c r="AE1025" s="1571"/>
      <c r="AF1025" s="1397" t="str">
        <f>IF(AG1024="yes","Enter Amount:","")</f>
        <v/>
      </c>
      <c r="AG1025" s="1398"/>
      <c r="AH1025" s="1398"/>
      <c r="AI1025" s="1399"/>
      <c r="AJ1025" s="1403"/>
      <c r="AK1025" s="1404"/>
      <c r="AL1025" s="1404"/>
      <c r="AM1025" s="1404"/>
      <c r="AN1025" s="1404"/>
      <c r="AO1025" s="1404"/>
      <c r="AP1025" s="1404"/>
      <c r="AQ1025" s="1405"/>
      <c r="AR1025" s="68"/>
      <c r="AS1025" s="68"/>
      <c r="AT1025" s="68"/>
      <c r="AU1025" s="68"/>
      <c r="AV1025" s="68"/>
      <c r="AW1025" s="68"/>
      <c r="AX1025" s="68"/>
      <c r="AY1025" s="68"/>
    </row>
    <row r="1026" spans="1:51" ht="12.95" customHeight="1">
      <c r="A1026" s="14"/>
      <c r="B1026" s="73"/>
      <c r="C1026" s="74"/>
      <c r="D1026" s="1569"/>
      <c r="E1026" s="1570"/>
      <c r="F1026" s="1570"/>
      <c r="G1026" s="1570"/>
      <c r="H1026" s="1570"/>
      <c r="I1026" s="1570"/>
      <c r="J1026" s="1570"/>
      <c r="K1026" s="1570"/>
      <c r="L1026" s="1570"/>
      <c r="M1026" s="1570"/>
      <c r="N1026" s="1570"/>
      <c r="O1026" s="1570"/>
      <c r="P1026" s="1570"/>
      <c r="Q1026" s="1570"/>
      <c r="R1026" s="1570"/>
      <c r="S1026" s="1570"/>
      <c r="T1026" s="1570"/>
      <c r="U1026" s="1570"/>
      <c r="V1026" s="1570"/>
      <c r="W1026" s="1570"/>
      <c r="X1026" s="1570"/>
      <c r="Y1026" s="1570"/>
      <c r="Z1026" s="1570"/>
      <c r="AA1026" s="1570"/>
      <c r="AB1026" s="1570"/>
      <c r="AC1026" s="1570"/>
      <c r="AD1026" s="1570"/>
      <c r="AE1026" s="1571"/>
      <c r="AF1026" s="1369"/>
      <c r="AG1026" s="1369"/>
      <c r="AH1026" s="1369"/>
      <c r="AI1026" s="1369"/>
      <c r="AJ1026" s="1403"/>
      <c r="AK1026" s="1404"/>
      <c r="AL1026" s="1404"/>
      <c r="AM1026" s="1404"/>
      <c r="AN1026" s="1404"/>
      <c r="AO1026" s="1404"/>
      <c r="AP1026" s="1404"/>
      <c r="AQ1026" s="1405"/>
      <c r="AR1026" s="68"/>
      <c r="AS1026" s="68"/>
      <c r="AT1026" s="68"/>
      <c r="AU1026" s="68"/>
      <c r="AV1026" s="68"/>
      <c r="AW1026" s="68"/>
      <c r="AX1026" s="68"/>
      <c r="AY1026" s="68"/>
    </row>
    <row r="1027" spans="1:51" ht="12.95" customHeight="1">
      <c r="A1027" s="14"/>
      <c r="B1027" s="85"/>
      <c r="C1027" s="84"/>
      <c r="D1027" s="1589"/>
      <c r="E1027" s="1590"/>
      <c r="F1027" s="1590"/>
      <c r="G1027" s="1590"/>
      <c r="H1027" s="1590"/>
      <c r="I1027" s="1590"/>
      <c r="J1027" s="1590"/>
      <c r="K1027" s="1590"/>
      <c r="L1027" s="1590"/>
      <c r="M1027" s="1590"/>
      <c r="N1027" s="1590"/>
      <c r="O1027" s="1590"/>
      <c r="P1027" s="1590"/>
      <c r="Q1027" s="1590"/>
      <c r="R1027" s="1590"/>
      <c r="S1027" s="1590"/>
      <c r="T1027" s="1590"/>
      <c r="U1027" s="1590"/>
      <c r="V1027" s="1590"/>
      <c r="W1027" s="1590"/>
      <c r="X1027" s="1590"/>
      <c r="Y1027" s="1590"/>
      <c r="Z1027" s="1590"/>
      <c r="AA1027" s="1590"/>
      <c r="AB1027" s="1590"/>
      <c r="AC1027" s="1590"/>
      <c r="AD1027" s="1590"/>
      <c r="AE1027" s="1591"/>
      <c r="AF1027" s="1369"/>
      <c r="AG1027" s="1369"/>
      <c r="AH1027" s="1369"/>
      <c r="AI1027" s="1369"/>
      <c r="AJ1027" s="1406"/>
      <c r="AK1027" s="1407"/>
      <c r="AL1027" s="1407"/>
      <c r="AM1027" s="1407"/>
      <c r="AN1027" s="1407"/>
      <c r="AO1027" s="1407"/>
      <c r="AP1027" s="1407"/>
      <c r="AQ1027" s="1408"/>
      <c r="AR1027" s="68"/>
      <c r="AS1027" s="68"/>
      <c r="AT1027" s="68"/>
      <c r="AU1027" s="68"/>
      <c r="AV1027" s="68"/>
      <c r="AW1027" s="68"/>
      <c r="AX1027" s="68"/>
      <c r="AY1027" s="68"/>
    </row>
    <row r="1028" spans="1:51" ht="12.95" customHeight="1">
      <c r="A1028" s="14"/>
      <c r="B1028" s="79"/>
      <c r="C1028" s="80" t="s">
        <v>235</v>
      </c>
      <c r="D1028" s="1586" t="s">
        <v>1407</v>
      </c>
      <c r="E1028" s="1587"/>
      <c r="F1028" s="1587"/>
      <c r="G1028" s="1587"/>
      <c r="H1028" s="1587"/>
      <c r="I1028" s="1587"/>
      <c r="J1028" s="1587"/>
      <c r="K1028" s="1587"/>
      <c r="L1028" s="1587"/>
      <c r="M1028" s="1587"/>
      <c r="N1028" s="1587"/>
      <c r="O1028" s="1587"/>
      <c r="P1028" s="1587"/>
      <c r="Q1028" s="1587"/>
      <c r="R1028" s="1587"/>
      <c r="S1028" s="1587"/>
      <c r="T1028" s="1587"/>
      <c r="U1028" s="1587"/>
      <c r="V1028" s="1587"/>
      <c r="W1028" s="1587"/>
      <c r="X1028" s="1587"/>
      <c r="Y1028" s="1587"/>
      <c r="Z1028" s="1587"/>
      <c r="AA1028" s="1587"/>
      <c r="AB1028" s="1587"/>
      <c r="AC1028" s="1587"/>
      <c r="AD1028" s="1587"/>
      <c r="AE1028" s="1588"/>
      <c r="AF1028" s="79"/>
      <c r="AG1028" s="1395" t="s">
        <v>678</v>
      </c>
      <c r="AH1028" s="1396"/>
      <c r="AI1028" s="87"/>
      <c r="AJ1028" s="1400">
        <f>ROUND(IF(AG1028="yes",(AJ991*0.1),0),0)</f>
        <v>0</v>
      </c>
      <c r="AK1028" s="1401"/>
      <c r="AL1028" s="1401"/>
      <c r="AM1028" s="1401"/>
      <c r="AN1028" s="1401"/>
      <c r="AO1028" s="1401"/>
      <c r="AP1028" s="1401"/>
      <c r="AQ1028" s="1402"/>
      <c r="AR1028" s="68"/>
      <c r="AS1028" s="68"/>
      <c r="AT1028" s="68"/>
      <c r="AU1028" s="68"/>
      <c r="AV1028" s="68"/>
      <c r="AW1028" s="68"/>
      <c r="AX1028" s="68"/>
      <c r="AY1028" s="68"/>
    </row>
    <row r="1029" spans="1:51" ht="12.95" customHeight="1">
      <c r="A1029" s="14"/>
      <c r="B1029" s="73"/>
      <c r="C1029" s="74"/>
      <c r="D1029" s="1569" t="s">
        <v>1408</v>
      </c>
      <c r="E1029" s="1570"/>
      <c r="F1029" s="1570"/>
      <c r="G1029" s="1570"/>
      <c r="H1029" s="1570"/>
      <c r="I1029" s="1570"/>
      <c r="J1029" s="1570"/>
      <c r="K1029" s="1570"/>
      <c r="L1029" s="1570"/>
      <c r="M1029" s="1570"/>
      <c r="N1029" s="1570"/>
      <c r="O1029" s="1570"/>
      <c r="P1029" s="1570"/>
      <c r="Q1029" s="1570"/>
      <c r="R1029" s="1570"/>
      <c r="S1029" s="1570"/>
      <c r="T1029" s="1570"/>
      <c r="U1029" s="1570"/>
      <c r="V1029" s="1570"/>
      <c r="W1029" s="1570"/>
      <c r="X1029" s="1570"/>
      <c r="Y1029" s="1570"/>
      <c r="Z1029" s="1570"/>
      <c r="AA1029" s="1570"/>
      <c r="AB1029" s="1570"/>
      <c r="AC1029" s="1570"/>
      <c r="AD1029" s="1570"/>
      <c r="AE1029" s="1571"/>
      <c r="AF1029" s="73"/>
      <c r="AG1029" s="14"/>
      <c r="AH1029" s="14"/>
      <c r="AI1029" s="83"/>
      <c r="AJ1029" s="1403"/>
      <c r="AK1029" s="1404"/>
      <c r="AL1029" s="1404"/>
      <c r="AM1029" s="1404"/>
      <c r="AN1029" s="1404"/>
      <c r="AO1029" s="1404"/>
      <c r="AP1029" s="1404"/>
      <c r="AQ1029" s="1405"/>
      <c r="AR1029" s="68"/>
      <c r="AS1029" s="68"/>
      <c r="AT1029" s="68"/>
      <c r="AU1029" s="68"/>
      <c r="AV1029" s="68"/>
      <c r="AW1029" s="68"/>
      <c r="AX1029" s="68"/>
      <c r="AY1029" s="68"/>
    </row>
    <row r="1030" spans="1:51" ht="12.95" customHeight="1">
      <c r="A1030" s="14"/>
      <c r="B1030" s="77"/>
      <c r="C1030" s="74"/>
      <c r="D1030" s="1589"/>
      <c r="E1030" s="1590"/>
      <c r="F1030" s="1590"/>
      <c r="G1030" s="1590"/>
      <c r="H1030" s="1590"/>
      <c r="I1030" s="1590"/>
      <c r="J1030" s="1590"/>
      <c r="K1030" s="1590"/>
      <c r="L1030" s="1590"/>
      <c r="M1030" s="1590"/>
      <c r="N1030" s="1590"/>
      <c r="O1030" s="1590"/>
      <c r="P1030" s="1590"/>
      <c r="Q1030" s="1590"/>
      <c r="R1030" s="1590"/>
      <c r="S1030" s="1590"/>
      <c r="T1030" s="1590"/>
      <c r="U1030" s="1590"/>
      <c r="V1030" s="1590"/>
      <c r="W1030" s="1590"/>
      <c r="X1030" s="1590"/>
      <c r="Y1030" s="1590"/>
      <c r="Z1030" s="1590"/>
      <c r="AA1030" s="1590"/>
      <c r="AB1030" s="1590"/>
      <c r="AC1030" s="1590"/>
      <c r="AD1030" s="1590"/>
      <c r="AE1030" s="1591"/>
      <c r="AF1030" s="73"/>
      <c r="AG1030" s="14"/>
      <c r="AH1030" s="14"/>
      <c r="AI1030" s="83"/>
      <c r="AJ1030" s="1406"/>
      <c r="AK1030" s="1407"/>
      <c r="AL1030" s="1407"/>
      <c r="AM1030" s="1407"/>
      <c r="AN1030" s="1407"/>
      <c r="AO1030" s="1407"/>
      <c r="AP1030" s="1407"/>
      <c r="AQ1030" s="1408"/>
      <c r="AR1030" s="68"/>
      <c r="AS1030" s="68"/>
      <c r="AT1030" s="68"/>
      <c r="AU1030" s="68"/>
      <c r="AV1030" s="68"/>
      <c r="AW1030" s="68"/>
      <c r="AX1030" s="68"/>
      <c r="AY1030" s="68"/>
    </row>
    <row r="1031" spans="1:51" ht="12.95" customHeight="1">
      <c r="A1031" s="14"/>
      <c r="B1031" s="73"/>
      <c r="C1031" s="367" t="s">
        <v>697</v>
      </c>
      <c r="D1031" s="1578" t="s">
        <v>1877</v>
      </c>
      <c r="E1031" s="1579"/>
      <c r="F1031" s="1579"/>
      <c r="G1031" s="1579"/>
      <c r="H1031" s="1579"/>
      <c r="I1031" s="1579"/>
      <c r="J1031" s="1579"/>
      <c r="K1031" s="1579"/>
      <c r="L1031" s="1579"/>
      <c r="M1031" s="1579"/>
      <c r="N1031" s="1579"/>
      <c r="O1031" s="1579"/>
      <c r="P1031" s="1579"/>
      <c r="Q1031" s="1579"/>
      <c r="R1031" s="1579"/>
      <c r="S1031" s="1579"/>
      <c r="T1031" s="1579"/>
      <c r="U1031" s="1579"/>
      <c r="V1031" s="1579"/>
      <c r="W1031" s="1579"/>
      <c r="X1031" s="1579"/>
      <c r="Y1031" s="1579"/>
      <c r="Z1031" s="1579"/>
      <c r="AA1031" s="1579"/>
      <c r="AB1031" s="1579"/>
      <c r="AC1031" s="1579"/>
      <c r="AD1031" s="1579"/>
      <c r="AE1031" s="1580"/>
      <c r="AF1031" s="79"/>
      <c r="AG1031" s="1395" t="s">
        <v>678</v>
      </c>
      <c r="AH1031" s="1396"/>
      <c r="AI1031" s="87"/>
      <c r="AJ1031" s="1400">
        <f>ROUND(IF(AG1031="yes",(AJ991*0.15),0),0)</f>
        <v>0</v>
      </c>
      <c r="AK1031" s="1401"/>
      <c r="AL1031" s="1401"/>
      <c r="AM1031" s="1401"/>
      <c r="AN1031" s="1401"/>
      <c r="AO1031" s="1401"/>
      <c r="AP1031" s="1401"/>
      <c r="AQ1031" s="1402"/>
      <c r="AR1031" s="68"/>
      <c r="AS1031" s="68"/>
      <c r="AT1031" s="68"/>
      <c r="AU1031" s="68"/>
      <c r="AV1031" s="68"/>
      <c r="AW1031" s="68"/>
      <c r="AX1031" s="68"/>
      <c r="AY1031" s="68"/>
    </row>
    <row r="1032" spans="1:51" ht="12.95" customHeight="1">
      <c r="A1032" s="14"/>
      <c r="B1032" s="73"/>
      <c r="C1032" s="74"/>
      <c r="D1032" s="1604" t="s">
        <v>1878</v>
      </c>
      <c r="E1032" s="1279"/>
      <c r="F1032" s="1279"/>
      <c r="G1032" s="1279"/>
      <c r="H1032" s="1279"/>
      <c r="I1032" s="1279"/>
      <c r="J1032" s="1279"/>
      <c r="K1032" s="1279"/>
      <c r="L1032" s="1279"/>
      <c r="M1032" s="1279"/>
      <c r="N1032" s="1279"/>
      <c r="O1032" s="1279"/>
      <c r="P1032" s="1279"/>
      <c r="Q1032" s="1279"/>
      <c r="R1032" s="1279"/>
      <c r="S1032" s="1279"/>
      <c r="T1032" s="1279"/>
      <c r="U1032" s="1279"/>
      <c r="V1032" s="1279"/>
      <c r="W1032" s="1279"/>
      <c r="X1032" s="1279"/>
      <c r="Y1032" s="1279"/>
      <c r="Z1032" s="1279"/>
      <c r="AA1032" s="1279"/>
      <c r="AB1032" s="1279"/>
      <c r="AC1032" s="1279"/>
      <c r="AD1032" s="1279"/>
      <c r="AE1032" s="1605"/>
      <c r="AF1032" s="950"/>
      <c r="AG1032" s="951"/>
      <c r="AH1032" s="951"/>
      <c r="AI1032" s="952"/>
      <c r="AJ1032" s="1403"/>
      <c r="AK1032" s="1404"/>
      <c r="AL1032" s="1404"/>
      <c r="AM1032" s="1404"/>
      <c r="AN1032" s="1404"/>
      <c r="AO1032" s="1404"/>
      <c r="AP1032" s="1404"/>
      <c r="AQ1032" s="1405"/>
      <c r="AR1032" s="68"/>
      <c r="AS1032" s="68"/>
      <c r="AT1032" s="68"/>
      <c r="AU1032" s="68"/>
      <c r="AV1032" s="68"/>
      <c r="AW1032" s="68"/>
      <c r="AX1032" s="68"/>
      <c r="AY1032" s="68"/>
    </row>
    <row r="1033" spans="1:51" ht="12.95" customHeight="1">
      <c r="A1033" s="14"/>
      <c r="B1033" s="73"/>
      <c r="C1033" s="74"/>
      <c r="D1033" s="1604"/>
      <c r="E1033" s="1279"/>
      <c r="F1033" s="1279"/>
      <c r="G1033" s="1279"/>
      <c r="H1033" s="1279"/>
      <c r="I1033" s="1279"/>
      <c r="J1033" s="1279"/>
      <c r="K1033" s="1279"/>
      <c r="L1033" s="1279"/>
      <c r="M1033" s="1279"/>
      <c r="N1033" s="1279"/>
      <c r="O1033" s="1279"/>
      <c r="P1033" s="1279"/>
      <c r="Q1033" s="1279"/>
      <c r="R1033" s="1279"/>
      <c r="S1033" s="1279"/>
      <c r="T1033" s="1279"/>
      <c r="U1033" s="1279"/>
      <c r="V1033" s="1279"/>
      <c r="W1033" s="1279"/>
      <c r="X1033" s="1279"/>
      <c r="Y1033" s="1279"/>
      <c r="Z1033" s="1279"/>
      <c r="AA1033" s="1279"/>
      <c r="AB1033" s="1279"/>
      <c r="AC1033" s="1279"/>
      <c r="AD1033" s="1279"/>
      <c r="AE1033" s="1605"/>
      <c r="AF1033" s="950"/>
      <c r="AG1033" s="951"/>
      <c r="AH1033" s="951"/>
      <c r="AI1033" s="952"/>
      <c r="AJ1033" s="1403"/>
      <c r="AK1033" s="1404"/>
      <c r="AL1033" s="1404"/>
      <c r="AM1033" s="1404"/>
      <c r="AN1033" s="1404"/>
      <c r="AO1033" s="1404"/>
      <c r="AP1033" s="1404"/>
      <c r="AQ1033" s="1405"/>
      <c r="AR1033" s="68"/>
      <c r="AS1033" s="68"/>
      <c r="AT1033" s="68"/>
      <c r="AU1033" s="68"/>
      <c r="AV1033" s="68"/>
      <c r="AW1033" s="68"/>
      <c r="AX1033" s="68"/>
      <c r="AY1033" s="68"/>
    </row>
    <row r="1034" spans="1:51" ht="12.95" customHeight="1">
      <c r="A1034" s="14"/>
      <c r="B1034" s="73"/>
      <c r="C1034" s="74"/>
      <c r="D1034" s="1606"/>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8"/>
      <c r="AF1034" s="953"/>
      <c r="AG1034" s="954"/>
      <c r="AH1034" s="954"/>
      <c r="AI1034" s="955"/>
      <c r="AJ1034" s="1406"/>
      <c r="AK1034" s="1407"/>
      <c r="AL1034" s="1407"/>
      <c r="AM1034" s="1407"/>
      <c r="AN1034" s="1407"/>
      <c r="AO1034" s="1407"/>
      <c r="AP1034" s="1407"/>
      <c r="AQ1034" s="1408"/>
      <c r="AR1034" s="68"/>
      <c r="AS1034" s="68"/>
      <c r="AT1034" s="68"/>
      <c r="AU1034" s="68"/>
      <c r="AV1034" s="68"/>
      <c r="AW1034" s="68"/>
      <c r="AX1034" s="68"/>
      <c r="AY1034" s="68"/>
    </row>
    <row r="1035" spans="1:51" ht="12.95" customHeight="1">
      <c r="A1035" s="14"/>
      <c r="B1035" s="73"/>
      <c r="C1035" s="367" t="s">
        <v>697</v>
      </c>
      <c r="D1035" s="1586" t="s">
        <v>1879</v>
      </c>
      <c r="E1035" s="1587"/>
      <c r="F1035" s="1587"/>
      <c r="G1035" s="1587"/>
      <c r="H1035" s="1587"/>
      <c r="I1035" s="1587"/>
      <c r="J1035" s="1587"/>
      <c r="K1035" s="1587"/>
      <c r="L1035" s="1587"/>
      <c r="M1035" s="1587"/>
      <c r="N1035" s="1587"/>
      <c r="O1035" s="1587"/>
      <c r="P1035" s="1587"/>
      <c r="Q1035" s="1587"/>
      <c r="R1035" s="1587"/>
      <c r="S1035" s="1587"/>
      <c r="T1035" s="1587"/>
      <c r="U1035" s="1587"/>
      <c r="V1035" s="1587"/>
      <c r="W1035" s="1587"/>
      <c r="X1035" s="1587"/>
      <c r="Y1035" s="1587"/>
      <c r="Z1035" s="1587"/>
      <c r="AA1035" s="1587"/>
      <c r="AB1035" s="1587"/>
      <c r="AC1035" s="1587"/>
      <c r="AD1035" s="1587"/>
      <c r="AE1035" s="1588"/>
      <c r="AF1035" s="73"/>
      <c r="AG1035" s="1635" t="s">
        <v>678</v>
      </c>
      <c r="AH1035" s="1636"/>
      <c r="AI1035" s="83"/>
      <c r="AJ1035" s="1400">
        <f>ROUND(IF(AND(AG1035="yes",AJ1031=0),(AJ991*0.1),0),0)</f>
        <v>0</v>
      </c>
      <c r="AK1035" s="1401"/>
      <c r="AL1035" s="1401"/>
      <c r="AM1035" s="1401"/>
      <c r="AN1035" s="1401"/>
      <c r="AO1035" s="1401"/>
      <c r="AP1035" s="1401"/>
      <c r="AQ1035" s="1402"/>
      <c r="AR1035" s="68"/>
      <c r="AS1035" s="68"/>
      <c r="AT1035" s="68"/>
      <c r="AU1035" s="68"/>
      <c r="AV1035" s="68"/>
      <c r="AW1035" s="68"/>
      <c r="AX1035" s="68"/>
      <c r="AY1035" s="68"/>
    </row>
    <row r="1036" spans="1:51" ht="12.95" customHeight="1">
      <c r="A1036" s="14"/>
      <c r="B1036" s="73"/>
      <c r="C1036" s="74"/>
      <c r="D1036" s="1604" t="s">
        <v>1880</v>
      </c>
      <c r="E1036" s="1279"/>
      <c r="F1036" s="1279"/>
      <c r="G1036" s="1279"/>
      <c r="H1036" s="1279"/>
      <c r="I1036" s="1279"/>
      <c r="J1036" s="1279"/>
      <c r="K1036" s="1279"/>
      <c r="L1036" s="1279"/>
      <c r="M1036" s="1279"/>
      <c r="N1036" s="1279"/>
      <c r="O1036" s="1279"/>
      <c r="P1036" s="1279"/>
      <c r="Q1036" s="1279"/>
      <c r="R1036" s="1279"/>
      <c r="S1036" s="1279"/>
      <c r="T1036" s="1279"/>
      <c r="U1036" s="1279"/>
      <c r="V1036" s="1279"/>
      <c r="W1036" s="1279"/>
      <c r="X1036" s="1279"/>
      <c r="Y1036" s="1279"/>
      <c r="Z1036" s="1279"/>
      <c r="AA1036" s="1279"/>
      <c r="AB1036" s="1279"/>
      <c r="AC1036" s="1279"/>
      <c r="AD1036" s="1279"/>
      <c r="AE1036" s="1605"/>
      <c r="AF1036" s="73"/>
      <c r="AG1036" s="14"/>
      <c r="AH1036" s="14"/>
      <c r="AI1036" s="83"/>
      <c r="AJ1036" s="1403"/>
      <c r="AK1036" s="1404"/>
      <c r="AL1036" s="1404"/>
      <c r="AM1036" s="1404"/>
      <c r="AN1036" s="1404"/>
      <c r="AO1036" s="1404"/>
      <c r="AP1036" s="1404"/>
      <c r="AQ1036" s="1405"/>
      <c r="AR1036" s="68"/>
      <c r="AS1036" s="68"/>
      <c r="AT1036" s="68"/>
      <c r="AU1036" s="68"/>
      <c r="AV1036" s="68"/>
      <c r="AW1036" s="68"/>
      <c r="AX1036" s="68"/>
      <c r="AY1036" s="68"/>
    </row>
    <row r="1037" spans="1:51" ht="12.95" customHeight="1">
      <c r="A1037" s="14"/>
      <c r="B1037" s="73"/>
      <c r="C1037" s="74"/>
      <c r="D1037" s="1604"/>
      <c r="E1037" s="1279"/>
      <c r="F1037" s="1279"/>
      <c r="G1037" s="1279"/>
      <c r="H1037" s="1279"/>
      <c r="I1037" s="1279"/>
      <c r="J1037" s="1279"/>
      <c r="K1037" s="1279"/>
      <c r="L1037" s="1279"/>
      <c r="M1037" s="1279"/>
      <c r="N1037" s="1279"/>
      <c r="O1037" s="1279"/>
      <c r="P1037" s="1279"/>
      <c r="Q1037" s="1279"/>
      <c r="R1037" s="1279"/>
      <c r="S1037" s="1279"/>
      <c r="T1037" s="1279"/>
      <c r="U1037" s="1279"/>
      <c r="V1037" s="1279"/>
      <c r="W1037" s="1279"/>
      <c r="X1037" s="1279"/>
      <c r="Y1037" s="1279"/>
      <c r="Z1037" s="1279"/>
      <c r="AA1037" s="1279"/>
      <c r="AB1037" s="1279"/>
      <c r="AC1037" s="1279"/>
      <c r="AD1037" s="1279"/>
      <c r="AE1037" s="1605"/>
      <c r="AF1037" s="73"/>
      <c r="AG1037" s="14"/>
      <c r="AH1037" s="14"/>
      <c r="AI1037" s="83"/>
      <c r="AJ1037" s="1403"/>
      <c r="AK1037" s="1404"/>
      <c r="AL1037" s="1404"/>
      <c r="AM1037" s="1404"/>
      <c r="AN1037" s="1404"/>
      <c r="AO1037" s="1404"/>
      <c r="AP1037" s="1404"/>
      <c r="AQ1037" s="1405"/>
      <c r="AR1037" s="68"/>
      <c r="AS1037" s="68"/>
      <c r="AT1037" s="68"/>
      <c r="AU1037" s="68"/>
      <c r="AV1037" s="68"/>
      <c r="AW1037" s="68"/>
      <c r="AX1037" s="68"/>
      <c r="AY1037" s="68"/>
    </row>
    <row r="1038" spans="1:51" ht="12.95" customHeight="1">
      <c r="A1038" s="14"/>
      <c r="B1038" s="73"/>
      <c r="C1038" s="74"/>
      <c r="D1038" s="1604"/>
      <c r="E1038" s="1279"/>
      <c r="F1038" s="1279"/>
      <c r="G1038" s="1279"/>
      <c r="H1038" s="1279"/>
      <c r="I1038" s="1279"/>
      <c r="J1038" s="1279"/>
      <c r="K1038" s="1279"/>
      <c r="L1038" s="1279"/>
      <c r="M1038" s="1279"/>
      <c r="N1038" s="1279"/>
      <c r="O1038" s="1279"/>
      <c r="P1038" s="1279"/>
      <c r="Q1038" s="1279"/>
      <c r="R1038" s="1279"/>
      <c r="S1038" s="1279"/>
      <c r="T1038" s="1279"/>
      <c r="U1038" s="1279"/>
      <c r="V1038" s="1279"/>
      <c r="W1038" s="1279"/>
      <c r="X1038" s="1279"/>
      <c r="Y1038" s="1279"/>
      <c r="Z1038" s="1279"/>
      <c r="AA1038" s="1279"/>
      <c r="AB1038" s="1279"/>
      <c r="AC1038" s="1279"/>
      <c r="AD1038" s="1279"/>
      <c r="AE1038" s="1605"/>
      <c r="AF1038" s="73"/>
      <c r="AG1038" s="14"/>
      <c r="AH1038" s="14"/>
      <c r="AI1038" s="83"/>
      <c r="AJ1038" s="1403"/>
      <c r="AK1038" s="1404"/>
      <c r="AL1038" s="1404"/>
      <c r="AM1038" s="1404"/>
      <c r="AN1038" s="1404"/>
      <c r="AO1038" s="1404"/>
      <c r="AP1038" s="1404"/>
      <c r="AQ1038" s="1405"/>
      <c r="AR1038" s="68"/>
      <c r="AS1038" s="68"/>
      <c r="AT1038" s="68"/>
      <c r="AU1038" s="68"/>
      <c r="AV1038" s="68"/>
      <c r="AW1038" s="68"/>
      <c r="AX1038" s="68"/>
      <c r="AY1038" s="68"/>
    </row>
    <row r="1039" spans="1:51" ht="12.95" customHeight="1">
      <c r="A1039" s="14"/>
      <c r="B1039" s="73"/>
      <c r="C1039" s="74"/>
      <c r="D1039" s="1606"/>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8"/>
      <c r="AF1039" s="73"/>
      <c r="AG1039" s="14"/>
      <c r="AH1039" s="14"/>
      <c r="AI1039" s="83"/>
      <c r="AJ1039" s="1403"/>
      <c r="AK1039" s="1404"/>
      <c r="AL1039" s="1404"/>
      <c r="AM1039" s="1404"/>
      <c r="AN1039" s="1404"/>
      <c r="AO1039" s="1404"/>
      <c r="AP1039" s="1404"/>
      <c r="AQ1039" s="1405"/>
      <c r="AR1039" s="68"/>
      <c r="AS1039" s="68"/>
      <c r="AT1039" s="68"/>
      <c r="AU1039" s="68"/>
      <c r="AV1039" s="68"/>
      <c r="AW1039" s="68"/>
      <c r="AX1039" s="68"/>
      <c r="AY1039" s="68"/>
    </row>
    <row r="1040" spans="1:51" ht="12.95" customHeight="1">
      <c r="A1040" s="14"/>
      <c r="B1040" s="79"/>
      <c r="C1040" s="131" t="s">
        <v>1035</v>
      </c>
      <c r="D1040" s="1578" t="s">
        <v>1409</v>
      </c>
      <c r="E1040" s="1579"/>
      <c r="F1040" s="1579"/>
      <c r="G1040" s="1579"/>
      <c r="H1040" s="1579"/>
      <c r="I1040" s="1579"/>
      <c r="J1040" s="1579"/>
      <c r="K1040" s="1579"/>
      <c r="L1040" s="1579"/>
      <c r="M1040" s="1579"/>
      <c r="N1040" s="1579"/>
      <c r="O1040" s="1579"/>
      <c r="P1040" s="1579"/>
      <c r="Q1040" s="1579"/>
      <c r="R1040" s="1579"/>
      <c r="S1040" s="1579"/>
      <c r="T1040" s="1579"/>
      <c r="U1040" s="1579"/>
      <c r="V1040" s="1579"/>
      <c r="W1040" s="1579"/>
      <c r="X1040" s="1579"/>
      <c r="Y1040" s="1579"/>
      <c r="Z1040" s="1579"/>
      <c r="AA1040" s="1579"/>
      <c r="AB1040" s="1579"/>
      <c r="AC1040" s="1579"/>
      <c r="AD1040" s="1579"/>
      <c r="AE1040" s="1580"/>
      <c r="AF1040" s="79"/>
      <c r="AG1040" s="1395" t="s">
        <v>678</v>
      </c>
      <c r="AH1040" s="1396"/>
      <c r="AI1040" s="87"/>
      <c r="AJ1040" s="1400">
        <f>ROUND(IF(AG1040="yes",(AJ991*0.1),0),0)</f>
        <v>0</v>
      </c>
      <c r="AK1040" s="1401"/>
      <c r="AL1040" s="1401"/>
      <c r="AM1040" s="1401"/>
      <c r="AN1040" s="1401"/>
      <c r="AO1040" s="1401"/>
      <c r="AP1040" s="1401"/>
      <c r="AQ1040" s="1402"/>
      <c r="AR1040" s="68"/>
      <c r="AS1040" s="68"/>
      <c r="AT1040" s="68"/>
      <c r="AU1040" s="68"/>
      <c r="AV1040" s="68"/>
      <c r="AW1040" s="68"/>
      <c r="AX1040" s="68"/>
      <c r="AY1040" s="68"/>
    </row>
    <row r="1041" spans="1:51" ht="12.95" customHeight="1">
      <c r="A1041" s="14"/>
      <c r="B1041" s="73"/>
      <c r="C1041" s="74"/>
      <c r="D1041" s="1569" t="s">
        <v>2505</v>
      </c>
      <c r="E1041" s="1570"/>
      <c r="F1041" s="1570"/>
      <c r="G1041" s="1570"/>
      <c r="H1041" s="1570"/>
      <c r="I1041" s="1570"/>
      <c r="J1041" s="1570"/>
      <c r="K1041" s="1570"/>
      <c r="L1041" s="1570"/>
      <c r="M1041" s="1570"/>
      <c r="N1041" s="1570"/>
      <c r="O1041" s="1570"/>
      <c r="P1041" s="1570"/>
      <c r="Q1041" s="1570"/>
      <c r="R1041" s="1570"/>
      <c r="S1041" s="1570"/>
      <c r="T1041" s="1570"/>
      <c r="U1041" s="1570"/>
      <c r="V1041" s="1570"/>
      <c r="W1041" s="1570"/>
      <c r="X1041" s="1570"/>
      <c r="Y1041" s="1570"/>
      <c r="Z1041" s="1570"/>
      <c r="AA1041" s="1570"/>
      <c r="AB1041" s="1570"/>
      <c r="AC1041" s="1570"/>
      <c r="AD1041" s="1570"/>
      <c r="AE1041" s="1571"/>
      <c r="AF1041" s="73"/>
      <c r="AG1041" s="14"/>
      <c r="AH1041" s="14"/>
      <c r="AI1041" s="83"/>
      <c r="AJ1041" s="1403"/>
      <c r="AK1041" s="1404"/>
      <c r="AL1041" s="1404"/>
      <c r="AM1041" s="1404"/>
      <c r="AN1041" s="1404"/>
      <c r="AO1041" s="1404"/>
      <c r="AP1041" s="1404"/>
      <c r="AQ1041" s="1405"/>
      <c r="AR1041" s="68"/>
      <c r="AS1041" s="68"/>
      <c r="AT1041" s="68"/>
      <c r="AU1041" s="68"/>
      <c r="AV1041" s="68"/>
      <c r="AW1041" s="68"/>
      <c r="AX1041" s="68"/>
      <c r="AY1041" s="68"/>
    </row>
    <row r="1042" spans="1:51" ht="12.95" customHeight="1">
      <c r="A1042" s="14"/>
      <c r="B1042" s="73"/>
      <c r="C1042" s="74"/>
      <c r="D1042" s="1569"/>
      <c r="E1042" s="1570"/>
      <c r="F1042" s="1570"/>
      <c r="G1042" s="1570"/>
      <c r="H1042" s="1570"/>
      <c r="I1042" s="1570"/>
      <c r="J1042" s="1570"/>
      <c r="K1042" s="1570"/>
      <c r="L1042" s="1570"/>
      <c r="M1042" s="1570"/>
      <c r="N1042" s="1570"/>
      <c r="O1042" s="1570"/>
      <c r="P1042" s="1570"/>
      <c r="Q1042" s="1570"/>
      <c r="R1042" s="1570"/>
      <c r="S1042" s="1570"/>
      <c r="T1042" s="1570"/>
      <c r="U1042" s="1570"/>
      <c r="V1042" s="1570"/>
      <c r="W1042" s="1570"/>
      <c r="X1042" s="1570"/>
      <c r="Y1042" s="1570"/>
      <c r="Z1042" s="1570"/>
      <c r="AA1042" s="1570"/>
      <c r="AB1042" s="1570"/>
      <c r="AC1042" s="1570"/>
      <c r="AD1042" s="1570"/>
      <c r="AE1042" s="1571"/>
      <c r="AF1042" s="73"/>
      <c r="AG1042" s="14"/>
      <c r="AH1042" s="14"/>
      <c r="AI1042" s="83"/>
      <c r="AJ1042" s="1403"/>
      <c r="AK1042" s="1404"/>
      <c r="AL1042" s="1404"/>
      <c r="AM1042" s="1404"/>
      <c r="AN1042" s="1404"/>
      <c r="AO1042" s="1404"/>
      <c r="AP1042" s="1404"/>
      <c r="AQ1042" s="1405"/>
      <c r="AR1042" s="68"/>
      <c r="AS1042" s="68"/>
      <c r="AT1042" s="68"/>
      <c r="AU1042" s="68"/>
      <c r="AV1042" s="68"/>
      <c r="AW1042" s="68"/>
      <c r="AX1042" s="68"/>
      <c r="AY1042" s="68"/>
    </row>
    <row r="1043" spans="1:51" ht="12.95" customHeight="1">
      <c r="A1043" s="14"/>
      <c r="B1043" s="73"/>
      <c r="C1043" s="74"/>
      <c r="D1043" s="1589"/>
      <c r="E1043" s="1590"/>
      <c r="F1043" s="1590"/>
      <c r="G1043" s="1590"/>
      <c r="H1043" s="1590"/>
      <c r="I1043" s="1590"/>
      <c r="J1043" s="1590"/>
      <c r="K1043" s="1590"/>
      <c r="L1043" s="1590"/>
      <c r="M1043" s="1590"/>
      <c r="N1043" s="1590"/>
      <c r="O1043" s="1590"/>
      <c r="P1043" s="1590"/>
      <c r="Q1043" s="1590"/>
      <c r="R1043" s="1590"/>
      <c r="S1043" s="1590"/>
      <c r="T1043" s="1590"/>
      <c r="U1043" s="1590"/>
      <c r="V1043" s="1590"/>
      <c r="W1043" s="1590"/>
      <c r="X1043" s="1590"/>
      <c r="Y1043" s="1590"/>
      <c r="Z1043" s="1590"/>
      <c r="AA1043" s="1590"/>
      <c r="AB1043" s="1590"/>
      <c r="AC1043" s="1590"/>
      <c r="AD1043" s="1590"/>
      <c r="AE1043" s="1591"/>
      <c r="AF1043" s="73"/>
      <c r="AG1043" s="14"/>
      <c r="AH1043" s="14"/>
      <c r="AI1043" s="83"/>
      <c r="AJ1043" s="1406"/>
      <c r="AK1043" s="1407"/>
      <c r="AL1043" s="1407"/>
      <c r="AM1043" s="1407"/>
      <c r="AN1043" s="1407"/>
      <c r="AO1043" s="1407"/>
      <c r="AP1043" s="1407"/>
      <c r="AQ1043" s="1408"/>
      <c r="AR1043" s="68"/>
      <c r="AS1043" s="68"/>
      <c r="AT1043" s="68"/>
      <c r="AU1043" s="68"/>
      <c r="AV1043" s="68"/>
      <c r="AW1043" s="68"/>
      <c r="AX1043" s="68"/>
      <c r="AY1043" s="68"/>
    </row>
    <row r="1044" spans="1:51" ht="12.95" customHeight="1">
      <c r="A1044" s="14"/>
      <c r="B1044" s="79"/>
      <c r="C1044" s="131" t="s">
        <v>1875</v>
      </c>
      <c r="D1044" s="1586" t="s">
        <v>2057</v>
      </c>
      <c r="E1044" s="1587"/>
      <c r="F1044" s="1587"/>
      <c r="G1044" s="1587"/>
      <c r="H1044" s="1587"/>
      <c r="I1044" s="1587"/>
      <c r="J1044" s="1587"/>
      <c r="K1044" s="1587"/>
      <c r="L1044" s="1587"/>
      <c r="M1044" s="1587"/>
      <c r="N1044" s="1587"/>
      <c r="O1044" s="1587"/>
      <c r="P1044" s="1587"/>
      <c r="Q1044" s="1587"/>
      <c r="R1044" s="1587"/>
      <c r="S1044" s="1587"/>
      <c r="T1044" s="1587"/>
      <c r="U1044" s="1587"/>
      <c r="V1044" s="1587"/>
      <c r="W1044" s="1587"/>
      <c r="X1044" s="1587"/>
      <c r="Y1044" s="1587"/>
      <c r="Z1044" s="1587"/>
      <c r="AA1044" s="1587"/>
      <c r="AB1044" s="1587"/>
      <c r="AC1044" s="1587"/>
      <c r="AD1044" s="1587"/>
      <c r="AE1044" s="1588"/>
      <c r="AF1044" s="79"/>
      <c r="AG1044" s="1615" t="str">
        <f>IF(X1047&gt;0,"Yes","No")</f>
        <v>Yes</v>
      </c>
      <c r="AH1044" s="1616"/>
      <c r="AI1044" s="87"/>
      <c r="AJ1044" s="1400">
        <f>IF((X1047=0),0,AY1004*AJ991)</f>
        <v>100697424</v>
      </c>
      <c r="AK1044" s="1401"/>
      <c r="AL1044" s="1401"/>
      <c r="AM1044" s="1401"/>
      <c r="AN1044" s="1401"/>
      <c r="AO1044" s="1401"/>
      <c r="AP1044" s="1401"/>
      <c r="AQ1044" s="1402"/>
      <c r="AR1044" s="68"/>
      <c r="AS1044" s="68"/>
      <c r="AT1044" s="68"/>
      <c r="AU1044" s="68"/>
      <c r="AV1044" s="68"/>
      <c r="AW1044" s="68"/>
      <c r="AX1044" s="68"/>
      <c r="AY1044" s="68"/>
    </row>
    <row r="1045" spans="1:51" ht="12.95" customHeight="1">
      <c r="A1045" s="14"/>
      <c r="B1045" s="73"/>
      <c r="C1045" s="476"/>
      <c r="D1045" s="1569" t="s">
        <v>1411</v>
      </c>
      <c r="E1045" s="1570"/>
      <c r="F1045" s="1570"/>
      <c r="G1045" s="1570"/>
      <c r="H1045" s="1570"/>
      <c r="I1045" s="1570"/>
      <c r="J1045" s="1570"/>
      <c r="K1045" s="1570"/>
      <c r="L1045" s="1570"/>
      <c r="M1045" s="1570"/>
      <c r="N1045" s="1570"/>
      <c r="O1045" s="1570"/>
      <c r="P1045" s="1570"/>
      <c r="Q1045" s="1570"/>
      <c r="R1045" s="1570"/>
      <c r="S1045" s="1570"/>
      <c r="T1045" s="1570"/>
      <c r="U1045" s="1570"/>
      <c r="V1045" s="1570"/>
      <c r="W1045" s="1570"/>
      <c r="X1045" s="1570"/>
      <c r="Y1045" s="1570"/>
      <c r="Z1045" s="1570"/>
      <c r="AA1045" s="1570"/>
      <c r="AB1045" s="1570"/>
      <c r="AC1045" s="1570"/>
      <c r="AD1045" s="1570"/>
      <c r="AE1045" s="1571"/>
      <c r="AF1045" s="73"/>
      <c r="AG1045" s="477"/>
      <c r="AH1045" s="477"/>
      <c r="AI1045" s="83"/>
      <c r="AJ1045" s="1403"/>
      <c r="AK1045" s="1404"/>
      <c r="AL1045" s="1404"/>
      <c r="AM1045" s="1404"/>
      <c r="AN1045" s="1404"/>
      <c r="AO1045" s="1404"/>
      <c r="AP1045" s="1404"/>
      <c r="AQ1045" s="1405"/>
      <c r="AR1045" s="68"/>
      <c r="AS1045" s="68"/>
      <c r="AT1045" s="68"/>
      <c r="AU1045" s="13"/>
      <c r="AV1045" s="68"/>
      <c r="AW1045" s="68"/>
      <c r="AX1045" s="68"/>
      <c r="AY1045" s="68"/>
    </row>
    <row r="1046" spans="1:51" ht="12.95" customHeight="1">
      <c r="A1046" s="14"/>
      <c r="B1046" s="73"/>
      <c r="C1046" s="476"/>
      <c r="D1046" s="1569"/>
      <c r="E1046" s="1570"/>
      <c r="F1046" s="1570"/>
      <c r="G1046" s="1570"/>
      <c r="H1046" s="1570"/>
      <c r="I1046" s="1570"/>
      <c r="J1046" s="1570"/>
      <c r="K1046" s="1570"/>
      <c r="L1046" s="1570"/>
      <c r="M1046" s="1570"/>
      <c r="N1046" s="1570"/>
      <c r="O1046" s="1570"/>
      <c r="P1046" s="1570"/>
      <c r="Q1046" s="1570"/>
      <c r="R1046" s="1570"/>
      <c r="S1046" s="1570"/>
      <c r="T1046" s="1570"/>
      <c r="U1046" s="1570"/>
      <c r="V1046" s="1570"/>
      <c r="W1046" s="1570"/>
      <c r="X1046" s="1570"/>
      <c r="Y1046" s="1570"/>
      <c r="Z1046" s="1570"/>
      <c r="AA1046" s="1570"/>
      <c r="AB1046" s="1570"/>
      <c r="AC1046" s="1570"/>
      <c r="AD1046" s="1570"/>
      <c r="AE1046" s="1571"/>
      <c r="AF1046" s="73"/>
      <c r="AG1046" s="477"/>
      <c r="AH1046" s="477"/>
      <c r="AI1046" s="83"/>
      <c r="AJ1046" s="1403"/>
      <c r="AK1046" s="1404"/>
      <c r="AL1046" s="1404"/>
      <c r="AM1046" s="1404"/>
      <c r="AN1046" s="1404"/>
      <c r="AO1046" s="1404"/>
      <c r="AP1046" s="1404"/>
      <c r="AQ1046" s="1405"/>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33">
        <f>AY1002</f>
        <v>159</v>
      </c>
      <c r="J1047" s="1634"/>
      <c r="K1047" s="7"/>
      <c r="L1047" s="133"/>
      <c r="M1047" s="133"/>
      <c r="N1047" s="133"/>
      <c r="O1047" s="133"/>
      <c r="P1047" s="133"/>
      <c r="Q1047" s="133"/>
      <c r="R1047" s="133"/>
      <c r="S1047" s="133"/>
      <c r="T1047" s="133"/>
      <c r="U1047" s="133"/>
      <c r="V1047" s="134" t="s">
        <v>993</v>
      </c>
      <c r="W1047" s="48"/>
      <c r="X1047" s="1631">
        <f>BG632</f>
        <v>149</v>
      </c>
      <c r="Y1047" s="1632"/>
      <c r="Z1047" s="48"/>
      <c r="AA1047" s="48"/>
      <c r="AB1047" s="48"/>
      <c r="AC1047" s="48"/>
      <c r="AD1047" s="48"/>
      <c r="AE1047" s="49"/>
      <c r="AF1047" s="959"/>
      <c r="AG1047" s="960"/>
      <c r="AH1047" s="960"/>
      <c r="AI1047" s="961"/>
      <c r="AJ1047" s="1406"/>
      <c r="AK1047" s="1407"/>
      <c r="AL1047" s="1407"/>
      <c r="AM1047" s="1407"/>
      <c r="AN1047" s="1407"/>
      <c r="AO1047" s="1407"/>
      <c r="AP1047" s="1407"/>
      <c r="AQ1047" s="1408"/>
      <c r="AR1047" s="68"/>
      <c r="AS1047" s="68"/>
      <c r="AT1047" s="68"/>
      <c r="AU1047" s="14"/>
      <c r="AV1047" s="68"/>
      <c r="AW1047" s="68"/>
      <c r="AX1047" s="68"/>
      <c r="AY1047" s="68"/>
    </row>
    <row r="1048" spans="1:51" ht="12.95" customHeight="1">
      <c r="A1048" s="14"/>
      <c r="B1048" s="79"/>
      <c r="C1048" s="131" t="s">
        <v>1876</v>
      </c>
      <c r="D1048" s="1578" t="s">
        <v>2536</v>
      </c>
      <c r="E1048" s="1579"/>
      <c r="F1048" s="1579"/>
      <c r="G1048" s="1579"/>
      <c r="H1048" s="1579"/>
      <c r="I1048" s="1579"/>
      <c r="J1048" s="1579"/>
      <c r="K1048" s="1579"/>
      <c r="L1048" s="1579"/>
      <c r="M1048" s="1579"/>
      <c r="N1048" s="1579"/>
      <c r="O1048" s="1579"/>
      <c r="P1048" s="1579"/>
      <c r="Q1048" s="1579"/>
      <c r="R1048" s="1579"/>
      <c r="S1048" s="1579"/>
      <c r="T1048" s="1579"/>
      <c r="U1048" s="1579"/>
      <c r="V1048" s="1579"/>
      <c r="W1048" s="1579"/>
      <c r="X1048" s="1579"/>
      <c r="Y1048" s="1579"/>
      <c r="Z1048" s="1579"/>
      <c r="AA1048" s="1579"/>
      <c r="AB1048" s="1579"/>
      <c r="AC1048" s="1579"/>
      <c r="AD1048" s="1579"/>
      <c r="AE1048" s="1580"/>
      <c r="AF1048" s="73"/>
      <c r="AG1048" s="1615" t="str">
        <f>IF(X1051&gt;0,"Yes","No")</f>
        <v>Yes</v>
      </c>
      <c r="AH1048" s="1616"/>
      <c r="AI1048" s="83"/>
      <c r="AJ1048" s="1400">
        <f>IF((X1051=0),0,(2*AY1005)*AJ991)</f>
        <v>10827680</v>
      </c>
      <c r="AK1048" s="1401"/>
      <c r="AL1048" s="1401"/>
      <c r="AM1048" s="1401"/>
      <c r="AN1048" s="1401"/>
      <c r="AO1048" s="1401"/>
      <c r="AP1048" s="1401"/>
      <c r="AQ1048" s="1402"/>
      <c r="AR1048" s="68"/>
      <c r="AS1048" s="68"/>
      <c r="AT1048" s="68"/>
      <c r="AU1048" s="14"/>
      <c r="AV1048" s="68"/>
      <c r="AW1048" s="68"/>
      <c r="AX1048" s="68"/>
      <c r="AY1048" s="68"/>
    </row>
    <row r="1049" spans="1:51" ht="12.95" customHeight="1">
      <c r="A1049" s="14"/>
      <c r="B1049" s="73"/>
      <c r="C1049" s="476"/>
      <c r="D1049" s="1569" t="s">
        <v>1410</v>
      </c>
      <c r="E1049" s="1570"/>
      <c r="F1049" s="1570"/>
      <c r="G1049" s="1570"/>
      <c r="H1049" s="1570"/>
      <c r="I1049" s="1570"/>
      <c r="J1049" s="1570"/>
      <c r="K1049" s="1570"/>
      <c r="L1049" s="1570"/>
      <c r="M1049" s="1570"/>
      <c r="N1049" s="1570"/>
      <c r="O1049" s="1570"/>
      <c r="P1049" s="1570"/>
      <c r="Q1049" s="1570"/>
      <c r="R1049" s="1570"/>
      <c r="S1049" s="1570"/>
      <c r="T1049" s="1570"/>
      <c r="U1049" s="1570"/>
      <c r="V1049" s="1570"/>
      <c r="W1049" s="1570"/>
      <c r="X1049" s="1570"/>
      <c r="Y1049" s="1570"/>
      <c r="Z1049" s="1570"/>
      <c r="AA1049" s="1570"/>
      <c r="AB1049" s="1570"/>
      <c r="AC1049" s="1570"/>
      <c r="AD1049" s="1570"/>
      <c r="AE1049" s="1571"/>
      <c r="AF1049" s="73"/>
      <c r="AG1049" s="477"/>
      <c r="AH1049" s="477"/>
      <c r="AI1049" s="83"/>
      <c r="AJ1049" s="1403"/>
      <c r="AK1049" s="1404"/>
      <c r="AL1049" s="1404"/>
      <c r="AM1049" s="1404"/>
      <c r="AN1049" s="1404"/>
      <c r="AO1049" s="1404"/>
      <c r="AP1049" s="1404"/>
      <c r="AQ1049" s="1405"/>
      <c r="AR1049" s="68"/>
      <c r="AS1049" s="68"/>
      <c r="AT1049" s="68"/>
      <c r="AU1049" s="68"/>
      <c r="AV1049" s="68"/>
      <c r="AW1049" s="68"/>
      <c r="AX1049" s="68"/>
      <c r="AY1049" s="68"/>
    </row>
    <row r="1050" spans="1:51" ht="12.95" customHeight="1">
      <c r="A1050" s="14"/>
      <c r="B1050" s="73"/>
      <c r="C1050" s="83"/>
      <c r="D1050" s="1569"/>
      <c r="E1050" s="1570"/>
      <c r="F1050" s="1570"/>
      <c r="G1050" s="1570"/>
      <c r="H1050" s="1570"/>
      <c r="I1050" s="1570"/>
      <c r="J1050" s="1570"/>
      <c r="K1050" s="1570"/>
      <c r="L1050" s="1570"/>
      <c r="M1050" s="1570"/>
      <c r="N1050" s="1570"/>
      <c r="O1050" s="1570"/>
      <c r="P1050" s="1570"/>
      <c r="Q1050" s="1570"/>
      <c r="R1050" s="1570"/>
      <c r="S1050" s="1570"/>
      <c r="T1050" s="1570"/>
      <c r="U1050" s="1570"/>
      <c r="V1050" s="1570"/>
      <c r="W1050" s="1570"/>
      <c r="X1050" s="1570"/>
      <c r="Y1050" s="1570"/>
      <c r="Z1050" s="1570"/>
      <c r="AA1050" s="1570"/>
      <c r="AB1050" s="1570"/>
      <c r="AC1050" s="1570"/>
      <c r="AD1050" s="1570"/>
      <c r="AE1050" s="1571"/>
      <c r="AF1050" s="956"/>
      <c r="AG1050" s="957"/>
      <c r="AH1050" s="957"/>
      <c r="AI1050" s="958"/>
      <c r="AJ1050" s="1403"/>
      <c r="AK1050" s="1404"/>
      <c r="AL1050" s="1404"/>
      <c r="AM1050" s="1404"/>
      <c r="AN1050" s="1404"/>
      <c r="AO1050" s="1404"/>
      <c r="AP1050" s="1404"/>
      <c r="AQ1050" s="1405"/>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33">
        <f>AY1002</f>
        <v>159</v>
      </c>
      <c r="J1051" s="1634"/>
      <c r="K1051" s="14"/>
      <c r="L1051" s="133"/>
      <c r="M1051" s="133"/>
      <c r="N1051" s="133"/>
      <c r="O1051" s="133"/>
      <c r="P1051" s="133"/>
      <c r="Q1051" s="133"/>
      <c r="R1051" s="133"/>
      <c r="S1051" s="133"/>
      <c r="T1051" s="133"/>
      <c r="U1051" s="133"/>
      <c r="V1051" s="134" t="s">
        <v>994</v>
      </c>
      <c r="X1051" s="1631">
        <f>BK632</f>
        <v>8</v>
      </c>
      <c r="Y1051" s="1632"/>
      <c r="AF1051" s="959"/>
      <c r="AG1051" s="960"/>
      <c r="AH1051" s="960"/>
      <c r="AI1051" s="961"/>
      <c r="AJ1051" s="1406"/>
      <c r="AK1051" s="1407"/>
      <c r="AL1051" s="1407"/>
      <c r="AM1051" s="1407"/>
      <c r="AN1051" s="1407"/>
      <c r="AO1051" s="1407"/>
      <c r="AP1051" s="1407"/>
      <c r="AQ1051" s="1408"/>
      <c r="AR1051" s="68"/>
      <c r="AS1051" s="68"/>
      <c r="AT1051" s="68"/>
      <c r="AU1051" s="68"/>
      <c r="AV1051" s="68"/>
      <c r="AW1051" s="68"/>
      <c r="AX1051" s="68"/>
      <c r="AY1051" s="68"/>
    </row>
    <row r="1052" spans="1:51" ht="12.95" customHeight="1">
      <c r="A1052" s="14"/>
      <c r="B1052" s="102"/>
      <c r="C1052" s="103"/>
      <c r="D1052" s="1629" t="s">
        <v>522</v>
      </c>
      <c r="E1052" s="1629"/>
      <c r="F1052" s="1629"/>
      <c r="G1052" s="1629"/>
      <c r="H1052" s="1629"/>
      <c r="I1052" s="1629"/>
      <c r="J1052" s="1629"/>
      <c r="K1052" s="1629"/>
      <c r="L1052" s="1629"/>
      <c r="M1052" s="1629"/>
      <c r="N1052" s="1629"/>
      <c r="O1052" s="1629"/>
      <c r="P1052" s="1629"/>
      <c r="Q1052" s="1629"/>
      <c r="R1052" s="1629"/>
      <c r="S1052" s="1629"/>
      <c r="T1052" s="1629"/>
      <c r="U1052" s="1629"/>
      <c r="V1052" s="1629"/>
      <c r="W1052" s="1629"/>
      <c r="X1052" s="1629"/>
      <c r="Y1052" s="1629"/>
      <c r="Z1052" s="1629"/>
      <c r="AA1052" s="1629"/>
      <c r="AB1052" s="1629"/>
      <c r="AC1052" s="1629"/>
      <c r="AD1052" s="1629"/>
      <c r="AE1052" s="1629"/>
      <c r="AF1052" s="1629"/>
      <c r="AG1052" s="1629"/>
      <c r="AH1052" s="1629"/>
      <c r="AI1052" s="1630"/>
      <c r="AJ1052" s="1612">
        <f>SUM(AJ991:AQ1051)</f>
        <v>219801904</v>
      </c>
      <c r="AK1052" s="1613"/>
      <c r="AL1052" s="1613"/>
      <c r="AM1052" s="1613"/>
      <c r="AN1052" s="1613"/>
      <c r="AO1052" s="1613"/>
      <c r="AP1052" s="1613"/>
      <c r="AQ1052" s="161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83">
        <f>IF(ISNA(IF((AJ1019&gt;(AJ991*0.15)),"(f) cannot be greater than 15% of unadjusted eligible basis.",0)),"",(IF((AJ1019&gt;(AJ991*0.15)),"(f) cannot be greater than 15% of unadjusted eligible basis.",0)))</f>
        <v>0</v>
      </c>
      <c r="C1059" s="1483"/>
      <c r="D1059" s="1483"/>
      <c r="E1059" s="1483"/>
      <c r="F1059" s="1483"/>
      <c r="G1059" s="1483"/>
      <c r="H1059" s="1483"/>
      <c r="I1059" s="1483"/>
      <c r="J1059" s="1483"/>
      <c r="K1059" s="1483"/>
      <c r="L1059" s="1483"/>
      <c r="M1059" s="1483"/>
      <c r="N1059" s="1483"/>
      <c r="O1059" s="1483"/>
      <c r="P1059" s="1483"/>
      <c r="Q1059" s="1483"/>
      <c r="R1059" s="1483"/>
      <c r="S1059" s="1483"/>
      <c r="T1059" s="1483"/>
      <c r="U1059" s="1483"/>
      <c r="V1059" s="1483"/>
      <c r="W1059" s="1483"/>
      <c r="X1059" s="1483"/>
      <c r="Y1059" s="1483"/>
      <c r="Z1059" s="1483"/>
      <c r="AA1059" s="1483"/>
      <c r="AB1059" s="1483"/>
      <c r="AC1059" s="1483"/>
      <c r="AD1059" s="1483"/>
      <c r="AE1059" s="1483"/>
      <c r="AF1059" s="1483"/>
      <c r="AG1059" s="1483"/>
      <c r="AH1059" s="1483"/>
      <c r="AI1059" s="1483"/>
      <c r="AJ1059" s="1483"/>
      <c r="AK1059" s="1483"/>
      <c r="AL1059" s="1483"/>
      <c r="AM1059" s="1483"/>
      <c r="AN1059" s="1483"/>
      <c r="AO1059" s="1483"/>
      <c r="AP1059" s="1483"/>
      <c r="AQ1059" s="68"/>
      <c r="AR1059" s="68"/>
      <c r="AS1059" s="68"/>
      <c r="AT1059" s="68"/>
      <c r="AU1059" s="68"/>
      <c r="AV1059" s="68"/>
      <c r="AW1059" s="68"/>
      <c r="AX1059" s="68"/>
      <c r="AY1059" s="68"/>
    </row>
    <row r="1060" spans="1:51" ht="12.95" customHeight="1">
      <c r="A1060" s="1311" t="s">
        <v>804</v>
      </c>
      <c r="B1060" s="1311"/>
      <c r="C1060" s="1311"/>
      <c r="D1060" s="1311"/>
      <c r="E1060" s="1311"/>
      <c r="F1060" s="1311"/>
      <c r="G1060" s="1311"/>
      <c r="H1060" s="1311"/>
      <c r="I1060" s="1311"/>
      <c r="J1060" s="1311"/>
      <c r="K1060" s="1311"/>
      <c r="L1060" s="1311"/>
      <c r="M1060" s="1311"/>
      <c r="N1060" s="1311"/>
      <c r="O1060" s="1311"/>
      <c r="P1060" s="1311"/>
      <c r="Q1060" s="1311"/>
      <c r="R1060" s="1311"/>
      <c r="S1060" s="1311"/>
      <c r="T1060" s="1311"/>
      <c r="U1060" s="1311"/>
      <c r="V1060" s="1311"/>
      <c r="W1060" s="1311"/>
      <c r="X1060" s="1311"/>
      <c r="Y1060" s="1311"/>
      <c r="Z1060" s="1311"/>
      <c r="AA1060" s="1311"/>
      <c r="AB1060" s="1311"/>
      <c r="AC1060" s="1311"/>
      <c r="AD1060" s="1311"/>
      <c r="AE1060" s="1311"/>
      <c r="AF1060" s="1311"/>
      <c r="AG1060" s="1311"/>
      <c r="AH1060" s="1311"/>
      <c r="AI1060" s="1311"/>
      <c r="AJ1060" s="1311"/>
      <c r="AK1060" s="1311"/>
      <c r="AL1060" s="1311"/>
      <c r="AM1060" s="1311"/>
      <c r="AN1060" s="1311"/>
      <c r="AO1060" s="1311"/>
      <c r="AP1060" s="1311"/>
      <c r="AQ1060" s="1311"/>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99" t="s">
        <v>600</v>
      </c>
      <c r="B1064" s="1499"/>
      <c r="C1064" s="8">
        <v>1</v>
      </c>
      <c r="D1064" s="1275" t="s">
        <v>1134</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c r="AL1064" s="68"/>
      <c r="AM1064" s="68"/>
      <c r="AN1064" s="68"/>
      <c r="AO1064" s="68"/>
      <c r="AP1064" s="68"/>
      <c r="AQ1064" s="68"/>
      <c r="AR1064" s="68"/>
      <c r="AS1064" s="68"/>
      <c r="AT1064" s="68"/>
      <c r="AV1064" s="68"/>
      <c r="AW1064" s="68"/>
      <c r="AX1064" s="68"/>
      <c r="AY1064" s="68"/>
    </row>
    <row r="1065" spans="1:51" ht="12.95" customHeight="1">
      <c r="A1065" s="1"/>
      <c r="B1065" s="1"/>
      <c r="C1065" s="8"/>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c r="AL1065" s="68"/>
      <c r="AM1065" s="68"/>
      <c r="AN1065" s="68"/>
      <c r="AO1065" s="68"/>
      <c r="AP1065" s="68"/>
      <c r="AQ1065" s="68"/>
      <c r="AR1065" s="68"/>
      <c r="AS1065" s="68"/>
      <c r="AT1065" s="68"/>
      <c r="AV1065" s="68"/>
      <c r="AW1065" s="68"/>
      <c r="AX1065" s="68"/>
      <c r="AY1065" s="68"/>
    </row>
    <row r="1066" spans="1:51" ht="12.95" customHeight="1">
      <c r="A1066" s="1"/>
      <c r="B1066" s="1"/>
      <c r="C1066" s="8"/>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c r="AL1066" s="68"/>
      <c r="AM1066" s="68"/>
      <c r="AN1066" s="68"/>
      <c r="AO1066" s="68"/>
      <c r="AP1066" s="68"/>
      <c r="AQ1066" s="68"/>
      <c r="AR1066" s="68"/>
      <c r="AS1066" s="68"/>
      <c r="AT1066" s="68"/>
      <c r="AV1066" s="68"/>
      <c r="AW1066" s="68"/>
      <c r="AX1066" s="68"/>
      <c r="AY1066" s="68"/>
    </row>
    <row r="1067" spans="1:51" ht="12.95" customHeight="1">
      <c r="A1067" s="1"/>
      <c r="B1067" s="1"/>
      <c r="C1067" s="8"/>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c r="AL1067" s="68"/>
      <c r="AM1067" s="68"/>
      <c r="AN1067" s="68"/>
      <c r="AO1067" s="68"/>
      <c r="AP1067" s="68"/>
      <c r="AQ1067" s="68"/>
      <c r="AR1067" s="68"/>
      <c r="AS1067" s="68"/>
      <c r="AT1067" s="68"/>
      <c r="AV1067" s="68"/>
      <c r="AW1067" s="68"/>
      <c r="AX1067" s="68"/>
      <c r="AY1067" s="68"/>
    </row>
    <row r="1068" spans="1:51" ht="12.95" customHeight="1">
      <c r="A1068" s="1"/>
      <c r="B1068" s="1"/>
      <c r="C1068" s="8"/>
      <c r="D1068" s="1275"/>
      <c r="E1068" s="1275"/>
      <c r="F1068" s="1275"/>
      <c r="G1068" s="1275"/>
      <c r="H1068" s="1275"/>
      <c r="I1068" s="1275"/>
      <c r="J1068" s="1275"/>
      <c r="K1068" s="1275"/>
      <c r="L1068" s="1275"/>
      <c r="M1068" s="1275"/>
      <c r="N1068" s="1275"/>
      <c r="O1068" s="1275"/>
      <c r="P1068" s="1275"/>
      <c r="Q1068" s="1275"/>
      <c r="R1068" s="1275"/>
      <c r="S1068" s="1275"/>
      <c r="T1068" s="1275"/>
      <c r="U1068" s="1275"/>
      <c r="V1068" s="1275"/>
      <c r="W1068" s="1275"/>
      <c r="X1068" s="1275"/>
      <c r="Y1068" s="1275"/>
      <c r="Z1068" s="1275"/>
      <c r="AA1068" s="1275"/>
      <c r="AB1068" s="1275"/>
      <c r="AC1068" s="1275"/>
      <c r="AD1068" s="1275"/>
      <c r="AE1068" s="1275"/>
      <c r="AF1068" s="1275"/>
      <c r="AG1068" s="1275"/>
      <c r="AH1068" s="1275"/>
      <c r="AI1068" s="1275"/>
      <c r="AJ1068" s="1275"/>
      <c r="AK1068" s="1275"/>
      <c r="AL1068" s="68"/>
      <c r="AM1068" s="68"/>
      <c r="AN1068" s="68"/>
      <c r="AO1068" s="68"/>
      <c r="AP1068" s="68"/>
      <c r="AQ1068" s="68"/>
      <c r="AR1068" s="68"/>
      <c r="AS1068" s="68"/>
      <c r="AT1068" s="68"/>
      <c r="AV1068" s="68"/>
      <c r="AW1068" s="68"/>
      <c r="AX1068" s="68"/>
      <c r="AY1068" s="68"/>
    </row>
    <row r="1069" spans="1:51" ht="12.95" customHeight="1">
      <c r="A1069" s="2"/>
      <c r="B1069" s="25"/>
      <c r="C1069" s="8"/>
      <c r="D1069" s="1275"/>
      <c r="E1069" s="1275"/>
      <c r="F1069" s="1275"/>
      <c r="G1069" s="1275"/>
      <c r="H1069" s="1275"/>
      <c r="I1069" s="1275"/>
      <c r="J1069" s="1275"/>
      <c r="K1069" s="1275"/>
      <c r="L1069" s="1275"/>
      <c r="M1069" s="1275"/>
      <c r="N1069" s="1275"/>
      <c r="O1069" s="1275"/>
      <c r="P1069" s="1275"/>
      <c r="Q1069" s="1275"/>
      <c r="R1069" s="1275"/>
      <c r="S1069" s="1275"/>
      <c r="T1069" s="1275"/>
      <c r="U1069" s="1275"/>
      <c r="V1069" s="1275"/>
      <c r="W1069" s="1275"/>
      <c r="X1069" s="1275"/>
      <c r="Y1069" s="1275"/>
      <c r="Z1069" s="1275"/>
      <c r="AA1069" s="1275"/>
      <c r="AB1069" s="1275"/>
      <c r="AC1069" s="1275"/>
      <c r="AD1069" s="1275"/>
      <c r="AE1069" s="1275"/>
      <c r="AF1069" s="1275"/>
      <c r="AG1069" s="1275"/>
      <c r="AH1069" s="1275"/>
      <c r="AI1069" s="1275"/>
      <c r="AJ1069" s="1275"/>
      <c r="AK1069" s="1275"/>
      <c r="AL1069" s="68"/>
      <c r="AM1069" s="68"/>
      <c r="AN1069" s="68"/>
      <c r="AO1069" s="68"/>
      <c r="AP1069" s="68"/>
      <c r="AQ1069" s="68"/>
      <c r="AR1069" s="68"/>
      <c r="AS1069" s="68"/>
      <c r="AT1069" s="68"/>
      <c r="AV1069" s="68"/>
      <c r="AW1069" s="68"/>
      <c r="AX1069" s="68"/>
      <c r="AY1069" s="68"/>
    </row>
    <row r="1070" spans="1:51" ht="12.95" customHeight="1">
      <c r="A1070" s="1499" t="s">
        <v>600</v>
      </c>
      <c r="B1070" s="1499"/>
      <c r="C1070" s="8">
        <v>2</v>
      </c>
      <c r="D1070" s="1275" t="s">
        <v>1133</v>
      </c>
      <c r="E1070" s="1275"/>
      <c r="F1070" s="1275"/>
      <c r="G1070" s="1275"/>
      <c r="H1070" s="1275"/>
      <c r="I1070" s="1275"/>
      <c r="J1070" s="1275"/>
      <c r="K1070" s="1275"/>
      <c r="L1070" s="1275"/>
      <c r="M1070" s="1275"/>
      <c r="N1070" s="1275"/>
      <c r="O1070" s="1275"/>
      <c r="P1070" s="1275"/>
      <c r="Q1070" s="1275"/>
      <c r="R1070" s="1275"/>
      <c r="S1070" s="1275"/>
      <c r="T1070" s="1275"/>
      <c r="U1070" s="1275"/>
      <c r="V1070" s="1275"/>
      <c r="W1070" s="1275"/>
      <c r="X1070" s="1275"/>
      <c r="Y1070" s="1275"/>
      <c r="Z1070" s="1275"/>
      <c r="AA1070" s="1275"/>
      <c r="AB1070" s="1275"/>
      <c r="AC1070" s="1275"/>
      <c r="AD1070" s="1275"/>
      <c r="AE1070" s="1275"/>
      <c r="AF1070" s="1275"/>
      <c r="AG1070" s="1275"/>
      <c r="AH1070" s="1275"/>
      <c r="AI1070" s="1275"/>
      <c r="AJ1070" s="1275"/>
      <c r="AK1070" s="1275"/>
      <c r="AL1070" s="68"/>
      <c r="AM1070" s="68"/>
      <c r="AN1070" s="68"/>
      <c r="AO1070" s="68"/>
      <c r="AP1070" s="68"/>
      <c r="AQ1070" s="68"/>
      <c r="AR1070" s="68"/>
      <c r="AS1070" s="68"/>
      <c r="AT1070" s="68"/>
    </row>
    <row r="1071" spans="1:51" ht="12.95" customHeight="1">
      <c r="A1071" s="1"/>
      <c r="B1071" s="1"/>
      <c r="C1071" s="8"/>
      <c r="D1071" s="1275"/>
      <c r="E1071" s="1275"/>
      <c r="F1071" s="1275"/>
      <c r="G1071" s="1275"/>
      <c r="H1071" s="1275"/>
      <c r="I1071" s="1275"/>
      <c r="J1071" s="1275"/>
      <c r="K1071" s="1275"/>
      <c r="L1071" s="1275"/>
      <c r="M1071" s="1275"/>
      <c r="N1071" s="1275"/>
      <c r="O1071" s="1275"/>
      <c r="P1071" s="1275"/>
      <c r="Q1071" s="1275"/>
      <c r="R1071" s="1275"/>
      <c r="S1071" s="1275"/>
      <c r="T1071" s="1275"/>
      <c r="U1071" s="1275"/>
      <c r="V1071" s="1275"/>
      <c r="W1071" s="1275"/>
      <c r="X1071" s="1275"/>
      <c r="Y1071" s="1275"/>
      <c r="Z1071" s="1275"/>
      <c r="AA1071" s="1275"/>
      <c r="AB1071" s="1275"/>
      <c r="AC1071" s="1275"/>
      <c r="AD1071" s="1275"/>
      <c r="AE1071" s="1275"/>
      <c r="AF1071" s="1275"/>
      <c r="AG1071" s="1275"/>
      <c r="AH1071" s="1275"/>
      <c r="AI1071" s="1275"/>
      <c r="AJ1071" s="1275"/>
      <c r="AK1071" s="1275"/>
      <c r="AL1071" s="68"/>
      <c r="AM1071" s="68"/>
      <c r="AN1071" s="68"/>
      <c r="AO1071" s="68"/>
      <c r="AP1071" s="68"/>
      <c r="AQ1071" s="68"/>
      <c r="AR1071" s="68"/>
      <c r="AS1071" s="68"/>
      <c r="AT1071" s="68"/>
    </row>
    <row r="1072" spans="1:51" ht="12.95" customHeight="1">
      <c r="A1072" s="1"/>
      <c r="B1072" s="1"/>
      <c r="C1072" s="8"/>
      <c r="D1072" s="1275"/>
      <c r="E1072" s="1275"/>
      <c r="F1072" s="1275"/>
      <c r="G1072" s="1275"/>
      <c r="H1072" s="1275"/>
      <c r="I1072" s="1275"/>
      <c r="J1072" s="1275"/>
      <c r="K1072" s="1275"/>
      <c r="L1072" s="1275"/>
      <c r="M1072" s="1275"/>
      <c r="N1072" s="1275"/>
      <c r="O1072" s="1275"/>
      <c r="P1072" s="1275"/>
      <c r="Q1072" s="1275"/>
      <c r="R1072" s="1275"/>
      <c r="S1072" s="1275"/>
      <c r="T1072" s="1275"/>
      <c r="U1072" s="1275"/>
      <c r="V1072" s="1275"/>
      <c r="W1072" s="1275"/>
      <c r="X1072" s="1275"/>
      <c r="Y1072" s="1275"/>
      <c r="Z1072" s="1275"/>
      <c r="AA1072" s="1275"/>
      <c r="AB1072" s="1275"/>
      <c r="AC1072" s="1275"/>
      <c r="AD1072" s="1275"/>
      <c r="AE1072" s="1275"/>
      <c r="AF1072" s="1275"/>
      <c r="AG1072" s="1275"/>
      <c r="AH1072" s="1275"/>
      <c r="AI1072" s="1275"/>
      <c r="AJ1072" s="1275"/>
      <c r="AK1072" s="1275"/>
      <c r="AL1072" s="68"/>
      <c r="AM1072" s="68"/>
      <c r="AN1072" s="68"/>
      <c r="AO1072" s="68"/>
      <c r="AP1072" s="68"/>
      <c r="AQ1072" s="68"/>
      <c r="AR1072" s="68"/>
      <c r="AS1072" s="68"/>
      <c r="AT1072" s="68"/>
    </row>
    <row r="1073" spans="1:46" ht="12.95" customHeight="1">
      <c r="A1073" s="1"/>
      <c r="B1073" s="1"/>
      <c r="C1073" s="8"/>
      <c r="D1073" s="1275"/>
      <c r="E1073" s="1275"/>
      <c r="F1073" s="1275"/>
      <c r="G1073" s="1275"/>
      <c r="H1073" s="1275"/>
      <c r="I1073" s="1275"/>
      <c r="J1073" s="1275"/>
      <c r="K1073" s="1275"/>
      <c r="L1073" s="1275"/>
      <c r="M1073" s="1275"/>
      <c r="N1073" s="1275"/>
      <c r="O1073" s="1275"/>
      <c r="P1073" s="1275"/>
      <c r="Q1073" s="1275"/>
      <c r="R1073" s="1275"/>
      <c r="S1073" s="1275"/>
      <c r="T1073" s="1275"/>
      <c r="U1073" s="1275"/>
      <c r="V1073" s="1275"/>
      <c r="W1073" s="1275"/>
      <c r="X1073" s="1275"/>
      <c r="Y1073" s="1275"/>
      <c r="Z1073" s="1275"/>
      <c r="AA1073" s="1275"/>
      <c r="AB1073" s="1275"/>
      <c r="AC1073" s="1275"/>
      <c r="AD1073" s="1275"/>
      <c r="AE1073" s="1275"/>
      <c r="AF1073" s="1275"/>
      <c r="AG1073" s="1275"/>
      <c r="AH1073" s="1275"/>
      <c r="AI1073" s="1275"/>
      <c r="AJ1073" s="1275"/>
      <c r="AK1073" s="1275"/>
      <c r="AL1073" s="68"/>
      <c r="AM1073" s="68"/>
      <c r="AN1073" s="68"/>
      <c r="AO1073" s="68"/>
      <c r="AP1073" s="68"/>
      <c r="AQ1073" s="68"/>
      <c r="AR1073" s="68"/>
      <c r="AS1073" s="68"/>
      <c r="AT1073" s="68"/>
    </row>
    <row r="1074" spans="1:46" ht="12.95" hidden="1" customHeight="1">
      <c r="A1074" s="1"/>
      <c r="B1074" s="1"/>
      <c r="C1074" s="8"/>
      <c r="D1074" s="1275"/>
      <c r="E1074" s="1275"/>
      <c r="F1074" s="1275"/>
      <c r="G1074" s="1275"/>
      <c r="H1074" s="1275"/>
      <c r="I1074" s="1275"/>
      <c r="J1074" s="1275"/>
      <c r="K1074" s="1275"/>
      <c r="L1074" s="1275"/>
      <c r="M1074" s="1275"/>
      <c r="N1074" s="1275"/>
      <c r="O1074" s="1275"/>
      <c r="P1074" s="1275"/>
      <c r="Q1074" s="1275"/>
      <c r="R1074" s="1275"/>
      <c r="S1074" s="1275"/>
      <c r="T1074" s="1275"/>
      <c r="U1074" s="1275"/>
      <c r="V1074" s="1275"/>
      <c r="W1074" s="1275"/>
      <c r="X1074" s="1275"/>
      <c r="Y1074" s="1275"/>
      <c r="Z1074" s="1275"/>
      <c r="AA1074" s="1275"/>
      <c r="AB1074" s="1275"/>
      <c r="AC1074" s="1275"/>
      <c r="AD1074" s="1275"/>
      <c r="AE1074" s="1275"/>
      <c r="AF1074" s="1275"/>
      <c r="AG1074" s="1275"/>
      <c r="AH1074" s="1275"/>
      <c r="AI1074" s="1275"/>
      <c r="AJ1074" s="1275"/>
      <c r="AK1074" s="1275"/>
      <c r="AL1074" s="68"/>
      <c r="AM1074" s="68"/>
      <c r="AN1074" s="68"/>
      <c r="AO1074" s="68"/>
      <c r="AP1074" s="68"/>
      <c r="AQ1074" s="68"/>
      <c r="AR1074" s="68"/>
      <c r="AS1074" s="68"/>
      <c r="AT1074" s="68"/>
    </row>
    <row r="1075" spans="1:46" ht="12.95" customHeight="1">
      <c r="A1075" s="1"/>
      <c r="B1075" s="1"/>
      <c r="C1075" s="8"/>
      <c r="D1075" s="1275"/>
      <c r="E1075" s="1275"/>
      <c r="F1075" s="1275"/>
      <c r="G1075" s="1275"/>
      <c r="H1075" s="1275"/>
      <c r="I1075" s="1275"/>
      <c r="J1075" s="1275"/>
      <c r="K1075" s="1275"/>
      <c r="L1075" s="1275"/>
      <c r="M1075" s="1275"/>
      <c r="N1075" s="1275"/>
      <c r="O1075" s="1275"/>
      <c r="P1075" s="1275"/>
      <c r="Q1075" s="1275"/>
      <c r="R1075" s="1275"/>
      <c r="S1075" s="1275"/>
      <c r="T1075" s="1275"/>
      <c r="U1075" s="1275"/>
      <c r="V1075" s="1275"/>
      <c r="W1075" s="1275"/>
      <c r="X1075" s="1275"/>
      <c r="Y1075" s="1275"/>
      <c r="Z1075" s="1275"/>
      <c r="AA1075" s="1275"/>
      <c r="AB1075" s="1275"/>
      <c r="AC1075" s="1275"/>
      <c r="AD1075" s="1275"/>
      <c r="AE1075" s="1275"/>
      <c r="AF1075" s="1275"/>
      <c r="AG1075" s="1275"/>
      <c r="AH1075" s="1275"/>
      <c r="AI1075" s="1275"/>
      <c r="AJ1075" s="1275"/>
      <c r="AK1075" s="1275"/>
    </row>
    <row r="1076" spans="1:46" ht="12.95" customHeight="1">
      <c r="A1076" s="1499" t="s">
        <v>600</v>
      </c>
      <c r="B1076" s="1499"/>
      <c r="C1076" s="8">
        <v>3</v>
      </c>
      <c r="D1076" s="1275" t="s">
        <v>2459</v>
      </c>
      <c r="E1076" s="1275"/>
      <c r="F1076" s="1275"/>
      <c r="G1076" s="1275"/>
      <c r="H1076" s="1275"/>
      <c r="I1076" s="1275"/>
      <c r="J1076" s="1275"/>
      <c r="K1076" s="1275"/>
      <c r="L1076" s="1275"/>
      <c r="M1076" s="1275"/>
      <c r="N1076" s="1275"/>
      <c r="O1076" s="1275"/>
      <c r="P1076" s="1275"/>
      <c r="Q1076" s="1275"/>
      <c r="R1076" s="1275"/>
      <c r="S1076" s="1275"/>
      <c r="T1076" s="1275"/>
      <c r="U1076" s="1275"/>
      <c r="V1076" s="1275"/>
      <c r="W1076" s="1275"/>
      <c r="X1076" s="1275"/>
      <c r="Y1076" s="1275"/>
      <c r="Z1076" s="1275"/>
      <c r="AA1076" s="1275"/>
      <c r="AB1076" s="1275"/>
      <c r="AC1076" s="1275"/>
      <c r="AD1076" s="1275"/>
      <c r="AE1076" s="1275"/>
      <c r="AF1076" s="1275"/>
      <c r="AG1076" s="1275"/>
      <c r="AH1076" s="1275"/>
      <c r="AI1076" s="1275"/>
      <c r="AJ1076" s="1275"/>
      <c r="AK1076" s="1275"/>
    </row>
    <row r="1077" spans="1:46" ht="12.95" customHeight="1">
      <c r="A1077" s="4"/>
      <c r="B1077" s="4"/>
      <c r="C1077" s="8"/>
      <c r="D1077" s="1275"/>
      <c r="E1077" s="1275"/>
      <c r="F1077" s="1275"/>
      <c r="G1077" s="1275"/>
      <c r="H1077" s="1275"/>
      <c r="I1077" s="1275"/>
      <c r="J1077" s="1275"/>
      <c r="K1077" s="1275"/>
      <c r="L1077" s="1275"/>
      <c r="M1077" s="1275"/>
      <c r="N1077" s="1275"/>
      <c r="O1077" s="1275"/>
      <c r="P1077" s="1275"/>
      <c r="Q1077" s="1275"/>
      <c r="R1077" s="1275"/>
      <c r="S1077" s="1275"/>
      <c r="T1077" s="1275"/>
      <c r="U1077" s="1275"/>
      <c r="V1077" s="1275"/>
      <c r="W1077" s="1275"/>
      <c r="X1077" s="1275"/>
      <c r="Y1077" s="1275"/>
      <c r="Z1077" s="1275"/>
      <c r="AA1077" s="1275"/>
      <c r="AB1077" s="1275"/>
      <c r="AC1077" s="1275"/>
      <c r="AD1077" s="1275"/>
      <c r="AE1077" s="1275"/>
      <c r="AF1077" s="1275"/>
      <c r="AG1077" s="1275"/>
      <c r="AH1077" s="1275"/>
      <c r="AI1077" s="1275"/>
      <c r="AJ1077" s="1275"/>
      <c r="AK1077" s="1275"/>
    </row>
    <row r="1078" spans="1:46" ht="12.95" customHeight="1">
      <c r="A1078" s="4"/>
      <c r="B1078" s="4"/>
      <c r="C1078" s="8"/>
      <c r="D1078" s="1275"/>
      <c r="E1078" s="1275"/>
      <c r="F1078" s="1275"/>
      <c r="G1078" s="1275"/>
      <c r="H1078" s="1275"/>
      <c r="I1078" s="1275"/>
      <c r="J1078" s="1275"/>
      <c r="K1078" s="1275"/>
      <c r="L1078" s="1275"/>
      <c r="M1078" s="1275"/>
      <c r="N1078" s="1275"/>
      <c r="O1078" s="1275"/>
      <c r="P1078" s="1275"/>
      <c r="Q1078" s="1275"/>
      <c r="R1078" s="1275"/>
      <c r="S1078" s="1275"/>
      <c r="T1078" s="1275"/>
      <c r="U1078" s="1275"/>
      <c r="V1078" s="1275"/>
      <c r="W1078" s="1275"/>
      <c r="X1078" s="1275"/>
      <c r="Y1078" s="1275"/>
      <c r="Z1078" s="1275"/>
      <c r="AA1078" s="1275"/>
      <c r="AB1078" s="1275"/>
      <c r="AC1078" s="1275"/>
      <c r="AD1078" s="1275"/>
      <c r="AE1078" s="1275"/>
      <c r="AF1078" s="1275"/>
      <c r="AG1078" s="1275"/>
      <c r="AH1078" s="1275"/>
      <c r="AI1078" s="1275"/>
      <c r="AJ1078" s="1275"/>
      <c r="AK1078" s="1275"/>
    </row>
    <row r="1079" spans="1:46" ht="12.95" customHeight="1">
      <c r="A1079" s="35"/>
      <c r="B1079" s="25"/>
      <c r="C1079" s="8"/>
      <c r="D1079" s="1275"/>
      <c r="E1079" s="1275"/>
      <c r="F1079" s="1275"/>
      <c r="G1079" s="1275"/>
      <c r="H1079" s="1275"/>
      <c r="I1079" s="1275"/>
      <c r="J1079" s="1275"/>
      <c r="K1079" s="1275"/>
      <c r="L1079" s="1275"/>
      <c r="M1079" s="1275"/>
      <c r="N1079" s="1275"/>
      <c r="O1079" s="1275"/>
      <c r="P1079" s="1275"/>
      <c r="Q1079" s="1275"/>
      <c r="R1079" s="1275"/>
      <c r="S1079" s="1275"/>
      <c r="T1079" s="1275"/>
      <c r="U1079" s="1275"/>
      <c r="V1079" s="1275"/>
      <c r="W1079" s="1275"/>
      <c r="X1079" s="1275"/>
      <c r="Y1079" s="1275"/>
      <c r="Z1079" s="1275"/>
      <c r="AA1079" s="1275"/>
      <c r="AB1079" s="1275"/>
      <c r="AC1079" s="1275"/>
      <c r="AD1079" s="1275"/>
      <c r="AE1079" s="1275"/>
      <c r="AF1079" s="1275"/>
      <c r="AG1079" s="1275"/>
      <c r="AH1079" s="1275"/>
      <c r="AI1079" s="1275"/>
      <c r="AJ1079" s="1275"/>
      <c r="AK1079" s="1275"/>
    </row>
    <row r="1080" spans="1:46" ht="12.95" customHeight="1">
      <c r="A1080" s="35"/>
      <c r="B1080" s="25"/>
      <c r="C1080" s="8"/>
      <c r="D1080" s="1275"/>
      <c r="E1080" s="1275"/>
      <c r="F1080" s="1275"/>
      <c r="G1080" s="1275"/>
      <c r="H1080" s="1275"/>
      <c r="I1080" s="1275"/>
      <c r="J1080" s="1275"/>
      <c r="K1080" s="1275"/>
      <c r="L1080" s="1275"/>
      <c r="M1080" s="1275"/>
      <c r="N1080" s="1275"/>
      <c r="O1080" s="1275"/>
      <c r="P1080" s="1275"/>
      <c r="Q1080" s="1275"/>
      <c r="R1080" s="1275"/>
      <c r="S1080" s="1275"/>
      <c r="T1080" s="1275"/>
      <c r="U1080" s="1275"/>
      <c r="V1080" s="1275"/>
      <c r="W1080" s="1275"/>
      <c r="X1080" s="1275"/>
      <c r="Y1080" s="1275"/>
      <c r="Z1080" s="1275"/>
      <c r="AA1080" s="1275"/>
      <c r="AB1080" s="1275"/>
      <c r="AC1080" s="1275"/>
      <c r="AD1080" s="1275"/>
      <c r="AE1080" s="1275"/>
      <c r="AF1080" s="1275"/>
      <c r="AG1080" s="1275"/>
      <c r="AH1080" s="1275"/>
      <c r="AI1080" s="1275"/>
      <c r="AJ1080" s="1275"/>
      <c r="AK1080" s="1275"/>
    </row>
    <row r="1081" spans="1:46" ht="12.95" customHeight="1">
      <c r="A1081" s="35"/>
      <c r="B1081" s="25"/>
      <c r="C1081" s="8"/>
      <c r="D1081" s="1275"/>
      <c r="E1081" s="1275"/>
      <c r="F1081" s="1275"/>
      <c r="G1081" s="1275"/>
      <c r="H1081" s="1275"/>
      <c r="I1081" s="1275"/>
      <c r="J1081" s="1275"/>
      <c r="K1081" s="1275"/>
      <c r="L1081" s="1275"/>
      <c r="M1081" s="1275"/>
      <c r="N1081" s="1275"/>
      <c r="O1081" s="1275"/>
      <c r="P1081" s="1275"/>
      <c r="Q1081" s="1275"/>
      <c r="R1081" s="1275"/>
      <c r="S1081" s="1275"/>
      <c r="T1081" s="1275"/>
      <c r="U1081" s="1275"/>
      <c r="V1081" s="1275"/>
      <c r="W1081" s="1275"/>
      <c r="X1081" s="1275"/>
      <c r="Y1081" s="1275"/>
      <c r="Z1081" s="1275"/>
      <c r="AA1081" s="1275"/>
      <c r="AB1081" s="1275"/>
      <c r="AC1081" s="1275"/>
      <c r="AD1081" s="1275"/>
      <c r="AE1081" s="1275"/>
      <c r="AF1081" s="1275"/>
      <c r="AG1081" s="1275"/>
      <c r="AH1081" s="1275"/>
      <c r="AI1081" s="1275"/>
      <c r="AJ1081" s="1275"/>
      <c r="AK1081" s="1275"/>
    </row>
    <row r="1082" spans="1:46" ht="12.95" customHeight="1">
      <c r="A1082" s="35"/>
      <c r="B1082" s="25"/>
      <c r="C1082" s="8"/>
      <c r="D1082" s="1275"/>
      <c r="E1082" s="1275"/>
      <c r="F1082" s="1275"/>
      <c r="G1082" s="1275"/>
      <c r="H1082" s="1275"/>
      <c r="I1082" s="1275"/>
      <c r="J1082" s="1275"/>
      <c r="K1082" s="1275"/>
      <c r="L1082" s="1275"/>
      <c r="M1082" s="1275"/>
      <c r="N1082" s="1275"/>
      <c r="O1082" s="1275"/>
      <c r="P1082" s="1275"/>
      <c r="Q1082" s="1275"/>
      <c r="R1082" s="1275"/>
      <c r="S1082" s="1275"/>
      <c r="T1082" s="1275"/>
      <c r="U1082" s="1275"/>
      <c r="V1082" s="1275"/>
      <c r="W1082" s="1275"/>
      <c r="X1082" s="1275"/>
      <c r="Y1082" s="1275"/>
      <c r="Z1082" s="1275"/>
      <c r="AA1082" s="1275"/>
      <c r="AB1082" s="1275"/>
      <c r="AC1082" s="1275"/>
      <c r="AD1082" s="1275"/>
      <c r="AE1082" s="1275"/>
      <c r="AF1082" s="1275"/>
      <c r="AG1082" s="1275"/>
      <c r="AH1082" s="1275"/>
      <c r="AI1082" s="1275"/>
      <c r="AJ1082" s="1275"/>
      <c r="AK1082" s="1275"/>
    </row>
    <row r="1083" spans="1:46" ht="12.95" customHeight="1">
      <c r="A1083" s="1499" t="s">
        <v>600</v>
      </c>
      <c r="B1083" s="1499"/>
      <c r="C1083" s="8">
        <v>4</v>
      </c>
      <c r="D1083" s="1275" t="s">
        <v>1119</v>
      </c>
      <c r="E1083" s="1275"/>
      <c r="F1083" s="1275"/>
      <c r="G1083" s="1275"/>
      <c r="H1083" s="1275"/>
      <c r="I1083" s="1275"/>
      <c r="J1083" s="1275"/>
      <c r="K1083" s="1275"/>
      <c r="L1083" s="1275"/>
      <c r="M1083" s="1275"/>
      <c r="N1083" s="1275"/>
      <c r="O1083" s="1275"/>
      <c r="P1083" s="1275"/>
      <c r="Q1083" s="1275"/>
      <c r="R1083" s="1275"/>
      <c r="S1083" s="1275"/>
      <c r="T1083" s="1275"/>
      <c r="U1083" s="1275"/>
      <c r="V1083" s="1275"/>
      <c r="W1083" s="1275"/>
      <c r="X1083" s="1275"/>
      <c r="Y1083" s="1275"/>
      <c r="Z1083" s="1275"/>
      <c r="AA1083" s="1275"/>
      <c r="AB1083" s="1275"/>
      <c r="AC1083" s="1275"/>
      <c r="AD1083" s="1275"/>
      <c r="AE1083" s="1275"/>
      <c r="AF1083" s="1275"/>
      <c r="AG1083" s="1275"/>
      <c r="AH1083" s="1275"/>
      <c r="AI1083" s="1275"/>
      <c r="AJ1083" s="1275"/>
      <c r="AK1083" s="1275"/>
    </row>
    <row r="1084" spans="1:46" ht="12.95" customHeight="1">
      <c r="A1084" s="1"/>
      <c r="B1084" s="1"/>
      <c r="C1084" s="8"/>
      <c r="D1084" s="1275"/>
      <c r="E1084" s="1275"/>
      <c r="F1084" s="1275"/>
      <c r="G1084" s="1275"/>
      <c r="H1084" s="1275"/>
      <c r="I1084" s="1275"/>
      <c r="J1084" s="1275"/>
      <c r="K1084" s="1275"/>
      <c r="L1084" s="1275"/>
      <c r="M1084" s="1275"/>
      <c r="N1084" s="1275"/>
      <c r="O1084" s="1275"/>
      <c r="P1084" s="1275"/>
      <c r="Q1084" s="1275"/>
      <c r="R1084" s="1275"/>
      <c r="S1084" s="1275"/>
      <c r="T1084" s="1275"/>
      <c r="U1084" s="1275"/>
      <c r="V1084" s="1275"/>
      <c r="W1084" s="1275"/>
      <c r="X1084" s="1275"/>
      <c r="Y1084" s="1275"/>
      <c r="Z1084" s="1275"/>
      <c r="AA1084" s="1275"/>
      <c r="AB1084" s="1275"/>
      <c r="AC1084" s="1275"/>
      <c r="AD1084" s="1275"/>
      <c r="AE1084" s="1275"/>
      <c r="AF1084" s="1275"/>
      <c r="AG1084" s="1275"/>
      <c r="AH1084" s="1275"/>
      <c r="AI1084" s="1275"/>
      <c r="AJ1084" s="1275"/>
      <c r="AK1084" s="1275"/>
    </row>
    <row r="1085" spans="1:46" ht="12.95" customHeight="1">
      <c r="A1085" s="35"/>
      <c r="B1085" s="25"/>
      <c r="C1085" s="8"/>
      <c r="D1085" s="1275"/>
      <c r="E1085" s="1275"/>
      <c r="F1085" s="1275"/>
      <c r="G1085" s="1275"/>
      <c r="H1085" s="1275"/>
      <c r="I1085" s="1275"/>
      <c r="J1085" s="1275"/>
      <c r="K1085" s="1275"/>
      <c r="L1085" s="1275"/>
      <c r="M1085" s="1275"/>
      <c r="N1085" s="1275"/>
      <c r="O1085" s="1275"/>
      <c r="P1085" s="1275"/>
      <c r="Q1085" s="1275"/>
      <c r="R1085" s="1275"/>
      <c r="S1085" s="1275"/>
      <c r="T1085" s="1275"/>
      <c r="U1085" s="1275"/>
      <c r="V1085" s="1275"/>
      <c r="W1085" s="1275"/>
      <c r="X1085" s="1275"/>
      <c r="Y1085" s="1275"/>
      <c r="Z1085" s="1275"/>
      <c r="AA1085" s="1275"/>
      <c r="AB1085" s="1275"/>
      <c r="AC1085" s="1275"/>
      <c r="AD1085" s="1275"/>
      <c r="AE1085" s="1275"/>
      <c r="AF1085" s="1275"/>
      <c r="AG1085" s="1275"/>
      <c r="AH1085" s="1275"/>
      <c r="AI1085" s="1275"/>
      <c r="AJ1085" s="1275"/>
      <c r="AK1085" s="1275"/>
    </row>
    <row r="1086" spans="1:46" ht="12.95" customHeight="1">
      <c r="A1086" s="1499" t="s">
        <v>600</v>
      </c>
      <c r="B1086" s="1499"/>
      <c r="C1086" s="8">
        <v>5</v>
      </c>
      <c r="D1086" s="1275" t="s">
        <v>2460</v>
      </c>
      <c r="E1086" s="1275"/>
      <c r="F1086" s="1275"/>
      <c r="G1086" s="1275"/>
      <c r="H1086" s="1275"/>
      <c r="I1086" s="1275"/>
      <c r="J1086" s="1275"/>
      <c r="K1086" s="1275"/>
      <c r="L1086" s="1275"/>
      <c r="M1086" s="1275"/>
      <c r="N1086" s="1275"/>
      <c r="O1086" s="1275"/>
      <c r="P1086" s="1275"/>
      <c r="Q1086" s="1275"/>
      <c r="R1086" s="1275"/>
      <c r="S1086" s="1275"/>
      <c r="T1086" s="1275"/>
      <c r="U1086" s="1275"/>
      <c r="V1086" s="1275"/>
      <c r="W1086" s="1275"/>
      <c r="X1086" s="1275"/>
      <c r="Y1086" s="1275"/>
      <c r="Z1086" s="1275"/>
      <c r="AA1086" s="1275"/>
      <c r="AB1086" s="1275"/>
      <c r="AC1086" s="1275"/>
      <c r="AD1086" s="1275"/>
      <c r="AE1086" s="1275"/>
      <c r="AF1086" s="1275"/>
      <c r="AG1086" s="1275"/>
      <c r="AH1086" s="1275"/>
      <c r="AI1086" s="1275"/>
      <c r="AJ1086" s="1275"/>
      <c r="AK1086" s="1275"/>
    </row>
    <row r="1087" spans="1:46" ht="12.95" customHeight="1">
      <c r="A1087" s="1"/>
      <c r="B1087" s="1"/>
      <c r="C1087" s="8"/>
      <c r="D1087" s="1275"/>
      <c r="E1087" s="1275"/>
      <c r="F1087" s="1275"/>
      <c r="G1087" s="1275"/>
      <c r="H1087" s="1275"/>
      <c r="I1087" s="1275"/>
      <c r="J1087" s="1275"/>
      <c r="K1087" s="1275"/>
      <c r="L1087" s="1275"/>
      <c r="M1087" s="1275"/>
      <c r="N1087" s="1275"/>
      <c r="O1087" s="1275"/>
      <c r="P1087" s="1275"/>
      <c r="Q1087" s="1275"/>
      <c r="R1087" s="1275"/>
      <c r="S1087" s="1275"/>
      <c r="T1087" s="1275"/>
      <c r="U1087" s="1275"/>
      <c r="V1087" s="1275"/>
      <c r="W1087" s="1275"/>
      <c r="X1087" s="1275"/>
      <c r="Y1087" s="1275"/>
      <c r="Z1087" s="1275"/>
      <c r="AA1087" s="1275"/>
      <c r="AB1087" s="1275"/>
      <c r="AC1087" s="1275"/>
      <c r="AD1087" s="1275"/>
      <c r="AE1087" s="1275"/>
      <c r="AF1087" s="1275"/>
      <c r="AG1087" s="1275"/>
      <c r="AH1087" s="1275"/>
      <c r="AI1087" s="1275"/>
      <c r="AJ1087" s="1275"/>
      <c r="AK1087" s="1275"/>
    </row>
    <row r="1088" spans="1:46" ht="12.95" customHeight="1">
      <c r="A1088" s="1"/>
      <c r="B1088" s="1"/>
      <c r="C1088" s="8"/>
      <c r="D1088" s="1275"/>
      <c r="E1088" s="1275"/>
      <c r="F1088" s="1275"/>
      <c r="G1088" s="1275"/>
      <c r="H1088" s="1275"/>
      <c r="I1088" s="1275"/>
      <c r="J1088" s="1275"/>
      <c r="K1088" s="1275"/>
      <c r="L1088" s="1275"/>
      <c r="M1088" s="1275"/>
      <c r="N1088" s="1275"/>
      <c r="O1088" s="1275"/>
      <c r="P1088" s="1275"/>
      <c r="Q1088" s="1275"/>
      <c r="R1088" s="1275"/>
      <c r="S1088" s="1275"/>
      <c r="T1088" s="1275"/>
      <c r="U1088" s="1275"/>
      <c r="V1088" s="1275"/>
      <c r="W1088" s="1275"/>
      <c r="X1088" s="1275"/>
      <c r="Y1088" s="1275"/>
      <c r="Z1088" s="1275"/>
      <c r="AA1088" s="1275"/>
      <c r="AB1088" s="1275"/>
      <c r="AC1088" s="1275"/>
      <c r="AD1088" s="1275"/>
      <c r="AE1088" s="1275"/>
      <c r="AF1088" s="1275"/>
      <c r="AG1088" s="1275"/>
      <c r="AH1088" s="1275"/>
      <c r="AI1088" s="1275"/>
      <c r="AJ1088" s="1275"/>
      <c r="AK1088" s="1275"/>
    </row>
    <row r="1089" spans="1:37" ht="12.95" hidden="1" customHeight="1">
      <c r="A1089" s="1"/>
      <c r="B1089" s="1"/>
      <c r="C1089" s="8"/>
      <c r="D1089" s="1275"/>
      <c r="E1089" s="1275"/>
      <c r="F1089" s="1275"/>
      <c r="G1089" s="1275"/>
      <c r="H1089" s="1275"/>
      <c r="I1089" s="1275"/>
      <c r="J1089" s="1275"/>
      <c r="K1089" s="1275"/>
      <c r="L1089" s="1275"/>
      <c r="M1089" s="1275"/>
      <c r="N1089" s="1275"/>
      <c r="O1089" s="1275"/>
      <c r="P1089" s="1275"/>
      <c r="Q1089" s="1275"/>
      <c r="R1089" s="1275"/>
      <c r="S1089" s="1275"/>
      <c r="T1089" s="1275"/>
      <c r="U1089" s="1275"/>
      <c r="V1089" s="1275"/>
      <c r="W1089" s="1275"/>
      <c r="X1089" s="1275"/>
      <c r="Y1089" s="1275"/>
      <c r="Z1089" s="1275"/>
      <c r="AA1089" s="1275"/>
      <c r="AB1089" s="1275"/>
      <c r="AC1089" s="1275"/>
      <c r="AD1089" s="1275"/>
      <c r="AE1089" s="1275"/>
      <c r="AF1089" s="1275"/>
      <c r="AG1089" s="1275"/>
      <c r="AH1089" s="1275"/>
      <c r="AI1089" s="1275"/>
      <c r="AJ1089" s="1275"/>
      <c r="AK1089" s="1275"/>
    </row>
    <row r="1090" spans="1:37" ht="12.95" customHeight="1">
      <c r="A1090" s="35"/>
      <c r="B1090" s="25"/>
      <c r="C1090" s="8"/>
      <c r="D1090" s="1275"/>
      <c r="E1090" s="1275"/>
      <c r="F1090" s="1275"/>
      <c r="G1090" s="1275"/>
      <c r="H1090" s="1275"/>
      <c r="I1090" s="1275"/>
      <c r="J1090" s="1275"/>
      <c r="K1090" s="1275"/>
      <c r="L1090" s="1275"/>
      <c r="M1090" s="1275"/>
      <c r="N1090" s="1275"/>
      <c r="O1090" s="1275"/>
      <c r="P1090" s="1275"/>
      <c r="Q1090" s="1275"/>
      <c r="R1090" s="1275"/>
      <c r="S1090" s="1275"/>
      <c r="T1090" s="1275"/>
      <c r="U1090" s="1275"/>
      <c r="V1090" s="1275"/>
      <c r="W1090" s="1275"/>
      <c r="X1090" s="1275"/>
      <c r="Y1090" s="1275"/>
      <c r="Z1090" s="1275"/>
      <c r="AA1090" s="1275"/>
      <c r="AB1090" s="1275"/>
      <c r="AC1090" s="1275"/>
      <c r="AD1090" s="1275"/>
      <c r="AE1090" s="1275"/>
      <c r="AF1090" s="1275"/>
      <c r="AG1090" s="1275"/>
      <c r="AH1090" s="1275"/>
      <c r="AI1090" s="1275"/>
      <c r="AJ1090" s="1275"/>
      <c r="AK1090" s="1275"/>
    </row>
    <row r="1091" spans="1:37" ht="12.95" customHeight="1">
      <c r="A1091" s="1499" t="s">
        <v>600</v>
      </c>
      <c r="B1091" s="1499"/>
      <c r="C1091" s="8">
        <v>6</v>
      </c>
      <c r="D1091" s="1275" t="s">
        <v>1120</v>
      </c>
      <c r="E1091" s="1275"/>
      <c r="F1091" s="1275"/>
      <c r="G1091" s="1275"/>
      <c r="H1091" s="1275"/>
      <c r="I1091" s="1275"/>
      <c r="J1091" s="1275"/>
      <c r="K1091" s="1275"/>
      <c r="L1091" s="1275"/>
      <c r="M1091" s="1275"/>
      <c r="N1091" s="1275"/>
      <c r="O1091" s="1275"/>
      <c r="P1091" s="1275"/>
      <c r="Q1091" s="1275"/>
      <c r="R1091" s="1275"/>
      <c r="S1091" s="1275"/>
      <c r="T1091" s="1275"/>
      <c r="U1091" s="1275"/>
      <c r="V1091" s="1275"/>
      <c r="W1091" s="1275"/>
      <c r="X1091" s="1275"/>
      <c r="Y1091" s="1275"/>
      <c r="Z1091" s="1275"/>
      <c r="AA1091" s="1275"/>
      <c r="AB1091" s="1275"/>
      <c r="AC1091" s="1275"/>
      <c r="AD1091" s="1275"/>
      <c r="AE1091" s="1275"/>
      <c r="AF1091" s="1275"/>
      <c r="AG1091" s="1275"/>
      <c r="AH1091" s="1275"/>
      <c r="AI1091" s="1275"/>
      <c r="AJ1091" s="1275"/>
      <c r="AK1091" s="1275"/>
    </row>
    <row r="1092" spans="1:37" ht="12.95" customHeight="1">
      <c r="A1092" s="35"/>
      <c r="B1092" s="25"/>
      <c r="C1092" s="8"/>
      <c r="D1092" s="1275"/>
      <c r="E1092" s="1275"/>
      <c r="F1092" s="1275"/>
      <c r="G1092" s="1275"/>
      <c r="H1092" s="1275"/>
      <c r="I1092" s="1275"/>
      <c r="J1092" s="1275"/>
      <c r="K1092" s="1275"/>
      <c r="L1092" s="1275"/>
      <c r="M1092" s="1275"/>
      <c r="N1092" s="1275"/>
      <c r="O1092" s="1275"/>
      <c r="P1092" s="1275"/>
      <c r="Q1092" s="1275"/>
      <c r="R1092" s="1275"/>
      <c r="S1092" s="1275"/>
      <c r="T1092" s="1275"/>
      <c r="U1092" s="1275"/>
      <c r="V1092" s="1275"/>
      <c r="W1092" s="1275"/>
      <c r="X1092" s="1275"/>
      <c r="Y1092" s="1275"/>
      <c r="Z1092" s="1275"/>
      <c r="AA1092" s="1275"/>
      <c r="AB1092" s="1275"/>
      <c r="AC1092" s="1275"/>
      <c r="AD1092" s="1275"/>
      <c r="AE1092" s="1275"/>
      <c r="AF1092" s="1275"/>
      <c r="AG1092" s="1275"/>
      <c r="AH1092" s="1275"/>
      <c r="AI1092" s="1275"/>
      <c r="AJ1092" s="1275"/>
      <c r="AK1092" s="1275"/>
    </row>
    <row r="1093" spans="1:37" ht="12.95" customHeight="1">
      <c r="A1093" s="35"/>
      <c r="B1093" s="25"/>
      <c r="C1093" s="8"/>
      <c r="D1093" s="1275"/>
      <c r="E1093" s="1275"/>
      <c r="F1093" s="1275"/>
      <c r="G1093" s="1275"/>
      <c r="H1093" s="1275"/>
      <c r="I1093" s="1275"/>
      <c r="J1093" s="1275"/>
      <c r="K1093" s="1275"/>
      <c r="L1093" s="1275"/>
      <c r="M1093" s="1275"/>
      <c r="N1093" s="1275"/>
      <c r="O1093" s="1275"/>
      <c r="P1093" s="1275"/>
      <c r="Q1093" s="1275"/>
      <c r="R1093" s="1275"/>
      <c r="S1093" s="1275"/>
      <c r="T1093" s="1275"/>
      <c r="U1093" s="1275"/>
      <c r="V1093" s="1275"/>
      <c r="W1093" s="1275"/>
      <c r="X1093" s="1275"/>
      <c r="Y1093" s="1275"/>
      <c r="Z1093" s="1275"/>
      <c r="AA1093" s="1275"/>
      <c r="AB1093" s="1275"/>
      <c r="AC1093" s="1275"/>
      <c r="AD1093" s="1275"/>
      <c r="AE1093" s="1275"/>
      <c r="AF1093" s="1275"/>
      <c r="AG1093" s="1275"/>
      <c r="AH1093" s="1275"/>
      <c r="AI1093" s="1275"/>
      <c r="AJ1093" s="1275"/>
      <c r="AK1093" s="1275"/>
    </row>
    <row r="1094" spans="1:37" ht="12.95" customHeight="1">
      <c r="A1094" s="1499" t="s">
        <v>600</v>
      </c>
      <c r="B1094" s="1499"/>
      <c r="C1094" s="212">
        <v>7</v>
      </c>
      <c r="D1094" s="1275" t="s">
        <v>1122</v>
      </c>
      <c r="E1094" s="1275"/>
      <c r="F1094" s="1275"/>
      <c r="G1094" s="1275"/>
      <c r="H1094" s="1275"/>
      <c r="I1094" s="1275"/>
      <c r="J1094" s="1275"/>
      <c r="K1094" s="1275"/>
      <c r="L1094" s="1275"/>
      <c r="M1094" s="1275"/>
      <c r="N1094" s="1275"/>
      <c r="O1094" s="1275"/>
      <c r="P1094" s="1275"/>
      <c r="Q1094" s="1275"/>
      <c r="R1094" s="1275"/>
      <c r="S1094" s="1275"/>
      <c r="T1094" s="1275"/>
      <c r="U1094" s="1275"/>
      <c r="V1094" s="1275"/>
      <c r="W1094" s="1275"/>
      <c r="X1094" s="1275"/>
      <c r="Y1094" s="1275"/>
      <c r="Z1094" s="1275"/>
      <c r="AA1094" s="1275"/>
      <c r="AB1094" s="1275"/>
      <c r="AC1094" s="1275"/>
      <c r="AD1094" s="1275"/>
      <c r="AE1094" s="1275"/>
      <c r="AF1094" s="1275"/>
      <c r="AG1094" s="1275"/>
      <c r="AH1094" s="1275"/>
      <c r="AI1094" s="1275"/>
      <c r="AJ1094" s="1275"/>
      <c r="AK1094" s="1275"/>
    </row>
    <row r="1095" spans="1:37" ht="12.95" customHeight="1">
      <c r="A1095" s="1"/>
      <c r="B1095" s="1"/>
      <c r="C1095" s="212"/>
      <c r="D1095" s="1275"/>
      <c r="E1095" s="1275"/>
      <c r="F1095" s="1275"/>
      <c r="G1095" s="1275"/>
      <c r="H1095" s="1275"/>
      <c r="I1095" s="1275"/>
      <c r="J1095" s="1275"/>
      <c r="K1095" s="1275"/>
      <c r="L1095" s="1275"/>
      <c r="M1095" s="1275"/>
      <c r="N1095" s="1275"/>
      <c r="O1095" s="1275"/>
      <c r="P1095" s="1275"/>
      <c r="Q1095" s="1275"/>
      <c r="R1095" s="1275"/>
      <c r="S1095" s="1275"/>
      <c r="T1095" s="1275"/>
      <c r="U1095" s="1275"/>
      <c r="V1095" s="1275"/>
      <c r="W1095" s="1275"/>
      <c r="X1095" s="1275"/>
      <c r="Y1095" s="1275"/>
      <c r="Z1095" s="1275"/>
      <c r="AA1095" s="1275"/>
      <c r="AB1095" s="1275"/>
      <c r="AC1095" s="1275"/>
      <c r="AD1095" s="1275"/>
      <c r="AE1095" s="1275"/>
      <c r="AF1095" s="1275"/>
      <c r="AG1095" s="1275"/>
      <c r="AH1095" s="1275"/>
      <c r="AI1095" s="1275"/>
      <c r="AJ1095" s="1275"/>
      <c r="AK1095" s="1275"/>
    </row>
    <row r="1096" spans="1:37" ht="12.95" customHeight="1">
      <c r="A1096" s="1"/>
      <c r="B1096" s="1"/>
      <c r="C1096" s="212"/>
      <c r="D1096" s="1275"/>
      <c r="E1096" s="1275"/>
      <c r="F1096" s="1275"/>
      <c r="G1096" s="1275"/>
      <c r="H1096" s="1275"/>
      <c r="I1096" s="1275"/>
      <c r="J1096" s="1275"/>
      <c r="K1096" s="1275"/>
      <c r="L1096" s="1275"/>
      <c r="M1096" s="1275"/>
      <c r="N1096" s="1275"/>
      <c r="O1096" s="1275"/>
      <c r="P1096" s="1275"/>
      <c r="Q1096" s="1275"/>
      <c r="R1096" s="1275"/>
      <c r="S1096" s="1275"/>
      <c r="T1096" s="1275"/>
      <c r="U1096" s="1275"/>
      <c r="V1096" s="1275"/>
      <c r="W1096" s="1275"/>
      <c r="X1096" s="1275"/>
      <c r="Y1096" s="1275"/>
      <c r="Z1096" s="1275"/>
      <c r="AA1096" s="1275"/>
      <c r="AB1096" s="1275"/>
      <c r="AC1096" s="1275"/>
      <c r="AD1096" s="1275"/>
      <c r="AE1096" s="1275"/>
      <c r="AF1096" s="1275"/>
      <c r="AG1096" s="1275"/>
      <c r="AH1096" s="1275"/>
      <c r="AI1096" s="1275"/>
      <c r="AJ1096" s="1275"/>
      <c r="AK1096" s="1275"/>
    </row>
    <row r="1097" spans="1:37" ht="12.95" customHeight="1">
      <c r="A1097" s="35"/>
      <c r="B1097" s="25"/>
      <c r="C1097" s="212"/>
      <c r="D1097" s="1275"/>
      <c r="E1097" s="1275"/>
      <c r="F1097" s="1275"/>
      <c r="G1097" s="1275"/>
      <c r="H1097" s="1275"/>
      <c r="I1097" s="1275"/>
      <c r="J1097" s="1275"/>
      <c r="K1097" s="1275"/>
      <c r="L1097" s="1275"/>
      <c r="M1097" s="1275"/>
      <c r="N1097" s="1275"/>
      <c r="O1097" s="1275"/>
      <c r="P1097" s="1275"/>
      <c r="Q1097" s="1275"/>
      <c r="R1097" s="1275"/>
      <c r="S1097" s="1275"/>
      <c r="T1097" s="1275"/>
      <c r="U1097" s="1275"/>
      <c r="V1097" s="1275"/>
      <c r="W1097" s="1275"/>
      <c r="X1097" s="1275"/>
      <c r="Y1097" s="1275"/>
      <c r="Z1097" s="1275"/>
      <c r="AA1097" s="1275"/>
      <c r="AB1097" s="1275"/>
      <c r="AC1097" s="1275"/>
      <c r="AD1097" s="1275"/>
      <c r="AE1097" s="1275"/>
      <c r="AF1097" s="1275"/>
      <c r="AG1097" s="1275"/>
      <c r="AH1097" s="1275"/>
      <c r="AI1097" s="1275"/>
      <c r="AJ1097" s="1275"/>
      <c r="AK1097" s="1275"/>
    </row>
    <row r="1098" spans="1:37" ht="12.95" customHeight="1">
      <c r="A1098" s="1499" t="s">
        <v>600</v>
      </c>
      <c r="B1098" s="1499"/>
      <c r="C1098" s="212">
        <v>8</v>
      </c>
      <c r="D1098" s="1335" t="s">
        <v>1873</v>
      </c>
      <c r="E1098" s="1335"/>
      <c r="F1098" s="1335"/>
      <c r="G1098" s="1335"/>
      <c r="H1098" s="1335"/>
      <c r="I1098" s="1335"/>
      <c r="J1098" s="1335"/>
      <c r="K1098" s="1335"/>
      <c r="L1098" s="1335"/>
      <c r="M1098" s="1335"/>
      <c r="N1098" s="1335"/>
      <c r="O1098" s="1335"/>
      <c r="P1098" s="1335"/>
      <c r="Q1098" s="1335"/>
      <c r="R1098" s="1335"/>
      <c r="S1098" s="1335"/>
      <c r="T1098" s="1335"/>
      <c r="U1098" s="1335"/>
      <c r="V1098" s="1335"/>
      <c r="W1098" s="1335"/>
      <c r="X1098" s="1335"/>
      <c r="Y1098" s="1335"/>
      <c r="Z1098" s="1335"/>
      <c r="AA1098" s="1335"/>
      <c r="AB1098" s="1335"/>
      <c r="AC1098" s="1335"/>
      <c r="AD1098" s="1335"/>
      <c r="AE1098" s="1335"/>
      <c r="AF1098" s="1335"/>
      <c r="AG1098" s="1335"/>
      <c r="AH1098" s="1335"/>
      <c r="AI1098" s="1335"/>
      <c r="AJ1098" s="1335"/>
      <c r="AK1098" s="1335"/>
    </row>
    <row r="1099" spans="1:37" ht="12.95" customHeight="1">
      <c r="A1099" s="1"/>
      <c r="B1099" s="1"/>
      <c r="C1099" s="212"/>
      <c r="D1099" s="1335"/>
      <c r="E1099" s="1335"/>
      <c r="F1099" s="1335"/>
      <c r="G1099" s="1335"/>
      <c r="H1099" s="1335"/>
      <c r="I1099" s="1335"/>
      <c r="J1099" s="1335"/>
      <c r="K1099" s="1335"/>
      <c r="L1099" s="1335"/>
      <c r="M1099" s="1335"/>
      <c r="N1099" s="1335"/>
      <c r="O1099" s="1335"/>
      <c r="P1099" s="1335"/>
      <c r="Q1099" s="1335"/>
      <c r="R1099" s="1335"/>
      <c r="S1099" s="1335"/>
      <c r="T1099" s="1335"/>
      <c r="U1099" s="1335"/>
      <c r="V1099" s="1335"/>
      <c r="W1099" s="1335"/>
      <c r="X1099" s="1335"/>
      <c r="Y1099" s="1335"/>
      <c r="Z1099" s="1335"/>
      <c r="AA1099" s="1335"/>
      <c r="AB1099" s="1335"/>
      <c r="AC1099" s="1335"/>
      <c r="AD1099" s="1335"/>
      <c r="AE1099" s="1335"/>
      <c r="AF1099" s="1335"/>
      <c r="AG1099" s="1335"/>
      <c r="AH1099" s="1335"/>
      <c r="AI1099" s="1335"/>
      <c r="AJ1099" s="1335"/>
      <c r="AK1099" s="1335"/>
    </row>
    <row r="1100" spans="1:37" ht="12.95" customHeight="1">
      <c r="A1100" s="1"/>
      <c r="B1100" s="1"/>
      <c r="C1100" s="212"/>
      <c r="D1100" s="1335"/>
      <c r="E1100" s="1335"/>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row>
    <row r="1101" spans="1:37" ht="0" hidden="1" customHeight="1">
      <c r="A1101" s="1"/>
      <c r="B1101" s="1"/>
      <c r="C1101" s="212"/>
      <c r="D1101" s="1335"/>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row>
    <row r="1102" spans="1:37" ht="0" hidden="1" customHeight="1">
      <c r="A1102" s="35"/>
      <c r="B1102" s="25"/>
      <c r="C1102" s="212"/>
      <c r="D1102" s="1335"/>
      <c r="E1102" s="1335"/>
      <c r="F1102" s="1335"/>
      <c r="G1102" s="1335"/>
      <c r="H1102" s="1335"/>
      <c r="I1102" s="1335"/>
      <c r="J1102" s="1335"/>
      <c r="K1102" s="1335"/>
      <c r="L1102" s="1335"/>
      <c r="M1102" s="1335"/>
      <c r="N1102" s="1335"/>
      <c r="O1102" s="1335"/>
      <c r="P1102" s="1335"/>
      <c r="Q1102" s="1335"/>
      <c r="R1102" s="1335"/>
      <c r="S1102" s="1335"/>
      <c r="T1102" s="1335"/>
      <c r="U1102" s="1335"/>
      <c r="V1102" s="1335"/>
      <c r="W1102" s="1335"/>
      <c r="X1102" s="1335"/>
      <c r="Y1102" s="1335"/>
      <c r="Z1102" s="1335"/>
      <c r="AA1102" s="1335"/>
      <c r="AB1102" s="1335"/>
      <c r="AC1102" s="1335"/>
      <c r="AD1102" s="1335"/>
      <c r="AE1102" s="1335"/>
      <c r="AF1102" s="1335"/>
      <c r="AG1102" s="1335"/>
      <c r="AH1102" s="1335"/>
      <c r="AI1102" s="1335"/>
      <c r="AJ1102" s="1335"/>
      <c r="AK1102" s="1335"/>
    </row>
    <row r="1103" spans="1:37" ht="0" hidden="1" customHeight="1">
      <c r="A1103" s="1499" t="s">
        <v>600</v>
      </c>
      <c r="B1103" s="1499"/>
      <c r="C1103" s="212">
        <v>9</v>
      </c>
      <c r="D1103" s="1275" t="s">
        <v>1121</v>
      </c>
      <c r="E1103" s="1275"/>
      <c r="F1103" s="1275"/>
      <c r="G1103" s="1275"/>
      <c r="H1103" s="1275"/>
      <c r="I1103" s="1275"/>
      <c r="J1103" s="1275"/>
      <c r="K1103" s="1275"/>
      <c r="L1103" s="1275"/>
      <c r="M1103" s="1275"/>
      <c r="N1103" s="1275"/>
      <c r="O1103" s="1275"/>
      <c r="P1103" s="1275"/>
      <c r="Q1103" s="1275"/>
      <c r="R1103" s="1275"/>
      <c r="S1103" s="1275"/>
      <c r="T1103" s="1275"/>
      <c r="U1103" s="1275"/>
      <c r="V1103" s="1275"/>
      <c r="W1103" s="1275"/>
      <c r="X1103" s="1275"/>
      <c r="Y1103" s="1275"/>
      <c r="Z1103" s="1275"/>
      <c r="AA1103" s="1275"/>
      <c r="AB1103" s="1275"/>
      <c r="AC1103" s="1275"/>
      <c r="AD1103" s="1275"/>
      <c r="AE1103" s="1275"/>
      <c r="AF1103" s="1275"/>
      <c r="AG1103" s="1275"/>
      <c r="AH1103" s="1275"/>
      <c r="AI1103" s="1275"/>
      <c r="AJ1103" s="1275"/>
      <c r="AK1103" s="1275"/>
    </row>
    <row r="1104" spans="1:37" ht="0" hidden="1" customHeight="1">
      <c r="A1104" s="35"/>
      <c r="B1104" s="25"/>
      <c r="C1104" s="212"/>
      <c r="D1104" s="1275"/>
      <c r="E1104" s="1275"/>
      <c r="F1104" s="1275"/>
      <c r="G1104" s="1275"/>
      <c r="H1104" s="1275"/>
      <c r="I1104" s="1275"/>
      <c r="J1104" s="1275"/>
      <c r="K1104" s="1275"/>
      <c r="L1104" s="1275"/>
      <c r="M1104" s="1275"/>
      <c r="N1104" s="1275"/>
      <c r="O1104" s="1275"/>
      <c r="P1104" s="1275"/>
      <c r="Q1104" s="1275"/>
      <c r="R1104" s="1275"/>
      <c r="S1104" s="1275"/>
      <c r="T1104" s="1275"/>
      <c r="U1104" s="1275"/>
      <c r="V1104" s="1275"/>
      <c r="W1104" s="1275"/>
      <c r="X1104" s="1275"/>
      <c r="Y1104" s="1275"/>
      <c r="Z1104" s="1275"/>
      <c r="AA1104" s="1275"/>
      <c r="AB1104" s="1275"/>
      <c r="AC1104" s="1275"/>
      <c r="AD1104" s="1275"/>
      <c r="AE1104" s="1275"/>
      <c r="AF1104" s="1275"/>
      <c r="AG1104" s="1275"/>
      <c r="AH1104" s="1275"/>
      <c r="AI1104" s="1275"/>
      <c r="AJ1104" s="1275"/>
      <c r="AK1104" s="1275"/>
    </row>
    <row r="1105" spans="4:37" ht="0" hidden="1" customHeight="1">
      <c r="D1105" s="1275"/>
      <c r="E1105" s="1275"/>
      <c r="F1105" s="1275"/>
      <c r="G1105" s="1275"/>
      <c r="H1105" s="1275"/>
      <c r="I1105" s="1275"/>
      <c r="J1105" s="1275"/>
      <c r="K1105" s="1275"/>
      <c r="L1105" s="1275"/>
      <c r="M1105" s="1275"/>
      <c r="N1105" s="1275"/>
      <c r="O1105" s="1275"/>
      <c r="P1105" s="1275"/>
      <c r="Q1105" s="1275"/>
      <c r="R1105" s="1275"/>
      <c r="S1105" s="1275"/>
      <c r="T1105" s="1275"/>
      <c r="U1105" s="1275"/>
      <c r="V1105" s="1275"/>
      <c r="W1105" s="1275"/>
      <c r="X1105" s="1275"/>
      <c r="Y1105" s="1275"/>
      <c r="Z1105" s="1275"/>
      <c r="AA1105" s="1275"/>
      <c r="AB1105" s="1275"/>
      <c r="AC1105" s="1275"/>
      <c r="AD1105" s="1275"/>
      <c r="AE1105" s="1275"/>
      <c r="AF1105" s="1275"/>
      <c r="AG1105" s="1275"/>
      <c r="AH1105" s="1275"/>
      <c r="AI1105" s="1275"/>
      <c r="AJ1105" s="1275"/>
      <c r="AK1105" s="127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7">
    <mergeCell ref="AH747:AJ747"/>
    <mergeCell ref="AH748:AJ748"/>
    <mergeCell ref="EC662:EG662"/>
    <mergeCell ref="EH662:EL662"/>
    <mergeCell ref="DX659:EB659"/>
    <mergeCell ref="DX629:EB629"/>
    <mergeCell ref="EC629:EG629"/>
    <mergeCell ref="EH629:EL629"/>
    <mergeCell ref="EH666:EL666"/>
    <mergeCell ref="X738:AB738"/>
    <mergeCell ref="X729:AB729"/>
    <mergeCell ref="BS649:BW649"/>
    <mergeCell ref="BX652:CB652"/>
    <mergeCell ref="W633:Y633"/>
    <mergeCell ref="T725:W725"/>
    <mergeCell ref="X725:AB725"/>
    <mergeCell ref="T739:W739"/>
    <mergeCell ref="AO632:AS632"/>
    <mergeCell ref="AK630:AN630"/>
    <mergeCell ref="AK631:AN631"/>
    <mergeCell ref="DX654:EB654"/>
    <mergeCell ref="EC654:EG654"/>
    <mergeCell ref="EH654:EL654"/>
    <mergeCell ref="CC629:CG629"/>
    <mergeCell ref="CH629:CL629"/>
    <mergeCell ref="CM629:CQ629"/>
    <mergeCell ref="Z643:AK643"/>
    <mergeCell ref="DX638:EB638"/>
    <mergeCell ref="EC638:EG638"/>
    <mergeCell ref="EH638:EL638"/>
    <mergeCell ref="Z655:AE655"/>
    <mergeCell ref="AA656:AK656"/>
    <mergeCell ref="ER666:EV666"/>
    <mergeCell ref="EW666:FA666"/>
    <mergeCell ref="DX667:EB667"/>
    <mergeCell ref="AI679:AK679"/>
    <mergeCell ref="Z663:AE663"/>
    <mergeCell ref="DX662:EB662"/>
    <mergeCell ref="M244:AE244"/>
    <mergeCell ref="M245:T245"/>
    <mergeCell ref="AC245:AE245"/>
    <mergeCell ref="M246:AE246"/>
    <mergeCell ref="M247:R247"/>
    <mergeCell ref="M248:AE248"/>
    <mergeCell ref="AA249:AK249"/>
    <mergeCell ref="M252:AE252"/>
    <mergeCell ref="M251:AE251"/>
    <mergeCell ref="EC659:EG659"/>
    <mergeCell ref="EH659:EL659"/>
    <mergeCell ref="DX623:EB623"/>
    <mergeCell ref="EC623:EG623"/>
    <mergeCell ref="EW631:FA631"/>
    <mergeCell ref="EC636:EG636"/>
    <mergeCell ref="EH636:EL636"/>
    <mergeCell ref="DX636:EB636"/>
    <mergeCell ref="ER636:EV636"/>
    <mergeCell ref="EH640:EL640"/>
    <mergeCell ref="EM640:EQ640"/>
    <mergeCell ref="DX639:EB639"/>
    <mergeCell ref="DX658:EB658"/>
    <mergeCell ref="EC658:EG658"/>
    <mergeCell ref="EH658:EL658"/>
    <mergeCell ref="EM658:EQ658"/>
    <mergeCell ref="DX635:EB635"/>
    <mergeCell ref="B725:F725"/>
    <mergeCell ref="B724:F724"/>
    <mergeCell ref="B728:F728"/>
    <mergeCell ref="X728:AB72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DX666:EB666"/>
    <mergeCell ref="EC666:EG666"/>
    <mergeCell ref="AC724:AG724"/>
    <mergeCell ref="B718:F718"/>
    <mergeCell ref="B721:F721"/>
    <mergeCell ref="B727:F727"/>
    <mergeCell ref="J705:O705"/>
    <mergeCell ref="J704:X704"/>
    <mergeCell ref="G721:J721"/>
    <mergeCell ref="EM666:EQ666"/>
    <mergeCell ref="EM638:EQ638"/>
    <mergeCell ref="ER638:EV638"/>
    <mergeCell ref="EC635:EG635"/>
    <mergeCell ref="EH635:EL635"/>
    <mergeCell ref="EM635:EQ635"/>
    <mergeCell ref="ER635:EV635"/>
    <mergeCell ref="EW635:FA635"/>
    <mergeCell ref="EM637:EQ637"/>
    <mergeCell ref="ER644:EV644"/>
    <mergeCell ref="EW645:FA645"/>
    <mergeCell ref="DX646:EB646"/>
    <mergeCell ref="EC646:EG646"/>
    <mergeCell ref="EH646:EL646"/>
    <mergeCell ref="DX645:EB64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C625:EG625"/>
    <mergeCell ref="EH625:EL625"/>
    <mergeCell ref="EM625:EQ625"/>
    <mergeCell ref="EW632:FA632"/>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X620:DB620"/>
    <mergeCell ref="CS620:CW620"/>
    <mergeCell ref="BE622:BF622"/>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BS607:BW607"/>
    <mergeCell ref="CH613:CL613"/>
    <mergeCell ref="BG620:BH620"/>
    <mergeCell ref="BI620:BJ620"/>
    <mergeCell ref="BK620:BL620"/>
    <mergeCell ref="BE621:BF621"/>
    <mergeCell ref="BG621:BH621"/>
    <mergeCell ref="BI621:BJ621"/>
    <mergeCell ref="BK621:BL621"/>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AG438:AJ438"/>
    <mergeCell ref="AM555:AS555"/>
    <mergeCell ref="CS624:CW624"/>
    <mergeCell ref="CX624:DB624"/>
    <mergeCell ref="CM623:CQ623"/>
    <mergeCell ref="BK624:BL624"/>
    <mergeCell ref="BE625:BF625"/>
    <mergeCell ref="BG625:BH625"/>
    <mergeCell ref="BI625:BJ625"/>
    <mergeCell ref="BK625:BL625"/>
    <mergeCell ref="CC625:CG625"/>
    <mergeCell ref="CH625:CL625"/>
    <mergeCell ref="CM625:CQ625"/>
    <mergeCell ref="BS623:BW623"/>
    <mergeCell ref="BX623:CB623"/>
    <mergeCell ref="BN625:BR625"/>
    <mergeCell ref="BS625:BW625"/>
    <mergeCell ref="BX625:CB625"/>
    <mergeCell ref="CC623:CG623"/>
    <mergeCell ref="BS609:BW609"/>
    <mergeCell ref="BX609:CB609"/>
    <mergeCell ref="BK597:BL597"/>
    <mergeCell ref="BS597:BW597"/>
    <mergeCell ref="CM622:CQ622"/>
    <mergeCell ref="BG623:BH623"/>
    <mergeCell ref="BN619:BR619"/>
    <mergeCell ref="BX612:CB612"/>
    <mergeCell ref="BX615:CB615"/>
    <mergeCell ref="BK610:BL610"/>
    <mergeCell ref="BG611:BH611"/>
    <mergeCell ref="BK607:BL607"/>
    <mergeCell ref="BN607:BR607"/>
    <mergeCell ref="AC529:AF529"/>
    <mergeCell ref="AH530:AK530"/>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W418:Y418"/>
    <mergeCell ref="Q494:AK494"/>
    <mergeCell ref="AH524:AK524"/>
    <mergeCell ref="AH525:AK525"/>
    <mergeCell ref="AM560:AS560"/>
    <mergeCell ref="AG446:AJ446"/>
    <mergeCell ref="D440:AF440"/>
    <mergeCell ref="AC531:AF531"/>
    <mergeCell ref="W558:Y558"/>
    <mergeCell ref="AE558:AH558"/>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B517:H519"/>
    <mergeCell ref="AC524:AF524"/>
    <mergeCell ref="AH500:AK500"/>
    <mergeCell ref="AG448:AJ448"/>
    <mergeCell ref="AF430:AG430"/>
    <mergeCell ref="AC513:AF513"/>
    <mergeCell ref="AH513:AK513"/>
    <mergeCell ref="AH505:AK505"/>
    <mergeCell ref="AC528:AF528"/>
    <mergeCell ref="T554:V554"/>
    <mergeCell ref="Q556:S556"/>
    <mergeCell ref="Q554:S554"/>
    <mergeCell ref="E420:AJ420"/>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06:AK506"/>
    <mergeCell ref="AH538:AK538"/>
    <mergeCell ref="Z551:AD553"/>
    <mergeCell ref="Q485:AK485"/>
    <mergeCell ref="D437:AF437"/>
    <mergeCell ref="AC522:AF522"/>
    <mergeCell ref="D467:V467"/>
    <mergeCell ref="F427:AH428"/>
    <mergeCell ref="V377:W377"/>
    <mergeCell ref="S377:T377"/>
    <mergeCell ref="D445:AF445"/>
    <mergeCell ref="D446:AF446"/>
    <mergeCell ref="D447:AF447"/>
    <mergeCell ref="J388:U388"/>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42:AF542"/>
    <mergeCell ref="AC521:AF521"/>
    <mergeCell ref="AH509:AK509"/>
    <mergeCell ref="AC503:AF503"/>
    <mergeCell ref="T558:V558"/>
    <mergeCell ref="W561:Y561"/>
    <mergeCell ref="W562:Y562"/>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D469:V469"/>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AE562:AH562"/>
    <mergeCell ref="AH542:AK542"/>
    <mergeCell ref="BE602:BF602"/>
    <mergeCell ref="G731:J731"/>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AE559:AH559"/>
    <mergeCell ref="AI559:AL559"/>
    <mergeCell ref="AH520:AK520"/>
    <mergeCell ref="AC537:AF537"/>
    <mergeCell ref="AH539:AK539"/>
    <mergeCell ref="AH541:AK541"/>
    <mergeCell ref="AC535:AF535"/>
    <mergeCell ref="AI554:AL554"/>
    <mergeCell ref="W557:Y557"/>
    <mergeCell ref="W466:Y466"/>
    <mergeCell ref="W473:Y473"/>
    <mergeCell ref="P605:R605"/>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BN629:BR629"/>
    <mergeCell ref="BS629:BW629"/>
    <mergeCell ref="BX629:CB629"/>
    <mergeCell ref="BK603:BL603"/>
    <mergeCell ref="BE620:BF620"/>
    <mergeCell ref="BG622:BH622"/>
    <mergeCell ref="G720:J720"/>
    <mergeCell ref="BG596:BH596"/>
    <mergeCell ref="BG599:BH599"/>
    <mergeCell ref="BX607:CB607"/>
    <mergeCell ref="BS598:BW598"/>
    <mergeCell ref="BS599:BW599"/>
    <mergeCell ref="CC598:CG598"/>
    <mergeCell ref="BS604:BW604"/>
    <mergeCell ref="CH597:CL597"/>
    <mergeCell ref="CC640:CG640"/>
    <mergeCell ref="G588:R588"/>
    <mergeCell ref="BE605:BF605"/>
    <mergeCell ref="BE603:BF603"/>
    <mergeCell ref="BE600:BF600"/>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CH598:CL598"/>
    <mergeCell ref="BS596:BW596"/>
    <mergeCell ref="BK604:BL604"/>
    <mergeCell ref="BX597:CB597"/>
    <mergeCell ref="CH596:CL596"/>
    <mergeCell ref="CH601:CL601"/>
    <mergeCell ref="BS603:BW603"/>
    <mergeCell ref="BN604:BR604"/>
    <mergeCell ref="CC601:CG601"/>
    <mergeCell ref="CC602:CG602"/>
    <mergeCell ref="CC597:CG597"/>
    <mergeCell ref="BI610:BJ610"/>
    <mergeCell ref="BI609:BJ609"/>
    <mergeCell ref="CH605:CL605"/>
    <mergeCell ref="CH609:CL609"/>
    <mergeCell ref="CH610:CL610"/>
    <mergeCell ref="CH608:CL608"/>
    <mergeCell ref="BX610:CB610"/>
    <mergeCell ref="CC605:CG605"/>
    <mergeCell ref="BN609:BR609"/>
    <mergeCell ref="BN610:BR610"/>
    <mergeCell ref="CH606:CL606"/>
    <mergeCell ref="BK601:BL601"/>
    <mergeCell ref="CH599:CL599"/>
    <mergeCell ref="BX596:CB596"/>
    <mergeCell ref="CC600:CG600"/>
    <mergeCell ref="CC610:CG610"/>
    <mergeCell ref="CC607:CG607"/>
    <mergeCell ref="BS608:BW608"/>
    <mergeCell ref="BN608:BR608"/>
    <mergeCell ref="BI604:BJ604"/>
    <mergeCell ref="BN602:BR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BX599:CB599"/>
    <mergeCell ref="BX606:CB606"/>
    <mergeCell ref="BN600:BR600"/>
    <mergeCell ref="AA606:AK606"/>
    <mergeCell ref="BS602:BW602"/>
    <mergeCell ref="BI607:BJ607"/>
    <mergeCell ref="BG604:BH604"/>
    <mergeCell ref="BK605:BL605"/>
    <mergeCell ref="BX598:CB598"/>
    <mergeCell ref="BG601:BH601"/>
    <mergeCell ref="BG600:BH600"/>
    <mergeCell ref="BS606:BW606"/>
    <mergeCell ref="BI603:BJ603"/>
    <mergeCell ref="BI606:BJ606"/>
    <mergeCell ref="BG605:BH605"/>
    <mergeCell ref="BK600:BL600"/>
    <mergeCell ref="BG598:BH598"/>
    <mergeCell ref="BG607:BH607"/>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AA335:AK335"/>
    <mergeCell ref="AG599:AH599"/>
    <mergeCell ref="AI597:AK597"/>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M256:AE256"/>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H288:R288"/>
    <mergeCell ref="AA290:AK290"/>
    <mergeCell ref="AI299:AK299"/>
    <mergeCell ref="H297:R297"/>
    <mergeCell ref="AA298:AK298"/>
    <mergeCell ref="Z263:AE263"/>
    <mergeCell ref="H296:R296"/>
    <mergeCell ref="D164:AH164"/>
    <mergeCell ref="A75:AT77"/>
    <mergeCell ref="A79:AT81"/>
    <mergeCell ref="W253:X253"/>
    <mergeCell ref="AA301:AK301"/>
    <mergeCell ref="H301:R301"/>
    <mergeCell ref="AA292:AF292"/>
    <mergeCell ref="AB276:AD276"/>
    <mergeCell ref="Y278:AD278"/>
    <mergeCell ref="AA295:AK295"/>
    <mergeCell ref="AF259:AK259"/>
    <mergeCell ref="AC261:AE261"/>
    <mergeCell ref="AC253:AE253"/>
    <mergeCell ref="L277:AD277"/>
    <mergeCell ref="T278:V278"/>
    <mergeCell ref="Z255:AE255"/>
    <mergeCell ref="M253:T253"/>
    <mergeCell ref="M262:AE262"/>
    <mergeCell ref="AA299:AF299"/>
    <mergeCell ref="AA287:AK287"/>
    <mergeCell ref="T267:X267"/>
    <mergeCell ref="Y117:AK117"/>
    <mergeCell ref="T190:AE190"/>
    <mergeCell ref="M232:AK232"/>
    <mergeCell ref="N191:AE192"/>
    <mergeCell ref="AA291:AF291"/>
    <mergeCell ref="AI291:AK291"/>
    <mergeCell ref="M259:AE259"/>
    <mergeCell ref="AA293:AK293"/>
    <mergeCell ref="W261:X261"/>
    <mergeCell ref="U263:W263"/>
    <mergeCell ref="M257:T257"/>
    <mergeCell ref="AC234:AE234"/>
    <mergeCell ref="AH197:AI197"/>
    <mergeCell ref="A69:AT70"/>
    <mergeCell ref="A72:AT73"/>
    <mergeCell ref="A222:AT223"/>
    <mergeCell ref="A169:AT170"/>
    <mergeCell ref="H18:AJ18"/>
    <mergeCell ref="Z247:AE247"/>
    <mergeCell ref="W245:X245"/>
    <mergeCell ref="U247:W247"/>
    <mergeCell ref="AI227:AJ227"/>
    <mergeCell ref="Y123:AK123"/>
    <mergeCell ref="AI178:AK178"/>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G113:H113"/>
    <mergeCell ref="Y120:AK120"/>
    <mergeCell ref="C115:K115"/>
    <mergeCell ref="O160:T160"/>
    <mergeCell ref="O161:AH161"/>
    <mergeCell ref="M233:AE233"/>
    <mergeCell ref="M234:T234"/>
    <mergeCell ref="M235:AE235"/>
    <mergeCell ref="M236:R236"/>
    <mergeCell ref="M237:AE237"/>
    <mergeCell ref="AA238:AK238"/>
    <mergeCell ref="M243:AE243"/>
    <mergeCell ref="AF178:AG178"/>
    <mergeCell ref="M249:T249"/>
    <mergeCell ref="M26:Q26"/>
    <mergeCell ref="H16:AJ16"/>
    <mergeCell ref="A21:AL21"/>
    <mergeCell ref="F150:T150"/>
    <mergeCell ref="J173:S173"/>
    <mergeCell ref="O155:AH155"/>
    <mergeCell ref="O153:AH153"/>
    <mergeCell ref="O154:AH154"/>
    <mergeCell ref="O156:AH156"/>
    <mergeCell ref="O157:X157"/>
    <mergeCell ref="O158:R158"/>
    <mergeCell ref="W159:X159"/>
    <mergeCell ref="O159:T159"/>
    <mergeCell ref="M27:Q27"/>
    <mergeCell ref="A83:AT84"/>
    <mergeCell ref="D211:M211"/>
    <mergeCell ref="AI228:AJ228"/>
    <mergeCell ref="AI226:AJ226"/>
    <mergeCell ref="T189:AE189"/>
    <mergeCell ref="T195:U195"/>
    <mergeCell ref="E187:AE188"/>
    <mergeCell ref="I189:P189"/>
    <mergeCell ref="Z199:AA199"/>
    <mergeCell ref="AA330:AK330"/>
    <mergeCell ref="H324:M324"/>
    <mergeCell ref="AA325:AK325"/>
    <mergeCell ref="H315:M315"/>
    <mergeCell ref="H321:R321"/>
    <mergeCell ref="H322:R322"/>
    <mergeCell ref="AA331:AF331"/>
    <mergeCell ref="AH254:AK254"/>
    <mergeCell ref="P113:S113"/>
    <mergeCell ref="I185:AE185"/>
    <mergeCell ref="Z236:AE236"/>
    <mergeCell ref="AF251:AK251"/>
    <mergeCell ref="I190:N190"/>
    <mergeCell ref="D208:M208"/>
    <mergeCell ref="D205:M205"/>
    <mergeCell ref="J174:AB174"/>
    <mergeCell ref="M238:T238"/>
    <mergeCell ref="Z204:AF206"/>
    <mergeCell ref="T197:U197"/>
    <mergeCell ref="P205:U205"/>
    <mergeCell ref="M239:AE239"/>
    <mergeCell ref="AI229:AJ229"/>
    <mergeCell ref="U175:V175"/>
    <mergeCell ref="R177:S177"/>
    <mergeCell ref="U236:W236"/>
    <mergeCell ref="D204:M204"/>
    <mergeCell ref="P204:U204"/>
    <mergeCell ref="AH195:AI195"/>
    <mergeCell ref="AH196:AI196"/>
    <mergeCell ref="U176:V176"/>
    <mergeCell ref="AA321:AK321"/>
    <mergeCell ref="AH194:AI194"/>
    <mergeCell ref="H325:R325"/>
    <mergeCell ref="H307:M307"/>
    <mergeCell ref="M263:R263"/>
    <mergeCell ref="M265:T265"/>
    <mergeCell ref="AA314:AK314"/>
    <mergeCell ref="AA313:AK313"/>
    <mergeCell ref="H319:R319"/>
    <mergeCell ref="AA316:AF316"/>
    <mergeCell ref="AA297:AK297"/>
    <mergeCell ref="H332:M332"/>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H292:M292"/>
    <mergeCell ref="H309:R309"/>
    <mergeCell ref="AA309:AK309"/>
    <mergeCell ref="AI323:AK323"/>
    <mergeCell ref="AA319:AK319"/>
    <mergeCell ref="AA322:AK322"/>
    <mergeCell ref="AA323:AF323"/>
    <mergeCell ref="H320:R320"/>
    <mergeCell ref="H323:M323"/>
    <mergeCell ref="N370:Q370"/>
    <mergeCell ref="AA339:AF339"/>
    <mergeCell ref="A282:AT283"/>
    <mergeCell ref="AI331:AK331"/>
    <mergeCell ref="P339:R339"/>
    <mergeCell ref="M357:N357"/>
    <mergeCell ref="AA327:AK327"/>
    <mergeCell ref="H335:R335"/>
    <mergeCell ref="AI315:AK315"/>
    <mergeCell ref="AA304:AK304"/>
    <mergeCell ref="AA312:AK312"/>
    <mergeCell ref="AA288:AK288"/>
    <mergeCell ref="H287:R287"/>
    <mergeCell ref="AA324:AF324"/>
    <mergeCell ref="P291:R291"/>
    <mergeCell ref="H336:R336"/>
    <mergeCell ref="H328:R328"/>
    <mergeCell ref="M358:N358"/>
    <mergeCell ref="AI339:AK339"/>
    <mergeCell ref="P315:R315"/>
    <mergeCell ref="H311:R311"/>
    <mergeCell ref="H308:M308"/>
    <mergeCell ref="P307:R307"/>
    <mergeCell ref="H305:R305"/>
    <mergeCell ref="AA300:AF300"/>
    <mergeCell ref="H306:R306"/>
    <mergeCell ref="H329:R329"/>
    <mergeCell ref="AA336:AK336"/>
    <mergeCell ref="AA329:AK329"/>
    <mergeCell ref="P331:R331"/>
    <mergeCell ref="H333:R333"/>
    <mergeCell ref="H330:R330"/>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I410:AE410"/>
    <mergeCell ref="AC538:AF538"/>
    <mergeCell ref="M561:P561"/>
    <mergeCell ref="AC540:AF540"/>
    <mergeCell ref="M557:P557"/>
    <mergeCell ref="AH515:AK515"/>
    <mergeCell ref="A351:AT352"/>
    <mergeCell ref="H340:M340"/>
    <mergeCell ref="I392:N392"/>
    <mergeCell ref="AC516:AF516"/>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G722:J722"/>
    <mergeCell ref="O714:S717"/>
    <mergeCell ref="Z654:AK654"/>
    <mergeCell ref="G645:R645"/>
    <mergeCell ref="G679:L679"/>
    <mergeCell ref="Z651:AK651"/>
    <mergeCell ref="O723:S723"/>
    <mergeCell ref="G724:J724"/>
    <mergeCell ref="K720:N720"/>
    <mergeCell ref="AG665:AH665"/>
    <mergeCell ref="G661:R661"/>
    <mergeCell ref="Z660:AK660"/>
    <mergeCell ref="G663:L663"/>
    <mergeCell ref="AG681:AH681"/>
    <mergeCell ref="K718:N718"/>
    <mergeCell ref="K719:N719"/>
    <mergeCell ref="G718:J718"/>
    <mergeCell ref="AG649:AH649"/>
    <mergeCell ref="X723:AB723"/>
    <mergeCell ref="T719:W719"/>
    <mergeCell ref="O724:S724"/>
    <mergeCell ref="G655:L655"/>
    <mergeCell ref="AK720:AO720"/>
    <mergeCell ref="AK721:AO721"/>
    <mergeCell ref="G675:R675"/>
    <mergeCell ref="Z667:AK667"/>
    <mergeCell ref="R705:T705"/>
    <mergeCell ref="G678:R678"/>
    <mergeCell ref="P679:R679"/>
    <mergeCell ref="Z662:AK662"/>
    <mergeCell ref="H656:R656"/>
    <mergeCell ref="Z659:AK65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N657:O657"/>
    <mergeCell ref="K724:N724"/>
    <mergeCell ref="O718:S718"/>
    <mergeCell ref="O720:S720"/>
    <mergeCell ref="G714:J717"/>
    <mergeCell ref="G668:R668"/>
    <mergeCell ref="P671:R67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593:R593"/>
    <mergeCell ref="G579:R579"/>
    <mergeCell ref="Z559:AD559"/>
    <mergeCell ref="Z560:AD560"/>
    <mergeCell ref="G604:R604"/>
    <mergeCell ref="Z604:AK604"/>
    <mergeCell ref="P687:R687"/>
    <mergeCell ref="AG583:AH583"/>
    <mergeCell ref="O789:S789"/>
    <mergeCell ref="J775:N775"/>
    <mergeCell ref="AC776:AG776"/>
    <mergeCell ref="J769:N772"/>
    <mergeCell ref="AG823:AJ824"/>
    <mergeCell ref="T792:W792"/>
    <mergeCell ref="AC797:AG797"/>
    <mergeCell ref="AC787:AG787"/>
    <mergeCell ref="M830:P830"/>
    <mergeCell ref="T791:W791"/>
    <mergeCell ref="T787:W787"/>
    <mergeCell ref="T788:W788"/>
    <mergeCell ref="Y800:AC800"/>
    <mergeCell ref="T789:W789"/>
    <mergeCell ref="AG830:AJ830"/>
    <mergeCell ref="J788:N788"/>
    <mergeCell ref="Z818:AE818"/>
    <mergeCell ref="Z817:AE817"/>
    <mergeCell ref="X795:AB795"/>
    <mergeCell ref="T776:W776"/>
    <mergeCell ref="AC774:AG774"/>
    <mergeCell ref="T775:W775"/>
    <mergeCell ref="Z814:AE814"/>
    <mergeCell ref="O769:S772"/>
    <mergeCell ref="AC777:AG777"/>
    <mergeCell ref="J783:N786"/>
    <mergeCell ref="F831:L831"/>
    <mergeCell ref="AC769:AG772"/>
    <mergeCell ref="T794:W794"/>
    <mergeCell ref="Q823:T824"/>
    <mergeCell ref="Z809:AE809"/>
    <mergeCell ref="AC831:AF831"/>
    <mergeCell ref="Q829:T829"/>
    <mergeCell ref="Y827:AB827"/>
    <mergeCell ref="O796:S796"/>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U825:X825"/>
    <mergeCell ref="M823:P824"/>
    <mergeCell ref="O791:S791"/>
    <mergeCell ref="X792:AB792"/>
    <mergeCell ref="X793:AB793"/>
    <mergeCell ref="T783:W786"/>
    <mergeCell ref="X773:AB773"/>
    <mergeCell ref="K726:N726"/>
    <mergeCell ref="H664:R664"/>
    <mergeCell ref="G752:J752"/>
    <mergeCell ref="Y801:AC801"/>
    <mergeCell ref="Y832:AB832"/>
    <mergeCell ref="T741:W741"/>
    <mergeCell ref="G647:L64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U832:X832"/>
    <mergeCell ref="M832:P832"/>
    <mergeCell ref="AC735:AG735"/>
    <mergeCell ref="O783:S786"/>
    <mergeCell ref="O756:R756"/>
    <mergeCell ref="AG756:AJ756"/>
    <mergeCell ref="AC826:AF826"/>
    <mergeCell ref="AC827:AF827"/>
    <mergeCell ref="U828:X828"/>
    <mergeCell ref="AG832:AJ832"/>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M871:V871"/>
    <mergeCell ref="AC888:AH888"/>
    <mergeCell ref="M878:V878"/>
    <mergeCell ref="AC883:AH883"/>
    <mergeCell ref="Z901:AE901"/>
    <mergeCell ref="AC891:AH891"/>
    <mergeCell ref="C893:AB893"/>
    <mergeCell ref="M877:V877"/>
    <mergeCell ref="W876:AC876"/>
    <mergeCell ref="M875:V875"/>
    <mergeCell ref="W877:AC877"/>
    <mergeCell ref="AC886:AH886"/>
    <mergeCell ref="W874:AC874"/>
    <mergeCell ref="W844:AC844"/>
    <mergeCell ref="AC832:AF832"/>
    <mergeCell ref="Z898:AE898"/>
    <mergeCell ref="W872:AC872"/>
    <mergeCell ref="AC884:AH884"/>
    <mergeCell ref="W863:AC863"/>
    <mergeCell ref="W849:AC849"/>
    <mergeCell ref="W859:AC859"/>
    <mergeCell ref="W871:AC871"/>
    <mergeCell ref="BD905:BF905"/>
    <mergeCell ref="M876:V876"/>
    <mergeCell ref="W868:AC868"/>
    <mergeCell ref="AC885:AH885"/>
    <mergeCell ref="BD904:BF904"/>
    <mergeCell ref="BD903:BE903"/>
    <mergeCell ref="BD902:BE902"/>
    <mergeCell ref="W869:AC869"/>
    <mergeCell ref="AZ851:BA851"/>
    <mergeCell ref="M861:V861"/>
    <mergeCell ref="W845:AC845"/>
    <mergeCell ref="W854:AC854"/>
    <mergeCell ref="BD898:BE898"/>
    <mergeCell ref="BD900:BE900"/>
    <mergeCell ref="BD901:BE901"/>
    <mergeCell ref="BD899:BE899"/>
    <mergeCell ref="W853:AC853"/>
    <mergeCell ref="W870:AC870"/>
    <mergeCell ref="W857:AC857"/>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T972:Z972"/>
    <mergeCell ref="I946:T946"/>
    <mergeCell ref="U924:Z924"/>
    <mergeCell ref="AA934:AF934"/>
    <mergeCell ref="AA917:AF917"/>
    <mergeCell ref="AA967:AG967"/>
    <mergeCell ref="F937:T937"/>
    <mergeCell ref="F938:T938"/>
    <mergeCell ref="F939:T93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B737:F737"/>
    <mergeCell ref="B735:F735"/>
    <mergeCell ref="AH740:AJ740"/>
    <mergeCell ref="AK740:AO740"/>
    <mergeCell ref="X777:AB777"/>
    <mergeCell ref="X774:AB774"/>
    <mergeCell ref="AH753:AJ753"/>
    <mergeCell ref="AK745:AO745"/>
    <mergeCell ref="AK746:AO746"/>
    <mergeCell ref="AK747:AO747"/>
    <mergeCell ref="AK748:AO748"/>
    <mergeCell ref="AK749:AO749"/>
    <mergeCell ref="AK750:AO750"/>
    <mergeCell ref="AK751:AO751"/>
    <mergeCell ref="AH745:AJ745"/>
    <mergeCell ref="AH746:AJ746"/>
    <mergeCell ref="O741:S741"/>
    <mergeCell ref="G753:J753"/>
    <mergeCell ref="B753:F753"/>
    <mergeCell ref="AC753:AG753"/>
    <mergeCell ref="O753:S753"/>
    <mergeCell ref="X735:AB735"/>
    <mergeCell ref="X736:AB736"/>
    <mergeCell ref="X737:AB737"/>
    <mergeCell ref="X751:AB751"/>
    <mergeCell ref="O776:S776"/>
    <mergeCell ref="B738:F738"/>
    <mergeCell ref="AC738:AG738"/>
    <mergeCell ref="B739:F739"/>
    <mergeCell ref="AH749:AJ749"/>
    <mergeCell ref="AD759:AF759"/>
    <mergeCell ref="X739:AB739"/>
    <mergeCell ref="Z653:AK653"/>
    <mergeCell ref="Z647:AE647"/>
    <mergeCell ref="Z652:AK652"/>
    <mergeCell ref="P647:R647"/>
    <mergeCell ref="AI647:AK647"/>
    <mergeCell ref="AO624:AS626"/>
    <mergeCell ref="AF629:AJ629"/>
    <mergeCell ref="G654:R654"/>
    <mergeCell ref="BS630:BW630"/>
    <mergeCell ref="BN639:BR639"/>
    <mergeCell ref="BN640:BR640"/>
    <mergeCell ref="G651:R651"/>
    <mergeCell ref="G652:R652"/>
    <mergeCell ref="W628:Y628"/>
    <mergeCell ref="W629:Y629"/>
    <mergeCell ref="AK632:AN632"/>
    <mergeCell ref="T628:V628"/>
    <mergeCell ref="W635:Y635"/>
    <mergeCell ref="AF624:AJ626"/>
    <mergeCell ref="G643:R643"/>
    <mergeCell ref="G653:R653"/>
    <mergeCell ref="C627:L627"/>
    <mergeCell ref="BS640:BW640"/>
    <mergeCell ref="BN647:BR647"/>
    <mergeCell ref="BS648:BW648"/>
    <mergeCell ref="M633:P633"/>
    <mergeCell ref="M634:P634"/>
    <mergeCell ref="BX639:CB639"/>
    <mergeCell ref="BX640:CB640"/>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AF630:AJ630"/>
    <mergeCell ref="BE617:BF617"/>
    <mergeCell ref="BI618:BJ618"/>
    <mergeCell ref="BK618:BL618"/>
    <mergeCell ref="BI623:BJ623"/>
    <mergeCell ref="BK623:BL623"/>
    <mergeCell ref="BI617:BJ617"/>
    <mergeCell ref="BE616:BF616"/>
    <mergeCell ref="Z634:AB634"/>
    <mergeCell ref="Z635:AB635"/>
    <mergeCell ref="H614:R614"/>
    <mergeCell ref="BI622:BJ622"/>
    <mergeCell ref="BK622:BL622"/>
    <mergeCell ref="BE623:BF623"/>
    <mergeCell ref="BN618:BR618"/>
    <mergeCell ref="BN655:BR655"/>
    <mergeCell ref="BS616:BW616"/>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BS647:BW647"/>
    <mergeCell ref="AG615:AH615"/>
    <mergeCell ref="BK617:BL617"/>
    <mergeCell ref="BG631:BH631"/>
    <mergeCell ref="BI631:BJ631"/>
    <mergeCell ref="BE615:BF615"/>
    <mergeCell ref="BG619:BH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S613:BW613"/>
    <mergeCell ref="BX620:CB620"/>
    <mergeCell ref="BX616:CB616"/>
    <mergeCell ref="CC609:CG609"/>
    <mergeCell ref="BK609:BL609"/>
    <mergeCell ref="BI608:BJ608"/>
    <mergeCell ref="BG610:BH610"/>
    <mergeCell ref="BS610:BW610"/>
    <mergeCell ref="CM612:CQ612"/>
    <mergeCell ref="CM613:CQ613"/>
    <mergeCell ref="CM614:CQ614"/>
    <mergeCell ref="CM615:CQ615"/>
    <mergeCell ref="BG615:BH615"/>
    <mergeCell ref="CC608:CG608"/>
    <mergeCell ref="CM616:CQ616"/>
    <mergeCell ref="CM617:CQ617"/>
    <mergeCell ref="CH618:CL618"/>
    <mergeCell ref="BI619:BJ619"/>
    <mergeCell ref="BI611:BJ611"/>
    <mergeCell ref="BK611:BL611"/>
    <mergeCell ref="BE613:BF613"/>
    <mergeCell ref="CH612:CL612"/>
    <mergeCell ref="CC620:CG62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CH617:CL617"/>
    <mergeCell ref="BN638:BR638"/>
    <mergeCell ref="CH611:CL611"/>
    <mergeCell ref="BS611:BW611"/>
    <mergeCell ref="BG609:BH609"/>
    <mergeCell ref="BE630:BF630"/>
    <mergeCell ref="BS617:BW617"/>
    <mergeCell ref="BN615:BR615"/>
    <mergeCell ref="BK616:BL616"/>
    <mergeCell ref="BI612:BJ612"/>
    <mergeCell ref="BK612:BL612"/>
    <mergeCell ref="BG612:BH612"/>
    <mergeCell ref="BN612:BR612"/>
    <mergeCell ref="BI614:BJ614"/>
    <mergeCell ref="BS620:BW620"/>
    <mergeCell ref="G610:R610"/>
    <mergeCell ref="T634:V634"/>
    <mergeCell ref="G611:R611"/>
    <mergeCell ref="C636:L636"/>
    <mergeCell ref="C637:L637"/>
    <mergeCell ref="C638:L638"/>
    <mergeCell ref="P613:R613"/>
    <mergeCell ref="W636:Y636"/>
    <mergeCell ref="W637:Y637"/>
    <mergeCell ref="W638:Y638"/>
    <mergeCell ref="AF636:AJ636"/>
    <mergeCell ref="AF637:AJ637"/>
    <mergeCell ref="AF638:AJ638"/>
    <mergeCell ref="AK624:AN626"/>
    <mergeCell ref="AK627:AN627"/>
    <mergeCell ref="AC636:AE636"/>
    <mergeCell ref="AC637:AE637"/>
    <mergeCell ref="AC638:AE638"/>
    <mergeCell ref="C628:L628"/>
    <mergeCell ref="C635:L635"/>
    <mergeCell ref="Z613:AE613"/>
    <mergeCell ref="Q638:S638"/>
    <mergeCell ref="G613:L613"/>
    <mergeCell ref="AM556:AS556"/>
    <mergeCell ref="H573:R573"/>
    <mergeCell ref="B566:AL566"/>
    <mergeCell ref="AM561:AS561"/>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S489:AK490"/>
    <mergeCell ref="AM563:AS563"/>
    <mergeCell ref="Q563:S563"/>
    <mergeCell ref="AI565:AL565"/>
    <mergeCell ref="AI557:AL557"/>
    <mergeCell ref="Q562:S562"/>
    <mergeCell ref="AC533:AF533"/>
    <mergeCell ref="Z555:AD555"/>
    <mergeCell ref="AC509:AF509"/>
    <mergeCell ref="AC525:AF525"/>
    <mergeCell ref="AH503:AK503"/>
    <mergeCell ref="AC500:AF500"/>
    <mergeCell ref="L508:AB508"/>
    <mergeCell ref="AH532:AK532"/>
    <mergeCell ref="D468:V46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P421:R421"/>
    <mergeCell ref="G586:R586"/>
    <mergeCell ref="A544:AT545"/>
    <mergeCell ref="A480:AT481"/>
    <mergeCell ref="N363:O363"/>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O777:S777"/>
    <mergeCell ref="X788:AB788"/>
    <mergeCell ref="T734:W734"/>
    <mergeCell ref="O775:S775"/>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K725:N725"/>
    <mergeCell ref="O790:S790"/>
    <mergeCell ref="T790:W790"/>
    <mergeCell ref="O797:S797"/>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B734:F734"/>
    <mergeCell ref="B736:F736"/>
    <mergeCell ref="W560:Y560"/>
    <mergeCell ref="T629:V629"/>
    <mergeCell ref="T630:V630"/>
    <mergeCell ref="T631:V631"/>
    <mergeCell ref="T632:V632"/>
    <mergeCell ref="T633:V633"/>
    <mergeCell ref="Z588:AK588"/>
    <mergeCell ref="Z564:AD564"/>
    <mergeCell ref="Z565:AD565"/>
    <mergeCell ref="Z572:AE572"/>
    <mergeCell ref="Z578:AK578"/>
    <mergeCell ref="Z603:AK603"/>
    <mergeCell ref="AI605:AK605"/>
    <mergeCell ref="AF634:AJ634"/>
    <mergeCell ref="W624:Y626"/>
    <mergeCell ref="T624:V626"/>
    <mergeCell ref="W563:Y563"/>
    <mergeCell ref="W564:Y564"/>
    <mergeCell ref="T560:V560"/>
    <mergeCell ref="AK633:AN633"/>
    <mergeCell ref="Z577:AK577"/>
    <mergeCell ref="AE565:AH565"/>
    <mergeCell ref="AM564:AS564"/>
    <mergeCell ref="W630:Y630"/>
    <mergeCell ref="W631:Y631"/>
    <mergeCell ref="AC624:AE626"/>
    <mergeCell ref="AK628:AN628"/>
    <mergeCell ref="AF633:AJ633"/>
    <mergeCell ref="AI581:AK581"/>
    <mergeCell ref="Z585:AK585"/>
    <mergeCell ref="AF574:AK574"/>
    <mergeCell ref="AC629:AE629"/>
    <mergeCell ref="K728:N728"/>
    <mergeCell ref="B719:F719"/>
    <mergeCell ref="B714:F717"/>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AH739:AJ739"/>
    <mergeCell ref="U829:X829"/>
    <mergeCell ref="U827:X827"/>
    <mergeCell ref="Q825:T825"/>
    <mergeCell ref="X745:AB745"/>
    <mergeCell ref="X746:AB746"/>
    <mergeCell ref="X747:AB747"/>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36:W736"/>
    <mergeCell ref="B752:F752"/>
    <mergeCell ref="J793:N793"/>
    <mergeCell ref="O732:S732"/>
    <mergeCell ref="K746:N746"/>
    <mergeCell ref="O746:S746"/>
    <mergeCell ref="T746:W746"/>
    <mergeCell ref="K747:N747"/>
    <mergeCell ref="O747:S747"/>
    <mergeCell ref="T747:W747"/>
    <mergeCell ref="K740:N740"/>
    <mergeCell ref="C763:AR765"/>
    <mergeCell ref="C766:AR768"/>
    <mergeCell ref="B754:AH755"/>
    <mergeCell ref="AK739:AO739"/>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B733:F733"/>
    <mergeCell ref="AA931:AF931"/>
    <mergeCell ref="G732:J732"/>
    <mergeCell ref="X734:AB734"/>
    <mergeCell ref="X733:AB733"/>
    <mergeCell ref="AC734:AG734"/>
    <mergeCell ref="AH734:AJ734"/>
    <mergeCell ref="AC733:AG733"/>
    <mergeCell ref="AC739:AG739"/>
    <mergeCell ref="AA918:AF918"/>
    <mergeCell ref="U923:Z923"/>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AJ1015:AQ1018"/>
    <mergeCell ref="AJ1024:AQ1027"/>
    <mergeCell ref="AJ1028:AQ1030"/>
    <mergeCell ref="AA936:AF936"/>
    <mergeCell ref="F941:T941"/>
    <mergeCell ref="U941:Z941"/>
    <mergeCell ref="AA941:AF941"/>
    <mergeCell ref="F943:T943"/>
    <mergeCell ref="U943:Z943"/>
    <mergeCell ref="AA943:AF943"/>
    <mergeCell ref="F929:T929"/>
    <mergeCell ref="F930:T930"/>
    <mergeCell ref="F931:T931"/>
    <mergeCell ref="D1031:AE1031"/>
    <mergeCell ref="D1032:AE1034"/>
    <mergeCell ref="AJ1031:AQ1034"/>
    <mergeCell ref="AJ993:AQ999"/>
    <mergeCell ref="AJ1006:AQ1009"/>
    <mergeCell ref="AJ1010:AQ1011"/>
    <mergeCell ref="R987:AA987"/>
    <mergeCell ref="B991:AI991"/>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8:EL618"/>
    <mergeCell ref="EM618:EQ618"/>
    <mergeCell ref="ER618:EV618"/>
    <mergeCell ref="EW638:FA638"/>
    <mergeCell ref="ER648:EV648"/>
    <mergeCell ref="ER647:EV647"/>
    <mergeCell ref="EH645:EL645"/>
    <mergeCell ref="EM645:EQ64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R639:EV639"/>
    <mergeCell ref="EW637:FA637"/>
    <mergeCell ref="EC645:EG645"/>
    <mergeCell ref="ER645:EV645"/>
    <mergeCell ref="EH648:EL648"/>
    <mergeCell ref="ER628:EV628"/>
    <mergeCell ref="EW628:FA628"/>
    <mergeCell ref="EM629:EQ629"/>
    <mergeCell ref="ER629:EV629"/>
    <mergeCell ref="EH615:EL615"/>
    <mergeCell ref="EM646:EQ646"/>
    <mergeCell ref="EW642:FA642"/>
    <mergeCell ref="EW643:FA643"/>
    <mergeCell ref="DX644:EB644"/>
    <mergeCell ref="EC644:EG644"/>
    <mergeCell ref="EH644:EL644"/>
    <mergeCell ref="ER641:EV641"/>
    <mergeCell ref="ER616:EV616"/>
    <mergeCell ref="DX617:EB617"/>
    <mergeCell ref="EC617:EG617"/>
    <mergeCell ref="EH617:EL617"/>
    <mergeCell ref="EM617:EQ617"/>
    <mergeCell ref="ER617:EV617"/>
    <mergeCell ref="EW617:FA617"/>
    <mergeCell ref="EM622:EQ622"/>
    <mergeCell ref="ER622:EV622"/>
    <mergeCell ref="EW622:FA622"/>
    <mergeCell ref="EH623:EL623"/>
    <mergeCell ref="EM623:EQ623"/>
    <mergeCell ref="ER623:EV623"/>
    <mergeCell ref="EW623:FA623"/>
    <mergeCell ref="EW641:FA641"/>
    <mergeCell ref="DX642:EB642"/>
    <mergeCell ref="EC642:EG642"/>
    <mergeCell ref="EH642:EL642"/>
    <mergeCell ref="EM642:EQ642"/>
    <mergeCell ref="ER642:EV642"/>
    <mergeCell ref="DX641:EB641"/>
    <mergeCell ref="EH619:EL619"/>
    <mergeCell ref="DX618:EB618"/>
    <mergeCell ref="EC618:EG618"/>
    <mergeCell ref="EC663:EG663"/>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W629:FA629"/>
    <mergeCell ref="ER658:EV658"/>
    <mergeCell ref="EW658:FA658"/>
    <mergeCell ref="EM667:EQ667"/>
    <mergeCell ref="ER667:EV667"/>
    <mergeCell ref="EW667:FA667"/>
    <mergeCell ref="EM661:EQ661"/>
    <mergeCell ref="ER656:EV656"/>
    <mergeCell ref="ER646:EV646"/>
    <mergeCell ref="EW646:FA646"/>
    <mergeCell ref="EW653:FA653"/>
    <mergeCell ref="DX649:EB649"/>
    <mergeCell ref="EH649:EL649"/>
    <mergeCell ref="DX655:EB655"/>
    <mergeCell ref="EW654:FA654"/>
    <mergeCell ref="DX647:EB647"/>
    <mergeCell ref="EC647:EG647"/>
    <mergeCell ref="ER661:EV661"/>
    <mergeCell ref="EW661:FA661"/>
    <mergeCell ref="EW647:FA647"/>
    <mergeCell ref="EW655:FA655"/>
    <mergeCell ref="EW650:FA650"/>
    <mergeCell ref="EW648:FA648"/>
    <mergeCell ref="EW651:FA651"/>
    <mergeCell ref="EW649:FA649"/>
    <mergeCell ref="EW652:FA652"/>
    <mergeCell ref="EH655:EL655"/>
    <mergeCell ref="ER662:EV662"/>
    <mergeCell ref="EW662:FA662"/>
    <mergeCell ref="DX663:EB663"/>
    <mergeCell ref="EM655:EQ655"/>
    <mergeCell ref="EH647:EL647"/>
    <mergeCell ref="EM647:EQ647"/>
    <mergeCell ref="DX648:EB648"/>
    <mergeCell ref="DX651:EB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H663:EL663"/>
    <mergeCell ref="EM663:EQ663"/>
    <mergeCell ref="ER663:EV663"/>
    <mergeCell ref="EW663:FA663"/>
    <mergeCell ref="ER670:EV670"/>
    <mergeCell ref="DX669:EB669"/>
    <mergeCell ref="EC670:EG670"/>
    <mergeCell ref="EH670:EL670"/>
    <mergeCell ref="EC669:EG669"/>
    <mergeCell ref="EH669:EL669"/>
    <mergeCell ref="EM669:EQ669"/>
    <mergeCell ref="EM662:EQ662"/>
    <mergeCell ref="EC651:EG651"/>
    <mergeCell ref="EM648:EQ648"/>
    <mergeCell ref="ER651:EV651"/>
    <mergeCell ref="ER652:EV652"/>
    <mergeCell ref="EM651:EQ651"/>
    <mergeCell ref="ER649:EV649"/>
    <mergeCell ref="DX652:EB652"/>
    <mergeCell ref="EC652:EG652"/>
    <mergeCell ref="EH652:EL652"/>
    <mergeCell ref="ER650:EV650"/>
    <mergeCell ref="ER655:EV655"/>
    <mergeCell ref="DR630:DV630"/>
    <mergeCell ref="DR647:DV647"/>
    <mergeCell ref="DR651:DV651"/>
    <mergeCell ref="DR652:DV652"/>
    <mergeCell ref="EM649:EQ649"/>
    <mergeCell ref="EH653:EL653"/>
    <mergeCell ref="EM653:EQ653"/>
    <mergeCell ref="ER653:EV653"/>
    <mergeCell ref="EH632:EL632"/>
    <mergeCell ref="EM632:EQ632"/>
    <mergeCell ref="ER632:EV632"/>
    <mergeCell ref="EH651:EL651"/>
    <mergeCell ref="EH650:EL650"/>
    <mergeCell ref="EM650:EQ650"/>
    <mergeCell ref="DX653:EB653"/>
    <mergeCell ref="EC653:EG653"/>
    <mergeCell ref="EC649:EG649"/>
    <mergeCell ref="EC639:EG639"/>
    <mergeCell ref="EH639:EL639"/>
    <mergeCell ref="EM639:EQ639"/>
    <mergeCell ref="EM644:EQ644"/>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CM645:CQ645"/>
    <mergeCell ref="CM618:CQ61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BS637:BW637"/>
    <mergeCell ref="DM632:DQ632"/>
    <mergeCell ref="DC631:DG631"/>
    <mergeCell ref="DM631:DQ631"/>
    <mergeCell ref="DH631:DL631"/>
    <mergeCell ref="DM617:DQ617"/>
    <mergeCell ref="CC630:CG630"/>
    <mergeCell ref="BX632:CB632"/>
    <mergeCell ref="CC617:CG617"/>
    <mergeCell ref="CC619:CG619"/>
    <mergeCell ref="Q627:S627"/>
    <mergeCell ref="Q628:S628"/>
    <mergeCell ref="Q629:S629"/>
    <mergeCell ref="Q630:S630"/>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CM638:CQ638"/>
    <mergeCell ref="CS648:CW648"/>
    <mergeCell ref="BX648:CB648"/>
    <mergeCell ref="CM650:CQ650"/>
    <mergeCell ref="DR650:DV650"/>
    <mergeCell ref="CX651:DB651"/>
    <mergeCell ref="CS632:CW632"/>
    <mergeCell ref="CX632:DB632"/>
    <mergeCell ref="CM647:CQ647"/>
    <mergeCell ref="CM646:CQ646"/>
    <mergeCell ref="BX647:CB647"/>
    <mergeCell ref="DR649:DV649"/>
    <mergeCell ref="CC647:CG647"/>
    <mergeCell ref="CS647:CW647"/>
    <mergeCell ref="DH630:DL630"/>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BX651:CB651"/>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AI663:AK663"/>
    <mergeCell ref="Z661:AK661"/>
    <mergeCell ref="X720:AB720"/>
    <mergeCell ref="DR657:DV657"/>
    <mergeCell ref="AK728:AO728"/>
    <mergeCell ref="AK729:AO729"/>
    <mergeCell ref="AI687:AK687"/>
    <mergeCell ref="AE694:AF694"/>
    <mergeCell ref="AK727:AO727"/>
    <mergeCell ref="CS655:CW655"/>
    <mergeCell ref="DH652:DL652"/>
    <mergeCell ref="CX647:DB647"/>
    <mergeCell ref="DC647:DG647"/>
    <mergeCell ref="CX655:DB655"/>
    <mergeCell ref="DC655:DG655"/>
    <mergeCell ref="DR655:DV655"/>
    <mergeCell ref="CS652:CW652"/>
    <mergeCell ref="CX652:DB652"/>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AE696:AI696"/>
    <mergeCell ref="AH719:AJ719"/>
    <mergeCell ref="AH729:AJ729"/>
    <mergeCell ref="AC729:AG729"/>
    <mergeCell ref="AC727:AG727"/>
    <mergeCell ref="AC728:AG728"/>
    <mergeCell ref="X721:AB721"/>
    <mergeCell ref="EM670:EQ670"/>
    <mergeCell ref="AG689:AH689"/>
    <mergeCell ref="W703:AK703"/>
    <mergeCell ref="Z676:AK676"/>
    <mergeCell ref="X727:AB727"/>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C719:AG719"/>
    <mergeCell ref="AK730:AO730"/>
    <mergeCell ref="AK736:AO736"/>
    <mergeCell ref="AH732:AJ732"/>
    <mergeCell ref="T735:W735"/>
    <mergeCell ref="O751:S751"/>
    <mergeCell ref="T751:W751"/>
    <mergeCell ref="G730:J730"/>
    <mergeCell ref="X730:AB730"/>
    <mergeCell ref="X731:AB731"/>
    <mergeCell ref="H688:R688"/>
    <mergeCell ref="Z675:AK675"/>
    <mergeCell ref="AE702:AF702"/>
    <mergeCell ref="Z686:AK686"/>
    <mergeCell ref="J385:U385"/>
    <mergeCell ref="V381:W381"/>
    <mergeCell ref="T555:V555"/>
    <mergeCell ref="W559:Y559"/>
    <mergeCell ref="T563:V563"/>
    <mergeCell ref="A709:AT711"/>
    <mergeCell ref="A617:AT618"/>
    <mergeCell ref="M565:P565"/>
    <mergeCell ref="B624:L626"/>
    <mergeCell ref="G660:R660"/>
    <mergeCell ref="X714:AB717"/>
    <mergeCell ref="Z679:AE679"/>
    <mergeCell ref="H680:R680"/>
    <mergeCell ref="Z670:AK670"/>
    <mergeCell ref="G670:R670"/>
    <mergeCell ref="Z669:AK669"/>
    <mergeCell ref="E707:AK707"/>
    <mergeCell ref="W706:AK706"/>
    <mergeCell ref="AA688:AK688"/>
    <mergeCell ref="G677:R677"/>
    <mergeCell ref="Z678:AK678"/>
    <mergeCell ref="G685:R685"/>
    <mergeCell ref="N665:O665"/>
    <mergeCell ref="H672:R672"/>
    <mergeCell ref="G676:R676"/>
    <mergeCell ref="AA573:AK573"/>
    <mergeCell ref="M628:P628"/>
    <mergeCell ref="M629:P629"/>
    <mergeCell ref="M630:P630"/>
    <mergeCell ref="M631:P631"/>
    <mergeCell ref="M632:P632"/>
    <mergeCell ref="AE693:AF693"/>
    <mergeCell ref="G577:R577"/>
    <mergeCell ref="G594:R594"/>
    <mergeCell ref="N615:O615"/>
    <mergeCell ref="AC633:AE633"/>
    <mergeCell ref="AC634:AE634"/>
    <mergeCell ref="AC635:AE635"/>
    <mergeCell ref="Z594:AK594"/>
    <mergeCell ref="G601:R601"/>
    <mergeCell ref="W634:Y634"/>
    <mergeCell ref="H590:R590"/>
    <mergeCell ref="G587:R587"/>
    <mergeCell ref="G578:R578"/>
    <mergeCell ref="Z602:AK602"/>
    <mergeCell ref="Z612:AK612"/>
    <mergeCell ref="AC627:AE627"/>
    <mergeCell ref="W700:AK700"/>
    <mergeCell ref="Z683:AK683"/>
    <mergeCell ref="C633:L633"/>
    <mergeCell ref="C634:L634"/>
    <mergeCell ref="M624:P626"/>
    <mergeCell ref="M627:P627"/>
    <mergeCell ref="G603:R603"/>
    <mergeCell ref="N607:O607"/>
    <mergeCell ref="P597:R597"/>
    <mergeCell ref="Q631:S631"/>
    <mergeCell ref="Q632:S632"/>
    <mergeCell ref="Q633:S633"/>
    <mergeCell ref="Q634:S634"/>
    <mergeCell ref="G580:R580"/>
    <mergeCell ref="AK637:AN637"/>
    <mergeCell ref="AK638:AN638"/>
    <mergeCell ref="G612:R612"/>
    <mergeCell ref="A13:AT14"/>
    <mergeCell ref="Q635:S635"/>
    <mergeCell ref="Z593:AK593"/>
    <mergeCell ref="AK629:AN629"/>
    <mergeCell ref="Z605:AE605"/>
    <mergeCell ref="Z609:AK609"/>
    <mergeCell ref="G609:R609"/>
    <mergeCell ref="G570:R570"/>
    <mergeCell ref="Z561:AD561"/>
    <mergeCell ref="M562:P562"/>
    <mergeCell ref="M563:P563"/>
    <mergeCell ref="W469:Y469"/>
    <mergeCell ref="J367:K367"/>
    <mergeCell ref="AG379:AH379"/>
    <mergeCell ref="AM558:AS558"/>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D994:AE997"/>
    <mergeCell ref="D998:AE998"/>
    <mergeCell ref="D987:Q987"/>
    <mergeCell ref="D988:Q988"/>
    <mergeCell ref="B1059:AP1059"/>
    <mergeCell ref="C798:AN799"/>
    <mergeCell ref="T748:W748"/>
    <mergeCell ref="K749:N749"/>
    <mergeCell ref="O749:S749"/>
    <mergeCell ref="T749:W749"/>
    <mergeCell ref="K750:N750"/>
    <mergeCell ref="O750:S750"/>
    <mergeCell ref="T750:W750"/>
    <mergeCell ref="K751:N751"/>
    <mergeCell ref="B746:F746"/>
    <mergeCell ref="B747:F747"/>
    <mergeCell ref="B748:F748"/>
    <mergeCell ref="B749:F749"/>
    <mergeCell ref="B750:F750"/>
    <mergeCell ref="B751:F751"/>
    <mergeCell ref="D989:Q989"/>
    <mergeCell ref="AJ984:AQ984"/>
    <mergeCell ref="AB988:AI988"/>
    <mergeCell ref="AB989:AI989"/>
    <mergeCell ref="M961:S961"/>
    <mergeCell ref="AK741:AO741"/>
    <mergeCell ref="AK752:AO752"/>
    <mergeCell ref="AH737:AJ737"/>
    <mergeCell ref="AH738:AJ738"/>
    <mergeCell ref="AH736:AJ736"/>
    <mergeCell ref="AH735:AJ735"/>
    <mergeCell ref="U938:Z938"/>
    <mergeCell ref="M831:P831"/>
    <mergeCell ref="Q827:T827"/>
    <mergeCell ref="B742:F742"/>
    <mergeCell ref="B743:F743"/>
    <mergeCell ref="B744:F744"/>
    <mergeCell ref="B745:F745"/>
    <mergeCell ref="T858:V858"/>
    <mergeCell ref="T860:V860"/>
    <mergeCell ref="AJ985:AQ985"/>
    <mergeCell ref="AJ986:AQ986"/>
    <mergeCell ref="AJ987:AQ987"/>
    <mergeCell ref="R986:AA986"/>
    <mergeCell ref="AB984:AI984"/>
    <mergeCell ref="AB985:AI985"/>
    <mergeCell ref="K733:N733"/>
    <mergeCell ref="J774:N774"/>
    <mergeCell ref="G740:J740"/>
    <mergeCell ref="T733:W733"/>
    <mergeCell ref="O734:S734"/>
    <mergeCell ref="K739:N739"/>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AC742:AG742"/>
    <mergeCell ref="AC743:AG743"/>
    <mergeCell ref="AC744:AG744"/>
    <mergeCell ref="AC745:AG745"/>
    <mergeCell ref="AC746:AG746"/>
    <mergeCell ref="AC747:AG747"/>
    <mergeCell ref="K748:N748"/>
    <mergeCell ref="O748:S748"/>
    <mergeCell ref="M970:S970"/>
    <mergeCell ref="M955:S955"/>
    <mergeCell ref="W875:AC875"/>
    <mergeCell ref="AB986:AI986"/>
    <mergeCell ref="D986:Q986"/>
    <mergeCell ref="R988:AA988"/>
    <mergeCell ref="AF1026:AI1027"/>
    <mergeCell ref="AB987:AI987"/>
    <mergeCell ref="AC748:AG748"/>
    <mergeCell ref="AC749:AG749"/>
    <mergeCell ref="AC750:AG750"/>
    <mergeCell ref="AC751:AG751"/>
    <mergeCell ref="AE954:AK954"/>
    <mergeCell ref="I949:T949"/>
    <mergeCell ref="AA942:AF942"/>
    <mergeCell ref="F915:T916"/>
    <mergeCell ref="AA930:AF930"/>
    <mergeCell ref="U931:Z931"/>
    <mergeCell ref="R984:AA984"/>
    <mergeCell ref="A978:AT980"/>
    <mergeCell ref="AG1024:AH1024"/>
    <mergeCell ref="AF1025:AI1025"/>
    <mergeCell ref="AJ1012:AQ1014"/>
    <mergeCell ref="W867:AC867"/>
    <mergeCell ref="W862:AC862"/>
    <mergeCell ref="W851:AC851"/>
    <mergeCell ref="W842:AC842"/>
    <mergeCell ref="W847:AC847"/>
    <mergeCell ref="X748:AB748"/>
    <mergeCell ref="X749:AB749"/>
    <mergeCell ref="X750:AB750"/>
    <mergeCell ref="AH750:AJ750"/>
    <mergeCell ref="AH751:AJ751"/>
    <mergeCell ref="W866:AC866"/>
    <mergeCell ref="C894:AB894"/>
  </mergeCells>
  <phoneticPr fontId="0" type="noConversion"/>
  <conditionalFormatting sqref="B754:AH755">
    <cfRule type="expression" dxfId="102" priority="16">
      <formula>NOT($D$211="Special Needs")</formula>
    </cfRule>
  </conditionalFormatting>
  <conditionalFormatting sqref="B1059:AP1059">
    <cfRule type="expression" dxfId="101" priority="2">
      <formula>0=$B$1059</formula>
    </cfRule>
  </conditionalFormatting>
  <conditionalFormatting sqref="C555:C565 Q555:AS565 Q628:Z638 AC628:AS638">
    <cfRule type="expression" dxfId="100" priority="19">
      <formula>$AT555="!"</formula>
    </cfRule>
  </conditionalFormatting>
  <conditionalFormatting sqref="C628:C638">
    <cfRule type="expression" dxfId="99" priority="18">
      <formula>$AT628="!"</formula>
    </cfRule>
  </conditionalFormatting>
  <conditionalFormatting sqref="C893:T894">
    <cfRule type="expression" dxfId="98" priority="4">
      <formula>AND(AC893&lt;&gt;"",OR(C893="Other (Specify):",C893=""))</formula>
    </cfRule>
  </conditionalFormatting>
  <conditionalFormatting sqref="D213">
    <cfRule type="expression" dxfId="97" priority="30">
      <formula>AND($Y$212&gt;0,$AB$212&lt;75%)</formula>
    </cfRule>
  </conditionalFormatting>
  <conditionalFormatting sqref="D216">
    <cfRule type="expression" dxfId="96" priority="27">
      <formula>NOT($D$211="At-Risk")</formula>
    </cfRule>
  </conditionalFormatting>
  <conditionalFormatting sqref="D215:U215">
    <cfRule type="expression" dxfId="95" priority="31">
      <formula>NOT(OR($D$214="Seniors",$D$211="Seniors"))</formula>
    </cfRule>
  </conditionalFormatting>
  <conditionalFormatting sqref="D212:X212">
    <cfRule type="expression" dxfId="94" priority="34">
      <formula>NOT($D$211="Special Needs")</formula>
    </cfRule>
  </conditionalFormatting>
  <conditionalFormatting sqref="D214:Z214">
    <cfRule type="expression" dxfId="93" priority="29">
      <formula>AND($Y$212&gt;0,$AB$212&lt;75%)</formula>
    </cfRule>
  </conditionalFormatting>
  <conditionalFormatting sqref="E707:AK707">
    <cfRule type="expression" dxfId="92" priority="17">
      <formula>AND($W$706="Other",OR($E$707="(specify here)",$E$707=""))</formula>
    </cfRule>
  </conditionalFormatting>
  <conditionalFormatting sqref="F831:L831">
    <cfRule type="expression" dxfId="91" priority="12">
      <formula>AND(OR(M831&lt;&gt;"",$Q$811&lt;&gt;"",$U$811&lt;&gt;"",$Y$811&lt;&gt;"",$AC$811&lt;&gt;"",$AG$811&lt;&gt;"",SUM($M$831:$AJ$831)&gt;0),OR(F831="(specify here)",F831=""))</formula>
    </cfRule>
  </conditionalFormatting>
  <conditionalFormatting sqref="F457:AB458">
    <cfRule type="expression" dxfId="90" priority="1">
      <formula>$AC$454=""</formula>
    </cfRule>
  </conditionalFormatting>
  <conditionalFormatting sqref="L508:X508">
    <cfRule type="expression" dxfId="89" priority="26">
      <formula>AND(NOT(AC508="N/A"),AH508&lt;&gt;"",OR(L508="(specify here)",L508=""))</formula>
    </cfRule>
  </conditionalFormatting>
  <conditionalFormatting sqref="M846:V846">
    <cfRule type="expression" dxfId="88" priority="11">
      <formula>AND(W846&lt;&gt;"",OR(M846="(specify here)",M846=""))</formula>
    </cfRule>
  </conditionalFormatting>
  <conditionalFormatting sqref="M861:V861">
    <cfRule type="expression" dxfId="87" priority="10">
      <formula>AND(W861&lt;&gt;"",OR(M861="(specify here)",M861=""))</formula>
    </cfRule>
  </conditionalFormatting>
  <conditionalFormatting sqref="M871:V871">
    <cfRule type="expression" dxfId="86" priority="9">
      <formula>AND(W871&lt;&gt;"",OR(M871="(specify here)",M871=""))</formula>
    </cfRule>
  </conditionalFormatting>
  <conditionalFormatting sqref="M874:V878">
    <cfRule type="expression" dxfId="85" priority="8">
      <formula>AND(W874&lt;&gt;"",OR(M874="(specify here)",M874=""))</formula>
    </cfRule>
  </conditionalFormatting>
  <conditionalFormatting sqref="O520:AA520">
    <cfRule type="expression" dxfId="84" priority="25">
      <formula>AND(OR(AND(NOT(AC520="N/A"),AH520&lt;&gt;""),AND(NOT(AC521="N/A"),AH521&lt;&gt;""),AND(NOT(AC522="N/A"),AH522&lt;&gt;"")),OR(O520="(specify here)",O520=""))</formula>
    </cfRule>
  </conditionalFormatting>
  <conditionalFormatting sqref="O523:AA523">
    <cfRule type="expression" dxfId="83" priority="24">
      <formula>AND(OR(AND(NOT(AC523="N/A"),AH523&lt;&gt;""),AND(NOT(AC524="N/A"),AH524&lt;&gt;""),AND(NOT(AC525="N/A"),AH525&lt;&gt;"")),OR(O523="(specify here)",O523=""))</formula>
    </cfRule>
  </conditionalFormatting>
  <conditionalFormatting sqref="O526:AA526">
    <cfRule type="expression" dxfId="82" priority="23">
      <formula>AND(OR(AND(NOT(AC526="N/A"),AH526&lt;&gt;""),AND(NOT(AC527="N/A"),AH527&lt;&gt;""),AND(NOT(AC528="N/A"),AH528&lt;&gt;"")),OR(O526="(specify here)",O526=""))</formula>
    </cfRule>
  </conditionalFormatting>
  <conditionalFormatting sqref="O529:AA529">
    <cfRule type="expression" dxfId="81" priority="22">
      <formula>AND(OR(AND(NOT(AC529="N/A"),AH529&lt;&gt;""),AND(NOT(AC530="N/A"),AH530&lt;&gt;""),AND(NOT(AC531="N/A"),AH531&lt;&gt;"")),OR(O529="(specify here)",O529=""))</formula>
    </cfRule>
  </conditionalFormatting>
  <conditionalFormatting sqref="O532:AA532">
    <cfRule type="expression" dxfId="80" priority="21">
      <formula>AND(OR(AND(NOT(AC532="N/A"),AH532&lt;&gt;""),AND(NOT(AC533="N/A"),AH533&lt;&gt;""),AND(NOT(AC534="N/A"),AH534&lt;&gt;"")),OR(O532="(specify here)",O532=""))</formula>
    </cfRule>
  </conditionalFormatting>
  <conditionalFormatting sqref="O535:AA535">
    <cfRule type="expression" dxfId="79" priority="20">
      <formula>AND(OR(AND(NOT(AC535="N/A"),AH535&lt;&gt;""),AND(NOT(AC536="N/A"),AH536&lt;&gt;""),AND(NOT(AC537="N/A"),AH537&lt;&gt;"")),OR(O535="(specify here)",O535=""))</formula>
    </cfRule>
  </conditionalFormatting>
  <conditionalFormatting sqref="P816:Y816">
    <cfRule type="expression" dxfId="78" priority="13">
      <formula>AND(Z816&lt;&gt;"",OR(P816="(specify here)",P816=""))</formula>
    </cfRule>
  </conditionalFormatting>
  <conditionalFormatting sqref="U756">
    <cfRule type="expression" dxfId="77" priority="15">
      <formula>NOT($D$211="Special Needs")</formula>
    </cfRule>
  </conditionalFormatting>
  <conditionalFormatting sqref="U893:U894">
    <cfRule type="expression" dxfId="76" priority="257">
      <formula>AND(AU878&lt;&gt;"",OR(U893="Other (Specify):",U893=""))</formula>
    </cfRule>
  </conditionalFormatting>
  <conditionalFormatting sqref="V893:AB894">
    <cfRule type="expression" dxfId="75" priority="258">
      <formula>AND(AV888&lt;&gt;"",OR(V893="Other (Specify):",V893=""))</formula>
    </cfRule>
  </conditionalFormatting>
  <conditionalFormatting sqref="W973:AG973">
    <cfRule type="expression" dxfId="74" priority="3">
      <formula>AND($AA$952&lt;&gt;"",OR($W$951="",$W$951="(specify here)"))</formula>
    </cfRule>
  </conditionalFormatting>
  <conditionalFormatting sqref="Y508:AB508">
    <cfRule type="expression" dxfId="73" priority="259">
      <formula>AND(NOT(AP508="N/A"),AU507&lt;&gt;"",OR(Y508="(specify here)",Y508=""))</formula>
    </cfRule>
  </conditionalFormatting>
  <conditionalFormatting sqref="Y212:AC212">
    <cfRule type="expression" dxfId="72" priority="33">
      <formula>NOT($D$211="Special Needs")</formula>
    </cfRule>
  </conditionalFormatting>
  <conditionalFormatting sqref="AA215:AO215">
    <cfRule type="expression" dxfId="71" priority="32">
      <formula>NOT(OR($D$214="Seniors",$D$211="Seniors"))</formula>
    </cfRule>
  </conditionalFormatting>
  <conditionalFormatting sqref="AB216:AM216">
    <cfRule type="expression" dxfId="70" priority="28">
      <formula>NOT($D$211="At-Risk")</formula>
    </cfRule>
  </conditionalFormatting>
  <conditionalFormatting sqref="AF1020">
    <cfRule type="cellIs" dxfId="69" priority="38" stopIfTrue="1" operator="equal">
      <formula>"Please Enter Amount:"</formula>
    </cfRule>
  </conditionalFormatting>
  <conditionalFormatting sqref="AF1025">
    <cfRule type="cellIs" dxfId="68" priority="35" stopIfTrue="1" operator="equal">
      <formula>"Please Enter Amount:"</formula>
    </cfRule>
  </conditionalFormatting>
  <conditionalFormatting sqref="AF1032">
    <cfRule type="cellIs" dxfId="67" priority="36" stopIfTrue="1" operator="equal">
      <formula>"Please Enter Amount:"</formula>
    </cfRule>
  </conditionalFormatting>
  <conditionalFormatting sqref="AG441:AJ441">
    <cfRule type="expression" dxfId="66" priority="42" stopIfTrue="1">
      <formula>"iserror(d31)"</formula>
    </cfRule>
  </conditionalFormatting>
  <conditionalFormatting sqref="AG756:AJ756">
    <cfRule type="expression" dxfId="65" priority="14">
      <formula>NOT($D$211="Special Needs")</formula>
    </cfRule>
  </conditionalFormatting>
  <conditionalFormatting sqref="AJ1044">
    <cfRule type="cellIs" dxfId="64"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A13" sqref="A1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80" t="s">
        <v>630</v>
      </c>
      <c r="G1" s="1881"/>
      <c r="H1" s="1881"/>
      <c r="I1" s="1881"/>
      <c r="J1" s="1881"/>
      <c r="K1" s="1881"/>
      <c r="L1" s="1881"/>
      <c r="M1" s="1881"/>
      <c r="N1" s="1881"/>
      <c r="O1" s="1881"/>
      <c r="P1" s="1881"/>
      <c r="Q1" s="1881"/>
      <c r="R1" s="1882"/>
      <c r="S1" s="112"/>
      <c r="T1" s="111"/>
      <c r="U1" s="113"/>
    </row>
    <row r="2" spans="1:21" s="138" customFormat="1" ht="71.25" customHeight="1">
      <c r="A2" s="137"/>
      <c r="B2" s="138" t="s">
        <v>23</v>
      </c>
      <c r="C2" s="138" t="s">
        <v>375</v>
      </c>
      <c r="D2" s="138" t="s">
        <v>374</v>
      </c>
      <c r="E2" s="138" t="s">
        <v>24</v>
      </c>
      <c r="F2" s="139" t="str">
        <f>Application!B627&amp;Application!C627</f>
        <v>1)CitiBank Tax-Exempt Bonds</v>
      </c>
      <c r="G2" s="139" t="str">
        <f>Application!B628&amp;Application!C628</f>
        <v>2)CitiBank - Recycled TE bonds</v>
      </c>
      <c r="H2" s="139" t="str">
        <f>Application!B629&amp;Application!C629</f>
        <v>3)Subordinate Tax Exempt Loan (CAP 10)</v>
      </c>
      <c r="I2" s="139" t="str">
        <f>Application!B630&amp;Application!C630</f>
        <v>4)Net Operating Income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9741425</v>
      </c>
      <c r="C4" s="147">
        <f>71000000-61258575</f>
        <v>9741425</v>
      </c>
      <c r="D4" s="147"/>
      <c r="E4" s="147"/>
      <c r="F4" s="147">
        <f>C4</f>
        <v>9741425</v>
      </c>
      <c r="G4" s="147"/>
      <c r="H4" s="147"/>
      <c r="I4" s="147"/>
      <c r="J4" s="147"/>
      <c r="K4" s="147"/>
      <c r="L4" s="147"/>
      <c r="M4" s="147"/>
      <c r="N4" s="147"/>
      <c r="O4" s="147"/>
      <c r="P4" s="147"/>
      <c r="Q4" s="147"/>
      <c r="R4" s="550">
        <f>SUM(E4:Q4)</f>
        <v>9741425</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9741425</v>
      </c>
      <c r="C8" s="146">
        <f t="shared" ref="C8:Q8" si="0">SUM(C4:C7)</f>
        <v>9741425</v>
      </c>
      <c r="D8" s="146">
        <f t="shared" si="0"/>
        <v>0</v>
      </c>
      <c r="E8" s="146">
        <f t="shared" si="0"/>
        <v>0</v>
      </c>
      <c r="F8" s="146">
        <f t="shared" si="0"/>
        <v>9741425</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9741425</v>
      </c>
      <c r="S8" s="148"/>
      <c r="T8" s="148"/>
      <c r="U8" s="143"/>
    </row>
    <row r="9" spans="1:21" s="144" customFormat="1">
      <c r="A9" s="145" t="s">
        <v>603</v>
      </c>
      <c r="B9" s="146">
        <f>SUM(C9+D9)</f>
        <v>61258575</v>
      </c>
      <c r="C9" s="147">
        <v>61258575</v>
      </c>
      <c r="D9" s="147"/>
      <c r="E9" s="147">
        <f>C9-F9-G9-H9</f>
        <v>15189221</v>
      </c>
      <c r="F9" s="147">
        <v>34831498</v>
      </c>
      <c r="G9" s="147">
        <v>11125284</v>
      </c>
      <c r="H9" s="147">
        <v>112572</v>
      </c>
      <c r="I9" s="147"/>
      <c r="J9" s="147"/>
      <c r="K9" s="147"/>
      <c r="L9" s="147"/>
      <c r="M9" s="147"/>
      <c r="N9" s="147"/>
      <c r="O9" s="147"/>
      <c r="P9" s="147"/>
      <c r="Q9" s="147"/>
      <c r="R9" s="550">
        <f>SUM(E9:Q9)</f>
        <v>61258575</v>
      </c>
      <c r="S9" s="148"/>
      <c r="T9" s="147">
        <f>R9</f>
        <v>61258575</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61258575</v>
      </c>
      <c r="C11" s="146">
        <f t="shared" ref="C11:Q11" si="1">SUM(C9:C10)</f>
        <v>61258575</v>
      </c>
      <c r="D11" s="146">
        <f t="shared" si="1"/>
        <v>0</v>
      </c>
      <c r="E11" s="146">
        <f t="shared" si="1"/>
        <v>15189221</v>
      </c>
      <c r="F11" s="146">
        <f t="shared" si="1"/>
        <v>34831498</v>
      </c>
      <c r="G11" s="146">
        <f t="shared" si="1"/>
        <v>11125284</v>
      </c>
      <c r="H11" s="146">
        <f t="shared" si="1"/>
        <v>112572</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61258575</v>
      </c>
      <c r="S11" s="148"/>
      <c r="T11" s="150">
        <f>SUM(T9:T10)</f>
        <v>61258575</v>
      </c>
      <c r="U11" s="143"/>
    </row>
    <row r="12" spans="1:21" s="144" customFormat="1">
      <c r="A12" s="149" t="s">
        <v>84</v>
      </c>
      <c r="B12" s="146">
        <f t="shared" ref="B12:Q12" si="2">SUM(B8+B11)</f>
        <v>71000000</v>
      </c>
      <c r="C12" s="146">
        <f t="shared" si="2"/>
        <v>71000000</v>
      </c>
      <c r="D12" s="146">
        <f t="shared" si="2"/>
        <v>0</v>
      </c>
      <c r="E12" s="146">
        <f t="shared" si="2"/>
        <v>15189221</v>
      </c>
      <c r="F12" s="146">
        <f t="shared" si="2"/>
        <v>44572923</v>
      </c>
      <c r="G12" s="146">
        <f t="shared" si="2"/>
        <v>11125284</v>
      </c>
      <c r="H12" s="146">
        <f t="shared" si="2"/>
        <v>112572</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71000000</v>
      </c>
      <c r="S12" s="148"/>
      <c r="T12" s="148"/>
      <c r="U12" s="143"/>
    </row>
    <row r="13" spans="1:21" s="144" customFormat="1">
      <c r="A13" s="309" t="s">
        <v>918</v>
      </c>
      <c r="B13" s="146">
        <f>SUM(C13+D13)</f>
        <v>2411883</v>
      </c>
      <c r="C13" s="147">
        <f>649650+2032233-270000</f>
        <v>2411883</v>
      </c>
      <c r="D13" s="147"/>
      <c r="E13" s="147"/>
      <c r="F13" s="147">
        <f>C13</f>
        <v>2411883</v>
      </c>
      <c r="G13" s="147"/>
      <c r="H13" s="147"/>
      <c r="I13" s="147"/>
      <c r="J13" s="147"/>
      <c r="K13" s="147"/>
      <c r="L13" s="147"/>
      <c r="M13" s="147"/>
      <c r="N13" s="147"/>
      <c r="O13" s="147"/>
      <c r="P13" s="147"/>
      <c r="Q13" s="147"/>
      <c r="R13" s="550">
        <f>SUM(E13:Q13)</f>
        <v>2411883</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14509545</v>
      </c>
      <c r="C18" s="147">
        <v>14509545</v>
      </c>
      <c r="D18" s="147"/>
      <c r="E18" s="147">
        <f>C18-G18-H18</f>
        <v>14509545</v>
      </c>
      <c r="F18" s="147"/>
      <c r="G18" s="147"/>
      <c r="H18" s="147"/>
      <c r="I18" s="147"/>
      <c r="J18" s="147"/>
      <c r="K18" s="147"/>
      <c r="L18" s="147"/>
      <c r="M18" s="147"/>
      <c r="N18" s="147"/>
      <c r="O18" s="147"/>
      <c r="P18" s="147"/>
      <c r="Q18" s="147"/>
      <c r="R18" s="550">
        <f>SUM(E18:Q18)</f>
        <v>14509545</v>
      </c>
      <c r="S18" s="147">
        <f>R18</f>
        <v>14509545</v>
      </c>
      <c r="T18" s="147"/>
      <c r="U18" s="143"/>
    </row>
    <row r="19" spans="1:21" s="144" customFormat="1">
      <c r="A19" s="145" t="s">
        <v>609</v>
      </c>
      <c r="B19" s="146">
        <f t="shared" si="3"/>
        <v>870573</v>
      </c>
      <c r="C19" s="147">
        <v>870573</v>
      </c>
      <c r="D19" s="147"/>
      <c r="E19" s="147">
        <f>C19</f>
        <v>870573</v>
      </c>
      <c r="F19" s="147"/>
      <c r="G19" s="147"/>
      <c r="H19" s="147"/>
      <c r="I19" s="147"/>
      <c r="J19" s="147"/>
      <c r="K19" s="147"/>
      <c r="L19" s="147"/>
      <c r="M19" s="147"/>
      <c r="N19" s="147"/>
      <c r="O19" s="147"/>
      <c r="P19" s="147"/>
      <c r="Q19" s="147"/>
      <c r="R19" s="550">
        <f>SUM(E19:Q19)</f>
        <v>870573</v>
      </c>
      <c r="S19" s="147">
        <f>R19</f>
        <v>870573</v>
      </c>
      <c r="T19" s="147"/>
      <c r="U19" s="143"/>
    </row>
    <row r="20" spans="1:21" s="144" customFormat="1">
      <c r="A20" s="145" t="s">
        <v>137</v>
      </c>
      <c r="B20" s="146">
        <f t="shared" si="3"/>
        <v>307602</v>
      </c>
      <c r="C20" s="147">
        <v>307602</v>
      </c>
      <c r="D20" s="147"/>
      <c r="E20" s="147">
        <f>C20</f>
        <v>307602</v>
      </c>
      <c r="F20" s="147"/>
      <c r="G20" s="147"/>
      <c r="H20" s="147"/>
      <c r="I20" s="147"/>
      <c r="J20" s="147"/>
      <c r="K20" s="147"/>
      <c r="L20" s="147"/>
      <c r="M20" s="147"/>
      <c r="N20" s="147"/>
      <c r="O20" s="147"/>
      <c r="P20" s="147"/>
      <c r="Q20" s="147"/>
      <c r="R20" s="550">
        <f t="shared" ref="R20:R27" si="4">SUM(E20:Q20)</f>
        <v>307602</v>
      </c>
      <c r="S20" s="147">
        <f>R20</f>
        <v>307602</v>
      </c>
      <c r="T20" s="147"/>
      <c r="U20" s="143"/>
    </row>
    <row r="21" spans="1:21" s="144" customFormat="1">
      <c r="A21" s="145" t="s">
        <v>138</v>
      </c>
      <c r="B21" s="146">
        <f t="shared" si="3"/>
        <v>922807</v>
      </c>
      <c r="C21" s="147">
        <v>922807</v>
      </c>
      <c r="D21" s="147"/>
      <c r="E21" s="147">
        <f>C21</f>
        <v>922807</v>
      </c>
      <c r="F21" s="147"/>
      <c r="G21" s="147"/>
      <c r="H21" s="147"/>
      <c r="I21" s="147"/>
      <c r="J21" s="147"/>
      <c r="K21" s="147"/>
      <c r="L21" s="147"/>
      <c r="M21" s="147"/>
      <c r="N21" s="147"/>
      <c r="O21" s="147"/>
      <c r="P21" s="147"/>
      <c r="Q21" s="147"/>
      <c r="R21" s="550">
        <f t="shared" si="4"/>
        <v>922807</v>
      </c>
      <c r="S21" s="147">
        <f>R21</f>
        <v>922807</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176871</v>
      </c>
      <c r="C23" s="147">
        <v>176871</v>
      </c>
      <c r="D23" s="147"/>
      <c r="E23" s="147">
        <f>C23</f>
        <v>176871</v>
      </c>
      <c r="F23" s="147"/>
      <c r="G23" s="147"/>
      <c r="H23" s="147"/>
      <c r="I23" s="147"/>
      <c r="J23" s="147"/>
      <c r="K23" s="147"/>
      <c r="L23" s="147"/>
      <c r="M23" s="147"/>
      <c r="N23" s="147"/>
      <c r="O23" s="147"/>
      <c r="P23" s="147"/>
      <c r="Q23" s="147"/>
      <c r="R23" s="550">
        <f t="shared" si="4"/>
        <v>176871</v>
      </c>
      <c r="S23" s="147">
        <f>R23</f>
        <v>176871</v>
      </c>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2699</v>
      </c>
      <c r="B25" s="146">
        <f t="shared" si="3"/>
        <v>207632</v>
      </c>
      <c r="C25" s="147">
        <v>207632</v>
      </c>
      <c r="D25" s="147"/>
      <c r="E25" s="147">
        <f>C25</f>
        <v>207632</v>
      </c>
      <c r="F25" s="147"/>
      <c r="G25" s="147"/>
      <c r="H25" s="147"/>
      <c r="I25" s="147"/>
      <c r="J25" s="147"/>
      <c r="K25" s="147"/>
      <c r="L25" s="147"/>
      <c r="M25" s="147"/>
      <c r="N25" s="147"/>
      <c r="O25" s="147"/>
      <c r="P25" s="147"/>
      <c r="Q25" s="147"/>
      <c r="R25" s="550">
        <f t="shared" si="4"/>
        <v>207632</v>
      </c>
      <c r="S25" s="147">
        <f>R25</f>
        <v>207632</v>
      </c>
      <c r="T25" s="147"/>
      <c r="U25" s="143"/>
    </row>
    <row r="26" spans="1:21" s="144" customFormat="1">
      <c r="A26" s="149" t="s">
        <v>133</v>
      </c>
      <c r="B26" s="146">
        <f t="shared" si="3"/>
        <v>16995030</v>
      </c>
      <c r="C26" s="146">
        <f>SUM(C17:C25)</f>
        <v>16995030</v>
      </c>
      <c r="D26" s="146">
        <f t="shared" ref="D26:Q26" si="5">SUM(D17:D25)</f>
        <v>0</v>
      </c>
      <c r="E26" s="146">
        <f t="shared" si="5"/>
        <v>16995030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16995030</v>
      </c>
      <c r="S26" s="150">
        <f>SUM(S17:S25)</f>
        <v>16995030</v>
      </c>
      <c r="T26" s="150">
        <f>SUM(T17:T25)</f>
        <v>0</v>
      </c>
      <c r="U26" s="143"/>
    </row>
    <row r="27" spans="1:21" s="144" customFormat="1">
      <c r="A27" s="149" t="s">
        <v>141</v>
      </c>
      <c r="B27" s="146">
        <f>SUM(C27:D27)</f>
        <v>383460</v>
      </c>
      <c r="C27" s="147">
        <v>383460</v>
      </c>
      <c r="D27" s="147"/>
      <c r="E27" s="147"/>
      <c r="F27" s="147">
        <f>C27</f>
        <v>383460</v>
      </c>
      <c r="G27" s="147"/>
      <c r="H27" s="147"/>
      <c r="I27" s="147"/>
      <c r="J27" s="147"/>
      <c r="K27" s="147"/>
      <c r="L27" s="147"/>
      <c r="M27" s="147"/>
      <c r="N27" s="147"/>
      <c r="O27" s="147"/>
      <c r="P27" s="147"/>
      <c r="Q27" s="147"/>
      <c r="R27" s="550">
        <f t="shared" si="4"/>
        <v>383460</v>
      </c>
      <c r="S27" s="147">
        <v>38346</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609</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1754</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50">
        <f>SUM(E40:Q40)</f>
        <v>0</v>
      </c>
      <c r="S40" s="147"/>
      <c r="T40" s="147"/>
      <c r="U40" s="143"/>
    </row>
    <row r="41" spans="1:21" s="144" customFormat="1">
      <c r="A41" s="145" t="s">
        <v>146</v>
      </c>
      <c r="B41" s="146">
        <f>SUM(C41+D41)</f>
        <v>250000</v>
      </c>
      <c r="C41" s="147">
        <v>250000</v>
      </c>
      <c r="D41" s="147"/>
      <c r="E41" s="147">
        <f>C41</f>
        <v>250000</v>
      </c>
      <c r="F41" s="147"/>
      <c r="G41" s="147"/>
      <c r="H41" s="147"/>
      <c r="I41" s="147"/>
      <c r="J41" s="147"/>
      <c r="K41" s="147"/>
      <c r="L41" s="147"/>
      <c r="M41" s="147"/>
      <c r="N41" s="147"/>
      <c r="O41" s="147"/>
      <c r="P41" s="147"/>
      <c r="Q41" s="147"/>
      <c r="R41" s="550">
        <f>SUM(E41:Q41)</f>
        <v>250000</v>
      </c>
      <c r="S41" s="147">
        <f>R41</f>
        <v>250000</v>
      </c>
      <c r="T41" s="147"/>
      <c r="U41" s="143"/>
    </row>
    <row r="42" spans="1:21" s="144" customFormat="1">
      <c r="A42" s="149" t="s">
        <v>147</v>
      </c>
      <c r="B42" s="146">
        <f>SUM(C42:D42)</f>
        <v>250000</v>
      </c>
      <c r="C42" s="146">
        <f>SUM(C39:C41)</f>
        <v>250000</v>
      </c>
      <c r="D42" s="146">
        <f>SUM(D39:D41)</f>
        <v>0</v>
      </c>
      <c r="E42" s="146">
        <f t="shared" ref="E42:T42" si="9">SUM(E40:E41)</f>
        <v>250000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250000</v>
      </c>
      <c r="S42" s="150">
        <f t="shared" si="9"/>
        <v>250000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8612753</v>
      </c>
      <c r="C45" s="147">
        <v>8612753</v>
      </c>
      <c r="D45" s="147"/>
      <c r="E45" s="147"/>
      <c r="F45" s="147"/>
      <c r="G45" s="147"/>
      <c r="H45" s="147">
        <f>C45</f>
        <v>8612753</v>
      </c>
      <c r="I45" s="147"/>
      <c r="J45" s="147"/>
      <c r="K45" s="147"/>
      <c r="L45" s="147"/>
      <c r="M45" s="147"/>
      <c r="N45" s="147"/>
      <c r="O45" s="147"/>
      <c r="P45" s="147"/>
      <c r="Q45" s="147"/>
      <c r="R45" s="550">
        <f t="shared" ref="R45:R53" si="11">SUM(E45:Q45)</f>
        <v>8612753</v>
      </c>
      <c r="S45" s="147">
        <v>1722551</v>
      </c>
      <c r="T45" s="147"/>
      <c r="U45" s="143"/>
    </row>
    <row r="46" spans="1:21" s="144" customFormat="1">
      <c r="A46" s="145" t="s">
        <v>151</v>
      </c>
      <c r="B46" s="146">
        <f t="shared" si="10"/>
        <v>887159</v>
      </c>
      <c r="C46" s="147">
        <f>283659+603500</f>
        <v>887159</v>
      </c>
      <c r="D46" s="147"/>
      <c r="E46" s="147"/>
      <c r="F46" s="147"/>
      <c r="G46" s="147"/>
      <c r="H46" s="147">
        <f>C46</f>
        <v>887159</v>
      </c>
      <c r="I46" s="147"/>
      <c r="J46" s="147"/>
      <c r="K46" s="147"/>
      <c r="L46" s="147"/>
      <c r="M46" s="147"/>
      <c r="N46" s="147"/>
      <c r="O46" s="147"/>
      <c r="P46" s="147"/>
      <c r="Q46" s="147"/>
      <c r="R46" s="550">
        <f t="shared" si="11"/>
        <v>887159</v>
      </c>
      <c r="S46" s="147">
        <f>301750+283659</f>
        <v>585409</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50">
        <f t="shared" si="11"/>
        <v>0</v>
      </c>
      <c r="S50" s="147"/>
      <c r="T50" s="147"/>
      <c r="U50" s="143"/>
    </row>
    <row r="51" spans="1:21" s="144" customFormat="1">
      <c r="A51" s="304" t="s">
        <v>154</v>
      </c>
      <c r="B51" s="146">
        <f t="shared" si="10"/>
        <v>36335</v>
      </c>
      <c r="C51" s="147">
        <v>36335</v>
      </c>
      <c r="D51" s="147"/>
      <c r="E51" s="147"/>
      <c r="F51" s="147"/>
      <c r="G51" s="147"/>
      <c r="H51" s="147">
        <f>C51</f>
        <v>36335</v>
      </c>
      <c r="I51" s="147"/>
      <c r="J51" s="147"/>
      <c r="K51" s="147"/>
      <c r="L51" s="147"/>
      <c r="M51" s="147"/>
      <c r="N51" s="147"/>
      <c r="O51" s="147"/>
      <c r="P51" s="147"/>
      <c r="Q51" s="147"/>
      <c r="R51" s="550">
        <f t="shared" si="11"/>
        <v>36335</v>
      </c>
      <c r="S51" s="147"/>
      <c r="T51" s="147"/>
      <c r="U51" s="143"/>
    </row>
    <row r="52" spans="1:21" s="144" customFormat="1">
      <c r="A52" s="145" t="s">
        <v>155</v>
      </c>
      <c r="B52" s="146">
        <f t="shared" si="10"/>
        <v>104000</v>
      </c>
      <c r="C52" s="147">
        <v>104000</v>
      </c>
      <c r="D52" s="147"/>
      <c r="E52" s="147"/>
      <c r="F52" s="147"/>
      <c r="G52" s="147"/>
      <c r="H52" s="147">
        <f>C52</f>
        <v>104000</v>
      </c>
      <c r="I52" s="147"/>
      <c r="J52" s="147"/>
      <c r="K52" s="147"/>
      <c r="L52" s="147"/>
      <c r="M52" s="147"/>
      <c r="N52" s="147"/>
      <c r="O52" s="147"/>
      <c r="P52" s="147"/>
      <c r="Q52" s="147"/>
      <c r="R52" s="550">
        <f t="shared" si="11"/>
        <v>104000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9640247</v>
      </c>
      <c r="C54" s="150">
        <f t="shared" ref="C54:T54" si="12">SUM(C45:C53)</f>
        <v>9640247</v>
      </c>
      <c r="D54" s="150">
        <f t="shared" si="12"/>
        <v>0</v>
      </c>
      <c r="E54" s="150">
        <f t="shared" si="12"/>
        <v>0</v>
      </c>
      <c r="F54" s="150">
        <f t="shared" si="12"/>
        <v>0</v>
      </c>
      <c r="G54" s="150">
        <f t="shared" si="12"/>
        <v>0</v>
      </c>
      <c r="H54" s="150">
        <f t="shared" si="12"/>
        <v>9640247</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9640247</v>
      </c>
      <c r="S54" s="150">
        <f t="shared" si="12"/>
        <v>2307960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f>C56</f>
        <v>0</v>
      </c>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38500</v>
      </c>
      <c r="C58" s="1014">
        <f>3500+35000</f>
        <v>38500</v>
      </c>
      <c r="D58" s="147"/>
      <c r="E58" s="147">
        <f>C58</f>
        <v>38500</v>
      </c>
      <c r="F58" s="147"/>
      <c r="G58" s="147"/>
      <c r="H58" s="147"/>
      <c r="I58" s="147"/>
      <c r="J58" s="147"/>
      <c r="K58" s="147"/>
      <c r="L58" s="147"/>
      <c r="M58" s="147"/>
      <c r="N58" s="147"/>
      <c r="O58" s="147"/>
      <c r="P58" s="147"/>
      <c r="Q58" s="147"/>
      <c r="R58" s="550">
        <f t="shared" si="14"/>
        <v>38500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2702</v>
      </c>
      <c r="B61" s="146">
        <f t="shared" si="13"/>
        <v>235690</v>
      </c>
      <c r="C61" s="147">
        <f>2500+55000+3500+72690+100000+2000</f>
        <v>235690</v>
      </c>
      <c r="D61" s="147"/>
      <c r="E61" s="147">
        <f>C61</f>
        <v>235690</v>
      </c>
      <c r="F61" s="147"/>
      <c r="G61" s="147"/>
      <c r="H61" s="147"/>
      <c r="I61" s="147"/>
      <c r="J61" s="147"/>
      <c r="K61" s="147"/>
      <c r="L61" s="147"/>
      <c r="M61" s="147"/>
      <c r="N61" s="147"/>
      <c r="O61" s="147"/>
      <c r="P61" s="147"/>
      <c r="Q61" s="147"/>
      <c r="R61" s="550">
        <f t="shared" si="14"/>
        <v>235690</v>
      </c>
      <c r="S61" s="148"/>
      <c r="T61" s="148"/>
      <c r="U61" s="143"/>
    </row>
    <row r="62" spans="1:21" s="144" customFormat="1" ht="13.7" customHeight="1">
      <c r="A62" s="149" t="s">
        <v>302</v>
      </c>
      <c r="B62" s="146">
        <f>SUM(C62:D62)</f>
        <v>274190</v>
      </c>
      <c r="C62" s="146">
        <f t="shared" ref="C62:R62" si="15">SUM(C56:C61)</f>
        <v>274190</v>
      </c>
      <c r="D62" s="146">
        <f t="shared" si="15"/>
        <v>0</v>
      </c>
      <c r="E62" s="146">
        <f t="shared" si="15"/>
        <v>274190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274190</v>
      </c>
      <c r="S62" s="148"/>
      <c r="T62" s="148"/>
      <c r="U62" s="143"/>
    </row>
    <row r="63" spans="1:21" s="144" customFormat="1">
      <c r="A63" s="154" t="s">
        <v>303</v>
      </c>
      <c r="B63" s="146">
        <f t="shared" ref="B63:R63" si="16">SUM(B8+B11+B13+B14+B15+B26+B27+B38+B42+B43+B54+B62)</f>
        <v>100954810</v>
      </c>
      <c r="C63" s="146">
        <f t="shared" si="16"/>
        <v>100954810</v>
      </c>
      <c r="D63" s="146">
        <f t="shared" si="16"/>
        <v>0</v>
      </c>
      <c r="E63" s="146">
        <f t="shared" si="16"/>
        <v>32708441</v>
      </c>
      <c r="F63" s="146">
        <f t="shared" si="16"/>
        <v>47368266</v>
      </c>
      <c r="G63" s="146">
        <f t="shared" si="16"/>
        <v>11125284</v>
      </c>
      <c r="H63" s="146">
        <f t="shared" si="16"/>
        <v>9752819</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100954810</v>
      </c>
      <c r="S63" s="146">
        <f>SUM(S10+S13+S14+S15+S26+S27+S38+S42+S43+S54)</f>
        <v>19591336</v>
      </c>
      <c r="T63" s="146">
        <f>SUM(T11+T13+T14+T15+T26+T27+T38+T42+T43+T54)</f>
        <v>61258575</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SUM(C65+E65)</f>
        <v>236500</v>
      </c>
      <c r="C65" s="147">
        <f>25000+8000+50000+150000+3500</f>
        <v>236500</v>
      </c>
      <c r="D65" s="1270"/>
      <c r="E65" s="147"/>
      <c r="F65" s="147">
        <f>C65</f>
        <v>236500</v>
      </c>
      <c r="G65" s="147"/>
      <c r="H65" s="147"/>
      <c r="I65" s="147"/>
      <c r="J65" s="147"/>
      <c r="K65" s="147"/>
      <c r="L65" s="147"/>
      <c r="M65" s="147"/>
      <c r="N65" s="147"/>
      <c r="O65" s="147"/>
      <c r="P65" s="147"/>
      <c r="Q65" s="147"/>
      <c r="R65" s="550">
        <f>SUM(E65:Q65)</f>
        <v>236500</v>
      </c>
      <c r="S65" s="147">
        <f>150000</f>
        <v>150000</v>
      </c>
      <c r="T65" s="147"/>
      <c r="U65" s="143"/>
    </row>
    <row r="66" spans="1:21" s="144" customFormat="1" ht="24" customHeight="1">
      <c r="A66" s="304" t="s">
        <v>1755</v>
      </c>
      <c r="B66" s="146">
        <f>SUM(C66+E66)</f>
        <v>52500</v>
      </c>
      <c r="C66" s="1014">
        <f>52500</f>
        <v>52500</v>
      </c>
      <c r="D66" s="1270"/>
      <c r="E66" s="147"/>
      <c r="F66" s="147">
        <f>C66</f>
        <v>52500</v>
      </c>
      <c r="G66" s="147"/>
      <c r="H66" s="147"/>
      <c r="I66" s="147"/>
      <c r="J66" s="147"/>
      <c r="K66" s="147"/>
      <c r="L66" s="147"/>
      <c r="M66" s="147"/>
      <c r="N66" s="147"/>
      <c r="O66" s="147"/>
      <c r="P66" s="147"/>
      <c r="Q66" s="147"/>
      <c r="R66" s="550">
        <f>SUM(E66:Q66)</f>
        <v>52500</v>
      </c>
      <c r="S66" s="147"/>
      <c r="T66" s="147"/>
      <c r="U66" s="143"/>
    </row>
    <row r="67" spans="1:21" s="144" customFormat="1" ht="24" customHeight="1">
      <c r="A67" s="304" t="s">
        <v>1756</v>
      </c>
      <c r="B67" s="146">
        <f>SUM(C67+D67)</f>
        <v>40000</v>
      </c>
      <c r="C67" s="147">
        <f>40000</f>
        <v>40000</v>
      </c>
      <c r="D67" s="147"/>
      <c r="E67" s="147">
        <f>C67</f>
        <v>40000</v>
      </c>
      <c r="F67" s="147"/>
      <c r="G67" s="147"/>
      <c r="H67" s="147"/>
      <c r="I67" s="147"/>
      <c r="J67" s="147"/>
      <c r="K67" s="147"/>
      <c r="L67" s="147"/>
      <c r="M67" s="147"/>
      <c r="N67" s="147"/>
      <c r="O67" s="147"/>
      <c r="P67" s="147"/>
      <c r="Q67" s="147"/>
      <c r="R67" s="550">
        <f>SUM(E67:Q67)</f>
        <v>40000</v>
      </c>
      <c r="S67" s="147"/>
      <c r="T67" s="147">
        <v>8000</v>
      </c>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2719</v>
      </c>
      <c r="B69" s="146">
        <f>SUM(C69+D69)</f>
        <v>104181</v>
      </c>
      <c r="C69" s="147">
        <f>6000+1931+12500+1750+7000+50000+25000</f>
        <v>104181</v>
      </c>
      <c r="D69" s="147"/>
      <c r="E69" s="147">
        <f>C69</f>
        <v>104181</v>
      </c>
      <c r="F69" s="147"/>
      <c r="G69" s="147"/>
      <c r="H69" s="147"/>
      <c r="I69" s="147"/>
      <c r="J69" s="147"/>
      <c r="K69" s="147"/>
      <c r="L69" s="147"/>
      <c r="M69" s="147"/>
      <c r="N69" s="147"/>
      <c r="O69" s="147"/>
      <c r="P69" s="147"/>
      <c r="Q69" s="147"/>
      <c r="R69" s="550">
        <f>SUM(E69:Q69)</f>
        <v>104181</v>
      </c>
      <c r="S69" s="147">
        <f>R69</f>
        <v>104181</v>
      </c>
      <c r="T69" s="147"/>
      <c r="U69" s="143"/>
    </row>
    <row r="70" spans="1:21" s="144" customFormat="1">
      <c r="A70" s="149" t="s">
        <v>1759</v>
      </c>
      <c r="B70" s="146">
        <f>SUM(C70:D70)</f>
        <v>433181</v>
      </c>
      <c r="C70" s="146">
        <f>SUM(C65:C69)</f>
        <v>433181</v>
      </c>
      <c r="D70" s="146">
        <f>SUM(D65:D69)</f>
        <v>0</v>
      </c>
      <c r="E70" s="146">
        <f>SUM(E65:E69)</f>
        <v>144181</v>
      </c>
      <c r="F70" s="146">
        <f t="shared" ref="F70:T70" si="17">SUM(F65:F69)</f>
        <v>289000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433181</v>
      </c>
      <c r="S70" s="150">
        <f t="shared" si="17"/>
        <v>254181</v>
      </c>
      <c r="T70" s="150">
        <f t="shared" si="17"/>
        <v>8000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1333301</v>
      </c>
      <c r="C75" s="1014">
        <v>1333301</v>
      </c>
      <c r="D75" s="147"/>
      <c r="E75" s="147"/>
      <c r="F75" s="147">
        <v>116052</v>
      </c>
      <c r="G75" s="147">
        <f>C75-F75</f>
        <v>1217249</v>
      </c>
      <c r="H75" s="147"/>
      <c r="I75" s="147"/>
      <c r="J75" s="147"/>
      <c r="K75" s="147"/>
      <c r="L75" s="147"/>
      <c r="M75" s="147"/>
      <c r="N75" s="147"/>
      <c r="O75" s="147"/>
      <c r="P75" s="147"/>
      <c r="Q75" s="147"/>
      <c r="R75" s="550">
        <f>SUM(E75:Q75)</f>
        <v>1333301</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1333301</v>
      </c>
      <c r="C77" s="146">
        <f>SUM(C72:C76)</f>
        <v>1333301</v>
      </c>
      <c r="D77" s="146">
        <f>SUM(D72:D76)</f>
        <v>0</v>
      </c>
      <c r="E77" s="146">
        <f t="shared" ref="E77:Q77" si="18">SUM(E72:E76)</f>
        <v>0</v>
      </c>
      <c r="F77" s="146">
        <f t="shared" si="18"/>
        <v>116052</v>
      </c>
      <c r="G77" s="146">
        <f t="shared" si="18"/>
        <v>1217249</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1333301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1699503</v>
      </c>
      <c r="C79" s="147">
        <v>1699503</v>
      </c>
      <c r="D79" s="147"/>
      <c r="E79" s="147">
        <f>C79</f>
        <v>1699503</v>
      </c>
      <c r="F79" s="147"/>
      <c r="G79" s="147"/>
      <c r="H79" s="147"/>
      <c r="I79" s="147"/>
      <c r="J79" s="147"/>
      <c r="K79" s="147"/>
      <c r="L79" s="147"/>
      <c r="M79" s="147"/>
      <c r="N79" s="147"/>
      <c r="O79" s="147"/>
      <c r="P79" s="147"/>
      <c r="Q79" s="147"/>
      <c r="R79" s="550">
        <f>SUM(E79:Q79)</f>
        <v>1699503</v>
      </c>
      <c r="S79" s="147">
        <v>1699503</v>
      </c>
      <c r="T79" s="147"/>
      <c r="U79" s="143"/>
    </row>
    <row r="80" spans="1:21" s="144" customFormat="1">
      <c r="A80" s="304" t="s">
        <v>58</v>
      </c>
      <c r="B80" s="146">
        <f>SUM(C80:D80)</f>
        <v>450000</v>
      </c>
      <c r="C80" s="1014">
        <f>200000+250000</f>
        <v>450000</v>
      </c>
      <c r="D80" s="147"/>
      <c r="E80" s="147">
        <f>C80</f>
        <v>450000</v>
      </c>
      <c r="F80" s="147"/>
      <c r="G80" s="147"/>
      <c r="H80" s="147"/>
      <c r="I80" s="147"/>
      <c r="J80" s="147"/>
      <c r="K80" s="147"/>
      <c r="L80" s="147"/>
      <c r="M80" s="147"/>
      <c r="N80" s="147"/>
      <c r="O80" s="147"/>
      <c r="P80" s="147"/>
      <c r="Q80" s="147"/>
      <c r="R80" s="550">
        <f>SUM(E80:Q80)</f>
        <v>450000</v>
      </c>
      <c r="S80" s="147">
        <f>30000+25000</f>
        <v>55000</v>
      </c>
      <c r="T80" s="147"/>
      <c r="U80" s="143"/>
    </row>
    <row r="81" spans="1:21" s="144" customFormat="1">
      <c r="A81" s="149" t="s">
        <v>1316</v>
      </c>
      <c r="B81" s="146">
        <f>SUM(C81:D81)</f>
        <v>2149503</v>
      </c>
      <c r="C81" s="543">
        <f>SUM(C79:C80)</f>
        <v>2149503</v>
      </c>
      <c r="D81" s="543">
        <f t="shared" ref="D81:T81" si="19">SUM(D79:D80)</f>
        <v>0</v>
      </c>
      <c r="E81" s="543">
        <f t="shared" si="19"/>
        <v>2149503</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2149503</v>
      </c>
      <c r="S81" s="543">
        <f t="shared" si="19"/>
        <v>1754503</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155319</v>
      </c>
      <c r="C83" s="1014">
        <f>112000+2000+41319</f>
        <v>155319</v>
      </c>
      <c r="D83" s="147"/>
      <c r="E83" s="147">
        <f>C83</f>
        <v>155319</v>
      </c>
      <c r="F83" s="147"/>
      <c r="G83" s="147"/>
      <c r="H83" s="147"/>
      <c r="I83" s="147"/>
      <c r="J83" s="147"/>
      <c r="K83" s="147"/>
      <c r="L83" s="147"/>
      <c r="M83" s="147"/>
      <c r="N83" s="147"/>
      <c r="O83" s="147"/>
      <c r="P83" s="147"/>
      <c r="Q83" s="147"/>
      <c r="R83" s="550">
        <f t="shared" ref="R83:R95" si="21">SUM(E83:Q83)</f>
        <v>155319</v>
      </c>
      <c r="S83" s="148"/>
      <c r="T83" s="148"/>
      <c r="U83" s="143"/>
    </row>
    <row r="84" spans="1:21" s="144" customFormat="1">
      <c r="A84" s="145" t="s">
        <v>777</v>
      </c>
      <c r="B84" s="146">
        <f t="shared" si="20"/>
        <v>35190</v>
      </c>
      <c r="C84" s="147">
        <v>35190</v>
      </c>
      <c r="D84" s="147"/>
      <c r="E84" s="147">
        <f>C84</f>
        <v>35190</v>
      </c>
      <c r="F84" s="147"/>
      <c r="G84" s="147"/>
      <c r="H84" s="147"/>
      <c r="I84" s="147"/>
      <c r="J84" s="147"/>
      <c r="K84" s="147"/>
      <c r="L84" s="147"/>
      <c r="M84" s="147"/>
      <c r="N84" s="147"/>
      <c r="O84" s="147"/>
      <c r="P84" s="147"/>
      <c r="Q84" s="147"/>
      <c r="R84" s="550">
        <f t="shared" si="21"/>
        <v>35190</v>
      </c>
      <c r="S84" s="147">
        <f>R84</f>
        <v>35190</v>
      </c>
      <c r="T84" s="147"/>
      <c r="U84" s="143"/>
    </row>
    <row r="85" spans="1:21" s="144" customFormat="1">
      <c r="A85" s="145" t="s">
        <v>778</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779</v>
      </c>
      <c r="B86" s="146">
        <f t="shared" si="20"/>
        <v>80000</v>
      </c>
      <c r="C86" s="147">
        <v>80000</v>
      </c>
      <c r="D86" s="147"/>
      <c r="E86" s="147">
        <f>C86</f>
        <v>80000</v>
      </c>
      <c r="F86" s="147"/>
      <c r="G86" s="147"/>
      <c r="H86" s="147"/>
      <c r="I86" s="147"/>
      <c r="J86" s="147"/>
      <c r="K86" s="147"/>
      <c r="L86" s="147"/>
      <c r="M86" s="147"/>
      <c r="N86" s="147"/>
      <c r="O86" s="147"/>
      <c r="P86" s="147"/>
      <c r="Q86" s="147"/>
      <c r="R86" s="550">
        <f t="shared" si="21"/>
        <v>80000</v>
      </c>
      <c r="S86" s="147">
        <f>R86</f>
        <v>80000</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782</v>
      </c>
      <c r="B89" s="146">
        <f t="shared" si="20"/>
        <v>200000</v>
      </c>
      <c r="C89" s="147">
        <f>200000</f>
        <v>200000</v>
      </c>
      <c r="D89" s="147"/>
      <c r="E89" s="147">
        <f>C89</f>
        <v>200000</v>
      </c>
      <c r="F89" s="147"/>
      <c r="G89" s="147"/>
      <c r="H89" s="147"/>
      <c r="I89" s="147"/>
      <c r="J89" s="147"/>
      <c r="K89" s="147"/>
      <c r="L89" s="147"/>
      <c r="M89" s="147"/>
      <c r="N89" s="147"/>
      <c r="O89" s="147"/>
      <c r="P89" s="147"/>
      <c r="Q89" s="147"/>
      <c r="R89" s="550">
        <f t="shared" si="21"/>
        <v>200000</v>
      </c>
      <c r="S89" s="147">
        <v>200000</v>
      </c>
      <c r="T89" s="147"/>
      <c r="U89" s="143"/>
    </row>
    <row r="90" spans="1:21" s="144" customFormat="1">
      <c r="A90" s="145" t="s">
        <v>783</v>
      </c>
      <c r="B90" s="146">
        <f t="shared" si="20"/>
        <v>12500</v>
      </c>
      <c r="C90" s="147">
        <f>12500</f>
        <v>12500</v>
      </c>
      <c r="D90" s="147"/>
      <c r="E90" s="147">
        <f>C90</f>
        <v>12500</v>
      </c>
      <c r="F90" s="147"/>
      <c r="G90" s="147"/>
      <c r="H90" s="147"/>
      <c r="I90" s="147"/>
      <c r="J90" s="147"/>
      <c r="K90" s="147"/>
      <c r="L90" s="147"/>
      <c r="M90" s="147"/>
      <c r="N90" s="147"/>
      <c r="O90" s="147"/>
      <c r="P90" s="147"/>
      <c r="Q90" s="147"/>
      <c r="R90" s="550">
        <f t="shared" si="21"/>
        <v>12500</v>
      </c>
      <c r="S90" s="147">
        <f>R90</f>
        <v>12500</v>
      </c>
      <c r="T90" s="147"/>
      <c r="U90" s="143"/>
    </row>
    <row r="91" spans="1:21" s="144" customFormat="1">
      <c r="A91" s="145" t="s">
        <v>373</v>
      </c>
      <c r="B91" s="146">
        <f t="shared" si="20"/>
        <v>40000</v>
      </c>
      <c r="C91" s="147">
        <v>40000</v>
      </c>
      <c r="D91" s="147"/>
      <c r="E91" s="147">
        <f>C91</f>
        <v>40000</v>
      </c>
      <c r="F91" s="147"/>
      <c r="G91" s="147"/>
      <c r="H91" s="147"/>
      <c r="I91" s="147"/>
      <c r="J91" s="147"/>
      <c r="K91" s="147"/>
      <c r="L91" s="147"/>
      <c r="M91" s="147"/>
      <c r="N91" s="147"/>
      <c r="O91" s="147"/>
      <c r="P91" s="147"/>
      <c r="Q91" s="147"/>
      <c r="R91" s="550">
        <f t="shared" si="21"/>
        <v>40000</v>
      </c>
      <c r="S91" s="147">
        <f>R91</f>
        <v>40000</v>
      </c>
      <c r="T91" s="147"/>
      <c r="U91" s="143"/>
    </row>
    <row r="92" spans="1:21" s="144" customFormat="1">
      <c r="A92" s="304" t="s">
        <v>1318</v>
      </c>
      <c r="B92" s="146">
        <f t="shared" si="20"/>
        <v>0</v>
      </c>
      <c r="C92" s="147"/>
      <c r="D92" s="147"/>
      <c r="E92" s="147"/>
      <c r="F92" s="147"/>
      <c r="G92" s="147"/>
      <c r="H92" s="147"/>
      <c r="I92" s="147"/>
      <c r="J92" s="147"/>
      <c r="K92" s="147"/>
      <c r="L92" s="147"/>
      <c r="M92" s="147"/>
      <c r="N92" s="147"/>
      <c r="O92" s="147"/>
      <c r="P92" s="147"/>
      <c r="Q92" s="147"/>
      <c r="R92" s="550">
        <f t="shared" si="21"/>
        <v>0</v>
      </c>
      <c r="S92" s="147"/>
      <c r="T92" s="147"/>
      <c r="U92" s="143"/>
    </row>
    <row r="93" spans="1:21" s="144" customFormat="1">
      <c r="A93" s="1193" t="s">
        <v>2700</v>
      </c>
      <c r="B93" s="146">
        <f t="shared" si="20"/>
        <v>500000</v>
      </c>
      <c r="C93" s="147">
        <v>500000</v>
      </c>
      <c r="D93" s="147"/>
      <c r="E93" s="147">
        <f>500000-F93</f>
        <v>269849</v>
      </c>
      <c r="F93" s="147">
        <v>230151</v>
      </c>
      <c r="G93" s="147"/>
      <c r="H93" s="147"/>
      <c r="I93" s="147"/>
      <c r="J93" s="147"/>
      <c r="K93" s="147"/>
      <c r="L93" s="147"/>
      <c r="M93" s="147"/>
      <c r="N93" s="147"/>
      <c r="O93" s="147"/>
      <c r="P93" s="147"/>
      <c r="Q93" s="147"/>
      <c r="R93" s="550">
        <f t="shared" si="21"/>
        <v>500000</v>
      </c>
      <c r="S93" s="147"/>
      <c r="T93" s="147"/>
      <c r="U93" s="143"/>
    </row>
    <row r="94" spans="1:21" s="144" customFormat="1" ht="24">
      <c r="A94" s="1193" t="s">
        <v>2701</v>
      </c>
      <c r="B94" s="146">
        <f t="shared" si="20"/>
        <v>251179</v>
      </c>
      <c r="C94" s="147">
        <v>251179</v>
      </c>
      <c r="D94" s="147"/>
      <c r="E94" s="147"/>
      <c r="F94" s="147"/>
      <c r="G94" s="147">
        <v>3998</v>
      </c>
      <c r="H94" s="147">
        <f>251179-G94</f>
        <v>247181</v>
      </c>
      <c r="I94" s="147"/>
      <c r="J94" s="147"/>
      <c r="K94" s="147"/>
      <c r="L94" s="147"/>
      <c r="M94" s="147"/>
      <c r="N94" s="147"/>
      <c r="O94" s="147"/>
      <c r="P94" s="147"/>
      <c r="Q94" s="147"/>
      <c r="R94" s="550">
        <f t="shared" si="21"/>
        <v>251179</v>
      </c>
      <c r="S94" s="147"/>
      <c r="T94" s="147"/>
      <c r="U94" s="143"/>
    </row>
    <row r="95" spans="1:21" s="144" customFormat="1">
      <c r="A95" s="1193" t="s">
        <v>2703</v>
      </c>
      <c r="B95" s="146">
        <f t="shared" si="20"/>
        <v>0</v>
      </c>
      <c r="C95" s="147"/>
      <c r="D95" s="147"/>
      <c r="E95" s="147">
        <f>C95</f>
        <v>0</v>
      </c>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1274188</v>
      </c>
      <c r="C96" s="146">
        <f t="shared" ref="C96:R96" si="22">SUM(C83:C95)</f>
        <v>1274188</v>
      </c>
      <c r="D96" s="146">
        <f t="shared" si="22"/>
        <v>0</v>
      </c>
      <c r="E96" s="146">
        <f t="shared" si="22"/>
        <v>792858</v>
      </c>
      <c r="F96" s="146">
        <f t="shared" si="22"/>
        <v>230151</v>
      </c>
      <c r="G96" s="146">
        <f t="shared" si="22"/>
        <v>3998</v>
      </c>
      <c r="H96" s="146">
        <f t="shared" si="22"/>
        <v>247181</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1274188</v>
      </c>
      <c r="S96" s="150">
        <f>SUM(S84:S87,S89:S95)</f>
        <v>367690</v>
      </c>
      <c r="T96" s="146">
        <f>SUM(T84:T87,T89:T95)</f>
        <v>0</v>
      </c>
      <c r="U96" s="143"/>
    </row>
    <row r="97" spans="1:21" s="144" customFormat="1">
      <c r="A97" s="149" t="s">
        <v>785</v>
      </c>
      <c r="B97" s="146">
        <f>SUM(C97:D97)</f>
        <v>106144983</v>
      </c>
      <c r="C97" s="146">
        <f t="shared" ref="C97:R97" si="23">SUM(C63+C70+C77+C81+C96)</f>
        <v>106144983</v>
      </c>
      <c r="D97" s="146">
        <f t="shared" si="23"/>
        <v>0</v>
      </c>
      <c r="E97" s="146">
        <f t="shared" si="23"/>
        <v>35794983</v>
      </c>
      <c r="F97" s="146">
        <f t="shared" si="23"/>
        <v>48003469</v>
      </c>
      <c r="G97" s="146">
        <f t="shared" si="23"/>
        <v>12346531</v>
      </c>
      <c r="H97" s="146">
        <f t="shared" si="23"/>
        <v>10000000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106144983</v>
      </c>
      <c r="S97" s="146">
        <f>SUM(S63+S70+S81+S96)</f>
        <v>21967710</v>
      </c>
      <c r="T97" s="146">
        <f>SUM(T63+T70+T81+T96)</f>
        <v>61266575</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12485143</v>
      </c>
      <c r="C99" s="1014">
        <v>12485143</v>
      </c>
      <c r="D99" s="1014"/>
      <c r="E99" s="1014">
        <f>C99-J99-I99</f>
        <v>971853</v>
      </c>
      <c r="F99" s="147"/>
      <c r="G99" s="147"/>
      <c r="H99" s="147"/>
      <c r="I99" s="147">
        <f>3196604+219259</f>
        <v>3415863</v>
      </c>
      <c r="J99" s="147">
        <f>8319715-222288</f>
        <v>8097427</v>
      </c>
      <c r="K99" s="147"/>
      <c r="L99" s="147"/>
      <c r="M99" s="147"/>
      <c r="N99" s="147"/>
      <c r="O99" s="147"/>
      <c r="P99" s="147"/>
      <c r="Q99" s="147"/>
      <c r="R99" s="550">
        <f>SUM(E99:Q99)</f>
        <v>12485143</v>
      </c>
      <c r="S99" s="147">
        <v>3295157</v>
      </c>
      <c r="T99" s="147">
        <v>9189986</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12485143</v>
      </c>
      <c r="C104" s="146">
        <f>SUM(C99:C103)</f>
        <v>12485143</v>
      </c>
      <c r="D104" s="146">
        <f t="shared" ref="D104:T104" si="24">SUM(D99:D103)</f>
        <v>0</v>
      </c>
      <c r="E104" s="146">
        <f t="shared" si="24"/>
        <v>971853</v>
      </c>
      <c r="F104" s="146">
        <f t="shared" si="24"/>
        <v>0</v>
      </c>
      <c r="G104" s="146">
        <f t="shared" si="24"/>
        <v>0</v>
      </c>
      <c r="H104" s="146">
        <f t="shared" si="24"/>
        <v>0</v>
      </c>
      <c r="I104" s="146">
        <f t="shared" si="24"/>
        <v>3415863</v>
      </c>
      <c r="J104" s="146">
        <f t="shared" si="24"/>
        <v>8097427</v>
      </c>
      <c r="K104" s="146">
        <f t="shared" si="24"/>
        <v>0</v>
      </c>
      <c r="L104" s="146">
        <f t="shared" si="24"/>
        <v>0</v>
      </c>
      <c r="M104" s="146">
        <f t="shared" si="24"/>
        <v>0</v>
      </c>
      <c r="N104" s="146">
        <f t="shared" si="24"/>
        <v>0</v>
      </c>
      <c r="O104" s="146">
        <f t="shared" si="24"/>
        <v>0</v>
      </c>
      <c r="P104" s="146">
        <f t="shared" si="24"/>
        <v>0</v>
      </c>
      <c r="Q104" s="146">
        <f t="shared" si="24"/>
        <v>0</v>
      </c>
      <c r="R104" s="370">
        <f t="shared" si="24"/>
        <v>12485143</v>
      </c>
      <c r="S104" s="150">
        <f t="shared" si="24"/>
        <v>3295157</v>
      </c>
      <c r="T104" s="150">
        <f t="shared" si="24"/>
        <v>9189986</v>
      </c>
      <c r="U104" s="143"/>
    </row>
    <row r="105" spans="1:21" s="144" customFormat="1">
      <c r="A105" s="149" t="s">
        <v>790</v>
      </c>
      <c r="B105" s="150">
        <f>SUM(C105:D105)</f>
        <v>118630126</v>
      </c>
      <c r="C105" s="150">
        <f t="shared" ref="C105:R105" si="25">SUM(C97+C104)</f>
        <v>118630126</v>
      </c>
      <c r="D105" s="150">
        <f t="shared" si="25"/>
        <v>0</v>
      </c>
      <c r="E105" s="150">
        <f t="shared" si="25"/>
        <v>36766836</v>
      </c>
      <c r="F105" s="150">
        <f t="shared" si="25"/>
        <v>48003469</v>
      </c>
      <c r="G105" s="150">
        <f t="shared" si="25"/>
        <v>12346531</v>
      </c>
      <c r="H105" s="150">
        <f t="shared" si="25"/>
        <v>10000000</v>
      </c>
      <c r="I105" s="150">
        <f t="shared" si="25"/>
        <v>3415863</v>
      </c>
      <c r="J105" s="150">
        <f t="shared" si="25"/>
        <v>8097427</v>
      </c>
      <c r="K105" s="150">
        <f t="shared" si="25"/>
        <v>0</v>
      </c>
      <c r="L105" s="150">
        <f t="shared" si="25"/>
        <v>0</v>
      </c>
      <c r="M105" s="150">
        <f t="shared" si="25"/>
        <v>0</v>
      </c>
      <c r="N105" s="150">
        <f t="shared" si="25"/>
        <v>0</v>
      </c>
      <c r="O105" s="150">
        <f t="shared" si="25"/>
        <v>0</v>
      </c>
      <c r="P105" s="150">
        <f t="shared" si="25"/>
        <v>0</v>
      </c>
      <c r="Q105" s="150">
        <f t="shared" si="25"/>
        <v>0</v>
      </c>
      <c r="R105" s="370">
        <f t="shared" si="25"/>
        <v>118630126</v>
      </c>
      <c r="S105" s="150">
        <f>S97+S104</f>
        <v>25262867</v>
      </c>
      <c r="T105" s="150">
        <f>T97+T104</f>
        <v>70456561</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25262867</v>
      </c>
      <c r="T107" s="150">
        <f>T105+T106</f>
        <v>70456561</v>
      </c>
    </row>
    <row r="108" spans="1:21" s="201" customFormat="1">
      <c r="A108" s="162" t="s">
        <v>892</v>
      </c>
      <c r="B108" s="157"/>
      <c r="C108" s="157"/>
      <c r="D108" s="157"/>
      <c r="E108" s="323">
        <f>Application!AO640</f>
        <v>36766836</v>
      </c>
      <c r="F108" s="323">
        <f>Application!AO627</f>
        <v>48003469</v>
      </c>
      <c r="G108" s="323">
        <f>Application!AO628</f>
        <v>12346531</v>
      </c>
      <c r="H108" s="323">
        <f>Application!AO629</f>
        <v>10000000</v>
      </c>
      <c r="I108" s="323">
        <f>Application!AO630</f>
        <v>3415863</v>
      </c>
      <c r="J108" s="323">
        <f>Application!AO631</f>
        <v>8097427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6" t="s">
        <v>1015</v>
      </c>
      <c r="E122" s="1886"/>
      <c r="F122" s="1886"/>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8" t="s">
        <v>1332</v>
      </c>
      <c r="E123" s="1819"/>
      <c r="F123" s="1819"/>
      <c r="G123" s="1819"/>
      <c r="H123" s="1819"/>
      <c r="I123" s="1819"/>
      <c r="J123" s="1819"/>
      <c r="K123" s="1819"/>
      <c r="L123" s="1819"/>
      <c r="M123" s="1819"/>
      <c r="N123" s="1819"/>
      <c r="O123" s="1819"/>
      <c r="P123" s="1819"/>
      <c r="Q123" s="1819"/>
      <c r="R123" s="1819"/>
      <c r="S123" s="1819"/>
      <c r="T123" s="352"/>
      <c r="U123" s="354"/>
    </row>
    <row r="124" spans="1:21" ht="12.75">
      <c r="A124" s="117" t="s">
        <v>1017</v>
      </c>
      <c r="B124" s="361"/>
      <c r="C124" s="117"/>
      <c r="D124" s="1819"/>
      <c r="E124" s="1819"/>
      <c r="F124" s="1819"/>
      <c r="G124" s="1819"/>
      <c r="H124" s="1819"/>
      <c r="I124" s="1819"/>
      <c r="J124" s="1819"/>
      <c r="K124" s="1819"/>
      <c r="L124" s="1819"/>
      <c r="M124" s="1819"/>
      <c r="N124" s="1819"/>
      <c r="O124" s="1819"/>
      <c r="P124" s="1819"/>
      <c r="Q124" s="1819"/>
      <c r="R124" s="1819"/>
      <c r="S124" s="1819"/>
      <c r="T124" s="352"/>
      <c r="U124" s="354"/>
    </row>
    <row r="125" spans="1:21" ht="12.75">
      <c r="A125" s="117" t="s">
        <v>1018</v>
      </c>
      <c r="B125" s="361"/>
      <c r="C125" s="117"/>
      <c r="D125" s="1819"/>
      <c r="E125" s="1819"/>
      <c r="F125" s="1819"/>
      <c r="G125" s="1819"/>
      <c r="H125" s="1819"/>
      <c r="I125" s="1819"/>
      <c r="J125" s="1819"/>
      <c r="K125" s="1819"/>
      <c r="L125" s="1819"/>
      <c r="M125" s="1819"/>
      <c r="N125" s="1819"/>
      <c r="O125" s="1819"/>
      <c r="P125" s="1819"/>
      <c r="Q125" s="1819"/>
      <c r="R125" s="1819"/>
      <c r="S125" s="1819"/>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83"/>
      <c r="E128" s="1883"/>
      <c r="F128" s="1883"/>
      <c r="G128" s="1883"/>
      <c r="H128" s="1883"/>
      <c r="I128" s="117"/>
      <c r="J128" s="1884"/>
      <c r="K128" s="1884"/>
      <c r="L128" s="117"/>
      <c r="M128" s="117"/>
      <c r="N128" s="117"/>
      <c r="O128" s="117"/>
      <c r="P128" s="117"/>
      <c r="Q128" s="117"/>
      <c r="R128" s="117"/>
      <c r="S128" s="117"/>
      <c r="T128" s="352"/>
      <c r="U128" s="354"/>
    </row>
    <row r="129" spans="1:21" ht="12.75">
      <c r="A129" s="117" t="s">
        <v>301</v>
      </c>
      <c r="B129" s="361"/>
      <c r="C129" s="117"/>
      <c r="D129" s="1885" t="s">
        <v>1022</v>
      </c>
      <c r="E129" s="1885"/>
      <c r="F129" s="1885"/>
      <c r="G129" s="1885"/>
      <c r="H129" s="1885"/>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9" t="s">
        <v>1025</v>
      </c>
      <c r="E132" s="1889"/>
      <c r="F132" s="1889"/>
      <c r="G132" s="1889"/>
      <c r="H132" s="1889"/>
      <c r="I132" s="117"/>
      <c r="J132" s="1889" t="s">
        <v>1026</v>
      </c>
      <c r="K132" s="1889"/>
      <c r="L132" s="1889"/>
      <c r="M132" s="1889"/>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0"/>
      <c r="B138" s="1883"/>
      <c r="C138" s="1883"/>
      <c r="D138" s="356"/>
      <c r="E138" s="1884"/>
      <c r="F138" s="1884"/>
      <c r="G138" s="117"/>
      <c r="H138" s="117"/>
      <c r="I138" s="117"/>
      <c r="J138" s="117"/>
      <c r="K138" s="117"/>
      <c r="L138" s="117"/>
      <c r="M138" s="117"/>
      <c r="N138" s="117"/>
      <c r="O138" s="117"/>
      <c r="P138" s="117"/>
      <c r="Q138" s="117"/>
      <c r="R138" s="117"/>
      <c r="S138" s="117"/>
      <c r="T138" s="358"/>
      <c r="U138" s="359"/>
    </row>
    <row r="139" spans="1:21" ht="12.75">
      <c r="A139" s="1887" t="s">
        <v>1029</v>
      </c>
      <c r="B139" s="1887"/>
      <c r="C139" s="1887"/>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3">
    <cfRule type="expression" dxfId="61" priority="6">
      <formula>AND(B53&gt;0,OR(A53="",A53="Other: (Specify)"))</formula>
    </cfRule>
  </conditionalFormatting>
  <conditionalFormatting sqref="A61">
    <cfRule type="expression" dxfId="60" priority="5">
      <formula>AND(B61&gt;0,OR(A61="",A61="Other: (Specify)"))</formula>
    </cfRule>
  </conditionalFormatting>
  <conditionalFormatting sqref="A69">
    <cfRule type="expression" dxfId="59" priority="4">
      <formula>AND(B69&gt;0,OR(A69="",A69="Other: (Specify)"))</formula>
    </cfRule>
  </conditionalFormatting>
  <conditionalFormatting sqref="A76">
    <cfRule type="expression" dxfId="58" priority="3">
      <formula>AND(B76&gt;0,OR(A76="",A76="Other: (Specify)"))</formula>
    </cfRule>
  </conditionalFormatting>
  <conditionalFormatting sqref="A93:A95">
    <cfRule type="expression" dxfId="57" priority="2">
      <formula>AND(B93&gt;0,OR(A93="",A93="Other: (Specify)"))</formula>
    </cfRule>
  </conditionalFormatting>
  <conditionalFormatting sqref="A103">
    <cfRule type="expression" dxfId="56" priority="1">
      <formula>AND(B103&gt;0,OR(A103="",A103="Other: (Specify)"))</formula>
    </cfRule>
  </conditionalFormatting>
  <conditionalFormatting sqref="C10">
    <cfRule type="expression" dxfId="55" priority="85">
      <formula>"(S10+T10)&gt;C10 "</formula>
    </cfRule>
  </conditionalFormatting>
  <conditionalFormatting sqref="E105:Q105">
    <cfRule type="cellIs" dxfId="54" priority="208" stopIfTrue="1" operator="notEqual">
      <formula>E$108</formula>
    </cfRule>
  </conditionalFormatting>
  <conditionalFormatting sqref="R4:R15">
    <cfRule type="cellIs" dxfId="5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5" priority="213" stopIfTrue="1" operator="notEqual">
      <formula>$B79</formula>
    </cfRule>
  </conditionalFormatting>
  <conditionalFormatting sqref="R83:R96">
    <cfRule type="cellIs" dxfId="4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3" priority="210" stopIfTrue="1" operator="notEqual">
      <formula>$B99</formula>
    </cfRule>
  </conditionalFormatting>
  <conditionalFormatting sqref="R104:R105">
    <cfRule type="cellIs" priority="211" stopIfTrue="1" operator="notEqual">
      <formula>$B104</formula>
    </cfRule>
  </conditionalFormatting>
  <conditionalFormatting sqref="S10 S65:S69">
    <cfRule type="expression" dxfId="42" priority="253" stopIfTrue="1">
      <formula>(S10+T10)&gt;C10</formula>
    </cfRule>
  </conditionalFormatting>
  <conditionalFormatting sqref="S13:S14">
    <cfRule type="expression" dxfId="41" priority="202" stopIfTrue="1">
      <formula>(S13+T13)&gt;C13</formula>
    </cfRule>
  </conditionalFormatting>
  <conditionalFormatting sqref="S17:S25">
    <cfRule type="expression" dxfId="40" priority="186" stopIfTrue="1">
      <formula>(S17+T17)&gt;C17</formula>
    </cfRule>
  </conditionalFormatting>
  <conditionalFormatting sqref="S27">
    <cfRule type="expression" dxfId="39" priority="179" stopIfTrue="1">
      <formula>(S27+T27)&gt;C27</formula>
    </cfRule>
  </conditionalFormatting>
  <conditionalFormatting sqref="S29:S37">
    <cfRule type="expression" dxfId="38" priority="169" stopIfTrue="1">
      <formula>(S29+T29)&gt;C29</formula>
    </cfRule>
  </conditionalFormatting>
  <conditionalFormatting sqref="S40:S41">
    <cfRule type="expression" dxfId="37" priority="160" stopIfTrue="1">
      <formula>(S40+T40)&gt;C40</formula>
    </cfRule>
  </conditionalFormatting>
  <conditionalFormatting sqref="S43">
    <cfRule type="expression" dxfId="36" priority="157" stopIfTrue="1">
      <formula>(S43+T43)&gt;C43</formula>
    </cfRule>
  </conditionalFormatting>
  <conditionalFormatting sqref="S45:S53">
    <cfRule type="expression" dxfId="35" priority="142" stopIfTrue="1">
      <formula>(S45+T45)&gt;C45</formula>
    </cfRule>
  </conditionalFormatting>
  <conditionalFormatting sqref="S79:S80">
    <cfRule type="expression" dxfId="34" priority="127" stopIfTrue="1">
      <formula>(S79+T79)&gt;C79</formula>
    </cfRule>
  </conditionalFormatting>
  <conditionalFormatting sqref="S84:S87">
    <cfRule type="expression" dxfId="33" priority="121" stopIfTrue="1">
      <formula>(S84+T84)&gt;C84</formula>
    </cfRule>
  </conditionalFormatting>
  <conditionalFormatting sqref="S89:S95">
    <cfRule type="expression" dxfId="32" priority="110" stopIfTrue="1">
      <formula>(S89+T89)&gt;C89</formula>
    </cfRule>
  </conditionalFormatting>
  <conditionalFormatting sqref="S99:S103">
    <cfRule type="expression" dxfId="31" priority="93" stopIfTrue="1">
      <formula>(S99+T99)&gt;C99</formula>
    </cfRule>
  </conditionalFormatting>
  <conditionalFormatting sqref="T9">
    <cfRule type="expression" dxfId="30" priority="254" stopIfTrue="1">
      <formula>T9&gt;C9</formula>
    </cfRule>
  </conditionalFormatting>
  <conditionalFormatting sqref="T10 T65:T69">
    <cfRule type="expression" dxfId="29" priority="83" stopIfTrue="1">
      <formula>(S10+T10)&gt;C10</formula>
    </cfRule>
  </conditionalFormatting>
  <conditionalFormatting sqref="T13:T14">
    <cfRule type="expression" dxfId="28" priority="80" stopIfTrue="1">
      <formula>(S13+T13)&gt;C13</formula>
    </cfRule>
  </conditionalFormatting>
  <conditionalFormatting sqref="T17:T25">
    <cfRule type="expression" dxfId="27" priority="56" stopIfTrue="1">
      <formula>(S17+T17)&gt;C17</formula>
    </cfRule>
  </conditionalFormatting>
  <conditionalFormatting sqref="T27">
    <cfRule type="expression" dxfId="26" priority="54" stopIfTrue="1">
      <formula>(S27+T27)&gt;C27</formula>
    </cfRule>
  </conditionalFormatting>
  <conditionalFormatting sqref="T29:T37">
    <cfRule type="expression" dxfId="25" priority="45" stopIfTrue="1">
      <formula>(S29+T29)&gt;C29</formula>
    </cfRule>
  </conditionalFormatting>
  <conditionalFormatting sqref="T40:T41">
    <cfRule type="expression" dxfId="24" priority="43" stopIfTrue="1">
      <formula>(S40+T40)&gt;C40</formula>
    </cfRule>
  </conditionalFormatting>
  <conditionalFormatting sqref="T43">
    <cfRule type="expression" dxfId="23" priority="42" stopIfTrue="1">
      <formula>(S43+T43)&gt;C43</formula>
    </cfRule>
  </conditionalFormatting>
  <conditionalFormatting sqref="T45:T53">
    <cfRule type="expression" dxfId="22" priority="32" stopIfTrue="1">
      <formula>(S45+T45)&gt;C45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69" workbookViewId="0">
      <selection activeCell="J112" sqref="J112"/>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93" t="s">
        <v>1335</v>
      </c>
      <c r="B1" s="1894"/>
      <c r="C1" s="1894"/>
      <c r="D1" s="1894"/>
      <c r="E1" s="1894"/>
      <c r="F1" s="1894"/>
      <c r="G1" s="1894"/>
      <c r="H1" s="1894"/>
      <c r="I1" s="1894"/>
      <c r="J1" s="1895"/>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9741425</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9741425</v>
      </c>
      <c r="C8" s="392">
        <f>SUM(C4:C7)</f>
        <v>0</v>
      </c>
      <c r="D8" s="392">
        <f>SUM(D4:D7)</f>
        <v>0</v>
      </c>
      <c r="E8" s="394"/>
      <c r="F8" s="394"/>
      <c r="G8" s="394"/>
      <c r="H8" s="394"/>
      <c r="I8" s="394"/>
      <c r="J8" s="394"/>
      <c r="K8" s="390"/>
    </row>
    <row r="9" spans="1:11" s="391" customFormat="1">
      <c r="A9" s="395" t="s">
        <v>603</v>
      </c>
      <c r="B9" s="392">
        <f>'Sources and Uses Budget'!C9</f>
        <v>61258575</v>
      </c>
      <c r="C9" s="393"/>
      <c r="D9" s="393"/>
      <c r="E9" s="394"/>
      <c r="F9" s="394"/>
      <c r="G9" s="394"/>
      <c r="H9" s="392">
        <f>'Sources and Uses Budget'!T9</f>
        <v>61258575</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61258575</v>
      </c>
      <c r="C11" s="392">
        <f>SUM(C9:C10)</f>
        <v>0</v>
      </c>
      <c r="D11" s="392">
        <f>SUM(D9:D10)</f>
        <v>0</v>
      </c>
      <c r="E11" s="394"/>
      <c r="F11" s="394"/>
      <c r="G11" s="394"/>
      <c r="H11" s="392">
        <f>'Sources and Uses Budget'!T11</f>
        <v>61258575</v>
      </c>
      <c r="I11" s="392">
        <f>SUM(I9:I10)</f>
        <v>0</v>
      </c>
      <c r="J11" s="392">
        <f>SUM(J9:J10)</f>
        <v>0</v>
      </c>
      <c r="K11" s="390"/>
    </row>
    <row r="12" spans="1:11" s="391" customFormat="1">
      <c r="A12" s="396" t="s">
        <v>84</v>
      </c>
      <c r="B12" s="392">
        <f>'Sources and Uses Budget'!C12</f>
        <v>71000000</v>
      </c>
      <c r="C12" s="392">
        <f>SUM(C8+C11)</f>
        <v>0</v>
      </c>
      <c r="D12" s="392">
        <f>SUM(D8+D11)</f>
        <v>0</v>
      </c>
      <c r="E12" s="394"/>
      <c r="F12" s="394"/>
      <c r="G12" s="394"/>
      <c r="H12" s="394"/>
      <c r="I12" s="394"/>
      <c r="J12" s="394"/>
      <c r="K12" s="390"/>
    </row>
    <row r="13" spans="1:11" s="391" customFormat="1">
      <c r="A13" s="397" t="s">
        <v>918</v>
      </c>
      <c r="B13" s="392">
        <f>'Sources and Uses Budget'!C13</f>
        <v>2411883</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14509545</v>
      </c>
      <c r="C18" s="393"/>
      <c r="D18" s="393"/>
      <c r="E18" s="392">
        <f>'Sources and Uses Budget'!S18</f>
        <v>14509545</v>
      </c>
      <c r="F18" s="393"/>
      <c r="G18" s="393"/>
      <c r="H18" s="392">
        <f>'Sources and Uses Budget'!T18</f>
        <v>0</v>
      </c>
      <c r="I18" s="393"/>
      <c r="J18" s="393"/>
      <c r="K18" s="390"/>
    </row>
    <row r="19" spans="1:11" s="391" customFormat="1">
      <c r="A19" s="395" t="s">
        <v>609</v>
      </c>
      <c r="B19" s="392">
        <f>'Sources and Uses Budget'!C19</f>
        <v>870573</v>
      </c>
      <c r="C19" s="393"/>
      <c r="D19" s="393"/>
      <c r="E19" s="392">
        <f>'Sources and Uses Budget'!S19</f>
        <v>870573</v>
      </c>
      <c r="F19" s="393"/>
      <c r="G19" s="393"/>
      <c r="H19" s="392">
        <f>'Sources and Uses Budget'!T19</f>
        <v>0</v>
      </c>
      <c r="I19" s="393"/>
      <c r="J19" s="393"/>
      <c r="K19" s="390"/>
    </row>
    <row r="20" spans="1:11" s="391" customFormat="1">
      <c r="A20" s="395" t="s">
        <v>137</v>
      </c>
      <c r="B20" s="392">
        <f>'Sources and Uses Budget'!C20</f>
        <v>307602</v>
      </c>
      <c r="C20" s="393"/>
      <c r="D20" s="393"/>
      <c r="E20" s="392">
        <f>'Sources and Uses Budget'!S20</f>
        <v>307602</v>
      </c>
      <c r="F20" s="393"/>
      <c r="G20" s="393"/>
      <c r="H20" s="392">
        <f>'Sources and Uses Budget'!T20</f>
        <v>0</v>
      </c>
      <c r="I20" s="393"/>
      <c r="J20" s="393"/>
      <c r="K20" s="390"/>
    </row>
    <row r="21" spans="1:11" s="391" customFormat="1">
      <c r="A21" s="395" t="s">
        <v>138</v>
      </c>
      <c r="B21" s="392">
        <f>'Sources and Uses Budget'!C21</f>
        <v>922807</v>
      </c>
      <c r="C21" s="393"/>
      <c r="D21" s="393"/>
      <c r="E21" s="392">
        <f>'Sources and Uses Budget'!S21</f>
        <v>922807</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176871</v>
      </c>
      <c r="C23" s="393"/>
      <c r="D23" s="393"/>
      <c r="E23" s="392">
        <f>'Sources and Uses Budget'!S23</f>
        <v>176871</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(Performance Bond - GC)</v>
      </c>
      <c r="B25" s="392">
        <f>'Sources and Uses Budget'!C25</f>
        <v>207632</v>
      </c>
      <c r="C25" s="393"/>
      <c r="D25" s="393"/>
      <c r="E25" s="392">
        <f>'Sources and Uses Budget'!S25</f>
        <v>207632</v>
      </c>
      <c r="F25" s="393"/>
      <c r="G25" s="393"/>
      <c r="H25" s="392">
        <f>'Sources and Uses Budget'!T25</f>
        <v>0</v>
      </c>
      <c r="I25" s="393"/>
      <c r="J25" s="393"/>
      <c r="K25" s="390"/>
    </row>
    <row r="26" spans="1:11" s="391" customFormat="1">
      <c r="A26" s="396" t="s">
        <v>133</v>
      </c>
      <c r="B26" s="392">
        <f>'Sources and Uses Budget'!C26</f>
        <v>16995030</v>
      </c>
      <c r="C26" s="392">
        <f>SUM(C17:C25)</f>
        <v>0</v>
      </c>
      <c r="D26" s="392">
        <f>SUM(D17:D25)</f>
        <v>0</v>
      </c>
      <c r="E26" s="392">
        <f>'Sources and Uses Budget'!S26</f>
        <v>16995030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383460</v>
      </c>
      <c r="C27" s="393"/>
      <c r="D27" s="393"/>
      <c r="E27" s="392">
        <f>'Sources and Uses Budget'!S27</f>
        <v>38346</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0</v>
      </c>
      <c r="C40" s="393"/>
      <c r="D40" s="393"/>
      <c r="E40" s="392">
        <f>'Sources and Uses Budget'!S40</f>
        <v>0</v>
      </c>
      <c r="F40" s="393"/>
      <c r="G40" s="393"/>
      <c r="H40" s="392">
        <f>'Sources and Uses Budget'!T40</f>
        <v>0</v>
      </c>
      <c r="I40" s="393"/>
      <c r="J40" s="393"/>
      <c r="K40" s="390"/>
    </row>
    <row r="41" spans="1:11" s="391" customFormat="1">
      <c r="A41" s="395" t="s">
        <v>146</v>
      </c>
      <c r="B41" s="392">
        <f>'Sources and Uses Budget'!C41</f>
        <v>250000</v>
      </c>
      <c r="C41" s="393"/>
      <c r="D41" s="393"/>
      <c r="E41" s="392">
        <f>'Sources and Uses Budget'!S41</f>
        <v>250000</v>
      </c>
      <c r="F41" s="393"/>
      <c r="G41" s="393"/>
      <c r="H41" s="392">
        <f>'Sources and Uses Budget'!T41</f>
        <v>0</v>
      </c>
      <c r="I41" s="393"/>
      <c r="J41" s="393"/>
      <c r="K41" s="390"/>
    </row>
    <row r="42" spans="1:11" s="391" customFormat="1">
      <c r="A42" s="396" t="s">
        <v>147</v>
      </c>
      <c r="B42" s="392">
        <f>'Sources and Uses Budget'!C42</f>
        <v>250000</v>
      </c>
      <c r="C42" s="392">
        <f>SUM(C39:C41)</f>
        <v>0</v>
      </c>
      <c r="D42" s="392">
        <f>SUM(D39:D41)</f>
        <v>0</v>
      </c>
      <c r="E42" s="392">
        <f>'Sources and Uses Budget'!S42</f>
        <v>250000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8612753</v>
      </c>
      <c r="C45" s="393"/>
      <c r="D45" s="393"/>
      <c r="E45" s="392">
        <f>'Sources and Uses Budget'!S45</f>
        <v>1722551</v>
      </c>
      <c r="F45" s="393"/>
      <c r="G45" s="393"/>
      <c r="H45" s="392">
        <f>'Sources and Uses Budget'!T45</f>
        <v>0</v>
      </c>
      <c r="I45" s="393"/>
      <c r="J45" s="393"/>
      <c r="K45" s="390"/>
    </row>
    <row r="46" spans="1:11" s="391" customFormat="1">
      <c r="A46" s="395" t="s">
        <v>151</v>
      </c>
      <c r="B46" s="392">
        <f>'Sources and Uses Budget'!C46</f>
        <v>887159</v>
      </c>
      <c r="C46" s="393"/>
      <c r="D46" s="393"/>
      <c r="E46" s="392">
        <f>'Sources and Uses Budget'!S46</f>
        <v>585409</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36335</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104000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9640247</v>
      </c>
      <c r="C54" s="398">
        <f>SUM(C45:C53)</f>
        <v>0</v>
      </c>
      <c r="D54" s="398">
        <f>SUM(D45:D53)</f>
        <v>0</v>
      </c>
      <c r="E54" s="392">
        <f>'Sources and Uses Budget'!S54</f>
        <v>2307960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38500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 Issuance Costs</v>
      </c>
      <c r="B61" s="392">
        <f>'Sources and Uses Budget'!C61</f>
        <v>235690</v>
      </c>
      <c r="C61" s="393"/>
      <c r="D61" s="393"/>
      <c r="E61" s="394"/>
      <c r="F61" s="394"/>
      <c r="G61" s="394"/>
      <c r="H61" s="394"/>
      <c r="I61" s="394"/>
      <c r="J61" s="394"/>
      <c r="K61" s="390"/>
    </row>
    <row r="62" spans="1:11" s="391" customFormat="1" ht="13.7" customHeight="1">
      <c r="A62" s="396" t="s">
        <v>302</v>
      </c>
      <c r="B62" s="392">
        <f>'Sources and Uses Budget'!C62</f>
        <v>274190</v>
      </c>
      <c r="C62" s="392">
        <f>SUM(C56:C61)</f>
        <v>0</v>
      </c>
      <c r="D62" s="392">
        <f>SUM(D56:D61)</f>
        <v>0</v>
      </c>
      <c r="E62" s="394"/>
      <c r="F62" s="394"/>
      <c r="G62" s="394"/>
      <c r="H62" s="394"/>
      <c r="I62" s="394"/>
      <c r="J62" s="394"/>
      <c r="K62" s="390"/>
    </row>
    <row r="63" spans="1:11" s="391" customFormat="1">
      <c r="A63" s="401" t="s">
        <v>303</v>
      </c>
      <c r="B63" s="392">
        <f>'Sources and Uses Budget'!C63</f>
        <v>100954810</v>
      </c>
      <c r="C63" s="392">
        <f>SUM(C8+C11+C13+C14+C15+C26+C27+C38+C42+C43+C54+C62)</f>
        <v>0</v>
      </c>
      <c r="D63" s="392">
        <f>SUM(D8+D11+D13+D14+D15+D26+D27+D38+D42+D43+D54+D62)</f>
        <v>0</v>
      </c>
      <c r="E63" s="392">
        <f>'Sources and Uses Budget'!S63</f>
        <v>19591336</v>
      </c>
      <c r="F63" s="392">
        <f>SUM(F10+F13+F14+F15+F26+F27+F38+F42+F43+F54)</f>
        <v>0</v>
      </c>
      <c r="G63" s="392">
        <f>SUM(G10+G13+G14+G15+G26+G27+G38+G42+G43+G54)</f>
        <v>0</v>
      </c>
      <c r="H63" s="392">
        <f>'Sources and Uses Budget'!T63</f>
        <v>61258575</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236500</v>
      </c>
      <c r="C65" s="393"/>
      <c r="D65" s="393"/>
      <c r="E65" s="392">
        <f>'Sources and Uses Budget'!S65</f>
        <v>150000</v>
      </c>
      <c r="F65" s="393"/>
      <c r="G65" s="393"/>
      <c r="H65" s="392">
        <f>'Sources and Uses Budget'!T65</f>
        <v>0</v>
      </c>
      <c r="I65" s="393"/>
      <c r="J65" s="393"/>
      <c r="K65" s="390"/>
    </row>
    <row r="66" spans="1:11" s="391" customFormat="1" ht="24">
      <c r="A66" s="304" t="s">
        <v>1755</v>
      </c>
      <c r="B66" s="392">
        <f>'Sources and Uses Budget'!C66</f>
        <v>52500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40000</v>
      </c>
      <c r="C67" s="393"/>
      <c r="D67" s="393"/>
      <c r="E67" s="392">
        <f>'Sources and Uses Budget'!S67</f>
        <v>0</v>
      </c>
      <c r="F67" s="393"/>
      <c r="G67" s="393"/>
      <c r="H67" s="392">
        <f>'Sources and Uses Budget'!T67</f>
        <v>8000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inspections, reports, and surveys</v>
      </c>
      <c r="B69" s="392">
        <f>'Sources and Uses Budget'!C69</f>
        <v>104181</v>
      </c>
      <c r="C69" s="393"/>
      <c r="D69" s="393"/>
      <c r="E69" s="392">
        <f>'Sources and Uses Budget'!S69</f>
        <v>104181</v>
      </c>
      <c r="F69" s="393"/>
      <c r="G69" s="393"/>
      <c r="H69" s="392">
        <f>'Sources and Uses Budget'!T69</f>
        <v>0</v>
      </c>
      <c r="I69" s="393"/>
      <c r="J69" s="393"/>
      <c r="K69" s="390"/>
    </row>
    <row r="70" spans="1:11" s="391" customFormat="1">
      <c r="A70" s="396" t="s">
        <v>610</v>
      </c>
      <c r="B70" s="392">
        <f>'Sources and Uses Budget'!C70</f>
        <v>433181</v>
      </c>
      <c r="C70" s="392">
        <f>SUM(C64:C69)</f>
        <v>0</v>
      </c>
      <c r="D70" s="392">
        <f>SUM(D64:D69)</f>
        <v>0</v>
      </c>
      <c r="E70" s="392">
        <f>'Sources and Uses Budget'!S70</f>
        <v>254181</v>
      </c>
      <c r="F70" s="398">
        <f>SUM(F65:F69)</f>
        <v>0</v>
      </c>
      <c r="G70" s="398">
        <f>SUM(G65:G69)</f>
        <v>0</v>
      </c>
      <c r="H70" s="392">
        <f>'Sources and Uses Budget'!T70</f>
        <v>8000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1333301</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1333301</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1699503</v>
      </c>
      <c r="C79" s="393"/>
      <c r="D79" s="393"/>
      <c r="E79" s="392">
        <f>'Sources and Uses Budget'!S79</f>
        <v>1699503</v>
      </c>
      <c r="F79" s="393"/>
      <c r="G79" s="393"/>
      <c r="H79" s="392">
        <f>'Sources and Uses Budget'!T79</f>
        <v>0</v>
      </c>
      <c r="I79" s="393"/>
      <c r="J79" s="393"/>
      <c r="K79" s="390"/>
    </row>
    <row r="80" spans="1:11" s="391" customFormat="1">
      <c r="A80" s="395" t="s">
        <v>58</v>
      </c>
      <c r="B80" s="392">
        <f>'Sources and Uses Budget'!C80</f>
        <v>450000</v>
      </c>
      <c r="C80" s="393"/>
      <c r="D80" s="393"/>
      <c r="E80" s="392">
        <f>'Sources and Uses Budget'!S80</f>
        <v>55000</v>
      </c>
      <c r="F80" s="393"/>
      <c r="G80" s="393"/>
      <c r="H80" s="392">
        <f>'Sources and Uses Budget'!T80</f>
        <v>0</v>
      </c>
      <c r="I80" s="393"/>
      <c r="J80" s="393"/>
      <c r="K80" s="390"/>
    </row>
    <row r="81" spans="1:11" s="391" customFormat="1">
      <c r="A81" s="396" t="s">
        <v>1316</v>
      </c>
      <c r="B81" s="392">
        <f>'Sources and Uses Budget'!C81</f>
        <v>2149503</v>
      </c>
      <c r="C81" s="392">
        <f>SUM(C79:C80)</f>
        <v>0</v>
      </c>
      <c r="D81" s="392">
        <f>SUM(D79:D80)</f>
        <v>0</v>
      </c>
      <c r="E81" s="392">
        <f>'Sources and Uses Budget'!S81</f>
        <v>1754503</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155319</v>
      </c>
      <c r="C83" s="393"/>
      <c r="D83" s="393"/>
      <c r="E83" s="394"/>
      <c r="F83" s="394"/>
      <c r="G83" s="394"/>
      <c r="H83" s="394"/>
      <c r="I83" s="394"/>
      <c r="J83" s="394"/>
      <c r="K83" s="390"/>
    </row>
    <row r="84" spans="1:11" s="391" customFormat="1">
      <c r="A84" s="145" t="s">
        <v>777</v>
      </c>
      <c r="B84" s="392">
        <f>'Sources and Uses Budget'!C84</f>
        <v>35190</v>
      </c>
      <c r="C84" s="393"/>
      <c r="D84" s="393"/>
      <c r="E84" s="392">
        <f>'Sources and Uses Budget'!S84</f>
        <v>35190</v>
      </c>
      <c r="F84" s="393"/>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80000</v>
      </c>
      <c r="C86" s="393"/>
      <c r="D86" s="393"/>
      <c r="E86" s="392">
        <f>'Sources and Uses Budget'!S86</f>
        <v>80000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783</v>
      </c>
      <c r="B90" s="392">
        <f>'Sources and Uses Budget'!C90</f>
        <v>12500</v>
      </c>
      <c r="C90" s="393"/>
      <c r="D90" s="393"/>
      <c r="E90" s="392">
        <f>'Sources and Uses Budget'!S90</f>
        <v>12500</v>
      </c>
      <c r="F90" s="393"/>
      <c r="G90" s="393"/>
      <c r="H90" s="392">
        <f>'Sources and Uses Budget'!T90</f>
        <v>0</v>
      </c>
      <c r="I90" s="393"/>
      <c r="J90" s="393"/>
      <c r="K90" s="390"/>
    </row>
    <row r="91" spans="1:11" s="391" customFormat="1">
      <c r="A91" s="155" t="s">
        <v>373</v>
      </c>
      <c r="B91" s="392">
        <f>'Sources and Uses Budget'!C91</f>
        <v>40000</v>
      </c>
      <c r="C91" s="393"/>
      <c r="D91" s="393"/>
      <c r="E91" s="392">
        <f>'Sources and Uses Budget'!S91</f>
        <v>40000</v>
      </c>
      <c r="F91" s="393"/>
      <c r="G91" s="393"/>
      <c r="H91" s="392">
        <f>'Sources and Uses Budget'!T91</f>
        <v>0</v>
      </c>
      <c r="I91" s="393"/>
      <c r="J91" s="393"/>
      <c r="K91" s="390"/>
    </row>
    <row r="92" spans="1:11" s="391" customFormat="1">
      <c r="A92" s="542" t="s">
        <v>1318</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Placement Fees &amp; Expenses</v>
      </c>
      <c r="B93" s="392">
        <f>'Sources and Uses Budget'!C93</f>
        <v>500000</v>
      </c>
      <c r="C93" s="393"/>
      <c r="D93" s="393"/>
      <c r="E93" s="392">
        <f>'Sources and Uses Budget'!S93</f>
        <v>0</v>
      </c>
      <c r="F93" s="393"/>
      <c r="G93" s="393"/>
      <c r="H93" s="392">
        <f>'Sources and Uses Budget'!T93</f>
        <v>0</v>
      </c>
      <c r="I93" s="393"/>
      <c r="J93" s="393"/>
      <c r="K93" s="390"/>
    </row>
    <row r="94" spans="1:11" s="391" customFormat="1" ht="24">
      <c r="A94" s="395" t="str">
        <f>'Sources and Uses Budget'!$A94</f>
        <v>Other: Early Redemption (Cap X Partnership Interest)</v>
      </c>
      <c r="B94" s="392">
        <f>'Sources and Uses Budget'!C94</f>
        <v>251179</v>
      </c>
      <c r="C94" s="393"/>
      <c r="D94" s="393"/>
      <c r="E94" s="392">
        <f>'Sources and Uses Budget'!S94</f>
        <v>0</v>
      </c>
      <c r="F94" s="393"/>
      <c r="G94" s="393"/>
      <c r="H94" s="392">
        <f>'Sources and Uses Budget'!T94</f>
        <v>0</v>
      </c>
      <c r="I94" s="393"/>
      <c r="J94" s="393"/>
      <c r="K94" s="390"/>
    </row>
    <row r="95" spans="1:11" s="391" customFormat="1">
      <c r="A95" s="395" t="str">
        <f>'Sources and Uses Budget'!$A95</f>
        <v>Other: Relocation</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1274188</v>
      </c>
      <c r="C96" s="392">
        <f>SUM(C83:C95)</f>
        <v>0</v>
      </c>
      <c r="D96" s="392">
        <f>SUM(D83:D95)</f>
        <v>0</v>
      </c>
      <c r="E96" s="392">
        <f>'Sources and Uses Budget'!S96</f>
        <v>367690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106144983</v>
      </c>
      <c r="C97" s="392">
        <f>SUM(C63+C70+C77+C81+C96)</f>
        <v>0</v>
      </c>
      <c r="D97" s="392">
        <f>SUM(D63+D70+D77+D81+D96)</f>
        <v>0</v>
      </c>
      <c r="E97" s="392">
        <f>'Sources and Uses Budget'!S97</f>
        <v>21967710</v>
      </c>
      <c r="F97" s="398">
        <f>SUM(+F63+F70+F81+F96)</f>
        <v>0</v>
      </c>
      <c r="G97" s="398">
        <f>SUM(+G63+G70+G81+G96)</f>
        <v>0</v>
      </c>
      <c r="H97" s="392">
        <f>'Sources and Uses Budget'!T97</f>
        <v>61266575</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12485143</v>
      </c>
      <c r="C99" s="393"/>
      <c r="D99" s="393"/>
      <c r="E99" s="392">
        <f>'Sources and Uses Budget'!S99</f>
        <v>3295157</v>
      </c>
      <c r="F99" s="393"/>
      <c r="G99" s="393"/>
      <c r="H99" s="392">
        <f>'Sources and Uses Budget'!T99</f>
        <v>9189986</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12485143</v>
      </c>
      <c r="C104" s="392">
        <f>SUM(C99:C103)</f>
        <v>0</v>
      </c>
      <c r="D104" s="392">
        <f>SUM(D99:D103)</f>
        <v>0</v>
      </c>
      <c r="E104" s="392">
        <f>'Sources and Uses Budget'!S104</f>
        <v>3295157</v>
      </c>
      <c r="F104" s="398">
        <f>SUM(F99:F103)</f>
        <v>0</v>
      </c>
      <c r="G104" s="398">
        <f>SUM(G99:G103)</f>
        <v>0</v>
      </c>
      <c r="H104" s="392">
        <f>'Sources and Uses Budget'!T104</f>
        <v>9189986</v>
      </c>
      <c r="I104" s="398">
        <f>SUM(I99:I103)</f>
        <v>0</v>
      </c>
      <c r="J104" s="398">
        <f>SUM(J99:J103)</f>
        <v>0</v>
      </c>
      <c r="K104" s="390"/>
    </row>
    <row r="105" spans="1:11" s="391" customFormat="1">
      <c r="A105" s="396" t="s">
        <v>1055</v>
      </c>
      <c r="B105" s="392">
        <f>'Sources and Uses Budget'!C105</f>
        <v>118630126</v>
      </c>
      <c r="C105" s="398">
        <f>SUM(C97+C104)</f>
        <v>0</v>
      </c>
      <c r="D105" s="398">
        <f>SUM(D97+D104)</f>
        <v>0</v>
      </c>
      <c r="E105" s="392">
        <f>'Sources and Uses Budget'!S105</f>
        <v>25262867</v>
      </c>
      <c r="F105" s="398">
        <f>F97+F104</f>
        <v>0</v>
      </c>
      <c r="G105" s="398">
        <f>G97+G104</f>
        <v>0</v>
      </c>
      <c r="H105" s="392">
        <f>'Sources and Uses Budget'!T105</f>
        <v>70456561</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25262867</v>
      </c>
      <c r="F107" s="398">
        <f>F105+F106</f>
        <v>0</v>
      </c>
      <c r="G107" s="398">
        <f>G105+G106</f>
        <v>0</v>
      </c>
      <c r="H107" s="392">
        <f>'Sources and Uses Budget'!T107</f>
        <v>70456561</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91"/>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92"/>
      <c r="B139" s="1342"/>
      <c r="C139" s="1342"/>
      <c r="D139" s="387"/>
      <c r="E139" s="416"/>
      <c r="F139" s="416"/>
      <c r="G139" s="416"/>
    </row>
    <row r="140" spans="1:11" ht="12" customHeight="1">
      <c r="A140" s="1302"/>
      <c r="B140" s="1302"/>
      <c r="C140" s="130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30" zoomScale="85" zoomScaleNormal="85" workbookViewId="0">
      <selection activeCell="H698" sqref="H698:I69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8" t="s">
        <v>1412</v>
      </c>
      <c r="B1" s="1928"/>
      <c r="C1" s="1928"/>
      <c r="D1" s="1928"/>
      <c r="E1" s="1928"/>
      <c r="F1" s="1928"/>
      <c r="G1" s="1928"/>
      <c r="H1" s="1928"/>
      <c r="I1" s="1928"/>
      <c r="J1" s="1928"/>
      <c r="K1" s="1928"/>
      <c r="L1" s="1928"/>
      <c r="M1" s="1928"/>
      <c r="N1" s="1928"/>
      <c r="O1" s="1928"/>
      <c r="P1" s="1928"/>
      <c r="Q1" s="1928"/>
      <c r="R1" s="1928"/>
      <c r="S1" s="1928"/>
      <c r="T1" s="1928"/>
      <c r="U1" s="1928"/>
      <c r="V1" s="1928"/>
      <c r="W1" s="1928"/>
      <c r="X1" s="1928"/>
      <c r="Y1" s="1928"/>
      <c r="Z1" s="1928"/>
      <c r="AA1" s="1928"/>
      <c r="AB1" s="1928"/>
      <c r="AC1" s="1928"/>
      <c r="AD1" s="1928"/>
      <c r="AE1" s="1928"/>
      <c r="AF1" s="1928"/>
      <c r="AG1" s="1928"/>
      <c r="AH1" s="1928"/>
      <c r="AI1" s="1928"/>
      <c r="AJ1" s="1928"/>
      <c r="AK1" s="1928"/>
      <c r="AL1" s="1928"/>
      <c r="AM1" s="1928"/>
    </row>
    <row r="2" spans="1:42" s="570" customFormat="1" ht="12.75" customHeight="1" thickBot="1">
      <c r="A2" s="1929"/>
      <c r="B2" s="1929"/>
      <c r="C2" s="1929"/>
      <c r="D2" s="1929"/>
      <c r="E2" s="1929"/>
      <c r="F2" s="1929"/>
      <c r="G2" s="1929"/>
      <c r="H2" s="1929"/>
      <c r="I2" s="1929"/>
      <c r="J2" s="1929"/>
      <c r="K2" s="1929"/>
      <c r="L2" s="1929"/>
      <c r="M2" s="1929"/>
      <c r="N2" s="1929"/>
      <c r="O2" s="1929"/>
      <c r="P2" s="1929"/>
      <c r="Q2" s="1929"/>
      <c r="R2" s="1929"/>
      <c r="S2" s="1929"/>
      <c r="T2" s="1929"/>
      <c r="U2" s="1929"/>
      <c r="V2" s="1929"/>
      <c r="W2" s="1929"/>
      <c r="X2" s="1929"/>
      <c r="Y2" s="1929"/>
      <c r="Z2" s="1929"/>
      <c r="AA2" s="1929"/>
      <c r="AB2" s="1929"/>
      <c r="AC2" s="1929"/>
      <c r="AD2" s="1929"/>
      <c r="AE2" s="1929"/>
      <c r="AF2" s="1929"/>
      <c r="AG2" s="1929"/>
      <c r="AH2" s="1929"/>
      <c r="AI2" s="1929"/>
      <c r="AJ2" s="1929"/>
      <c r="AK2" s="1929"/>
      <c r="AL2" s="1929"/>
      <c r="AM2" s="192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2" t="s">
        <v>1417</v>
      </c>
      <c r="AF7" s="1912"/>
      <c r="AG7" s="1912"/>
      <c r="AH7" s="1912"/>
      <c r="AI7" s="1912"/>
      <c r="AJ7" s="1912"/>
      <c r="AK7" s="1912"/>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02" t="s">
        <v>600</v>
      </c>
      <c r="C13" s="1902"/>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30"/>
      <c r="AH13" s="1930"/>
      <c r="AI13" s="1930"/>
      <c r="AJ13" s="1931"/>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02" t="s">
        <v>600</v>
      </c>
      <c r="C16" s="1902"/>
      <c r="D16" s="581"/>
      <c r="E16" s="1913" t="s">
        <v>1419</v>
      </c>
      <c r="F16" s="1914"/>
      <c r="G16" s="1914"/>
      <c r="H16" s="1914"/>
      <c r="I16" s="1914"/>
      <c r="J16" s="1914"/>
      <c r="K16" s="1914"/>
      <c r="L16" s="1914"/>
      <c r="M16" s="1914"/>
      <c r="N16" s="1914"/>
      <c r="O16" s="1914"/>
      <c r="P16" s="1914"/>
      <c r="Q16" s="1914"/>
      <c r="R16" s="1914"/>
      <c r="S16" s="1914"/>
      <c r="T16" s="1914"/>
      <c r="U16" s="1914"/>
      <c r="V16" s="1914"/>
      <c r="W16" s="1914"/>
      <c r="X16" s="1914"/>
      <c r="Y16" s="1914"/>
      <c r="Z16" s="1914"/>
      <c r="AA16" s="1914"/>
      <c r="AB16" s="1914"/>
      <c r="AC16" s="1914"/>
      <c r="AD16" s="1914"/>
      <c r="AE16" s="1914"/>
      <c r="AF16" s="1914"/>
      <c r="AG16" s="1914"/>
      <c r="AH16" s="1914"/>
      <c r="AI16" s="1914"/>
      <c r="AJ16" s="1915"/>
      <c r="AK16" s="574"/>
      <c r="AL16" s="574"/>
      <c r="AM16" s="574"/>
      <c r="AN16" s="569"/>
      <c r="AO16" s="584">
        <f>IF($B25="yes",20,0)</f>
        <v>0</v>
      </c>
      <c r="AP16" s="14"/>
    </row>
    <row r="17" spans="1:42" s="570" customFormat="1" ht="12.75" customHeight="1">
      <c r="A17" s="574"/>
      <c r="B17" s="574"/>
      <c r="C17" s="574"/>
      <c r="D17" s="585"/>
      <c r="E17" s="1916"/>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8"/>
      <c r="AK17" s="574"/>
      <c r="AL17" s="574"/>
      <c r="AM17" s="574"/>
      <c r="AN17" s="569"/>
      <c r="AO17" s="570">
        <f>IF(SUM(AO13:AO16)&gt;20,20,(SUM(AO13:AO16)))</f>
        <v>0</v>
      </c>
      <c r="AP17" s="570" t="s">
        <v>1420</v>
      </c>
    </row>
    <row r="18" spans="1:42" s="570" customFormat="1" ht="12.75" customHeight="1">
      <c r="A18" s="574"/>
      <c r="B18" s="574"/>
      <c r="C18" s="574"/>
      <c r="D18" s="585"/>
      <c r="E18" s="1916"/>
      <c r="F18" s="1917"/>
      <c r="G18" s="1917"/>
      <c r="H18" s="1917"/>
      <c r="I18" s="1917"/>
      <c r="J18" s="1917"/>
      <c r="K18" s="1917"/>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c r="AH18" s="1917"/>
      <c r="AI18" s="1917"/>
      <c r="AJ18" s="1918"/>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41"/>
      <c r="F20" s="1942"/>
      <c r="G20" s="1942"/>
      <c r="H20" s="1942"/>
      <c r="I20" s="1942"/>
      <c r="J20" s="1942"/>
      <c r="K20" s="1942"/>
      <c r="L20" s="1942"/>
      <c r="M20" s="1942"/>
      <c r="N20" s="1942"/>
      <c r="O20" s="1942"/>
      <c r="P20" s="1942"/>
      <c r="Q20" s="1942"/>
      <c r="R20" s="1942"/>
      <c r="S20" s="1942"/>
      <c r="T20" s="1942"/>
      <c r="U20" s="1942"/>
      <c r="V20" s="1942"/>
      <c r="W20" s="1942"/>
      <c r="X20" s="1942"/>
      <c r="Y20" s="1942"/>
      <c r="Z20" s="1942"/>
      <c r="AA20" s="1942"/>
      <c r="AB20" s="1942"/>
      <c r="AC20" s="1942"/>
      <c r="AD20" s="1942"/>
      <c r="AE20" s="1942"/>
      <c r="AF20" s="1942"/>
      <c r="AG20" s="1942"/>
      <c r="AH20" s="1942"/>
      <c r="AI20" s="1942"/>
      <c r="AJ20" s="194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02" t="s">
        <v>600</v>
      </c>
      <c r="C22" s="1902"/>
      <c r="D22" s="581"/>
      <c r="E22" s="1935" t="s">
        <v>1422</v>
      </c>
      <c r="F22" s="1936"/>
      <c r="G22" s="1936"/>
      <c r="H22" s="1936"/>
      <c r="I22" s="1936"/>
      <c r="J22" s="1936"/>
      <c r="K22" s="1936"/>
      <c r="L22" s="1936"/>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7"/>
      <c r="AK22" s="574"/>
      <c r="AL22" s="574"/>
      <c r="AM22" s="574"/>
      <c r="AN22" s="569"/>
      <c r="AO22" s="570">
        <f>IF(SUM(AO20:AO21)&gt;14,14,SUM(AO20:AO21))</f>
        <v>0</v>
      </c>
      <c r="AP22" s="570" t="s">
        <v>1420</v>
      </c>
    </row>
    <row r="23" spans="1:42" s="570" customFormat="1" ht="12.75" customHeight="1">
      <c r="A23" s="574"/>
      <c r="B23" s="574"/>
      <c r="C23" s="574"/>
      <c r="D23" s="584"/>
      <c r="E23" s="1938"/>
      <c r="F23" s="1939"/>
      <c r="G23" s="1939"/>
      <c r="H23" s="1939"/>
      <c r="I23" s="1939"/>
      <c r="J23" s="1939"/>
      <c r="K23" s="1939"/>
      <c r="L23" s="1939"/>
      <c r="M23" s="1939"/>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4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02" t="s">
        <v>600</v>
      </c>
      <c r="C25" s="1902"/>
      <c r="D25" s="581"/>
      <c r="E25" s="1903" t="s">
        <v>2349</v>
      </c>
      <c r="F25" s="1904"/>
      <c r="G25" s="1904"/>
      <c r="H25" s="1904"/>
      <c r="I25" s="1904"/>
      <c r="J25" s="1904"/>
      <c r="K25" s="1904"/>
      <c r="L25" s="1904"/>
      <c r="M25" s="1904"/>
      <c r="N25" s="1904"/>
      <c r="O25" s="1904"/>
      <c r="P25" s="1904"/>
      <c r="Q25" s="1904"/>
      <c r="R25" s="1904"/>
      <c r="S25" s="1904"/>
      <c r="T25" s="1904"/>
      <c r="U25" s="1904"/>
      <c r="V25" s="1904"/>
      <c r="W25" s="1904"/>
      <c r="X25" s="1904"/>
      <c r="Y25" s="1904"/>
      <c r="Z25" s="1904"/>
      <c r="AA25" s="1904"/>
      <c r="AB25" s="1904"/>
      <c r="AC25" s="1904"/>
      <c r="AD25" s="1904"/>
      <c r="AE25" s="1904"/>
      <c r="AF25" s="1904"/>
      <c r="AG25" s="1904"/>
      <c r="AH25" s="1904"/>
      <c r="AI25" s="1904"/>
      <c r="AJ25" s="1905"/>
      <c r="AK25" s="574"/>
      <c r="AL25" s="574"/>
      <c r="AM25" s="574"/>
      <c r="AN25" s="569"/>
      <c r="AO25" s="570">
        <f>IF(AO24&gt;6,6,AO24)</f>
        <v>0</v>
      </c>
      <c r="AP25" s="570" t="s">
        <v>1420</v>
      </c>
    </row>
    <row r="26" spans="1:42" s="570" customFormat="1" ht="12.75" customHeight="1">
      <c r="A26" s="574"/>
      <c r="B26" s="574"/>
      <c r="C26" s="574"/>
      <c r="D26" s="584"/>
      <c r="E26" s="1906"/>
      <c r="F26" s="1907"/>
      <c r="G26" s="1907"/>
      <c r="H26" s="1907"/>
      <c r="I26" s="1907"/>
      <c r="J26" s="1907"/>
      <c r="K26" s="1907"/>
      <c r="L26" s="1907"/>
      <c r="M26" s="1907"/>
      <c r="N26" s="1907"/>
      <c r="O26" s="1907"/>
      <c r="P26" s="1907"/>
      <c r="Q26" s="1907"/>
      <c r="R26" s="1907"/>
      <c r="S26" s="1907"/>
      <c r="T26" s="1907"/>
      <c r="U26" s="1907"/>
      <c r="V26" s="1907"/>
      <c r="W26" s="1907"/>
      <c r="X26" s="1907"/>
      <c r="Y26" s="1907"/>
      <c r="Z26" s="1907"/>
      <c r="AA26" s="1907"/>
      <c r="AB26" s="1907"/>
      <c r="AC26" s="1907"/>
      <c r="AD26" s="1907"/>
      <c r="AE26" s="1907"/>
      <c r="AF26" s="1907"/>
      <c r="AG26" s="1907"/>
      <c r="AH26" s="1907"/>
      <c r="AI26" s="1907"/>
      <c r="AJ26" s="190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902" t="s">
        <v>600</v>
      </c>
      <c r="C30" s="1902"/>
      <c r="D30" s="581"/>
      <c r="E30" s="1935" t="s">
        <v>2321</v>
      </c>
      <c r="F30" s="1936"/>
      <c r="G30" s="1936"/>
      <c r="H30" s="1936"/>
      <c r="I30" s="1936"/>
      <c r="J30" s="1936"/>
      <c r="K30" s="1936"/>
      <c r="L30" s="1936"/>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7"/>
      <c r="AK30" s="574"/>
      <c r="AL30" s="574"/>
      <c r="AM30" s="574"/>
      <c r="AN30" s="569"/>
      <c r="AO30" s="584"/>
    </row>
    <row r="31" spans="1:42" s="570" customFormat="1" ht="12.75" customHeight="1">
      <c r="A31" s="574"/>
      <c r="B31" s="574"/>
      <c r="C31" s="574"/>
      <c r="E31" s="1938"/>
      <c r="F31" s="1939"/>
      <c r="G31" s="1939"/>
      <c r="H31" s="1939"/>
      <c r="I31" s="1939"/>
      <c r="J31" s="1939"/>
      <c r="K31" s="1939"/>
      <c r="L31" s="1939"/>
      <c r="M31" s="1939"/>
      <c r="N31" s="1939"/>
      <c r="O31" s="1939"/>
      <c r="P31" s="1939"/>
      <c r="Q31" s="1939"/>
      <c r="R31" s="1939"/>
      <c r="S31" s="1939"/>
      <c r="T31" s="1939"/>
      <c r="U31" s="1939"/>
      <c r="V31" s="1939"/>
      <c r="W31" s="1939"/>
      <c r="X31" s="1939"/>
      <c r="Y31" s="1939"/>
      <c r="Z31" s="1939"/>
      <c r="AA31" s="1939"/>
      <c r="AB31" s="1939"/>
      <c r="AC31" s="1939"/>
      <c r="AD31" s="1939"/>
      <c r="AE31" s="1939"/>
      <c r="AF31" s="1939"/>
      <c r="AG31" s="1939"/>
      <c r="AH31" s="1939"/>
      <c r="AI31" s="1939"/>
      <c r="AJ31" s="194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02" t="s">
        <v>600</v>
      </c>
      <c r="C33" s="1902"/>
      <c r="D33" s="581"/>
      <c r="E33" s="1903" t="s">
        <v>2322</v>
      </c>
      <c r="F33" s="1904"/>
      <c r="G33" s="1904"/>
      <c r="H33" s="1904"/>
      <c r="I33" s="1904"/>
      <c r="J33" s="1904"/>
      <c r="K33" s="1904"/>
      <c r="L33" s="1904"/>
      <c r="M33" s="1904"/>
      <c r="N33" s="1904"/>
      <c r="O33" s="1904"/>
      <c r="P33" s="1904"/>
      <c r="Q33" s="1904"/>
      <c r="R33" s="1904"/>
      <c r="S33" s="1904"/>
      <c r="T33" s="1904"/>
      <c r="U33" s="1904"/>
      <c r="V33" s="1904"/>
      <c r="W33" s="1904"/>
      <c r="X33" s="1904"/>
      <c r="Y33" s="1904"/>
      <c r="Z33" s="1904"/>
      <c r="AA33" s="1904"/>
      <c r="AB33" s="1904"/>
      <c r="AC33" s="1904"/>
      <c r="AD33" s="1904"/>
      <c r="AE33" s="1904"/>
      <c r="AF33" s="1904"/>
      <c r="AG33" s="1904"/>
      <c r="AH33" s="1904"/>
      <c r="AI33" s="1904"/>
      <c r="AJ33" s="1905"/>
      <c r="AK33" s="574"/>
      <c r="AL33" s="574"/>
      <c r="AM33" s="574"/>
      <c r="AN33" s="569"/>
    </row>
    <row r="34" spans="1:41" s="570" customFormat="1" ht="12.75" customHeight="1">
      <c r="A34" s="574"/>
      <c r="B34" s="574"/>
      <c r="C34" s="574"/>
      <c r="E34" s="1909"/>
      <c r="F34" s="1910"/>
      <c r="G34" s="1910"/>
      <c r="H34" s="1910"/>
      <c r="I34" s="1910"/>
      <c r="J34" s="1910"/>
      <c r="K34" s="1910"/>
      <c r="L34" s="1910"/>
      <c r="M34" s="1910"/>
      <c r="N34" s="1910"/>
      <c r="O34" s="1910"/>
      <c r="P34" s="1910"/>
      <c r="Q34" s="1910"/>
      <c r="R34" s="1910"/>
      <c r="S34" s="1910"/>
      <c r="T34" s="1910"/>
      <c r="U34" s="1910"/>
      <c r="V34" s="1910"/>
      <c r="W34" s="1910"/>
      <c r="X34" s="1910"/>
      <c r="Y34" s="1910"/>
      <c r="Z34" s="1910"/>
      <c r="AA34" s="1910"/>
      <c r="AB34" s="1910"/>
      <c r="AC34" s="1910"/>
      <c r="AD34" s="1910"/>
      <c r="AE34" s="1910"/>
      <c r="AF34" s="1910"/>
      <c r="AG34" s="1910"/>
      <c r="AH34" s="1910"/>
      <c r="AI34" s="1910"/>
      <c r="AJ34" s="1911"/>
      <c r="AK34" s="574"/>
      <c r="AL34" s="574"/>
      <c r="AM34" s="574"/>
      <c r="AN34" s="569"/>
    </row>
    <row r="35" spans="1:41" s="570" customFormat="1" ht="12.75" customHeight="1">
      <c r="A35" s="574"/>
      <c r="B35" s="574"/>
      <c r="C35" s="574"/>
      <c r="E35" s="1906"/>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1907"/>
      <c r="AB35" s="1907"/>
      <c r="AC35" s="1907"/>
      <c r="AD35" s="1907"/>
      <c r="AE35" s="1907"/>
      <c r="AF35" s="1907"/>
      <c r="AG35" s="1907"/>
      <c r="AH35" s="1907"/>
      <c r="AI35" s="1907"/>
      <c r="AJ35" s="190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02" t="s">
        <v>600</v>
      </c>
      <c r="C39" s="1902"/>
      <c r="D39" s="1186"/>
      <c r="E39" s="1903" t="s">
        <v>2323</v>
      </c>
      <c r="F39" s="1904"/>
      <c r="G39" s="1904"/>
      <c r="H39" s="1904"/>
      <c r="I39" s="1904"/>
      <c r="J39" s="1904"/>
      <c r="K39" s="1904"/>
      <c r="L39" s="1904"/>
      <c r="M39" s="1904"/>
      <c r="N39" s="1904"/>
      <c r="O39" s="1904"/>
      <c r="P39" s="1904"/>
      <c r="Q39" s="1904"/>
      <c r="R39" s="1904"/>
      <c r="S39" s="1904"/>
      <c r="T39" s="1904"/>
      <c r="U39" s="1904"/>
      <c r="V39" s="1904"/>
      <c r="W39" s="1904"/>
      <c r="X39" s="1904"/>
      <c r="Y39" s="1904"/>
      <c r="Z39" s="1904"/>
      <c r="AA39" s="1904"/>
      <c r="AB39" s="1904"/>
      <c r="AC39" s="1904"/>
      <c r="AD39" s="1904"/>
      <c r="AE39" s="1904"/>
      <c r="AF39" s="1904"/>
      <c r="AG39" s="1904"/>
      <c r="AH39" s="1904"/>
      <c r="AI39" s="1904"/>
      <c r="AJ39" s="1905"/>
      <c r="AK39" s="1186"/>
      <c r="AL39" s="574"/>
      <c r="AM39" s="574"/>
      <c r="AN39" s="569"/>
    </row>
    <row r="40" spans="1:41" s="570" customFormat="1" ht="12.75" customHeight="1">
      <c r="A40" s="574"/>
      <c r="B40" s="574"/>
      <c r="C40" s="574"/>
      <c r="E40" s="1909"/>
      <c r="F40" s="1910"/>
      <c r="G40" s="1910"/>
      <c r="H40" s="1910"/>
      <c r="I40" s="1910"/>
      <c r="J40" s="1910"/>
      <c r="K40" s="1910"/>
      <c r="L40" s="1910"/>
      <c r="M40" s="1910"/>
      <c r="N40" s="1910"/>
      <c r="O40" s="1910"/>
      <c r="P40" s="1910"/>
      <c r="Q40" s="1910"/>
      <c r="R40" s="1910"/>
      <c r="S40" s="1910"/>
      <c r="T40" s="1910"/>
      <c r="U40" s="1910"/>
      <c r="V40" s="1910"/>
      <c r="W40" s="1910"/>
      <c r="X40" s="1910"/>
      <c r="Y40" s="1910"/>
      <c r="Z40" s="1910"/>
      <c r="AA40" s="1910"/>
      <c r="AB40" s="1910"/>
      <c r="AC40" s="1910"/>
      <c r="AD40" s="1910"/>
      <c r="AE40" s="1910"/>
      <c r="AF40" s="1910"/>
      <c r="AG40" s="1910"/>
      <c r="AH40" s="1910"/>
      <c r="AI40" s="1910"/>
      <c r="AJ40" s="1911"/>
      <c r="AK40" s="574"/>
      <c r="AL40" s="574"/>
      <c r="AM40" s="574"/>
      <c r="AN40" s="569"/>
    </row>
    <row r="41" spans="1:41" s="570" customFormat="1" ht="12.75" customHeight="1">
      <c r="A41" s="574"/>
      <c r="D41" s="581"/>
      <c r="E41" s="1906"/>
      <c r="F41" s="1907"/>
      <c r="G41" s="1907"/>
      <c r="H41" s="1907"/>
      <c r="I41" s="1907"/>
      <c r="J41" s="1907"/>
      <c r="K41" s="1907"/>
      <c r="L41" s="1907"/>
      <c r="M41" s="1907"/>
      <c r="N41" s="1907"/>
      <c r="O41" s="1907"/>
      <c r="P41" s="1907"/>
      <c r="Q41" s="1907"/>
      <c r="R41" s="1907"/>
      <c r="S41" s="1907"/>
      <c r="T41" s="1907"/>
      <c r="U41" s="1907"/>
      <c r="V41" s="1907"/>
      <c r="W41" s="1907"/>
      <c r="X41" s="1907"/>
      <c r="Y41" s="1907"/>
      <c r="Z41" s="1907"/>
      <c r="AA41" s="1907"/>
      <c r="AB41" s="1907"/>
      <c r="AC41" s="1907"/>
      <c r="AD41" s="1907"/>
      <c r="AE41" s="1907"/>
      <c r="AF41" s="1907"/>
      <c r="AG41" s="1907"/>
      <c r="AH41" s="1907"/>
      <c r="AI41" s="1907"/>
      <c r="AJ41" s="190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02" t="s">
        <v>600</v>
      </c>
      <c r="C46" s="1902"/>
      <c r="D46" s="574"/>
      <c r="E46" s="1903" t="s">
        <v>2328</v>
      </c>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5"/>
      <c r="AK46" s="574"/>
      <c r="AL46" s="574"/>
      <c r="AM46" s="574"/>
      <c r="AN46" s="569"/>
      <c r="AO46" s="593"/>
    </row>
    <row r="47" spans="1:41" s="570" customFormat="1" ht="12.75" customHeight="1">
      <c r="A47" s="574"/>
      <c r="D47" s="581"/>
      <c r="E47" s="1909"/>
      <c r="F47" s="1910"/>
      <c r="G47" s="1910"/>
      <c r="H47" s="1910"/>
      <c r="I47" s="1910"/>
      <c r="J47" s="1910"/>
      <c r="K47" s="1910"/>
      <c r="L47" s="1910"/>
      <c r="M47" s="1910"/>
      <c r="N47" s="1910"/>
      <c r="O47" s="1910"/>
      <c r="P47" s="1910"/>
      <c r="Q47" s="1910"/>
      <c r="R47" s="1910"/>
      <c r="S47" s="1910"/>
      <c r="T47" s="1910"/>
      <c r="U47" s="1910"/>
      <c r="V47" s="1910"/>
      <c r="W47" s="1910"/>
      <c r="X47" s="1910"/>
      <c r="Y47" s="1910"/>
      <c r="Z47" s="1910"/>
      <c r="AA47" s="1910"/>
      <c r="AB47" s="1910"/>
      <c r="AC47" s="1910"/>
      <c r="AD47" s="1910"/>
      <c r="AE47" s="1910"/>
      <c r="AF47" s="1910"/>
      <c r="AG47" s="1910"/>
      <c r="AH47" s="1910"/>
      <c r="AI47" s="1910"/>
      <c r="AJ47" s="1911"/>
      <c r="AK47" s="574"/>
      <c r="AL47" s="574"/>
      <c r="AM47" s="574"/>
      <c r="AN47" s="569"/>
      <c r="AO47" s="593"/>
    </row>
    <row r="48" spans="1:41" s="570" customFormat="1" ht="12.75" customHeight="1">
      <c r="A48" s="574"/>
      <c r="D48" s="574"/>
      <c r="E48" s="1906"/>
      <c r="F48" s="1907"/>
      <c r="G48" s="1907"/>
      <c r="H48" s="1907"/>
      <c r="I48" s="1907"/>
      <c r="J48" s="1907"/>
      <c r="K48" s="1907"/>
      <c r="L48" s="1907"/>
      <c r="M48" s="1907"/>
      <c r="N48" s="1907"/>
      <c r="O48" s="1907"/>
      <c r="P48" s="1907"/>
      <c r="Q48" s="1907"/>
      <c r="R48" s="1907"/>
      <c r="S48" s="1907"/>
      <c r="T48" s="1907"/>
      <c r="U48" s="1907"/>
      <c r="V48" s="1907"/>
      <c r="W48" s="1907"/>
      <c r="X48" s="1907"/>
      <c r="Y48" s="1907"/>
      <c r="Z48" s="1907"/>
      <c r="AA48" s="1907"/>
      <c r="AB48" s="1907"/>
      <c r="AC48" s="1907"/>
      <c r="AD48" s="1907"/>
      <c r="AE48" s="1907"/>
      <c r="AF48" s="1907"/>
      <c r="AG48" s="1907"/>
      <c r="AH48" s="1907"/>
      <c r="AI48" s="1907"/>
      <c r="AJ48" s="190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02" t="s">
        <v>600</v>
      </c>
      <c r="C50" s="1902"/>
      <c r="D50" s="574"/>
      <c r="E50" s="1923" t="s">
        <v>2329</v>
      </c>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02" t="s">
        <v>600</v>
      </c>
      <c r="C52" s="1902"/>
      <c r="D52" s="574"/>
      <c r="E52" s="1903" t="s">
        <v>2330</v>
      </c>
      <c r="F52" s="1904"/>
      <c r="G52" s="1904"/>
      <c r="H52" s="1904"/>
      <c r="I52" s="1904"/>
      <c r="J52" s="1904"/>
      <c r="K52" s="1904"/>
      <c r="L52" s="1904"/>
      <c r="M52" s="1904"/>
      <c r="N52" s="1904"/>
      <c r="O52" s="1904"/>
      <c r="P52" s="1904"/>
      <c r="Q52" s="1904"/>
      <c r="R52" s="1904"/>
      <c r="S52" s="1904"/>
      <c r="T52" s="1904"/>
      <c r="U52" s="1904"/>
      <c r="V52" s="1904"/>
      <c r="W52" s="1904"/>
      <c r="X52" s="1904"/>
      <c r="Y52" s="1904"/>
      <c r="Z52" s="1904"/>
      <c r="AA52" s="1904"/>
      <c r="AB52" s="1904"/>
      <c r="AC52" s="1904"/>
      <c r="AD52" s="1904"/>
      <c r="AE52" s="1904"/>
      <c r="AF52" s="1904"/>
      <c r="AG52" s="1904"/>
      <c r="AH52" s="1904"/>
      <c r="AI52" s="1904"/>
      <c r="AJ52" s="1905"/>
      <c r="AK52" s="574"/>
      <c r="AL52" s="574"/>
      <c r="AM52" s="574"/>
      <c r="AN52" s="569"/>
    </row>
    <row r="53" spans="1:50" s="570" customFormat="1" ht="12.75" customHeight="1">
      <c r="A53" s="574"/>
      <c r="B53" s="581"/>
      <c r="C53" s="581"/>
      <c r="D53" s="581"/>
      <c r="E53" s="1906"/>
      <c r="F53" s="1907"/>
      <c r="G53" s="1907"/>
      <c r="H53" s="1907"/>
      <c r="I53" s="1907"/>
      <c r="J53" s="1907"/>
      <c r="K53" s="1907"/>
      <c r="L53" s="1907"/>
      <c r="M53" s="1907"/>
      <c r="N53" s="1907"/>
      <c r="O53" s="1907"/>
      <c r="P53" s="1907"/>
      <c r="Q53" s="1907"/>
      <c r="R53" s="1907"/>
      <c r="S53" s="1907"/>
      <c r="T53" s="1907"/>
      <c r="U53" s="1907"/>
      <c r="V53" s="1907"/>
      <c r="W53" s="1907"/>
      <c r="X53" s="1907"/>
      <c r="Y53" s="1907"/>
      <c r="Z53" s="1907"/>
      <c r="AA53" s="1907"/>
      <c r="AB53" s="1907"/>
      <c r="AC53" s="1907"/>
      <c r="AD53" s="1907"/>
      <c r="AE53" s="1907"/>
      <c r="AF53" s="1907"/>
      <c r="AG53" s="1907"/>
      <c r="AH53" s="1907"/>
      <c r="AI53" s="1907"/>
      <c r="AJ53" s="190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32">
        <f>AO36</f>
        <v>0</v>
      </c>
      <c r="AL56" s="1933"/>
      <c r="AM56" s="193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2" t="s">
        <v>1426</v>
      </c>
      <c r="AF59" s="1912"/>
      <c r="AG59" s="1912"/>
      <c r="AH59" s="1912"/>
      <c r="AI59" s="1912"/>
      <c r="AJ59" s="1912"/>
      <c r="AK59" s="1912"/>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02" t="s">
        <v>600</v>
      </c>
      <c r="C62" s="1902"/>
      <c r="D62" s="581" t="s">
        <v>1427</v>
      </c>
      <c r="E62" s="1913" t="s">
        <v>2331</v>
      </c>
      <c r="F62" s="1914"/>
      <c r="G62" s="1914"/>
      <c r="H62" s="1914"/>
      <c r="I62" s="1914"/>
      <c r="J62" s="1914"/>
      <c r="K62" s="1914"/>
      <c r="L62" s="1914"/>
      <c r="M62" s="1914"/>
      <c r="N62" s="1914"/>
      <c r="O62" s="1914"/>
      <c r="P62" s="1914"/>
      <c r="Q62" s="1914"/>
      <c r="R62" s="1914"/>
      <c r="S62" s="1914"/>
      <c r="T62" s="1914"/>
      <c r="U62" s="1914"/>
      <c r="V62" s="1914"/>
      <c r="W62" s="1914"/>
      <c r="X62" s="1914"/>
      <c r="Y62" s="1914"/>
      <c r="Z62" s="1914"/>
      <c r="AA62" s="1914"/>
      <c r="AB62" s="1914"/>
      <c r="AC62" s="1914"/>
      <c r="AD62" s="1914"/>
      <c r="AE62" s="1914"/>
      <c r="AF62" s="1914"/>
      <c r="AG62" s="1914"/>
      <c r="AH62" s="1914"/>
      <c r="AI62" s="1914"/>
      <c r="AJ62" s="1915"/>
      <c r="AK62" s="577"/>
      <c r="AL62" s="574"/>
      <c r="AM62" s="574"/>
      <c r="AN62" s="569"/>
      <c r="AO62" s="584">
        <f>IF($B62="yes",10,0)</f>
        <v>0</v>
      </c>
    </row>
    <row r="63" spans="1:50" s="570" customFormat="1" ht="12.75" customHeight="1">
      <c r="A63" s="572"/>
      <c r="B63" s="574"/>
      <c r="C63" s="574"/>
      <c r="D63" s="585"/>
      <c r="E63" s="1916"/>
      <c r="F63" s="1917"/>
      <c r="G63" s="1917"/>
      <c r="H63" s="1917"/>
      <c r="I63" s="1917"/>
      <c r="J63" s="1917"/>
      <c r="K63" s="1917"/>
      <c r="L63" s="1917"/>
      <c r="M63" s="1917"/>
      <c r="N63" s="1917"/>
      <c r="O63" s="1917"/>
      <c r="P63" s="1917"/>
      <c r="Q63" s="1917"/>
      <c r="R63" s="1917"/>
      <c r="S63" s="1917"/>
      <c r="T63" s="1917"/>
      <c r="U63" s="1917"/>
      <c r="V63" s="1917"/>
      <c r="W63" s="1917"/>
      <c r="X63" s="1917"/>
      <c r="Y63" s="1917"/>
      <c r="Z63" s="1917"/>
      <c r="AA63" s="1917"/>
      <c r="AB63" s="1917"/>
      <c r="AC63" s="1917"/>
      <c r="AD63" s="1917"/>
      <c r="AE63" s="1917"/>
      <c r="AF63" s="1917"/>
      <c r="AG63" s="1917"/>
      <c r="AH63" s="1917"/>
      <c r="AI63" s="1917"/>
      <c r="AJ63" s="1918"/>
      <c r="AK63" s="577"/>
      <c r="AL63" s="574"/>
      <c r="AM63" s="574"/>
      <c r="AN63" s="569"/>
      <c r="AO63" s="584">
        <f>IF($B68="yes",10,0)</f>
        <v>0</v>
      </c>
    </row>
    <row r="64" spans="1:50" s="570" customFormat="1" ht="12.75" customHeight="1">
      <c r="A64" s="572"/>
      <c r="B64" s="574"/>
      <c r="C64" s="574"/>
      <c r="D64" s="585"/>
      <c r="E64" s="1916"/>
      <c r="F64" s="1917"/>
      <c r="G64" s="1917"/>
      <c r="H64" s="1917"/>
      <c r="I64" s="1917"/>
      <c r="J64" s="1917"/>
      <c r="K64" s="1917"/>
      <c r="L64" s="1917"/>
      <c r="M64" s="1917"/>
      <c r="N64" s="1917"/>
      <c r="O64" s="1917"/>
      <c r="P64" s="1917"/>
      <c r="Q64" s="1917"/>
      <c r="R64" s="1917"/>
      <c r="S64" s="1917"/>
      <c r="T64" s="1917"/>
      <c r="U64" s="1917"/>
      <c r="V64" s="1917"/>
      <c r="W64" s="1917"/>
      <c r="X64" s="1917"/>
      <c r="Y64" s="1917"/>
      <c r="Z64" s="1917"/>
      <c r="AA64" s="1917"/>
      <c r="AB64" s="1917"/>
      <c r="AC64" s="1917"/>
      <c r="AD64" s="1917"/>
      <c r="AE64" s="1917"/>
      <c r="AF64" s="1917"/>
      <c r="AG64" s="1917"/>
      <c r="AH64" s="1917"/>
      <c r="AI64" s="1917"/>
      <c r="AJ64" s="1918"/>
      <c r="AK64" s="577"/>
      <c r="AL64" s="574"/>
      <c r="AM64" s="574"/>
      <c r="AN64" s="569"/>
      <c r="AO64" s="584">
        <f>IF($B75="yes",10,0)</f>
        <v>0</v>
      </c>
    </row>
    <row r="65" spans="1:42" s="570" customFormat="1" ht="12.75" customHeight="1">
      <c r="A65" s="572"/>
      <c r="B65" s="574"/>
      <c r="C65" s="574"/>
      <c r="D65" s="585"/>
      <c r="E65" s="1916"/>
      <c r="F65" s="1917"/>
      <c r="G65" s="1917"/>
      <c r="H65" s="1917"/>
      <c r="I65" s="1917"/>
      <c r="J65" s="1917"/>
      <c r="K65" s="1917"/>
      <c r="L65" s="1917"/>
      <c r="M65" s="1917"/>
      <c r="N65" s="1917"/>
      <c r="O65" s="1917"/>
      <c r="P65" s="1917"/>
      <c r="Q65" s="1917"/>
      <c r="R65" s="1917"/>
      <c r="S65" s="1917"/>
      <c r="T65" s="1917"/>
      <c r="U65" s="1917"/>
      <c r="V65" s="1917"/>
      <c r="W65" s="1917"/>
      <c r="X65" s="1917"/>
      <c r="Y65" s="1917"/>
      <c r="Z65" s="1917"/>
      <c r="AA65" s="1917"/>
      <c r="AB65" s="1917"/>
      <c r="AC65" s="1917"/>
      <c r="AD65" s="1917"/>
      <c r="AE65" s="1917"/>
      <c r="AF65" s="1917"/>
      <c r="AG65" s="1917"/>
      <c r="AH65" s="1917"/>
      <c r="AI65" s="1917"/>
      <c r="AJ65" s="1918"/>
      <c r="AK65" s="577"/>
      <c r="AL65" s="574"/>
      <c r="AM65" s="574"/>
      <c r="AN65" s="569"/>
      <c r="AO65" s="570">
        <f>IF(SUM(AO62:AO64)&gt;10,10,(SUM(AO62:AO64)))</f>
        <v>0</v>
      </c>
      <c r="AP65" s="608" t="s">
        <v>1428</v>
      </c>
    </row>
    <row r="66" spans="1:42" s="570" customFormat="1" ht="12.75" customHeight="1">
      <c r="A66" s="572"/>
      <c r="B66" s="574"/>
      <c r="C66" s="574"/>
      <c r="D66" s="585"/>
      <c r="E66" s="1919"/>
      <c r="F66" s="1920"/>
      <c r="G66" s="1920"/>
      <c r="H66" s="1920"/>
      <c r="I66" s="1920"/>
      <c r="J66" s="1920"/>
      <c r="K66" s="1920"/>
      <c r="L66" s="1920"/>
      <c r="M66" s="1920"/>
      <c r="N66" s="1920"/>
      <c r="O66" s="1920"/>
      <c r="P66" s="1920"/>
      <c r="Q66" s="1920"/>
      <c r="R66" s="1920"/>
      <c r="S66" s="1920"/>
      <c r="T66" s="1920"/>
      <c r="U66" s="1920"/>
      <c r="V66" s="1920"/>
      <c r="W66" s="1920"/>
      <c r="X66" s="1920"/>
      <c r="Y66" s="1920"/>
      <c r="Z66" s="1920"/>
      <c r="AA66" s="1920"/>
      <c r="AB66" s="1920"/>
      <c r="AC66" s="1920"/>
      <c r="AD66" s="1920"/>
      <c r="AE66" s="1920"/>
      <c r="AF66" s="1920"/>
      <c r="AG66" s="1920"/>
      <c r="AH66" s="1920"/>
      <c r="AI66" s="1920"/>
      <c r="AJ66" s="192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02" t="s">
        <v>600</v>
      </c>
      <c r="C68" s="1902"/>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22" t="s">
        <v>600</v>
      </c>
      <c r="F69" s="1902"/>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00" t="s">
        <v>600</v>
      </c>
      <c r="F70" s="1901"/>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00" t="s">
        <v>600</v>
      </c>
      <c r="F71" s="1901"/>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22" t="s">
        <v>600</v>
      </c>
      <c r="F73" s="1902"/>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02" t="s">
        <v>600</v>
      </c>
      <c r="C75" s="1902"/>
      <c r="D75" s="581" t="s">
        <v>1432</v>
      </c>
      <c r="E75" s="1903" t="s">
        <v>1931</v>
      </c>
      <c r="F75" s="1904"/>
      <c r="G75" s="1904"/>
      <c r="H75" s="1904"/>
      <c r="I75" s="1904"/>
      <c r="J75" s="1904"/>
      <c r="K75" s="1904"/>
      <c r="L75" s="1904"/>
      <c r="M75" s="1904"/>
      <c r="N75" s="1904"/>
      <c r="O75" s="1904"/>
      <c r="P75" s="1904"/>
      <c r="Q75" s="1904"/>
      <c r="R75" s="1904"/>
      <c r="S75" s="1904"/>
      <c r="T75" s="1904"/>
      <c r="U75" s="1904"/>
      <c r="V75" s="1904"/>
      <c r="W75" s="1904"/>
      <c r="X75" s="1904"/>
      <c r="Y75" s="1904"/>
      <c r="Z75" s="1904"/>
      <c r="AA75" s="1904"/>
      <c r="AB75" s="1904"/>
      <c r="AC75" s="1904"/>
      <c r="AD75" s="1904"/>
      <c r="AE75" s="1904"/>
      <c r="AF75" s="1904"/>
      <c r="AG75" s="1904"/>
      <c r="AH75" s="1904"/>
      <c r="AI75" s="1904"/>
      <c r="AJ75" s="1905"/>
      <c r="AK75" s="577"/>
      <c r="AL75" s="574"/>
      <c r="AM75" s="574"/>
      <c r="AN75" s="569"/>
    </row>
    <row r="76" spans="1:42" s="570" customFormat="1" ht="12.75" customHeight="1">
      <c r="A76" s="572"/>
      <c r="B76" s="574"/>
      <c r="C76" s="574"/>
      <c r="D76" s="584"/>
      <c r="E76" s="1906"/>
      <c r="F76" s="1907"/>
      <c r="G76" s="1907"/>
      <c r="H76" s="1907"/>
      <c r="I76" s="1907"/>
      <c r="J76" s="1907"/>
      <c r="K76" s="1907"/>
      <c r="L76" s="1907"/>
      <c r="M76" s="1907"/>
      <c r="N76" s="1907"/>
      <c r="O76" s="1907"/>
      <c r="P76" s="1907"/>
      <c r="Q76" s="1907"/>
      <c r="R76" s="1907"/>
      <c r="S76" s="1907"/>
      <c r="T76" s="1907"/>
      <c r="U76" s="1907"/>
      <c r="V76" s="1907"/>
      <c r="W76" s="1907"/>
      <c r="X76" s="1907"/>
      <c r="Y76" s="1907"/>
      <c r="Z76" s="1907"/>
      <c r="AA76" s="1907"/>
      <c r="AB76" s="1907"/>
      <c r="AC76" s="1907"/>
      <c r="AD76" s="1907"/>
      <c r="AE76" s="1907"/>
      <c r="AF76" s="1907"/>
      <c r="AG76" s="1907"/>
      <c r="AH76" s="1907"/>
      <c r="AI76" s="1907"/>
      <c r="AJ76" s="190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32">
        <f>IF(AK56&gt;0,0,AO65)</f>
        <v>0</v>
      </c>
      <c r="AL78" s="1933"/>
      <c r="AM78" s="193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2" t="s">
        <v>1417</v>
      </c>
      <c r="AF81" s="1912"/>
      <c r="AG81" s="1912"/>
      <c r="AH81" s="1912"/>
      <c r="AI81" s="1912"/>
      <c r="AJ81" s="1912"/>
      <c r="AK81" s="1912"/>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02" t="s">
        <v>554</v>
      </c>
      <c r="C84" s="1902"/>
      <c r="D84" s="581" t="s">
        <v>1427</v>
      </c>
      <c r="E84" s="1913" t="s">
        <v>1437</v>
      </c>
      <c r="F84" s="1914"/>
      <c r="G84" s="1914"/>
      <c r="H84" s="1914"/>
      <c r="I84" s="1914"/>
      <c r="J84" s="1914"/>
      <c r="K84" s="1914"/>
      <c r="L84" s="1914"/>
      <c r="M84" s="1914"/>
      <c r="N84" s="1914"/>
      <c r="O84" s="1914"/>
      <c r="P84" s="1914"/>
      <c r="Q84" s="1914"/>
      <c r="R84" s="1914"/>
      <c r="S84" s="1914"/>
      <c r="T84" s="1914"/>
      <c r="U84" s="1914"/>
      <c r="V84" s="1914"/>
      <c r="W84" s="1914"/>
      <c r="X84" s="1914"/>
      <c r="Y84" s="1914"/>
      <c r="Z84" s="1914"/>
      <c r="AA84" s="1914"/>
      <c r="AB84" s="1914"/>
      <c r="AC84" s="1914"/>
      <c r="AD84" s="1914"/>
      <c r="AE84" s="1914"/>
      <c r="AF84" s="1914"/>
      <c r="AG84" s="1914"/>
      <c r="AH84" s="1914"/>
      <c r="AI84" s="1914"/>
      <c r="AJ84" s="1915"/>
      <c r="AK84" s="577"/>
      <c r="AL84" s="574"/>
      <c r="AM84" s="574"/>
      <c r="AN84" s="569"/>
    </row>
    <row r="85" spans="1:43" s="570" customFormat="1" ht="12.75" customHeight="1">
      <c r="A85" s="572"/>
      <c r="B85" s="573"/>
      <c r="C85" s="573"/>
      <c r="D85" s="573"/>
      <c r="E85" s="1916"/>
      <c r="F85" s="1917"/>
      <c r="G85" s="1917"/>
      <c r="H85" s="1917"/>
      <c r="I85" s="1917"/>
      <c r="J85" s="1917"/>
      <c r="K85" s="1917"/>
      <c r="L85" s="1917"/>
      <c r="M85" s="1917"/>
      <c r="N85" s="1917"/>
      <c r="O85" s="1917"/>
      <c r="P85" s="1917"/>
      <c r="Q85" s="1917"/>
      <c r="R85" s="1917"/>
      <c r="S85" s="1917"/>
      <c r="T85" s="1917"/>
      <c r="U85" s="1917"/>
      <c r="V85" s="1917"/>
      <c r="W85" s="1917"/>
      <c r="X85" s="1917"/>
      <c r="Y85" s="1917"/>
      <c r="Z85" s="1917"/>
      <c r="AA85" s="1917"/>
      <c r="AB85" s="1917"/>
      <c r="AC85" s="1917"/>
      <c r="AD85" s="1917"/>
      <c r="AE85" s="1917"/>
      <c r="AF85" s="1917"/>
      <c r="AG85" s="1917"/>
      <c r="AH85" s="1917"/>
      <c r="AI85" s="1917"/>
      <c r="AJ85" s="191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6">
        <f>Application!AC753</f>
        <v>0.49371069182389937</v>
      </c>
      <c r="F87" s="1897"/>
      <c r="G87" s="1897"/>
      <c r="H87" s="1897"/>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8">
        <f>0.6-ROUNDUP(E87,2)</f>
        <v>9.9999999999999978E-2</v>
      </c>
      <c r="F88" s="1899"/>
      <c r="G88" s="1899"/>
      <c r="H88" s="1899"/>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6">
        <f>IF(E88*200&gt;20,20,E88*200)</f>
        <v>19.999999999999996</v>
      </c>
      <c r="F89" s="1927"/>
      <c r="G89" s="1927"/>
      <c r="H89" s="1927"/>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02" t="s">
        <v>600</v>
      </c>
      <c r="C92" s="1902"/>
      <c r="D92" s="581" t="s">
        <v>1429</v>
      </c>
      <c r="E92" s="1913" t="s">
        <v>1916</v>
      </c>
      <c r="F92" s="1914"/>
      <c r="G92" s="1914"/>
      <c r="H92" s="1914"/>
      <c r="I92" s="1914"/>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5"/>
      <c r="AK92" s="577"/>
      <c r="AL92" s="574"/>
      <c r="AM92" s="574"/>
      <c r="AN92" s="569"/>
    </row>
    <row r="93" spans="1:43" s="570" customFormat="1" ht="12.75" customHeight="1">
      <c r="A93" s="572"/>
      <c r="B93" s="573"/>
      <c r="C93" s="573"/>
      <c r="D93" s="573"/>
      <c r="E93" s="1916"/>
      <c r="F93" s="1917"/>
      <c r="G93" s="1917"/>
      <c r="H93" s="1917"/>
      <c r="I93" s="1917"/>
      <c r="J93" s="1917"/>
      <c r="K93" s="1917"/>
      <c r="L93" s="1917"/>
      <c r="M93" s="1917"/>
      <c r="N93" s="1917"/>
      <c r="O93" s="1917"/>
      <c r="P93" s="1917"/>
      <c r="Q93" s="1917"/>
      <c r="R93" s="1917"/>
      <c r="S93" s="1917"/>
      <c r="T93" s="1917"/>
      <c r="U93" s="1917"/>
      <c r="V93" s="1917"/>
      <c r="W93" s="1917"/>
      <c r="X93" s="1917"/>
      <c r="Y93" s="1917"/>
      <c r="Z93" s="1917"/>
      <c r="AA93" s="1917"/>
      <c r="AB93" s="1917"/>
      <c r="AC93" s="1917"/>
      <c r="AD93" s="1917"/>
      <c r="AE93" s="1917"/>
      <c r="AF93" s="1917"/>
      <c r="AG93" s="1917"/>
      <c r="AH93" s="1917"/>
      <c r="AI93" s="1917"/>
      <c r="AJ93" s="1918"/>
      <c r="AK93" s="577"/>
      <c r="AL93" s="574"/>
      <c r="AM93" s="574"/>
      <c r="AN93" s="569"/>
    </row>
    <row r="94" spans="1:43" s="570" customFormat="1" ht="12.75" customHeight="1">
      <c r="A94" s="572"/>
      <c r="B94" s="573"/>
      <c r="C94" s="573"/>
      <c r="D94" s="573"/>
      <c r="E94" s="1916"/>
      <c r="F94" s="1917"/>
      <c r="G94" s="1917"/>
      <c r="H94" s="1917"/>
      <c r="I94" s="1917"/>
      <c r="J94" s="1917"/>
      <c r="K94" s="1917"/>
      <c r="L94" s="1917"/>
      <c r="M94" s="1917"/>
      <c r="N94" s="1917"/>
      <c r="O94" s="1917"/>
      <c r="P94" s="1917"/>
      <c r="Q94" s="1917"/>
      <c r="R94" s="1917"/>
      <c r="S94" s="1917"/>
      <c r="T94" s="1917"/>
      <c r="U94" s="1917"/>
      <c r="V94" s="1917"/>
      <c r="W94" s="1917"/>
      <c r="X94" s="1917"/>
      <c r="Y94" s="1917"/>
      <c r="Z94" s="1917"/>
      <c r="AA94" s="1917"/>
      <c r="AB94" s="1917"/>
      <c r="AC94" s="1917"/>
      <c r="AD94" s="1917"/>
      <c r="AE94" s="1917"/>
      <c r="AF94" s="1917"/>
      <c r="AG94" s="1917"/>
      <c r="AH94" s="1917"/>
      <c r="AI94" s="1917"/>
      <c r="AJ94" s="1918"/>
      <c r="AK94" s="577"/>
      <c r="AL94" s="574"/>
      <c r="AM94" s="574"/>
      <c r="AN94" s="569"/>
    </row>
    <row r="95" spans="1:43" s="570" customFormat="1" ht="12.75" customHeight="1">
      <c r="A95" s="572"/>
      <c r="B95" s="573"/>
      <c r="C95" s="573"/>
      <c r="D95" s="573"/>
      <c r="E95" s="1916"/>
      <c r="F95" s="1917"/>
      <c r="G95" s="1917"/>
      <c r="H95" s="1917"/>
      <c r="I95" s="1917"/>
      <c r="J95" s="1917"/>
      <c r="K95" s="1917"/>
      <c r="L95" s="1917"/>
      <c r="M95" s="1917"/>
      <c r="N95" s="1917"/>
      <c r="O95" s="1917"/>
      <c r="P95" s="1917"/>
      <c r="Q95" s="1917"/>
      <c r="R95" s="1917"/>
      <c r="S95" s="1917"/>
      <c r="T95" s="1917"/>
      <c r="U95" s="1917"/>
      <c r="V95" s="1917"/>
      <c r="W95" s="1917"/>
      <c r="X95" s="1917"/>
      <c r="Y95" s="1917"/>
      <c r="Z95" s="1917"/>
      <c r="AA95" s="1917"/>
      <c r="AB95" s="1917"/>
      <c r="AC95" s="1917"/>
      <c r="AD95" s="1917"/>
      <c r="AE95" s="1917"/>
      <c r="AF95" s="1917"/>
      <c r="AG95" s="1917"/>
      <c r="AH95" s="1917"/>
      <c r="AI95" s="1917"/>
      <c r="AJ95" s="191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6">
        <f>Application!AC753</f>
        <v>0.49371069182389937</v>
      </c>
      <c r="F97" s="1897"/>
      <c r="G97" s="1897"/>
      <c r="H97" s="1897"/>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6">
        <f ca="1">SUMIF(Application!AC718:AG752,0.2,Application!G718:J752)/Application!G753+SUMIF(Application!AC718:AG752,0.25,Application!G718:J752)/Application!G753+SUMIF(Application!AC718:AG752,0.3,Application!G718:J752)/Application!G753</f>
        <v>5.0314465408805034E-2</v>
      </c>
      <c r="F98" s="1897"/>
      <c r="G98" s="1897"/>
      <c r="H98" s="1897"/>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6">
        <f ca="1">SUMIF(Application!AC718:AG752,0.35,Application!G718:J752)/Application!G753+SUMIF(Application!AC718:AG752,0.4,Application!G718:J752)/Application!G753+SUMIF(Application!AC718:AG752,0.45,Application!G718:J752)/Application!G753+SUMIF(Application!AC718:AG752,0.5,Application!G718:J752)/Application!G753</f>
        <v>0.93710691823899372</v>
      </c>
      <c r="F99" s="1897"/>
      <c r="G99" s="1897"/>
      <c r="H99" s="1897"/>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51">
        <f ca="1">IF(AND(E97&lt;=0.6,E98&gt;=0.1,OR(E99&gt;=0.1,E98&gt;=0.2)),20,0)</f>
        <v>0</v>
      </c>
      <c r="F100" s="1952"/>
      <c r="G100" s="1952"/>
      <c r="H100" s="1952"/>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32">
        <f>MAX(AP89,AP100)</f>
        <v>19.999999999999996</v>
      </c>
      <c r="AL103" s="1933"/>
      <c r="AM103" s="193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2" t="s">
        <v>1426</v>
      </c>
      <c r="AF106" s="1912"/>
      <c r="AG106" s="1912"/>
      <c r="AH106" s="1912"/>
      <c r="AI106" s="1912"/>
      <c r="AJ106" s="1912"/>
      <c r="AK106" s="1912"/>
      <c r="AL106" s="574"/>
      <c r="AM106" s="574"/>
      <c r="AN106" s="569"/>
      <c r="AO106" s="570" t="str">
        <f>Application!B718</f>
        <v>1 Bedroom</v>
      </c>
      <c r="AQ106" s="570">
        <f>Application!O718</f>
        <v>1600</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1914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1915</v>
      </c>
    </row>
    <row r="109" spans="1:49" s="570" customFormat="1" ht="12.75" customHeight="1">
      <c r="A109" s="574"/>
      <c r="B109" s="1902" t="s">
        <v>600</v>
      </c>
      <c r="C109" s="1902"/>
      <c r="D109" s="581" t="s">
        <v>1427</v>
      </c>
      <c r="E109" s="1913" t="s">
        <v>2050</v>
      </c>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c r="AA109" s="1914"/>
      <c r="AB109" s="1914"/>
      <c r="AC109" s="1914"/>
      <c r="AD109" s="1914"/>
      <c r="AE109" s="1914"/>
      <c r="AF109" s="1914"/>
      <c r="AG109" s="1914"/>
      <c r="AH109" s="1914"/>
      <c r="AI109" s="1914"/>
      <c r="AJ109" s="1915"/>
      <c r="AK109" s="574"/>
      <c r="AL109" s="574"/>
      <c r="AM109" s="574"/>
      <c r="AN109" s="569"/>
      <c r="AO109" s="570" t="str">
        <f>Application!B721</f>
        <v>2 Bedrooms</v>
      </c>
      <c r="AQ109" s="570">
        <f>Application!O721</f>
        <v>1880</v>
      </c>
      <c r="AU109" s="570" t="s">
        <v>2032</v>
      </c>
      <c r="AV109" s="629" t="s">
        <v>2033</v>
      </c>
      <c r="AW109" s="570" t="s">
        <v>2034</v>
      </c>
    </row>
    <row r="110" spans="1:49" s="570" customFormat="1" ht="12.75" customHeight="1">
      <c r="A110" s="574"/>
      <c r="B110" s="573"/>
      <c r="C110" s="573"/>
      <c r="D110" s="573"/>
      <c r="E110" s="1916"/>
      <c r="F110" s="1917"/>
      <c r="G110" s="1917"/>
      <c r="H110" s="1917"/>
      <c r="I110" s="1917"/>
      <c r="J110" s="1917"/>
      <c r="K110" s="1917"/>
      <c r="L110" s="1917"/>
      <c r="M110" s="1917"/>
      <c r="N110" s="1917"/>
      <c r="O110" s="1917"/>
      <c r="P110" s="1917"/>
      <c r="Q110" s="1917"/>
      <c r="R110" s="1917"/>
      <c r="S110" s="1917"/>
      <c r="T110" s="1917"/>
      <c r="U110" s="1917"/>
      <c r="V110" s="1917"/>
      <c r="W110" s="1917"/>
      <c r="X110" s="1917"/>
      <c r="Y110" s="1917"/>
      <c r="Z110" s="1917"/>
      <c r="AA110" s="1917"/>
      <c r="AB110" s="1917"/>
      <c r="AC110" s="1917"/>
      <c r="AD110" s="1917"/>
      <c r="AE110" s="1917"/>
      <c r="AF110" s="1917"/>
      <c r="AG110" s="1917"/>
      <c r="AH110" s="1917"/>
      <c r="AI110" s="1917"/>
      <c r="AJ110" s="1918"/>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6"/>
      <c r="F111" s="1917"/>
      <c r="G111" s="1917"/>
      <c r="H111" s="1917"/>
      <c r="I111" s="1917"/>
      <c r="J111" s="1917"/>
      <c r="K111" s="1917"/>
      <c r="L111" s="1917"/>
      <c r="M111" s="1917"/>
      <c r="N111" s="1917"/>
      <c r="O111" s="1917"/>
      <c r="P111" s="1917"/>
      <c r="Q111" s="1917"/>
      <c r="R111" s="1917"/>
      <c r="S111" s="1917"/>
      <c r="T111" s="1917"/>
      <c r="U111" s="1917"/>
      <c r="V111" s="1917"/>
      <c r="W111" s="1917"/>
      <c r="X111" s="1917"/>
      <c r="Y111" s="1917"/>
      <c r="Z111" s="1917"/>
      <c r="AA111" s="1917"/>
      <c r="AB111" s="1917"/>
      <c r="AC111" s="1917"/>
      <c r="AD111" s="1917"/>
      <c r="AE111" s="1917"/>
      <c r="AF111" s="1917"/>
      <c r="AG111" s="1917"/>
      <c r="AH111" s="1917"/>
      <c r="AI111" s="1917"/>
      <c r="AJ111" s="1918"/>
      <c r="AK111" s="574"/>
      <c r="AL111" s="574"/>
      <c r="AM111" s="574"/>
      <c r="AN111" s="569"/>
      <c r="AO111" s="570" t="str">
        <f>Application!B723</f>
        <v>1 Bedroom</v>
      </c>
      <c r="AQ111" s="570">
        <f>Application!O723</f>
        <v>930</v>
      </c>
      <c r="AU111" s="890" t="str">
        <f>J118</f>
        <v>1-bedroom</v>
      </c>
      <c r="AV111" s="570">
        <f t="array" ref="AV111">SUM(IF(Application!B718:F752="1 Bedroom",Application!G718:J752))</f>
        <v>80</v>
      </c>
      <c r="AW111" s="1046">
        <f>AV111/AV116</f>
        <v>0.50314465408805031</v>
      </c>
    </row>
    <row r="112" spans="1:49" s="570" customFormat="1" ht="12.75" customHeight="1">
      <c r="A112" s="574"/>
      <c r="B112" s="573"/>
      <c r="C112" s="573"/>
      <c r="D112" s="573"/>
      <c r="E112" s="1916"/>
      <c r="F112" s="1917"/>
      <c r="G112" s="1917"/>
      <c r="H112" s="1917"/>
      <c r="I112" s="1917"/>
      <c r="J112" s="1917"/>
      <c r="K112" s="1917"/>
      <c r="L112" s="1917"/>
      <c r="M112" s="1917"/>
      <c r="N112" s="1917"/>
      <c r="O112" s="1917"/>
      <c r="P112" s="1917"/>
      <c r="Q112" s="1917"/>
      <c r="R112" s="1917"/>
      <c r="S112" s="1917"/>
      <c r="T112" s="1917"/>
      <c r="U112" s="1917"/>
      <c r="V112" s="1917"/>
      <c r="W112" s="1917"/>
      <c r="X112" s="1917"/>
      <c r="Y112" s="1917"/>
      <c r="Z112" s="1917"/>
      <c r="AA112" s="1917"/>
      <c r="AB112" s="1917"/>
      <c r="AC112" s="1917"/>
      <c r="AD112" s="1917"/>
      <c r="AE112" s="1917"/>
      <c r="AF112" s="1917"/>
      <c r="AG112" s="1917"/>
      <c r="AH112" s="1917"/>
      <c r="AI112" s="1917"/>
      <c r="AJ112" s="1918"/>
      <c r="AK112" s="574"/>
      <c r="AL112" s="574"/>
      <c r="AM112" s="574"/>
      <c r="AN112" s="569"/>
      <c r="AO112" s="570" t="str">
        <f>Application!B724</f>
        <v>2 Bedrooms</v>
      </c>
      <c r="AQ112" s="570">
        <f>Application!O724</f>
        <v>1111</v>
      </c>
      <c r="AU112" s="890" t="str">
        <f>O118</f>
        <v>2-bedroom</v>
      </c>
      <c r="AV112" s="570">
        <f t="array" ref="AV112">SUM(IF(Application!B718:F752="2 Bedrooms",Application!G718:J752))</f>
        <v>79</v>
      </c>
      <c r="AW112" s="1046">
        <f>AV112/AV116</f>
        <v>0.49685534591194969</v>
      </c>
    </row>
    <row r="113" spans="1:52" s="570" customFormat="1" ht="12.75" customHeight="1">
      <c r="A113" s="574"/>
      <c r="B113" s="573"/>
      <c r="C113" s="573"/>
      <c r="D113" s="573"/>
      <c r="E113" s="1916"/>
      <c r="F113" s="1917"/>
      <c r="G113" s="1917"/>
      <c r="H113" s="1917"/>
      <c r="I113" s="1917"/>
      <c r="J113" s="1917"/>
      <c r="K113" s="1917"/>
      <c r="L113" s="1917"/>
      <c r="M113" s="1917"/>
      <c r="N113" s="1917"/>
      <c r="O113" s="1917"/>
      <c r="P113" s="1917"/>
      <c r="Q113" s="1917"/>
      <c r="R113" s="1917"/>
      <c r="S113" s="1917"/>
      <c r="T113" s="1917"/>
      <c r="U113" s="1917"/>
      <c r="V113" s="1917"/>
      <c r="W113" s="1917"/>
      <c r="X113" s="1917"/>
      <c r="Y113" s="1917"/>
      <c r="Z113" s="1917"/>
      <c r="AA113" s="1917"/>
      <c r="AB113" s="1917"/>
      <c r="AC113" s="1917"/>
      <c r="AD113" s="1917"/>
      <c r="AE113" s="1917"/>
      <c r="AF113" s="1917"/>
      <c r="AG113" s="1917"/>
      <c r="AH113" s="1917"/>
      <c r="AI113" s="1917"/>
      <c r="AJ113" s="1918"/>
      <c r="AK113" s="574"/>
      <c r="AL113" s="574"/>
      <c r="AM113" s="574"/>
      <c r="AN113" s="569"/>
      <c r="AO113" s="570" t="str">
        <f>Application!B725</f>
        <v>2 Bedrooms</v>
      </c>
      <c r="AQ113" s="570">
        <f>Application!O725</f>
        <v>1077</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6"/>
      <c r="F114" s="1917"/>
      <c r="G114" s="1917"/>
      <c r="H114" s="1917"/>
      <c r="I114" s="1917"/>
      <c r="J114" s="1917"/>
      <c r="K114" s="1917"/>
      <c r="L114" s="1917"/>
      <c r="M114" s="1917"/>
      <c r="N114" s="1917"/>
      <c r="O114" s="1917"/>
      <c r="P114" s="1917"/>
      <c r="Q114" s="1917"/>
      <c r="R114" s="1917"/>
      <c r="S114" s="1917"/>
      <c r="T114" s="1917"/>
      <c r="U114" s="1917"/>
      <c r="V114" s="1917"/>
      <c r="W114" s="1917"/>
      <c r="X114" s="1917"/>
      <c r="Y114" s="1917"/>
      <c r="Z114" s="1917"/>
      <c r="AA114" s="1917"/>
      <c r="AB114" s="1917"/>
      <c r="AC114" s="1917"/>
      <c r="AD114" s="1917"/>
      <c r="AE114" s="1917"/>
      <c r="AF114" s="1917"/>
      <c r="AG114" s="1917"/>
      <c r="AH114" s="1917"/>
      <c r="AI114" s="1917"/>
      <c r="AJ114" s="191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6"/>
      <c r="F115" s="1917"/>
      <c r="G115" s="1917"/>
      <c r="H115" s="1917"/>
      <c r="I115" s="1917"/>
      <c r="J115" s="1917"/>
      <c r="K115" s="1917"/>
      <c r="L115" s="1917"/>
      <c r="M115" s="1917"/>
      <c r="N115" s="1917"/>
      <c r="O115" s="1917"/>
      <c r="P115" s="1917"/>
      <c r="Q115" s="1917"/>
      <c r="R115" s="1917"/>
      <c r="S115" s="1917"/>
      <c r="T115" s="1917"/>
      <c r="U115" s="1917"/>
      <c r="V115" s="1917"/>
      <c r="W115" s="1917"/>
      <c r="X115" s="1917"/>
      <c r="Y115" s="1917"/>
      <c r="Z115" s="1917"/>
      <c r="AA115" s="1917"/>
      <c r="AB115" s="1917"/>
      <c r="AC115" s="1917"/>
      <c r="AD115" s="1917"/>
      <c r="AE115" s="1917"/>
      <c r="AF115" s="1917"/>
      <c r="AG115" s="1917"/>
      <c r="AH115" s="1917"/>
      <c r="AI115" s="1917"/>
      <c r="AJ115" s="1918"/>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6"/>
      <c r="F116" s="1917"/>
      <c r="G116" s="1917"/>
      <c r="H116" s="1917"/>
      <c r="I116" s="1917"/>
      <c r="J116" s="1917"/>
      <c r="K116" s="1917"/>
      <c r="L116" s="1917"/>
      <c r="M116" s="1917"/>
      <c r="N116" s="1917"/>
      <c r="O116" s="1917"/>
      <c r="P116" s="1917"/>
      <c r="Q116" s="1917"/>
      <c r="R116" s="1917"/>
      <c r="S116" s="1917"/>
      <c r="T116" s="1917"/>
      <c r="U116" s="1917"/>
      <c r="V116" s="1917"/>
      <c r="W116" s="1917"/>
      <c r="X116" s="1917"/>
      <c r="Y116" s="1917"/>
      <c r="Z116" s="1917"/>
      <c r="AA116" s="1917"/>
      <c r="AB116" s="1917"/>
      <c r="AC116" s="1917"/>
      <c r="AD116" s="1917"/>
      <c r="AE116" s="1917"/>
      <c r="AF116" s="1917"/>
      <c r="AG116" s="1917"/>
      <c r="AH116" s="1917"/>
      <c r="AI116" s="1917"/>
      <c r="AJ116" s="1918"/>
      <c r="AK116" s="574"/>
      <c r="AL116" s="574"/>
      <c r="AM116" s="574"/>
      <c r="AN116" s="569"/>
      <c r="AO116" s="570" t="str">
        <f>Application!B728</f>
        <v>2 Bedrooms</v>
      </c>
      <c r="AQ116" s="570">
        <f>Application!O728</f>
        <v>2339</v>
      </c>
      <c r="AV116" s="570">
        <f>SUM(AV110:AV115)</f>
        <v>159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2305</v>
      </c>
    </row>
    <row r="118" spans="1:52" s="570" customFormat="1" ht="12.75" customHeight="1">
      <c r="A118" s="574"/>
      <c r="B118" s="573"/>
      <c r="C118" s="574"/>
      <c r="D118" s="574"/>
      <c r="E118" s="1896" t="s">
        <v>1701</v>
      </c>
      <c r="F118" s="1897"/>
      <c r="G118" s="1897"/>
      <c r="H118" s="1897"/>
      <c r="I118" s="611"/>
      <c r="J118" s="1897" t="s">
        <v>1745</v>
      </c>
      <c r="K118" s="1897"/>
      <c r="L118" s="1897"/>
      <c r="M118" s="1897"/>
      <c r="N118" s="611"/>
      <c r="O118" s="1897" t="s">
        <v>1746</v>
      </c>
      <c r="P118" s="1897"/>
      <c r="Q118" s="1897"/>
      <c r="R118" s="1897"/>
      <c r="S118" s="611"/>
      <c r="T118" s="1897" t="s">
        <v>1446</v>
      </c>
      <c r="U118" s="1897"/>
      <c r="V118" s="1897"/>
      <c r="W118" s="1897"/>
      <c r="X118" s="611"/>
      <c r="Y118" s="1897" t="s">
        <v>1747</v>
      </c>
      <c r="Z118" s="1897"/>
      <c r="AA118" s="1897"/>
      <c r="AB118" s="1897"/>
      <c r="AC118" s="611"/>
      <c r="AD118" s="1897" t="s">
        <v>1748</v>
      </c>
      <c r="AE118" s="1897"/>
      <c r="AF118" s="1897"/>
      <c r="AG118" s="189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53"/>
      <c r="F121" s="1954"/>
      <c r="G121" s="1954"/>
      <c r="H121" s="1954"/>
      <c r="I121" s="898"/>
      <c r="J121" s="1954">
        <v>2745</v>
      </c>
      <c r="K121" s="1954"/>
      <c r="L121" s="1954"/>
      <c r="M121" s="1954"/>
      <c r="N121" s="898"/>
      <c r="O121" s="1954">
        <v>3200</v>
      </c>
      <c r="P121" s="1954"/>
      <c r="Q121" s="1954"/>
      <c r="R121" s="1954"/>
      <c r="S121" s="898"/>
      <c r="T121" s="1954">
        <v>4025</v>
      </c>
      <c r="U121" s="1954"/>
      <c r="V121" s="1954"/>
      <c r="W121" s="1954"/>
      <c r="X121" s="898"/>
      <c r="Y121" s="1954"/>
      <c r="Z121" s="1954"/>
      <c r="AA121" s="1954"/>
      <c r="AB121" s="1954"/>
      <c r="AC121" s="898"/>
      <c r="AD121" s="1954"/>
      <c r="AE121" s="1954"/>
      <c r="AF121" s="1954"/>
      <c r="AG121" s="195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6">
        <f>Application!DX670</f>
        <v>0</v>
      </c>
      <c r="F124" s="1947"/>
      <c r="G124" s="1947"/>
      <c r="H124" s="1947"/>
      <c r="I124" s="898"/>
      <c r="J124" s="1947">
        <f>Application!EC670</f>
        <v>1566.5</v>
      </c>
      <c r="K124" s="1947"/>
      <c r="L124" s="1947"/>
      <c r="M124" s="1947"/>
      <c r="N124" s="898"/>
      <c r="O124" s="1947">
        <f>Application!EH670</f>
        <v>1881.1139240506329</v>
      </c>
      <c r="P124" s="1947"/>
      <c r="Q124" s="1947"/>
      <c r="R124" s="1947"/>
      <c r="S124" s="902"/>
      <c r="T124" s="1947">
        <f>Application!EM670</f>
        <v>0</v>
      </c>
      <c r="U124" s="1947"/>
      <c r="V124" s="1947"/>
      <c r="W124" s="1947"/>
      <c r="X124" s="902"/>
      <c r="Y124" s="1947">
        <f>Application!ER670</f>
        <v>0</v>
      </c>
      <c r="Z124" s="1947"/>
      <c r="AA124" s="1947"/>
      <c r="AB124" s="1947"/>
      <c r="AC124" s="902"/>
      <c r="AD124" s="1947">
        <f>Application!EW670</f>
        <v>0</v>
      </c>
      <c r="AE124" s="1947"/>
      <c r="AF124" s="1947"/>
      <c r="AG124" s="194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3" t="e">
        <f>(E121-E124)/E121</f>
        <v>#DIV/0!</v>
      </c>
      <c r="F127" s="1899"/>
      <c r="G127" s="1899"/>
      <c r="H127" s="2144"/>
      <c r="I127" s="611"/>
      <c r="J127" s="2143">
        <f>(J121-J124)/J121</f>
        <v>0.42932604735883423</v>
      </c>
      <c r="K127" s="1899"/>
      <c r="L127" s="1899"/>
      <c r="M127" s="2144"/>
      <c r="N127" s="611"/>
      <c r="O127" s="2143">
        <f>(O121-O124)/O121</f>
        <v>0.41215189873417724</v>
      </c>
      <c r="P127" s="1899"/>
      <c r="Q127" s="1899"/>
      <c r="R127" s="2144"/>
      <c r="S127" s="611"/>
      <c r="T127" s="2143">
        <f>(T121-T124)/T121</f>
        <v>1</v>
      </c>
      <c r="U127" s="1899"/>
      <c r="V127" s="1899"/>
      <c r="W127" s="2144"/>
      <c r="X127" s="611"/>
      <c r="Y127" s="2143" t="e">
        <f>(Y121-Y124)/Y121</f>
        <v>#DIV/0!</v>
      </c>
      <c r="Z127" s="1899"/>
      <c r="AA127" s="1899"/>
      <c r="AB127" s="2144"/>
      <c r="AC127" s="611"/>
      <c r="AD127" s="2143" t="e">
        <f>(AD121-AD124)/AD121</f>
        <v>#DIV/0!</v>
      </c>
      <c r="AE127" s="1899"/>
      <c r="AF127" s="1899"/>
      <c r="AG127" s="214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8" t="e">
        <f>IF(((E127-0.1)*AW110)&gt;0,((E127-0.1)*AW110),0)</f>
        <v>#DIV/0!</v>
      </c>
      <c r="F130" s="1949"/>
      <c r="G130" s="1949"/>
      <c r="H130" s="1950"/>
      <c r="I130" s="611"/>
      <c r="J130" s="1948">
        <f>IF(((J127-0.1)*AW111)&gt;0,((J127-0.1)*AW111),0)</f>
        <v>0.1656986401805455</v>
      </c>
      <c r="K130" s="1949"/>
      <c r="L130" s="1949"/>
      <c r="M130" s="1950"/>
      <c r="N130" s="611"/>
      <c r="O130" s="1948">
        <f>IF(((O127-0.1)*AW112)&gt;0,((O127-0.1)*AW112),0)</f>
        <v>0.15509433962264152</v>
      </c>
      <c r="P130" s="1949"/>
      <c r="Q130" s="1949"/>
      <c r="R130" s="1950"/>
      <c r="S130" s="611"/>
      <c r="T130" s="1948">
        <f>IF(((T127-0.1)*AW113)&gt;0,((T127-0.1)*AW113),0)</f>
        <v>0</v>
      </c>
      <c r="U130" s="1949"/>
      <c r="V130" s="1949"/>
      <c r="W130" s="1950"/>
      <c r="X130" s="611"/>
      <c r="Y130" s="1948" t="e">
        <f>IF(((Y127-0.1)*AW114)&gt;0,((Y127-0.1)*AW114),0)</f>
        <v>#DIV/0!</v>
      </c>
      <c r="Z130" s="1949"/>
      <c r="AA130" s="1949"/>
      <c r="AB130" s="1950"/>
      <c r="AC130" s="611"/>
      <c r="AD130" s="1948" t="e">
        <f>IF(((AD127-0.1)*AW115)&gt;0,((AD127-0.1)*AW115),0)</f>
        <v>#DIV/0!</v>
      </c>
      <c r="AE130" s="1949"/>
      <c r="AF130" s="1949"/>
      <c r="AG130" s="195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3">
        <f>ROUNDDOWN(SUMIF(E130:AG130,"&gt;0"),2)</f>
        <v>0.32</v>
      </c>
      <c r="F132" s="1899"/>
      <c r="G132" s="1899"/>
      <c r="H132" s="2144"/>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32">
        <f>IF((E132*100)&gt;10,10,E132*100)</f>
        <v>10</v>
      </c>
      <c r="F133" s="1933"/>
      <c r="G133" s="1933"/>
      <c r="H133" s="1934"/>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32">
        <f>E133</f>
        <v>10</v>
      </c>
      <c r="AL137" s="1933"/>
      <c r="AM137" s="193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12" t="s">
        <v>1426</v>
      </c>
      <c r="AF140" s="1912"/>
      <c r="AG140" s="1912"/>
      <c r="AH140" s="1912"/>
      <c r="AI140" s="1912"/>
      <c r="AJ140" s="1912"/>
      <c r="AK140" s="191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4" t="s">
        <v>1450</v>
      </c>
      <c r="AG142" s="1944"/>
      <c r="AH142" s="1944"/>
      <c r="AI142" s="1944"/>
      <c r="AJ142" s="1944"/>
      <c r="AK142" s="1944"/>
      <c r="AL142" s="1944"/>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5" t="s">
        <v>2649</v>
      </c>
      <c r="C144" s="1945"/>
      <c r="D144" s="1945"/>
      <c r="E144" s="1945"/>
      <c r="F144" s="1945"/>
      <c r="G144" s="1945"/>
      <c r="H144" s="1945"/>
      <c r="I144" s="1945"/>
      <c r="J144" s="1945"/>
      <c r="K144" s="1945"/>
      <c r="L144" s="1945"/>
      <c r="M144" s="1945"/>
      <c r="N144" s="1945"/>
      <c r="O144" s="1945"/>
      <c r="P144" s="1945"/>
      <c r="Q144" s="1945"/>
      <c r="R144" s="1945"/>
      <c r="S144" s="1945"/>
      <c r="T144" s="1945"/>
      <c r="U144" s="1945"/>
      <c r="V144" s="1945"/>
      <c r="W144" s="1945"/>
      <c r="X144" s="1945"/>
      <c r="Y144" s="1945"/>
      <c r="Z144" s="1945"/>
      <c r="AA144" s="1945"/>
      <c r="AB144" s="1945"/>
      <c r="AC144" s="194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70" t="s">
        <v>1453</v>
      </c>
      <c r="C147" s="1970"/>
      <c r="D147" s="1970"/>
      <c r="E147" s="1970"/>
      <c r="F147" s="1970"/>
      <c r="G147" s="1970"/>
      <c r="H147" s="1970"/>
      <c r="I147" s="1970"/>
      <c r="J147" s="1970"/>
      <c r="K147" s="1970"/>
      <c r="L147" s="1970"/>
      <c r="M147" s="1970"/>
      <c r="N147" s="1970"/>
      <c r="O147" s="1970"/>
      <c r="P147" s="1970"/>
      <c r="Q147" s="1970"/>
      <c r="R147" s="1970"/>
      <c r="S147" s="1970"/>
      <c r="T147" s="1970"/>
      <c r="U147" s="1970"/>
      <c r="V147" s="1970"/>
      <c r="W147" s="1970"/>
      <c r="X147" s="1970"/>
      <c r="Y147" s="1970"/>
      <c r="Z147" s="1970"/>
      <c r="AA147" s="1970"/>
      <c r="AB147" s="1970"/>
      <c r="AC147" s="1970"/>
      <c r="AD147" s="1970"/>
      <c r="AE147" s="1970"/>
      <c r="AF147" s="1970"/>
      <c r="AG147" s="1970"/>
      <c r="AH147" s="1970"/>
      <c r="AI147" s="1970"/>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71" t="s">
        <v>600</v>
      </c>
      <c r="AC149" s="197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70" t="s">
        <v>1455</v>
      </c>
      <c r="C152" s="1970"/>
      <c r="D152" s="1970"/>
      <c r="E152" s="1970"/>
      <c r="F152" s="1970"/>
      <c r="G152" s="1970"/>
      <c r="H152" s="1970"/>
      <c r="I152" s="1970"/>
      <c r="J152" s="1970"/>
      <c r="K152" s="1970"/>
      <c r="L152" s="1970"/>
      <c r="M152" s="1970"/>
      <c r="N152" s="1970"/>
      <c r="O152" s="1970"/>
      <c r="P152" s="1970"/>
      <c r="Q152" s="1970"/>
      <c r="R152" s="1970"/>
      <c r="S152" s="1970"/>
      <c r="T152" s="1970"/>
      <c r="U152" s="1970"/>
      <c r="V152" s="1970"/>
      <c r="W152" s="1970"/>
      <c r="X152" s="1970"/>
      <c r="Y152" s="1970"/>
      <c r="Z152" s="1970"/>
      <c r="AA152" s="1970"/>
      <c r="AB152" s="1970"/>
      <c r="AC152" s="1970"/>
      <c r="AD152" s="1970"/>
      <c r="AE152" s="1970"/>
      <c r="AF152" s="1970"/>
      <c r="AG152" s="1970"/>
      <c r="AH152" s="1970"/>
      <c r="AI152" s="1970"/>
      <c r="AJ152" s="1970"/>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73">
        <f>IF($AB$149="N/A",VLOOKUP($B$147,$AO$145:$AP$148,2,FALSE),VLOOKUP($B$152,$AO$150:$AP$152,2,FALSE))</f>
        <v>7</v>
      </c>
      <c r="AK155" s="197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4" t="s">
        <v>1464</v>
      </c>
      <c r="AG157" s="1944"/>
      <c r="AH157" s="1944"/>
      <c r="AI157" s="1944"/>
      <c r="AJ157" s="1944"/>
      <c r="AK157" s="1944"/>
      <c r="AL157" s="1944"/>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70" t="s">
        <v>1462</v>
      </c>
      <c r="D159" s="1970"/>
      <c r="E159" s="1970"/>
      <c r="F159" s="1970"/>
      <c r="G159" s="1970"/>
      <c r="H159" s="1970"/>
      <c r="I159" s="1970"/>
      <c r="J159" s="1970"/>
      <c r="K159" s="1970"/>
      <c r="L159" s="1970"/>
      <c r="M159" s="1970"/>
      <c r="N159" s="1970"/>
      <c r="O159" s="1970"/>
      <c r="P159" s="1970"/>
      <c r="Q159" s="1970"/>
      <c r="R159" s="1970"/>
      <c r="S159" s="1970"/>
      <c r="T159" s="1970"/>
      <c r="U159" s="1970"/>
      <c r="V159" s="1970"/>
      <c r="W159" s="1970"/>
      <c r="X159" s="1970"/>
      <c r="Y159" s="1970"/>
      <c r="Z159" s="1970"/>
      <c r="AA159" s="1970"/>
      <c r="AB159" s="1970"/>
      <c r="AC159" s="1970"/>
      <c r="AD159" s="1970"/>
      <c r="AE159" s="1970"/>
      <c r="AF159" s="1970"/>
      <c r="AG159" s="1970"/>
      <c r="AH159" s="1970"/>
      <c r="AI159" s="197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71" t="s">
        <v>600</v>
      </c>
      <c r="AG161" s="1971"/>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70" t="s">
        <v>1455</v>
      </c>
      <c r="D163" s="1970"/>
      <c r="E163" s="1970"/>
      <c r="F163" s="1970"/>
      <c r="G163" s="1970"/>
      <c r="H163" s="1970"/>
      <c r="I163" s="1970"/>
      <c r="J163" s="1970"/>
      <c r="K163" s="1970"/>
      <c r="L163" s="1970"/>
      <c r="M163" s="1970"/>
      <c r="N163" s="1970"/>
      <c r="O163" s="1970"/>
      <c r="P163" s="1970"/>
      <c r="Q163" s="1970"/>
      <c r="R163" s="1970"/>
      <c r="S163" s="1970"/>
      <c r="T163" s="1970"/>
      <c r="U163" s="1970"/>
      <c r="V163" s="1970"/>
      <c r="W163" s="1970"/>
      <c r="X163" s="1970"/>
      <c r="Y163" s="1970"/>
      <c r="Z163" s="1970"/>
      <c r="AA163" s="1970"/>
      <c r="AB163" s="1970"/>
      <c r="AC163" s="1970"/>
      <c r="AD163" s="1970"/>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45"/>
      <c r="D167" s="1945"/>
      <c r="E167" s="1945"/>
      <c r="F167" s="1945"/>
      <c r="G167" s="1945"/>
      <c r="H167" s="1945"/>
      <c r="I167" s="1945"/>
      <c r="J167" s="1945"/>
      <c r="K167" s="1945"/>
      <c r="L167" s="1945"/>
      <c r="M167" s="1945"/>
      <c r="N167" s="1945"/>
      <c r="O167" s="1945"/>
      <c r="P167" s="1945"/>
      <c r="Q167" s="1945"/>
      <c r="R167" s="1945"/>
      <c r="S167" s="1945"/>
      <c r="T167" s="1945"/>
      <c r="U167" s="1945"/>
      <c r="V167" s="1945"/>
      <c r="W167" s="1945"/>
      <c r="X167" s="1945"/>
      <c r="Y167" s="1945"/>
      <c r="Z167" s="1945"/>
      <c r="AA167" s="1945"/>
      <c r="AB167" s="1945"/>
      <c r="AC167" s="1945"/>
      <c r="AD167" s="1945"/>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72">
        <f>IF($AF$161="N/A",VLOOKUP($C$159,$AO$159:$AP$162,2,FALSE),VLOOKUP($C$163,$AO$166:$AP$168,2,FALSE))</f>
        <v>3</v>
      </c>
      <c r="AK169" s="197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32">
        <f>$AJ$155+$AJ$169</f>
        <v>10</v>
      </c>
      <c r="AL172" s="1933"/>
      <c r="AM172" s="193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2" t="s">
        <v>1426</v>
      </c>
      <c r="AF175" s="1912"/>
      <c r="AG175" s="1912"/>
      <c r="AH175" s="1912"/>
      <c r="AI175" s="1912"/>
      <c r="AJ175" s="1912"/>
      <c r="AK175" s="1912"/>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8" t="s">
        <v>1472</v>
      </c>
      <c r="C177" s="1968"/>
      <c r="D177" s="1968"/>
      <c r="E177" s="1968"/>
      <c r="F177" s="1968"/>
      <c r="G177" s="1968"/>
      <c r="H177" s="1968"/>
      <c r="I177" s="1968"/>
      <c r="J177" s="1968"/>
      <c r="K177" s="1968"/>
      <c r="L177" s="1968"/>
      <c r="M177" s="1968"/>
      <c r="N177" s="1968"/>
      <c r="O177" s="1968"/>
      <c r="P177" s="1968"/>
      <c r="Q177" s="1968"/>
      <c r="R177" s="1968"/>
      <c r="S177" s="1968"/>
      <c r="T177" s="1968"/>
      <c r="U177" s="1968"/>
      <c r="V177" s="1968"/>
      <c r="W177" s="1968"/>
      <c r="X177" s="1968"/>
      <c r="Y177" s="1968"/>
      <c r="Z177" s="1968"/>
      <c r="AA177" s="1968"/>
      <c r="AB177" s="1968"/>
      <c r="AC177" s="1968"/>
      <c r="AD177" s="570"/>
      <c r="AE177" s="570"/>
      <c r="AF177" s="1944" t="s">
        <v>1475</v>
      </c>
      <c r="AG177" s="1944"/>
      <c r="AH177" s="1944"/>
      <c r="AI177" s="1944"/>
      <c r="AJ177" s="1944"/>
      <c r="AK177" s="1944"/>
      <c r="AL177" s="1944"/>
      <c r="AN177" s="631"/>
      <c r="AP177" s="584" t="s">
        <v>1068</v>
      </c>
      <c r="AQ177" s="584">
        <v>10</v>
      </c>
    </row>
    <row r="178" spans="1:45" s="584" customFormat="1" ht="12.75" customHeight="1">
      <c r="A178" s="570"/>
      <c r="B178" s="1969" t="s">
        <v>1917</v>
      </c>
      <c r="C178" s="1969"/>
      <c r="D178" s="1969"/>
      <c r="E178" s="1969"/>
      <c r="F178" s="1969"/>
      <c r="G178" s="1969"/>
      <c r="H178" s="1969"/>
      <c r="I178" s="1969"/>
      <c r="J178" s="1969"/>
      <c r="K178" s="1969"/>
      <c r="L178" s="1969"/>
      <c r="M178" s="1969"/>
      <c r="N178" s="1969"/>
      <c r="O178" s="1969"/>
      <c r="P178" s="1969"/>
      <c r="Q178" s="1969"/>
      <c r="R178" s="1969"/>
      <c r="S178" s="1969"/>
      <c r="T178" s="1945" t="s">
        <v>600</v>
      </c>
      <c r="U178" s="1945"/>
      <c r="V178" s="1945"/>
      <c r="W178" s="1945"/>
      <c r="X178" s="1945"/>
      <c r="Y178" s="1945"/>
      <c r="Z178" s="1945"/>
      <c r="AA178" s="1945"/>
      <c r="AB178" s="1945"/>
      <c r="AC178" s="1945"/>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7">
        <f>IF(AK78&gt;0,VLOOKUP($B$177,AP174:AQ180,2,FALSE),0)</f>
        <v>0</v>
      </c>
      <c r="AL180" s="1978"/>
      <c r="AM180" s="1979"/>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2" t="s">
        <v>1484</v>
      </c>
      <c r="AF183" s="1912"/>
      <c r="AG183" s="1912"/>
      <c r="AH183" s="1912"/>
      <c r="AI183" s="1912"/>
      <c r="AJ183" s="1912"/>
      <c r="AK183" s="191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6"/>
      <c r="C188" s="1956"/>
      <c r="D188" s="1956"/>
      <c r="E188" s="1956"/>
      <c r="F188" s="1956"/>
      <c r="G188" s="1956"/>
      <c r="H188" s="1956"/>
      <c r="I188" s="1956"/>
      <c r="J188" s="1956"/>
      <c r="K188" s="1956"/>
      <c r="L188" s="1956"/>
      <c r="M188" s="1956"/>
      <c r="N188" s="1956"/>
      <c r="O188" s="1956"/>
      <c r="P188" s="1956"/>
      <c r="Q188" s="1956"/>
      <c r="R188" s="1956"/>
      <c r="S188" s="1956"/>
      <c r="T188" s="1956"/>
      <c r="U188" s="1956"/>
      <c r="V188" s="1956"/>
      <c r="W188" s="1956"/>
      <c r="X188" s="1956"/>
      <c r="Y188" s="1956"/>
      <c r="Z188" s="1956"/>
      <c r="AA188" s="1956"/>
      <c r="AB188" s="1956"/>
      <c r="AC188" s="880"/>
      <c r="AD188" s="1957"/>
      <c r="AE188" s="1957"/>
      <c r="AF188" s="1957"/>
      <c r="AG188" s="1957"/>
      <c r="AH188" s="1957"/>
      <c r="AI188" s="1957"/>
      <c r="AJ188" s="1957"/>
      <c r="AK188" s="644"/>
    </row>
    <row r="189" spans="1:45">
      <c r="A189" s="639"/>
      <c r="B189" s="1956"/>
      <c r="C189" s="1956"/>
      <c r="D189" s="1956"/>
      <c r="E189" s="1956"/>
      <c r="F189" s="1956"/>
      <c r="G189" s="1956"/>
      <c r="H189" s="1956"/>
      <c r="I189" s="1956"/>
      <c r="J189" s="1956"/>
      <c r="K189" s="1956"/>
      <c r="L189" s="1956"/>
      <c r="M189" s="1956"/>
      <c r="N189" s="1956"/>
      <c r="O189" s="1956"/>
      <c r="P189" s="1956"/>
      <c r="Q189" s="1956"/>
      <c r="R189" s="1956"/>
      <c r="S189" s="1956"/>
      <c r="T189" s="1956"/>
      <c r="U189" s="1956"/>
      <c r="V189" s="1956"/>
      <c r="W189" s="1956"/>
      <c r="X189" s="1956"/>
      <c r="Y189" s="1956"/>
      <c r="Z189" s="1956"/>
      <c r="AA189" s="1956"/>
      <c r="AB189" s="1956"/>
      <c r="AC189" s="880"/>
      <c r="AD189" s="1957"/>
      <c r="AE189" s="1957"/>
      <c r="AF189" s="1957"/>
      <c r="AG189" s="1957"/>
      <c r="AH189" s="1957"/>
      <c r="AI189" s="1957"/>
      <c r="AJ189" s="1957"/>
      <c r="AK189" s="644"/>
    </row>
    <row r="190" spans="1:45">
      <c r="A190" s="639"/>
      <c r="B190" s="1956"/>
      <c r="C190" s="1956"/>
      <c r="D190" s="1956"/>
      <c r="E190" s="1956"/>
      <c r="F190" s="1956"/>
      <c r="G190" s="1956"/>
      <c r="H190" s="1956"/>
      <c r="I190" s="1956"/>
      <c r="J190" s="1956"/>
      <c r="K190" s="1956"/>
      <c r="L190" s="1956"/>
      <c r="M190" s="1956"/>
      <c r="N190" s="1956"/>
      <c r="O190" s="1956"/>
      <c r="P190" s="1956"/>
      <c r="Q190" s="1956"/>
      <c r="R190" s="1956"/>
      <c r="S190" s="1956"/>
      <c r="T190" s="1956"/>
      <c r="U190" s="1956"/>
      <c r="V190" s="1956"/>
      <c r="W190" s="1956"/>
      <c r="X190" s="1956"/>
      <c r="Y190" s="1956"/>
      <c r="Z190" s="1956"/>
      <c r="AA190" s="1956"/>
      <c r="AB190" s="1956"/>
      <c r="AC190" s="880"/>
      <c r="AD190" s="1957"/>
      <c r="AE190" s="1957"/>
      <c r="AF190" s="1957"/>
      <c r="AG190" s="1957"/>
      <c r="AH190" s="1957"/>
      <c r="AI190" s="1957"/>
      <c r="AJ190" s="1957"/>
      <c r="AK190" s="644"/>
    </row>
    <row r="191" spans="1:45">
      <c r="A191" s="639"/>
      <c r="B191" s="1956"/>
      <c r="C191" s="1956"/>
      <c r="D191" s="1956"/>
      <c r="E191" s="1956"/>
      <c r="F191" s="1956"/>
      <c r="G191" s="1956"/>
      <c r="H191" s="1956"/>
      <c r="I191" s="1956"/>
      <c r="J191" s="1956"/>
      <c r="K191" s="1956"/>
      <c r="L191" s="1956"/>
      <c r="M191" s="1956"/>
      <c r="N191" s="1956"/>
      <c r="O191" s="1956"/>
      <c r="P191" s="1956"/>
      <c r="Q191" s="1956"/>
      <c r="R191" s="1956"/>
      <c r="S191" s="1956"/>
      <c r="T191" s="1956"/>
      <c r="U191" s="1956"/>
      <c r="V191" s="1956"/>
      <c r="W191" s="1956"/>
      <c r="X191" s="1956"/>
      <c r="Y191" s="1956"/>
      <c r="Z191" s="1956"/>
      <c r="AA191" s="1956"/>
      <c r="AB191" s="1956"/>
      <c r="AC191" s="880"/>
      <c r="AD191" s="1957"/>
      <c r="AE191" s="1957"/>
      <c r="AF191" s="1957"/>
      <c r="AG191" s="1957"/>
      <c r="AH191" s="1957"/>
      <c r="AI191" s="1957"/>
      <c r="AJ191" s="1957"/>
      <c r="AK191" s="644"/>
    </row>
    <row r="192" spans="1:45">
      <c r="A192" s="639"/>
      <c r="B192" s="1956"/>
      <c r="C192" s="1956"/>
      <c r="D192" s="1956"/>
      <c r="E192" s="1956"/>
      <c r="F192" s="1956"/>
      <c r="G192" s="1956"/>
      <c r="H192" s="1956"/>
      <c r="I192" s="1956"/>
      <c r="J192" s="1956"/>
      <c r="K192" s="1956"/>
      <c r="L192" s="1956"/>
      <c r="M192" s="1956"/>
      <c r="N192" s="1956"/>
      <c r="O192" s="1956"/>
      <c r="P192" s="1956"/>
      <c r="Q192" s="1956"/>
      <c r="R192" s="1956"/>
      <c r="S192" s="1956"/>
      <c r="T192" s="1956"/>
      <c r="U192" s="1956"/>
      <c r="V192" s="1956"/>
      <c r="W192" s="1956"/>
      <c r="X192" s="1956"/>
      <c r="Y192" s="1956"/>
      <c r="Z192" s="1956"/>
      <c r="AA192" s="1956"/>
      <c r="AB192" s="1956"/>
      <c r="AC192" s="880"/>
      <c r="AD192" s="1957"/>
      <c r="AE192" s="1957"/>
      <c r="AF192" s="1957"/>
      <c r="AG192" s="1957"/>
      <c r="AH192" s="1957"/>
      <c r="AI192" s="1957"/>
      <c r="AJ192" s="1957"/>
      <c r="AK192" s="644"/>
    </row>
    <row r="193" spans="1:37">
      <c r="A193" s="639"/>
      <c r="B193" s="1956"/>
      <c r="C193" s="1956"/>
      <c r="D193" s="1956"/>
      <c r="E193" s="1956"/>
      <c r="F193" s="1956"/>
      <c r="G193" s="1956"/>
      <c r="H193" s="1956"/>
      <c r="I193" s="1956"/>
      <c r="J193" s="1956"/>
      <c r="K193" s="1956"/>
      <c r="L193" s="1956"/>
      <c r="M193" s="1956"/>
      <c r="N193" s="1956"/>
      <c r="O193" s="1956"/>
      <c r="P193" s="1956"/>
      <c r="Q193" s="1956"/>
      <c r="R193" s="1956"/>
      <c r="S193" s="1956"/>
      <c r="T193" s="1956"/>
      <c r="U193" s="1956"/>
      <c r="V193" s="1956"/>
      <c r="W193" s="1956"/>
      <c r="X193" s="1956"/>
      <c r="Y193" s="1956"/>
      <c r="Z193" s="1956"/>
      <c r="AA193" s="1956"/>
      <c r="AB193" s="1956"/>
      <c r="AC193" s="880"/>
      <c r="AD193" s="1957"/>
      <c r="AE193" s="1957"/>
      <c r="AF193" s="1957"/>
      <c r="AG193" s="1957"/>
      <c r="AH193" s="1957"/>
      <c r="AI193" s="1957"/>
      <c r="AJ193" s="1957"/>
      <c r="AK193" s="644"/>
    </row>
    <row r="194" spans="1:37">
      <c r="A194" s="639"/>
      <c r="B194" s="1956"/>
      <c r="C194" s="1956"/>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880"/>
      <c r="AD194" s="1957"/>
      <c r="AE194" s="1957"/>
      <c r="AF194" s="1957"/>
      <c r="AG194" s="1957"/>
      <c r="AH194" s="1957"/>
      <c r="AI194" s="1957"/>
      <c r="AJ194" s="1957"/>
      <c r="AK194" s="644"/>
    </row>
    <row r="195" spans="1:37">
      <c r="A195" s="639"/>
      <c r="B195" s="1956"/>
      <c r="C195" s="1956"/>
      <c r="D195" s="1956"/>
      <c r="E195" s="1956"/>
      <c r="F195" s="1956"/>
      <c r="G195" s="1956"/>
      <c r="H195" s="1956"/>
      <c r="I195" s="1956"/>
      <c r="J195" s="1956"/>
      <c r="K195" s="1956"/>
      <c r="L195" s="1956"/>
      <c r="M195" s="1956"/>
      <c r="N195" s="1956"/>
      <c r="O195" s="1956"/>
      <c r="P195" s="1956"/>
      <c r="Q195" s="1956"/>
      <c r="R195" s="1956"/>
      <c r="S195" s="1956"/>
      <c r="T195" s="1956"/>
      <c r="U195" s="1956"/>
      <c r="V195" s="1956"/>
      <c r="W195" s="1956"/>
      <c r="X195" s="1956"/>
      <c r="Y195" s="1956"/>
      <c r="Z195" s="1956"/>
      <c r="AA195" s="1956"/>
      <c r="AB195" s="1956"/>
      <c r="AC195" s="880"/>
      <c r="AD195" s="1957"/>
      <c r="AE195" s="1957"/>
      <c r="AF195" s="1957"/>
      <c r="AG195" s="1957"/>
      <c r="AH195" s="1957"/>
      <c r="AI195" s="1957"/>
      <c r="AJ195" s="1957"/>
      <c r="AK195" s="644"/>
    </row>
    <row r="196" spans="1:37">
      <c r="A196" s="639"/>
      <c r="B196" s="1956"/>
      <c r="C196" s="1956"/>
      <c r="D196" s="1956"/>
      <c r="E196" s="1956"/>
      <c r="F196" s="1956"/>
      <c r="G196" s="1956"/>
      <c r="H196" s="1956"/>
      <c r="I196" s="1956"/>
      <c r="J196" s="1956"/>
      <c r="K196" s="1956"/>
      <c r="L196" s="1956"/>
      <c r="M196" s="1956"/>
      <c r="N196" s="1956"/>
      <c r="O196" s="1956"/>
      <c r="P196" s="1956"/>
      <c r="Q196" s="1956"/>
      <c r="R196" s="1956"/>
      <c r="S196" s="1956"/>
      <c r="T196" s="1956"/>
      <c r="U196" s="1956"/>
      <c r="V196" s="1956"/>
      <c r="W196" s="1956"/>
      <c r="X196" s="1956"/>
      <c r="Y196" s="1956"/>
      <c r="Z196" s="1956"/>
      <c r="AA196" s="1956"/>
      <c r="AB196" s="1956"/>
      <c r="AC196" s="880"/>
      <c r="AD196" s="1957"/>
      <c r="AE196" s="1957"/>
      <c r="AF196" s="1957"/>
      <c r="AG196" s="1957"/>
      <c r="AH196" s="1957"/>
      <c r="AI196" s="1957"/>
      <c r="AJ196" s="1957"/>
      <c r="AK196" s="644"/>
    </row>
    <row r="197" spans="1:37">
      <c r="A197" s="639"/>
      <c r="B197" s="1956"/>
      <c r="C197" s="1956"/>
      <c r="D197" s="1956"/>
      <c r="E197" s="1956"/>
      <c r="F197" s="1956"/>
      <c r="G197" s="1956"/>
      <c r="H197" s="1956"/>
      <c r="I197" s="1956"/>
      <c r="J197" s="1956"/>
      <c r="K197" s="1956"/>
      <c r="L197" s="1956"/>
      <c r="M197" s="1956"/>
      <c r="N197" s="1956"/>
      <c r="O197" s="1956"/>
      <c r="P197" s="1956"/>
      <c r="Q197" s="1956"/>
      <c r="R197" s="1956"/>
      <c r="S197" s="1956"/>
      <c r="T197" s="1956"/>
      <c r="U197" s="1956"/>
      <c r="V197" s="1956"/>
      <c r="W197" s="1956"/>
      <c r="X197" s="1956"/>
      <c r="Y197" s="1956"/>
      <c r="Z197" s="1956"/>
      <c r="AA197" s="1956"/>
      <c r="AB197" s="1956"/>
      <c r="AC197" s="880"/>
      <c r="AD197" s="1957"/>
      <c r="AE197" s="1957"/>
      <c r="AF197" s="1957"/>
      <c r="AG197" s="1957"/>
      <c r="AH197" s="1957"/>
      <c r="AI197" s="1957"/>
      <c r="AJ197" s="1957"/>
      <c r="AK197" s="644"/>
    </row>
    <row r="198" spans="1:37">
      <c r="A198" s="639"/>
      <c r="B198" s="2120" t="s">
        <v>1740</v>
      </c>
      <c r="C198" s="2120"/>
      <c r="D198" s="2120"/>
      <c r="E198" s="2120"/>
      <c r="F198" s="2120"/>
      <c r="G198" s="2120"/>
      <c r="H198" s="2120"/>
      <c r="I198" s="2120"/>
      <c r="J198" s="2120"/>
      <c r="K198" s="2120"/>
      <c r="L198" s="2120"/>
      <c r="M198" s="2120"/>
      <c r="N198" s="2120"/>
      <c r="O198" s="2120"/>
      <c r="P198" s="2120"/>
      <c r="Q198" s="2120"/>
      <c r="R198" s="2120"/>
      <c r="S198" s="2120"/>
      <c r="T198" s="2120"/>
      <c r="U198" s="2120"/>
      <c r="V198" s="2120"/>
      <c r="W198" s="2120"/>
      <c r="X198" s="2120"/>
      <c r="Y198" s="2120"/>
      <c r="Z198" s="2120"/>
      <c r="AA198" s="2120"/>
      <c r="AB198" s="2120"/>
      <c r="AC198" s="570"/>
      <c r="AD198" s="1984">
        <f>AB249</f>
        <v>16730627.944301836</v>
      </c>
      <c r="AE198" s="1984"/>
      <c r="AF198" s="1984"/>
      <c r="AG198" s="1984"/>
      <c r="AH198" s="1984"/>
      <c r="AI198" s="1984"/>
      <c r="AJ198" s="1984"/>
      <c r="AK198" s="644"/>
    </row>
    <row r="199" spans="1:37">
      <c r="A199" s="639"/>
      <c r="B199" s="2118" t="s">
        <v>1703</v>
      </c>
      <c r="C199" s="2118"/>
      <c r="D199" s="2118"/>
      <c r="E199" s="2118"/>
      <c r="F199" s="2118"/>
      <c r="G199" s="2118"/>
      <c r="H199" s="2118"/>
      <c r="I199" s="2118"/>
      <c r="J199" s="2118"/>
      <c r="K199" s="2118"/>
      <c r="L199" s="2118"/>
      <c r="M199" s="2118"/>
      <c r="N199" s="2118"/>
      <c r="O199" s="2118"/>
      <c r="P199" s="2118"/>
      <c r="Q199" s="2118"/>
      <c r="R199" s="2118"/>
      <c r="S199" s="2118"/>
      <c r="T199" s="2118"/>
      <c r="U199" s="2118"/>
      <c r="V199" s="2118"/>
      <c r="W199" s="2118"/>
      <c r="X199" s="2118"/>
      <c r="Y199" s="2118"/>
      <c r="Z199" s="2118"/>
      <c r="AA199" s="2118"/>
      <c r="AB199" s="2118"/>
      <c r="AC199" s="880"/>
      <c r="AD199" s="1985">
        <f>'Sources and Uses Budget'!B15</f>
        <v>0</v>
      </c>
      <c r="AE199" s="1985"/>
      <c r="AF199" s="1985"/>
      <c r="AG199" s="1985"/>
      <c r="AH199" s="1985"/>
      <c r="AI199" s="1985"/>
      <c r="AJ199" s="1985"/>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9">
        <f>SUM(AD188:AJ198)-AD199</f>
        <v>16730627.944301836</v>
      </c>
      <c r="AE200" s="1989"/>
      <c r="AF200" s="1989"/>
      <c r="AG200" s="1989"/>
      <c r="AH200" s="1989"/>
      <c r="AI200" s="1989"/>
      <c r="AJ200" s="198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60" t="s">
        <v>1720</v>
      </c>
      <c r="J211" s="1960"/>
      <c r="K211" s="1960"/>
      <c r="L211" s="570"/>
      <c r="M211" s="570"/>
      <c r="N211" s="570"/>
      <c r="O211" s="570"/>
      <c r="P211" s="570"/>
      <c r="Q211" s="570"/>
      <c r="R211" s="570"/>
      <c r="S211" s="570"/>
      <c r="T211" s="2146" t="s">
        <v>1714</v>
      </c>
      <c r="U211" s="2146"/>
      <c r="V211" s="2146"/>
      <c r="W211" s="2146"/>
      <c r="X211" s="2146"/>
      <c r="Y211" s="2146"/>
      <c r="Z211" s="883"/>
      <c r="AA211" s="523"/>
      <c r="AB211" s="1955" t="s">
        <v>1715</v>
      </c>
      <c r="AC211" s="1955"/>
      <c r="AD211" s="1955"/>
      <c r="AE211" s="1955"/>
      <c r="AF211" s="1955"/>
      <c r="AG211" s="1955"/>
      <c r="AH211" s="861"/>
      <c r="AI211" s="861"/>
      <c r="AJ211" s="861"/>
      <c r="AK211" s="644"/>
    </row>
    <row r="212" spans="1:37">
      <c r="A212" s="639"/>
      <c r="B212" s="1958" t="s">
        <v>1700</v>
      </c>
      <c r="C212" s="1958"/>
      <c r="D212" s="1958"/>
      <c r="E212" s="1958"/>
      <c r="F212" s="1958"/>
      <c r="G212" s="1958"/>
      <c r="I212" s="1959" t="s">
        <v>1721</v>
      </c>
      <c r="J212" s="1959"/>
      <c r="K212" s="1959"/>
      <c r="L212" s="1043"/>
      <c r="N212" s="1965" t="s">
        <v>1716</v>
      </c>
      <c r="O212" s="1965"/>
      <c r="P212" s="1965"/>
      <c r="Q212" s="1965"/>
      <c r="R212" s="1965"/>
      <c r="T212" s="1965" t="s">
        <v>1717</v>
      </c>
      <c r="U212" s="1965"/>
      <c r="V212" s="1965"/>
      <c r="W212" s="1965"/>
      <c r="X212" s="1965"/>
      <c r="Y212" s="1965"/>
      <c r="Z212" s="884"/>
      <c r="AA212" s="523"/>
      <c r="AB212" s="2121" t="s">
        <v>1718</v>
      </c>
      <c r="AC212" s="2121"/>
      <c r="AD212" s="2121"/>
      <c r="AE212" s="2121"/>
      <c r="AF212" s="2121"/>
      <c r="AG212" s="2121"/>
      <c r="AH212" s="861"/>
      <c r="AI212" s="861"/>
      <c r="AJ212" s="861"/>
      <c r="AK212" s="644"/>
    </row>
    <row r="213" spans="1:37">
      <c r="A213" s="639"/>
      <c r="B213" s="1962" t="s">
        <v>1291</v>
      </c>
      <c r="C213" s="1962"/>
      <c r="D213" s="1962"/>
      <c r="E213" s="1962"/>
      <c r="F213" s="1962"/>
      <c r="G213" s="1962"/>
      <c r="H213" s="886"/>
      <c r="I213" s="1961">
        <v>80</v>
      </c>
      <c r="J213" s="1961"/>
      <c r="K213" s="1961"/>
      <c r="L213" s="1043"/>
      <c r="N213" s="1966">
        <v>1673</v>
      </c>
      <c r="O213" s="1966"/>
      <c r="P213" s="1966"/>
      <c r="Q213" s="1966"/>
      <c r="R213" s="1966"/>
      <c r="T213" s="2119">
        <v>2567</v>
      </c>
      <c r="U213" s="2119"/>
      <c r="V213" s="2119"/>
      <c r="W213" s="2119"/>
      <c r="X213" s="2119"/>
      <c r="Y213" s="2119"/>
      <c r="Z213" s="885"/>
      <c r="AA213" s="885"/>
      <c r="AB213" s="1963">
        <f t="shared" ref="AB213:AB222" si="0">MAX(($T213-$N213)*$I213*12,0)</f>
        <v>858240</v>
      </c>
      <c r="AC213" s="1963"/>
      <c r="AD213" s="1963"/>
      <c r="AE213" s="1963"/>
      <c r="AF213" s="1963"/>
      <c r="AG213" s="1963"/>
      <c r="AH213" s="861"/>
      <c r="AI213" s="861"/>
      <c r="AJ213" s="861"/>
      <c r="AK213" s="644"/>
    </row>
    <row r="214" spans="1:37">
      <c r="A214" s="639"/>
      <c r="B214" s="1962" t="s">
        <v>1291</v>
      </c>
      <c r="C214" s="1962"/>
      <c r="D214" s="1962"/>
      <c r="E214" s="1962"/>
      <c r="F214" s="1962"/>
      <c r="G214" s="1962"/>
      <c r="I214" s="1961">
        <v>72</v>
      </c>
      <c r="J214" s="1961"/>
      <c r="K214" s="1961"/>
      <c r="L214" s="1043"/>
      <c r="N214" s="1966">
        <v>2007</v>
      </c>
      <c r="O214" s="1966"/>
      <c r="P214" s="1966"/>
      <c r="Q214" s="1966"/>
      <c r="R214" s="1966"/>
      <c r="T214" s="2119">
        <v>2976</v>
      </c>
      <c r="U214" s="2119"/>
      <c r="V214" s="2119"/>
      <c r="W214" s="2119"/>
      <c r="X214" s="2119"/>
      <c r="Y214" s="2119"/>
      <c r="Z214" s="885"/>
      <c r="AA214" s="885"/>
      <c r="AB214" s="1963">
        <f t="shared" si="0"/>
        <v>837216</v>
      </c>
      <c r="AC214" s="1963"/>
      <c r="AD214" s="1963"/>
      <c r="AE214" s="1963"/>
      <c r="AF214" s="1963"/>
      <c r="AG214" s="1963"/>
      <c r="AH214" s="861"/>
      <c r="AI214" s="861"/>
      <c r="AJ214" s="861"/>
      <c r="AK214" s="644"/>
    </row>
    <row r="215" spans="1:37">
      <c r="A215" s="639"/>
      <c r="B215" s="1962" t="s">
        <v>1291</v>
      </c>
      <c r="C215" s="1962"/>
      <c r="D215" s="1962"/>
      <c r="E215" s="1962"/>
      <c r="F215" s="1962"/>
      <c r="G215" s="1962"/>
      <c r="I215" s="1961">
        <v>8</v>
      </c>
      <c r="J215" s="1961"/>
      <c r="K215" s="1961"/>
      <c r="L215" s="1043"/>
      <c r="N215" s="1966">
        <v>2319</v>
      </c>
      <c r="O215" s="1966"/>
      <c r="P215" s="1966"/>
      <c r="Q215" s="1966"/>
      <c r="R215" s="1966"/>
      <c r="T215" s="2119">
        <v>3384</v>
      </c>
      <c r="U215" s="2119"/>
      <c r="V215" s="2119"/>
      <c r="W215" s="2119"/>
      <c r="X215" s="2119"/>
      <c r="Y215" s="2119"/>
      <c r="Z215" s="885"/>
      <c r="AA215" s="885"/>
      <c r="AB215" s="1963">
        <f t="shared" si="0"/>
        <v>102240</v>
      </c>
      <c r="AC215" s="1963"/>
      <c r="AD215" s="1963"/>
      <c r="AE215" s="1963"/>
      <c r="AF215" s="1963"/>
      <c r="AG215" s="1963"/>
      <c r="AH215" s="861"/>
      <c r="AI215" s="861"/>
      <c r="AJ215" s="861"/>
      <c r="AK215" s="644"/>
    </row>
    <row r="216" spans="1:37">
      <c r="A216" s="639"/>
      <c r="B216" s="1962" t="s">
        <v>1291</v>
      </c>
      <c r="C216" s="1962"/>
      <c r="D216" s="1962"/>
      <c r="E216" s="1962"/>
      <c r="F216" s="1962"/>
      <c r="G216" s="1962"/>
      <c r="I216" s="1961"/>
      <c r="J216" s="1961"/>
      <c r="K216" s="1961"/>
      <c r="L216" s="1043"/>
      <c r="N216" s="1966"/>
      <c r="O216" s="1966"/>
      <c r="P216" s="1966"/>
      <c r="Q216" s="1966"/>
      <c r="R216" s="1966"/>
      <c r="T216" s="2119"/>
      <c r="U216" s="2119"/>
      <c r="V216" s="2119"/>
      <c r="W216" s="2119"/>
      <c r="X216" s="2119"/>
      <c r="Y216" s="2119"/>
      <c r="Z216" s="885"/>
      <c r="AA216" s="885"/>
      <c r="AB216" s="1963">
        <f t="shared" si="0"/>
        <v>0</v>
      </c>
      <c r="AC216" s="1963"/>
      <c r="AD216" s="1963"/>
      <c r="AE216" s="1963"/>
      <c r="AF216" s="1963"/>
      <c r="AG216" s="1963"/>
      <c r="AH216" s="861"/>
      <c r="AI216" s="861"/>
      <c r="AJ216" s="861"/>
      <c r="AK216" s="644"/>
    </row>
    <row r="217" spans="1:37">
      <c r="A217" s="639"/>
      <c r="B217" s="1962" t="s">
        <v>1291</v>
      </c>
      <c r="C217" s="1962"/>
      <c r="D217" s="1962"/>
      <c r="E217" s="1962"/>
      <c r="F217" s="1962"/>
      <c r="G217" s="1962"/>
      <c r="I217" s="1961"/>
      <c r="J217" s="1961"/>
      <c r="K217" s="1961"/>
      <c r="L217" s="1050"/>
      <c r="N217" s="1966"/>
      <c r="O217" s="1966"/>
      <c r="P217" s="1966"/>
      <c r="Q217" s="1966"/>
      <c r="R217" s="1966"/>
      <c r="T217" s="2119"/>
      <c r="U217" s="2119"/>
      <c r="V217" s="2119"/>
      <c r="W217" s="2119"/>
      <c r="X217" s="2119"/>
      <c r="Y217" s="2119"/>
      <c r="Z217" s="885"/>
      <c r="AA217" s="885"/>
      <c r="AB217" s="1963">
        <f t="shared" si="0"/>
        <v>0</v>
      </c>
      <c r="AC217" s="1963"/>
      <c r="AD217" s="1963"/>
      <c r="AE217" s="1963"/>
      <c r="AF217" s="1963"/>
      <c r="AG217" s="1963"/>
      <c r="AH217" s="861"/>
      <c r="AI217" s="861"/>
      <c r="AJ217" s="861"/>
      <c r="AK217" s="644"/>
    </row>
    <row r="218" spans="1:37">
      <c r="A218" s="639"/>
      <c r="B218" s="1962" t="s">
        <v>1291</v>
      </c>
      <c r="C218" s="1962"/>
      <c r="D218" s="1962"/>
      <c r="E218" s="1962"/>
      <c r="F218" s="1962"/>
      <c r="G218" s="1962"/>
      <c r="I218" s="1961"/>
      <c r="J218" s="1961"/>
      <c r="K218" s="1961"/>
      <c r="L218" s="1050"/>
      <c r="N218" s="1966"/>
      <c r="O218" s="1966"/>
      <c r="P218" s="1966"/>
      <c r="Q218" s="1966"/>
      <c r="R218" s="1966"/>
      <c r="T218" s="2119"/>
      <c r="U218" s="2119"/>
      <c r="V218" s="2119"/>
      <c r="W218" s="2119"/>
      <c r="X218" s="2119"/>
      <c r="Y218" s="2119"/>
      <c r="Z218" s="885"/>
      <c r="AA218" s="885"/>
      <c r="AB218" s="1963">
        <f t="shared" si="0"/>
        <v>0</v>
      </c>
      <c r="AC218" s="1963"/>
      <c r="AD218" s="1963"/>
      <c r="AE218" s="1963"/>
      <c r="AF218" s="1963"/>
      <c r="AG218" s="1963"/>
      <c r="AH218" s="861"/>
      <c r="AI218" s="861"/>
      <c r="AJ218" s="861"/>
      <c r="AK218" s="644"/>
    </row>
    <row r="219" spans="1:37">
      <c r="A219" s="639"/>
      <c r="B219" s="1962" t="s">
        <v>1291</v>
      </c>
      <c r="C219" s="1962"/>
      <c r="D219" s="1962"/>
      <c r="E219" s="1962"/>
      <c r="F219" s="1962"/>
      <c r="G219" s="1962"/>
      <c r="I219" s="1961"/>
      <c r="J219" s="1961"/>
      <c r="K219" s="1961"/>
      <c r="L219" s="1050"/>
      <c r="N219" s="1966"/>
      <c r="O219" s="1966"/>
      <c r="P219" s="1966"/>
      <c r="Q219" s="1966"/>
      <c r="R219" s="1966"/>
      <c r="T219" s="2119"/>
      <c r="U219" s="2119"/>
      <c r="V219" s="2119"/>
      <c r="W219" s="2119"/>
      <c r="X219" s="2119"/>
      <c r="Y219" s="2119"/>
      <c r="Z219" s="885"/>
      <c r="AA219" s="885"/>
      <c r="AB219" s="1963">
        <f t="shared" si="0"/>
        <v>0</v>
      </c>
      <c r="AC219" s="1963"/>
      <c r="AD219" s="1963"/>
      <c r="AE219" s="1963"/>
      <c r="AF219" s="1963"/>
      <c r="AG219" s="1963"/>
      <c r="AH219" s="861"/>
      <c r="AI219" s="861"/>
      <c r="AJ219" s="861"/>
      <c r="AK219" s="644"/>
    </row>
    <row r="220" spans="1:37">
      <c r="A220" s="639"/>
      <c r="B220" s="1962" t="s">
        <v>1291</v>
      </c>
      <c r="C220" s="1962"/>
      <c r="D220" s="1962"/>
      <c r="E220" s="1962"/>
      <c r="F220" s="1962"/>
      <c r="G220" s="1962"/>
      <c r="I220" s="1961"/>
      <c r="J220" s="1961"/>
      <c r="K220" s="1961"/>
      <c r="L220" s="1050"/>
      <c r="N220" s="1966"/>
      <c r="O220" s="1966"/>
      <c r="P220" s="1966"/>
      <c r="Q220" s="1966"/>
      <c r="R220" s="1966"/>
      <c r="T220" s="2119"/>
      <c r="U220" s="2119"/>
      <c r="V220" s="2119"/>
      <c r="W220" s="2119"/>
      <c r="X220" s="2119"/>
      <c r="Y220" s="2119"/>
      <c r="Z220" s="885"/>
      <c r="AA220" s="885"/>
      <c r="AB220" s="1963">
        <f t="shared" si="0"/>
        <v>0</v>
      </c>
      <c r="AC220" s="1963"/>
      <c r="AD220" s="1963"/>
      <c r="AE220" s="1963"/>
      <c r="AF220" s="1963"/>
      <c r="AG220" s="1963"/>
      <c r="AH220" s="861"/>
      <c r="AI220" s="861"/>
      <c r="AJ220" s="861"/>
      <c r="AK220" s="644"/>
    </row>
    <row r="221" spans="1:37">
      <c r="A221" s="639"/>
      <c r="B221" s="1962" t="s">
        <v>1291</v>
      </c>
      <c r="C221" s="1962"/>
      <c r="D221" s="1962"/>
      <c r="E221" s="1962"/>
      <c r="F221" s="1962"/>
      <c r="G221" s="1962"/>
      <c r="I221" s="1961"/>
      <c r="J221" s="1961"/>
      <c r="K221" s="1961"/>
      <c r="L221" s="1050"/>
      <c r="N221" s="1966"/>
      <c r="O221" s="1966"/>
      <c r="P221" s="1966"/>
      <c r="Q221" s="1966"/>
      <c r="R221" s="1966"/>
      <c r="T221" s="2119"/>
      <c r="U221" s="2119"/>
      <c r="V221" s="2119"/>
      <c r="W221" s="2119"/>
      <c r="X221" s="2119"/>
      <c r="Y221" s="2119"/>
      <c r="Z221" s="885"/>
      <c r="AA221" s="885"/>
      <c r="AB221" s="1963">
        <f t="shared" si="0"/>
        <v>0</v>
      </c>
      <c r="AC221" s="1963"/>
      <c r="AD221" s="1963"/>
      <c r="AE221" s="1963"/>
      <c r="AF221" s="1963"/>
      <c r="AG221" s="1963"/>
      <c r="AH221" s="861"/>
      <c r="AI221" s="861"/>
      <c r="AJ221" s="861"/>
      <c r="AK221" s="644"/>
    </row>
    <row r="222" spans="1:37">
      <c r="A222" s="639"/>
      <c r="B222" s="1962" t="s">
        <v>1291</v>
      </c>
      <c r="C222" s="1962"/>
      <c r="D222" s="1962"/>
      <c r="E222" s="1962"/>
      <c r="F222" s="1962"/>
      <c r="G222" s="1962"/>
      <c r="I222" s="1964"/>
      <c r="J222" s="1964"/>
      <c r="K222" s="1964"/>
      <c r="L222" s="1050"/>
      <c r="N222" s="1966"/>
      <c r="O222" s="1966"/>
      <c r="P222" s="1966"/>
      <c r="Q222" s="1966"/>
      <c r="R222" s="1966"/>
      <c r="T222" s="2119"/>
      <c r="U222" s="2119"/>
      <c r="V222" s="2119"/>
      <c r="W222" s="2119"/>
      <c r="X222" s="2119"/>
      <c r="Y222" s="2119"/>
      <c r="Z222" s="885"/>
      <c r="AA222" s="885"/>
      <c r="AB222" s="2117">
        <f t="shared" si="0"/>
        <v>0</v>
      </c>
      <c r="AC222" s="2117"/>
      <c r="AD222" s="2117"/>
      <c r="AE222" s="2117"/>
      <c r="AF222" s="2117"/>
      <c r="AG222" s="211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63">
        <f>SUM(AB213:AB222)</f>
        <v>1797696</v>
      </c>
      <c r="AC223" s="1963"/>
      <c r="AD223" s="1963"/>
      <c r="AE223" s="1963"/>
      <c r="AF223" s="1963"/>
      <c r="AG223" s="196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22"/>
      <c r="AC229" s="2122"/>
      <c r="AD229" s="2122"/>
      <c r="AE229" s="2122"/>
      <c r="AF229" s="2122"/>
      <c r="AG229" s="2122"/>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22"/>
      <c r="AC232" s="2122"/>
      <c r="AD232" s="2122"/>
      <c r="AE232" s="2122"/>
      <c r="AF232" s="2122"/>
      <c r="AG232" s="2122"/>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5"/>
      <c r="AC233" s="2145"/>
      <c r="AD233" s="2145"/>
      <c r="AE233" s="2145"/>
      <c r="AF233" s="2145"/>
      <c r="AG233" s="2145"/>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8">
        <f>IFERROR(AB232/AB233,0)</f>
        <v>0</v>
      </c>
      <c r="AC234" s="2128"/>
      <c r="AD234" s="2128"/>
      <c r="AE234" s="2128"/>
      <c r="AF234" s="2128"/>
      <c r="AG234" s="212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7">
        <f>MAX(AB229,AB234)</f>
        <v>0</v>
      </c>
      <c r="AC236" s="2117"/>
      <c r="AD236" s="2117"/>
      <c r="AE236" s="2117"/>
      <c r="AF236" s="2117"/>
      <c r="AG236" s="211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63">
        <f>AB223+AB236</f>
        <v>1797696</v>
      </c>
      <c r="AC239" s="1963"/>
      <c r="AD239" s="1963"/>
      <c r="AE239" s="1963"/>
      <c r="AF239" s="1963"/>
      <c r="AG239" s="1963"/>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3">
        <v>0.05</v>
      </c>
      <c r="AC240" s="1993"/>
      <c r="AD240" s="1993"/>
      <c r="AE240" s="1993"/>
      <c r="AF240" s="1993"/>
      <c r="AG240" s="1993"/>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4">
        <f>AB239-(AB239*AB240)</f>
        <v>1707811.2</v>
      </c>
      <c r="AC241" s="1994"/>
      <c r="AD241" s="1994"/>
      <c r="AE241" s="1994"/>
      <c r="AF241" s="1994"/>
      <c r="AG241" s="1994"/>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63">
        <f>AB241/AB247</f>
        <v>1485053.2173913044</v>
      </c>
      <c r="AC243" s="1963"/>
      <c r="AD243" s="1963"/>
      <c r="AE243" s="1963"/>
      <c r="AF243" s="1963"/>
      <c r="AG243" s="196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5">
        <v>15</v>
      </c>
      <c r="AC245" s="1955"/>
      <c r="AD245" s="1955"/>
      <c r="AE245" s="1955"/>
      <c r="AF245" s="1955"/>
      <c r="AG245" s="1955"/>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5">
        <v>0.04</v>
      </c>
      <c r="AC246" s="1995"/>
      <c r="AD246" s="1995"/>
      <c r="AE246" s="1995"/>
      <c r="AF246" s="1995"/>
      <c r="AG246" s="199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7">
        <v>1.1499999999999999</v>
      </c>
      <c r="AC247" s="1967"/>
      <c r="AD247" s="1967"/>
      <c r="AE247" s="1967"/>
      <c r="AF247" s="1967"/>
      <c r="AG247" s="196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6">
        <f>PV(AB246/12,AB245*12,-AB243/12, ,0)</f>
        <v>16730627.944301836</v>
      </c>
      <c r="AC249" s="1987"/>
      <c r="AD249" s="1987"/>
      <c r="AE249" s="1987"/>
      <c r="AF249" s="1987"/>
      <c r="AG249" s="198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90">
        <f>IFERROR(('Sources and Uses Budget'!D105/'Sources and Uses Budget'!B105),0)</f>
        <v>0</v>
      </c>
      <c r="AC255" s="1991"/>
      <c r="AD255" s="1991"/>
      <c r="AE255" s="1991"/>
      <c r="AF255" s="1991"/>
      <c r="AG255" s="199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80">
        <f>AD200*(1-AB255)</f>
        <v>16730627.944301836</v>
      </c>
      <c r="AH257" s="1980"/>
      <c r="AI257" s="1980"/>
      <c r="AJ257" s="1980"/>
      <c r="AK257" s="1980"/>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80">
        <f>'Sources and Uses Budget'!C105</f>
        <v>118630126</v>
      </c>
      <c r="AH258" s="1980"/>
      <c r="AI258" s="1980"/>
      <c r="AJ258" s="1980"/>
      <c r="AK258" s="198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81">
        <f>ROUNDDOWN(IF(AND(C281="Yes",AK78=10),((AG257*2)/AG258),AG257/AG258),2)</f>
        <v>0.14000000000000001</v>
      </c>
      <c r="AH259" s="1981"/>
      <c r="AI259" s="1981"/>
      <c r="AJ259" s="1981"/>
      <c r="AK259" s="1981"/>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82">
        <f>IFERROR(IF(AG259=0,0,IF((AG259*100)&gt;8,8,(AG259*100))),0)</f>
        <v>8</v>
      </c>
      <c r="AL262" s="1982"/>
      <c r="AM262" s="1983"/>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74" t="s">
        <v>554</v>
      </c>
      <c r="D267" s="1974"/>
      <c r="E267" s="581"/>
      <c r="F267" s="2131" t="s">
        <v>2340</v>
      </c>
      <c r="G267" s="2132"/>
      <c r="H267" s="2132"/>
      <c r="I267" s="2132"/>
      <c r="J267" s="2132"/>
      <c r="K267" s="2132"/>
      <c r="L267" s="2132"/>
      <c r="M267" s="2132"/>
      <c r="N267" s="2132"/>
      <c r="O267" s="2132"/>
      <c r="P267" s="2132"/>
      <c r="Q267" s="2132"/>
      <c r="R267" s="2132"/>
      <c r="S267" s="2132"/>
      <c r="T267" s="2132"/>
      <c r="U267" s="2132"/>
      <c r="V267" s="2132"/>
      <c r="W267" s="2132"/>
      <c r="X267" s="2132"/>
      <c r="Y267" s="2132"/>
      <c r="Z267" s="2132"/>
      <c r="AA267" s="2132"/>
      <c r="AB267" s="2132"/>
      <c r="AC267" s="2132"/>
      <c r="AD267" s="2133"/>
      <c r="AE267" s="584"/>
      <c r="AF267" s="669"/>
      <c r="AG267" s="1975" t="s">
        <v>1475</v>
      </c>
      <c r="AH267" s="1975"/>
      <c r="AI267" s="1975"/>
      <c r="AJ267" s="1975"/>
      <c r="AK267" s="584"/>
      <c r="AL267" s="584"/>
      <c r="AM267" s="584"/>
      <c r="AO267" s="584"/>
    </row>
    <row r="268" spans="1:52" ht="13.7" customHeight="1">
      <c r="A268" s="584"/>
      <c r="B268" s="630"/>
      <c r="C268" s="670"/>
      <c r="D268" s="584"/>
      <c r="E268" s="581"/>
      <c r="F268" s="2134"/>
      <c r="G268" s="2135"/>
      <c r="H268" s="2135"/>
      <c r="I268" s="2135"/>
      <c r="J268" s="2135"/>
      <c r="K268" s="2135"/>
      <c r="L268" s="2135"/>
      <c r="M268" s="2135"/>
      <c r="N268" s="2135"/>
      <c r="O268" s="2135"/>
      <c r="P268" s="2135"/>
      <c r="Q268" s="2135"/>
      <c r="R268" s="2135"/>
      <c r="S268" s="2135"/>
      <c r="T268" s="2135"/>
      <c r="U268" s="2135"/>
      <c r="V268" s="2135"/>
      <c r="W268" s="2135"/>
      <c r="X268" s="2135"/>
      <c r="Y268" s="2135"/>
      <c r="Z268" s="2135"/>
      <c r="AA268" s="2135"/>
      <c r="AB268" s="2135"/>
      <c r="AC268" s="2135"/>
      <c r="AD268" s="2136"/>
      <c r="AE268" s="584"/>
      <c r="AF268" s="669"/>
      <c r="AG268" s="669"/>
      <c r="AH268" s="669"/>
      <c r="AI268" s="669"/>
      <c r="AJ268" s="584"/>
      <c r="AK268" s="584"/>
      <c r="AL268" s="584"/>
      <c r="AM268" s="584"/>
      <c r="AO268" s="584"/>
    </row>
    <row r="269" spans="1:52">
      <c r="A269" s="584"/>
      <c r="B269" s="630"/>
      <c r="C269" s="670"/>
      <c r="D269" s="584"/>
      <c r="E269" s="581"/>
      <c r="F269" s="2134"/>
      <c r="G269" s="2135"/>
      <c r="H269" s="2135"/>
      <c r="I269" s="2135"/>
      <c r="J269" s="2135"/>
      <c r="K269" s="2135"/>
      <c r="L269" s="2135"/>
      <c r="M269" s="2135"/>
      <c r="N269" s="2135"/>
      <c r="O269" s="2135"/>
      <c r="P269" s="2135"/>
      <c r="Q269" s="2135"/>
      <c r="R269" s="2135"/>
      <c r="S269" s="2135"/>
      <c r="T269" s="2135"/>
      <c r="U269" s="2135"/>
      <c r="V269" s="2135"/>
      <c r="W269" s="2135"/>
      <c r="X269" s="2135"/>
      <c r="Y269" s="2135"/>
      <c r="Z269" s="2135"/>
      <c r="AA269" s="2135"/>
      <c r="AB269" s="2135"/>
      <c r="AC269" s="2135"/>
      <c r="AD269" s="2136"/>
      <c r="AE269" s="584"/>
      <c r="AF269" s="669"/>
      <c r="AG269" s="669"/>
      <c r="AH269" s="669"/>
      <c r="AI269" s="669"/>
      <c r="AJ269" s="584"/>
      <c r="AK269" s="584"/>
      <c r="AL269" s="584"/>
      <c r="AM269" s="584"/>
      <c r="AO269" s="584"/>
      <c r="AP269" s="671"/>
    </row>
    <row r="270" spans="1:52">
      <c r="A270" s="584"/>
      <c r="B270" s="630"/>
      <c r="C270" s="670"/>
      <c r="D270" s="584"/>
      <c r="E270" s="581"/>
      <c r="F270" s="2134"/>
      <c r="G270" s="2135"/>
      <c r="H270" s="2135"/>
      <c r="I270" s="2135"/>
      <c r="J270" s="2135"/>
      <c r="K270" s="2135"/>
      <c r="L270" s="2135"/>
      <c r="M270" s="2135"/>
      <c r="N270" s="2135"/>
      <c r="O270" s="2135"/>
      <c r="P270" s="2135"/>
      <c r="Q270" s="2135"/>
      <c r="R270" s="2135"/>
      <c r="S270" s="2135"/>
      <c r="T270" s="2135"/>
      <c r="U270" s="2135"/>
      <c r="V270" s="2135"/>
      <c r="W270" s="2135"/>
      <c r="X270" s="2135"/>
      <c r="Y270" s="2135"/>
      <c r="Z270" s="2135"/>
      <c r="AA270" s="2135"/>
      <c r="AB270" s="2135"/>
      <c r="AC270" s="2135"/>
      <c r="AD270" s="2136"/>
      <c r="AE270" s="584"/>
      <c r="AF270" s="669"/>
      <c r="AG270" s="669"/>
      <c r="AH270" s="669"/>
      <c r="AI270" s="669"/>
      <c r="AJ270" s="584"/>
      <c r="AK270" s="584"/>
      <c r="AL270" s="584"/>
      <c r="AM270" s="584"/>
      <c r="AO270" s="584"/>
      <c r="AP270" s="671"/>
    </row>
    <row r="271" spans="1:52" ht="13.7" customHeight="1">
      <c r="A271" s="584"/>
      <c r="B271" s="630"/>
      <c r="C271" s="1976"/>
      <c r="D271" s="1976"/>
      <c r="E271" s="581"/>
      <c r="F271" s="2137"/>
      <c r="G271" s="2138"/>
      <c r="H271" s="2138"/>
      <c r="I271" s="2138"/>
      <c r="J271" s="2138"/>
      <c r="K271" s="2138"/>
      <c r="L271" s="2138"/>
      <c r="M271" s="2138"/>
      <c r="N271" s="2138"/>
      <c r="O271" s="2138"/>
      <c r="P271" s="2138"/>
      <c r="Q271" s="2138"/>
      <c r="R271" s="2138"/>
      <c r="S271" s="2138"/>
      <c r="T271" s="2138"/>
      <c r="U271" s="2138"/>
      <c r="V271" s="2138"/>
      <c r="W271" s="2138"/>
      <c r="X271" s="2138"/>
      <c r="Y271" s="2138"/>
      <c r="Z271" s="2138"/>
      <c r="AA271" s="2138"/>
      <c r="AB271" s="2138"/>
      <c r="AC271" s="2138"/>
      <c r="AD271" s="2139"/>
      <c r="AE271" s="584"/>
      <c r="AF271" s="669"/>
      <c r="AG271" s="1975"/>
      <c r="AH271" s="1975"/>
      <c r="AI271" s="1975"/>
      <c r="AJ271" s="1975"/>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82">
        <f>IF($C$267="yes",10,0)</f>
        <v>10</v>
      </c>
      <c r="AL274" s="1982"/>
      <c r="AM274" s="1983"/>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84" t="s">
        <v>1494</v>
      </c>
      <c r="B281" s="1684"/>
      <c r="C281" s="1971" t="s">
        <v>600</v>
      </c>
      <c r="D281" s="1974"/>
      <c r="E281" s="581"/>
      <c r="F281" s="2002" t="s">
        <v>1495</v>
      </c>
      <c r="G281" s="2003"/>
      <c r="H281" s="2003"/>
      <c r="I281" s="2003"/>
      <c r="J281" s="2003"/>
      <c r="K281" s="2003"/>
      <c r="L281" s="2003"/>
      <c r="M281" s="2003"/>
      <c r="N281" s="2003"/>
      <c r="O281" s="2003"/>
      <c r="P281" s="2003"/>
      <c r="Q281" s="2003"/>
      <c r="R281" s="2003"/>
      <c r="S281" s="2003"/>
      <c r="T281" s="2003"/>
      <c r="U281" s="2003"/>
      <c r="V281" s="2003"/>
      <c r="W281" s="2003"/>
      <c r="X281" s="2003"/>
      <c r="Y281" s="2003"/>
      <c r="Z281" s="2003"/>
      <c r="AA281" s="2003"/>
      <c r="AB281" s="2003"/>
      <c r="AC281" s="2003"/>
      <c r="AD281" s="2004"/>
      <c r="AE281" s="676"/>
      <c r="AF281" s="584"/>
      <c r="AG281" s="2005" t="s">
        <v>2333</v>
      </c>
      <c r="AH281" s="2005"/>
      <c r="AI281" s="2005"/>
      <c r="AJ281" s="2005"/>
      <c r="AK281" s="2005"/>
      <c r="AL281" s="584"/>
      <c r="AM281" s="584"/>
      <c r="AN281" s="73"/>
      <c r="AO281" s="14"/>
      <c r="AP281" s="30"/>
      <c r="AS281" s="604"/>
      <c r="AT281" s="604"/>
      <c r="AU281" s="604"/>
      <c r="AV281" s="32"/>
      <c r="AW281" s="32"/>
    </row>
    <row r="282" spans="1:49">
      <c r="A282" s="674"/>
      <c r="B282" s="630"/>
      <c r="F282" s="1996"/>
      <c r="G282" s="1997"/>
      <c r="H282" s="1997"/>
      <c r="I282" s="1997"/>
      <c r="J282" s="1997"/>
      <c r="K282" s="1997"/>
      <c r="L282" s="1997"/>
      <c r="M282" s="1997"/>
      <c r="N282" s="1997"/>
      <c r="O282" s="1997"/>
      <c r="P282" s="1997"/>
      <c r="Q282" s="1997"/>
      <c r="R282" s="1997"/>
      <c r="S282" s="1997"/>
      <c r="T282" s="1997"/>
      <c r="U282" s="1997"/>
      <c r="V282" s="1997"/>
      <c r="W282" s="1997"/>
      <c r="X282" s="1997"/>
      <c r="Y282" s="1997"/>
      <c r="Z282" s="1997"/>
      <c r="AA282" s="1997"/>
      <c r="AB282" s="1997"/>
      <c r="AC282" s="1997"/>
      <c r="AD282" s="199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6"/>
      <c r="G283" s="1997"/>
      <c r="H283" s="1997"/>
      <c r="I283" s="1997"/>
      <c r="J283" s="1997"/>
      <c r="K283" s="1997"/>
      <c r="L283" s="1997"/>
      <c r="M283" s="1997"/>
      <c r="N283" s="1997"/>
      <c r="O283" s="1997"/>
      <c r="P283" s="1997"/>
      <c r="Q283" s="1997"/>
      <c r="R283" s="1997"/>
      <c r="S283" s="1997"/>
      <c r="T283" s="1997"/>
      <c r="U283" s="1997"/>
      <c r="V283" s="1997"/>
      <c r="W283" s="1997"/>
      <c r="X283" s="1997"/>
      <c r="Y283" s="1997"/>
      <c r="Z283" s="1997"/>
      <c r="AA283" s="1997"/>
      <c r="AB283" s="1997"/>
      <c r="AC283" s="1997"/>
      <c r="AD283" s="199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6" t="s">
        <v>2341</v>
      </c>
      <c r="G284" s="1997"/>
      <c r="H284" s="1997"/>
      <c r="I284" s="1997"/>
      <c r="J284" s="1997"/>
      <c r="K284" s="1997"/>
      <c r="L284" s="1997"/>
      <c r="M284" s="1997"/>
      <c r="N284" s="1997"/>
      <c r="O284" s="1997"/>
      <c r="P284" s="1997"/>
      <c r="Q284" s="1997"/>
      <c r="R284" s="1997"/>
      <c r="S284" s="1997"/>
      <c r="T284" s="1997"/>
      <c r="U284" s="1997"/>
      <c r="V284" s="1997"/>
      <c r="W284" s="1997"/>
      <c r="X284" s="1997"/>
      <c r="Y284" s="1997"/>
      <c r="Z284" s="1997"/>
      <c r="AA284" s="1997"/>
      <c r="AB284" s="1997"/>
      <c r="AC284" s="1997"/>
      <c r="AD284" s="1998"/>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c r="A285" s="674"/>
      <c r="B285" s="630"/>
      <c r="F285" s="1996"/>
      <c r="G285" s="1997"/>
      <c r="H285" s="1997"/>
      <c r="I285" s="1997"/>
      <c r="J285" s="1997"/>
      <c r="K285" s="1997"/>
      <c r="L285" s="1997"/>
      <c r="M285" s="1997"/>
      <c r="N285" s="1997"/>
      <c r="O285" s="1997"/>
      <c r="P285" s="1997"/>
      <c r="Q285" s="1997"/>
      <c r="R285" s="1997"/>
      <c r="S285" s="1997"/>
      <c r="T285" s="1997"/>
      <c r="U285" s="1997"/>
      <c r="V285" s="1997"/>
      <c r="W285" s="1997"/>
      <c r="X285" s="1997"/>
      <c r="Y285" s="1997"/>
      <c r="Z285" s="1997"/>
      <c r="AA285" s="1997"/>
      <c r="AB285" s="1997"/>
      <c r="AC285" s="1997"/>
      <c r="AD285" s="199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6" t="s">
        <v>1496</v>
      </c>
      <c r="G286" s="1997"/>
      <c r="H286" s="1997"/>
      <c r="I286" s="1997"/>
      <c r="J286" s="1997"/>
      <c r="K286" s="1997"/>
      <c r="L286" s="1997"/>
      <c r="M286" s="1997"/>
      <c r="N286" s="1997"/>
      <c r="O286" s="1997"/>
      <c r="P286" s="1997"/>
      <c r="Q286" s="1997"/>
      <c r="R286" s="1997"/>
      <c r="S286" s="1997"/>
      <c r="T286" s="1997"/>
      <c r="U286" s="1997"/>
      <c r="V286" s="1997"/>
      <c r="W286" s="1997"/>
      <c r="X286" s="1997"/>
      <c r="Y286" s="1997"/>
      <c r="Z286" s="1997"/>
      <c r="AA286" s="1997"/>
      <c r="AB286" s="1997"/>
      <c r="AC286" s="1997"/>
      <c r="AD286" s="199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6"/>
      <c r="G287" s="1997"/>
      <c r="H287" s="1997"/>
      <c r="I287" s="1997"/>
      <c r="J287" s="1997"/>
      <c r="K287" s="1997"/>
      <c r="L287" s="1997"/>
      <c r="M287" s="1997"/>
      <c r="N287" s="1997"/>
      <c r="O287" s="1997"/>
      <c r="P287" s="1997"/>
      <c r="Q287" s="1997"/>
      <c r="R287" s="1997"/>
      <c r="S287" s="1997"/>
      <c r="T287" s="1997"/>
      <c r="U287" s="1997"/>
      <c r="V287" s="1997"/>
      <c r="W287" s="1997"/>
      <c r="X287" s="1997"/>
      <c r="Y287" s="1997"/>
      <c r="Z287" s="1997"/>
      <c r="AA287" s="1997"/>
      <c r="AB287" s="1997"/>
      <c r="AC287" s="1997"/>
      <c r="AD287" s="199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6" t="s">
        <v>1497</v>
      </c>
      <c r="G288" s="1997"/>
      <c r="H288" s="1997"/>
      <c r="I288" s="1997"/>
      <c r="J288" s="1997"/>
      <c r="K288" s="1997"/>
      <c r="L288" s="1997"/>
      <c r="M288" s="1997"/>
      <c r="N288" s="1997"/>
      <c r="O288" s="1997"/>
      <c r="P288" s="1997"/>
      <c r="Q288" s="1997"/>
      <c r="R288" s="1997"/>
      <c r="S288" s="1997"/>
      <c r="T288" s="1997"/>
      <c r="U288" s="1997"/>
      <c r="V288" s="1997"/>
      <c r="W288" s="1997"/>
      <c r="X288" s="1997"/>
      <c r="Y288" s="1997"/>
      <c r="Z288" s="1997"/>
      <c r="AA288" s="1997"/>
      <c r="AB288" s="1997"/>
      <c r="AC288" s="1997"/>
      <c r="AD288" s="199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9"/>
      <c r="G289" s="2000"/>
      <c r="H289" s="2000"/>
      <c r="I289" s="2000"/>
      <c r="J289" s="2000"/>
      <c r="K289" s="2000"/>
      <c r="L289" s="2000"/>
      <c r="M289" s="2000"/>
      <c r="N289" s="2000"/>
      <c r="O289" s="2000"/>
      <c r="P289" s="2000"/>
      <c r="Q289" s="2000"/>
      <c r="R289" s="2000"/>
      <c r="S289" s="2000"/>
      <c r="T289" s="2000"/>
      <c r="U289" s="2000"/>
      <c r="V289" s="2000"/>
      <c r="W289" s="2000"/>
      <c r="X289" s="2000"/>
      <c r="Y289" s="2000"/>
      <c r="Z289" s="2000"/>
      <c r="AA289" s="2000"/>
      <c r="AB289" s="2000"/>
      <c r="AC289" s="2000"/>
      <c r="AD289" s="200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84" t="s">
        <v>1498</v>
      </c>
      <c r="B291" s="1684"/>
      <c r="C291" s="1974" t="s">
        <v>600</v>
      </c>
      <c r="D291" s="1974"/>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9" t="s">
        <v>2335</v>
      </c>
      <c r="G292" s="1910"/>
      <c r="H292" s="1910"/>
      <c r="I292" s="1910"/>
      <c r="J292" s="1910"/>
      <c r="K292" s="1910"/>
      <c r="L292" s="1910"/>
      <c r="M292" s="1910"/>
      <c r="N292" s="1910"/>
      <c r="O292" s="1910"/>
      <c r="P292" s="1910"/>
      <c r="Q292" s="1910"/>
      <c r="R292" s="1910"/>
      <c r="S292" s="1910"/>
      <c r="T292" s="1910"/>
      <c r="U292" s="1910"/>
      <c r="V292" s="1910"/>
      <c r="W292" s="1910"/>
      <c r="X292" s="1910"/>
      <c r="Y292" s="1910"/>
      <c r="Z292" s="1910"/>
      <c r="AA292" s="1910"/>
      <c r="AB292" s="1910"/>
      <c r="AC292" s="1910"/>
      <c r="AD292" s="1911"/>
      <c r="AE292" s="585"/>
      <c r="AF292" s="585"/>
      <c r="AG292" s="585"/>
      <c r="AH292" s="585"/>
      <c r="AI292" s="585"/>
      <c r="AJ292" s="584"/>
      <c r="AK292" s="584"/>
      <c r="AL292" s="584"/>
      <c r="AM292" s="584"/>
      <c r="AR292" s="682"/>
    </row>
    <row r="293" spans="1:49" ht="15" customHeight="1">
      <c r="A293" s="584"/>
      <c r="B293" s="585"/>
      <c r="C293" s="584"/>
      <c r="D293" s="585"/>
      <c r="E293" s="584"/>
      <c r="F293" s="1909"/>
      <c r="G293" s="1910"/>
      <c r="H293" s="1910"/>
      <c r="I293" s="1910"/>
      <c r="J293" s="1910"/>
      <c r="K293" s="1910"/>
      <c r="L293" s="1910"/>
      <c r="M293" s="1910"/>
      <c r="N293" s="1910"/>
      <c r="O293" s="1910"/>
      <c r="P293" s="1910"/>
      <c r="Q293" s="1910"/>
      <c r="R293" s="1910"/>
      <c r="S293" s="1910"/>
      <c r="T293" s="1910"/>
      <c r="U293" s="1910"/>
      <c r="V293" s="1910"/>
      <c r="W293" s="1910"/>
      <c r="X293" s="1910"/>
      <c r="Y293" s="1910"/>
      <c r="Z293" s="1910"/>
      <c r="AA293" s="1910"/>
      <c r="AB293" s="1910"/>
      <c r="AC293" s="1910"/>
      <c r="AD293" s="1911"/>
      <c r="AE293" s="585"/>
      <c r="AF293" s="585"/>
      <c r="AG293" s="585"/>
      <c r="AH293" s="585"/>
      <c r="AI293" s="585"/>
      <c r="AJ293" s="584"/>
      <c r="AK293" s="584"/>
      <c r="AL293" s="584"/>
      <c r="AM293" s="584"/>
      <c r="AR293" s="682"/>
    </row>
    <row r="294" spans="1:49">
      <c r="A294" s="584"/>
      <c r="B294" s="585"/>
      <c r="C294" s="584"/>
      <c r="D294" s="585"/>
      <c r="E294" s="584"/>
      <c r="F294" s="1909"/>
      <c r="G294" s="1910"/>
      <c r="H294" s="1910"/>
      <c r="I294" s="1910"/>
      <c r="J294" s="1910"/>
      <c r="K294" s="1910"/>
      <c r="L294" s="1910"/>
      <c r="M294" s="1910"/>
      <c r="N294" s="1910"/>
      <c r="O294" s="1910"/>
      <c r="P294" s="1910"/>
      <c r="Q294" s="1910"/>
      <c r="R294" s="1910"/>
      <c r="S294" s="1910"/>
      <c r="T294" s="1910"/>
      <c r="U294" s="1910"/>
      <c r="V294" s="1910"/>
      <c r="W294" s="1910"/>
      <c r="X294" s="1910"/>
      <c r="Y294" s="1910"/>
      <c r="Z294" s="1910"/>
      <c r="AA294" s="1910"/>
      <c r="AB294" s="1910"/>
      <c r="AC294" s="1910"/>
      <c r="AD294" s="191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6"/>
      <c r="G295" s="1907"/>
      <c r="H295" s="1907"/>
      <c r="I295" s="1907"/>
      <c r="J295" s="1907"/>
      <c r="K295" s="1907"/>
      <c r="L295" s="1907"/>
      <c r="M295" s="1907"/>
      <c r="N295" s="1907"/>
      <c r="O295" s="1907"/>
      <c r="P295" s="1907"/>
      <c r="Q295" s="1907"/>
      <c r="R295" s="1907"/>
      <c r="S295" s="1907"/>
      <c r="T295" s="1907"/>
      <c r="U295" s="1907"/>
      <c r="V295" s="1907"/>
      <c r="W295" s="1907"/>
      <c r="X295" s="1907"/>
      <c r="Y295" s="1907"/>
      <c r="Z295" s="1907"/>
      <c r="AA295" s="1907"/>
      <c r="AB295" s="1907"/>
      <c r="AC295" s="1907"/>
      <c r="AD295" s="190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84" t="s">
        <v>1501</v>
      </c>
      <c r="B299" s="1684"/>
      <c r="C299" s="1974" t="s">
        <v>600</v>
      </c>
      <c r="D299" s="1974"/>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6" t="s">
        <v>2342</v>
      </c>
      <c r="G300" s="1997"/>
      <c r="H300" s="1997"/>
      <c r="I300" s="1997"/>
      <c r="J300" s="1997"/>
      <c r="K300" s="1997"/>
      <c r="L300" s="1997"/>
      <c r="M300" s="1997"/>
      <c r="N300" s="1997"/>
      <c r="O300" s="1997"/>
      <c r="P300" s="1997"/>
      <c r="Q300" s="1997"/>
      <c r="R300" s="1997"/>
      <c r="S300" s="1997"/>
      <c r="T300" s="1997"/>
      <c r="U300" s="1997"/>
      <c r="V300" s="1997"/>
      <c r="W300" s="1997"/>
      <c r="X300" s="1997"/>
      <c r="Y300" s="1997"/>
      <c r="Z300" s="1997"/>
      <c r="AA300" s="1997"/>
      <c r="AB300" s="1997"/>
      <c r="AC300" s="1997"/>
      <c r="AD300" s="1998"/>
      <c r="AE300" s="585"/>
      <c r="AF300" s="585"/>
      <c r="AG300" s="573"/>
      <c r="AH300" s="585"/>
      <c r="AI300" s="585"/>
      <c r="AJ300" s="584"/>
      <c r="AK300" s="584"/>
      <c r="AL300" s="584"/>
      <c r="AM300" s="584"/>
      <c r="AN300" s="73"/>
      <c r="AO300" s="14"/>
      <c r="AP300" s="591" t="s">
        <v>1291</v>
      </c>
    </row>
    <row r="301" spans="1:49" hidden="1">
      <c r="F301" s="1996"/>
      <c r="G301" s="1997"/>
      <c r="H301" s="1997"/>
      <c r="I301" s="1997"/>
      <c r="J301" s="1997"/>
      <c r="K301" s="1997"/>
      <c r="L301" s="1997"/>
      <c r="M301" s="1997"/>
      <c r="N301" s="1997"/>
      <c r="O301" s="1997"/>
      <c r="P301" s="1997"/>
      <c r="Q301" s="1997"/>
      <c r="R301" s="1997"/>
      <c r="S301" s="1997"/>
      <c r="T301" s="1997"/>
      <c r="U301" s="1997"/>
      <c r="V301" s="1997"/>
      <c r="W301" s="1997"/>
      <c r="X301" s="1997"/>
      <c r="Y301" s="1997"/>
      <c r="Z301" s="1997"/>
      <c r="AA301" s="1997"/>
      <c r="AB301" s="1997"/>
      <c r="AC301" s="1997"/>
      <c r="AD301" s="1998"/>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6" t="s">
        <v>1291</v>
      </c>
      <c r="G305" s="2007"/>
      <c r="H305" s="2007"/>
      <c r="I305" s="2007"/>
      <c r="J305" s="2007"/>
      <c r="K305" s="2007"/>
      <c r="L305" s="2007"/>
      <c r="M305" s="2007"/>
      <c r="N305" s="2007"/>
      <c r="O305" s="2007"/>
      <c r="P305" s="2007"/>
      <c r="Q305" s="2007"/>
      <c r="R305" s="2007"/>
      <c r="S305" s="2007"/>
      <c r="T305" s="2007"/>
      <c r="U305" s="2007"/>
      <c r="V305" s="2007"/>
      <c r="W305" s="2007"/>
      <c r="X305" s="2007"/>
      <c r="Y305" s="2007"/>
      <c r="Z305" s="2007"/>
      <c r="AA305" s="2007"/>
      <c r="AB305" s="2007"/>
      <c r="AC305" s="2007"/>
      <c r="AD305" s="2008"/>
      <c r="AE305" s="676"/>
      <c r="AF305" s="676"/>
      <c r="AG305" s="676"/>
      <c r="AH305" s="676"/>
      <c r="AI305" s="676"/>
      <c r="AJ305" s="676"/>
      <c r="AK305" s="676"/>
      <c r="AL305" s="584"/>
      <c r="AM305" s="584"/>
      <c r="AN305" s="73"/>
      <c r="AO305" s="14"/>
      <c r="AP305" s="30"/>
    </row>
    <row r="306" spans="1:42" hidden="1">
      <c r="A306" s="584"/>
      <c r="B306" s="585"/>
      <c r="C306" s="764"/>
      <c r="D306" s="764"/>
      <c r="E306" s="581"/>
      <c r="F306" s="2006"/>
      <c r="G306" s="2007"/>
      <c r="H306" s="2007"/>
      <c r="I306" s="2007"/>
      <c r="J306" s="2007"/>
      <c r="K306" s="2007"/>
      <c r="L306" s="2007"/>
      <c r="M306" s="2007"/>
      <c r="N306" s="2007"/>
      <c r="O306" s="2007"/>
      <c r="P306" s="2007"/>
      <c r="Q306" s="2007"/>
      <c r="R306" s="2007"/>
      <c r="S306" s="2007"/>
      <c r="T306" s="2007"/>
      <c r="U306" s="2007"/>
      <c r="V306" s="2007"/>
      <c r="W306" s="2007"/>
      <c r="X306" s="2007"/>
      <c r="Y306" s="2007"/>
      <c r="Z306" s="2007"/>
      <c r="AA306" s="2007"/>
      <c r="AB306" s="2007"/>
      <c r="AC306" s="2007"/>
      <c r="AD306" s="2008"/>
      <c r="AE306" s="585"/>
      <c r="AF306" s="585"/>
      <c r="AG306" s="573"/>
      <c r="AH306" s="585"/>
      <c r="AI306" s="585"/>
      <c r="AJ306" s="584"/>
      <c r="AK306" s="584"/>
      <c r="AL306" s="584"/>
      <c r="AM306" s="584"/>
      <c r="AN306" s="73"/>
      <c r="AO306" s="14"/>
      <c r="AP306" s="30"/>
    </row>
    <row r="307" spans="1:42" hidden="1">
      <c r="A307" s="584"/>
      <c r="B307" s="585"/>
      <c r="C307" s="764"/>
      <c r="D307" s="764"/>
      <c r="E307" s="581"/>
      <c r="F307" s="2006"/>
      <c r="G307" s="2007"/>
      <c r="H307" s="2007"/>
      <c r="I307" s="2007"/>
      <c r="J307" s="2007"/>
      <c r="K307" s="2007"/>
      <c r="L307" s="2007"/>
      <c r="M307" s="2007"/>
      <c r="N307" s="2007"/>
      <c r="O307" s="2007"/>
      <c r="P307" s="2007"/>
      <c r="Q307" s="2007"/>
      <c r="R307" s="2007"/>
      <c r="S307" s="2007"/>
      <c r="T307" s="2007"/>
      <c r="U307" s="2007"/>
      <c r="V307" s="2007"/>
      <c r="W307" s="2007"/>
      <c r="X307" s="2007"/>
      <c r="Y307" s="2007"/>
      <c r="Z307" s="2007"/>
      <c r="AA307" s="2007"/>
      <c r="AB307" s="2007"/>
      <c r="AC307" s="2007"/>
      <c r="AD307" s="2008"/>
      <c r="AE307" s="585"/>
      <c r="AF307" s="585"/>
      <c r="AG307" s="573"/>
      <c r="AH307" s="585"/>
      <c r="AI307" s="585"/>
      <c r="AJ307" s="584"/>
      <c r="AK307" s="584"/>
      <c r="AL307" s="584"/>
      <c r="AM307" s="584"/>
      <c r="AN307" s="73"/>
      <c r="AO307" s="14"/>
      <c r="AP307" s="30"/>
    </row>
    <row r="308" spans="1:42" hidden="1">
      <c r="A308" s="584"/>
      <c r="B308" s="585"/>
      <c r="C308" s="764"/>
      <c r="D308" s="764"/>
      <c r="E308" s="581"/>
      <c r="F308" s="2006"/>
      <c r="G308" s="2007"/>
      <c r="H308" s="2007"/>
      <c r="I308" s="2007"/>
      <c r="J308" s="2007"/>
      <c r="K308" s="2007"/>
      <c r="L308" s="2007"/>
      <c r="M308" s="2007"/>
      <c r="N308" s="2007"/>
      <c r="O308" s="2007"/>
      <c r="P308" s="2007"/>
      <c r="Q308" s="2007"/>
      <c r="R308" s="2007"/>
      <c r="S308" s="2007"/>
      <c r="T308" s="2007"/>
      <c r="U308" s="2007"/>
      <c r="V308" s="2007"/>
      <c r="W308" s="2007"/>
      <c r="X308" s="2007"/>
      <c r="Y308" s="2007"/>
      <c r="Z308" s="2007"/>
      <c r="AA308" s="2007"/>
      <c r="AB308" s="2007"/>
      <c r="AC308" s="2007"/>
      <c r="AD308" s="2008"/>
      <c r="AE308" s="585"/>
      <c r="AF308" s="585"/>
      <c r="AG308" s="573"/>
      <c r="AH308" s="585"/>
      <c r="AI308" s="585"/>
      <c r="AJ308" s="584"/>
      <c r="AK308" s="584"/>
      <c r="AL308" s="584"/>
      <c r="AM308" s="584"/>
      <c r="AN308" s="73"/>
      <c r="AO308" s="14"/>
      <c r="AP308" s="30"/>
    </row>
    <row r="309" spans="1:42" hidden="1">
      <c r="A309" s="584"/>
      <c r="B309" s="585"/>
      <c r="C309" s="764"/>
      <c r="D309" s="764"/>
      <c r="E309" s="581"/>
      <c r="F309" s="2009"/>
      <c r="G309" s="2010"/>
      <c r="H309" s="2010"/>
      <c r="I309" s="2010"/>
      <c r="J309" s="2010"/>
      <c r="K309" s="2010"/>
      <c r="L309" s="2010"/>
      <c r="M309" s="2010"/>
      <c r="N309" s="2010"/>
      <c r="O309" s="2010"/>
      <c r="P309" s="2010"/>
      <c r="Q309" s="2010"/>
      <c r="R309" s="2010"/>
      <c r="S309" s="2010"/>
      <c r="T309" s="2010"/>
      <c r="U309" s="2010"/>
      <c r="V309" s="2010"/>
      <c r="W309" s="2010"/>
      <c r="X309" s="2010"/>
      <c r="Y309" s="2010"/>
      <c r="Z309" s="2010"/>
      <c r="AA309" s="2010"/>
      <c r="AB309" s="2010"/>
      <c r="AC309" s="2010"/>
      <c r="AD309" s="2011"/>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12" t="s">
        <v>1291</v>
      </c>
      <c r="J313" s="2012"/>
      <c r="K313" s="2012"/>
      <c r="L313" s="2012"/>
      <c r="M313" s="2012"/>
      <c r="N313" s="2012"/>
      <c r="O313" s="2012"/>
      <c r="P313" s="2012"/>
      <c r="Q313" s="2012"/>
      <c r="R313" s="2012"/>
      <c r="S313" s="2012"/>
      <c r="T313" s="2012"/>
      <c r="U313" s="2012"/>
      <c r="V313" s="2012"/>
      <c r="W313" s="2012"/>
      <c r="X313" s="2012"/>
      <c r="Y313" s="2012"/>
      <c r="Z313" s="2012"/>
      <c r="AA313" s="2012"/>
      <c r="AB313" s="2012"/>
      <c r="AC313" s="2012"/>
      <c r="AD313" s="2013"/>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12"/>
      <c r="J314" s="2012"/>
      <c r="K314" s="2012"/>
      <c r="L314" s="2012"/>
      <c r="M314" s="2012"/>
      <c r="N314" s="2012"/>
      <c r="O314" s="2012"/>
      <c r="P314" s="2012"/>
      <c r="Q314" s="2012"/>
      <c r="R314" s="2012"/>
      <c r="S314" s="2012"/>
      <c r="T314" s="2012"/>
      <c r="U314" s="2012"/>
      <c r="V314" s="2012"/>
      <c r="W314" s="2012"/>
      <c r="X314" s="2012"/>
      <c r="Y314" s="2012"/>
      <c r="Z314" s="2012"/>
      <c r="AA314" s="2012"/>
      <c r="AB314" s="2012"/>
      <c r="AC314" s="2012"/>
      <c r="AD314" s="2013"/>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12"/>
      <c r="J315" s="2012"/>
      <c r="K315" s="2012"/>
      <c r="L315" s="2012"/>
      <c r="M315" s="2012"/>
      <c r="N315" s="2012"/>
      <c r="O315" s="2012"/>
      <c r="P315" s="2012"/>
      <c r="Q315" s="2012"/>
      <c r="R315" s="2012"/>
      <c r="S315" s="2012"/>
      <c r="T315" s="2012"/>
      <c r="U315" s="2012"/>
      <c r="V315" s="2012"/>
      <c r="W315" s="2012"/>
      <c r="X315" s="2012"/>
      <c r="Y315" s="2012"/>
      <c r="Z315" s="2012"/>
      <c r="AA315" s="2012"/>
      <c r="AB315" s="2012"/>
      <c r="AC315" s="2012"/>
      <c r="AD315" s="2013"/>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14"/>
      <c r="J316" s="2014"/>
      <c r="K316" s="2014"/>
      <c r="L316" s="2014"/>
      <c r="M316" s="2014"/>
      <c r="N316" s="2014"/>
      <c r="O316" s="2014"/>
      <c r="P316" s="2014"/>
      <c r="Q316" s="2014"/>
      <c r="R316" s="2014"/>
      <c r="S316" s="2014"/>
      <c r="T316" s="2014"/>
      <c r="U316" s="2014"/>
      <c r="V316" s="2014"/>
      <c r="W316" s="2014"/>
      <c r="X316" s="2014"/>
      <c r="Y316" s="2014"/>
      <c r="Z316" s="2014"/>
      <c r="AA316" s="2014"/>
      <c r="AB316" s="2014"/>
      <c r="AC316" s="2014"/>
      <c r="AD316" s="2015"/>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12" t="s">
        <v>1291</v>
      </c>
      <c r="J318" s="2012"/>
      <c r="K318" s="2012"/>
      <c r="L318" s="2012"/>
      <c r="M318" s="2012"/>
      <c r="N318" s="2012"/>
      <c r="O318" s="2012"/>
      <c r="P318" s="2012"/>
      <c r="Q318" s="2012"/>
      <c r="R318" s="2012"/>
      <c r="S318" s="2012"/>
      <c r="T318" s="2012"/>
      <c r="U318" s="2012"/>
      <c r="V318" s="2012"/>
      <c r="W318" s="2012"/>
      <c r="X318" s="2012"/>
      <c r="Y318" s="2012"/>
      <c r="Z318" s="2012"/>
      <c r="AA318" s="2012"/>
      <c r="AB318" s="2012"/>
      <c r="AC318" s="2012"/>
      <c r="AD318" s="2013"/>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12"/>
      <c r="J319" s="2012"/>
      <c r="K319" s="2012"/>
      <c r="L319" s="2012"/>
      <c r="M319" s="2012"/>
      <c r="N319" s="2012"/>
      <c r="O319" s="2012"/>
      <c r="P319" s="2012"/>
      <c r="Q319" s="2012"/>
      <c r="R319" s="2012"/>
      <c r="S319" s="2012"/>
      <c r="T319" s="2012"/>
      <c r="U319" s="2012"/>
      <c r="V319" s="2012"/>
      <c r="W319" s="2012"/>
      <c r="X319" s="2012"/>
      <c r="Y319" s="2012"/>
      <c r="Z319" s="2012"/>
      <c r="AA319" s="2012"/>
      <c r="AB319" s="2012"/>
      <c r="AC319" s="2012"/>
      <c r="AD319" s="2013"/>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14"/>
      <c r="J320" s="2014"/>
      <c r="K320" s="2014"/>
      <c r="L320" s="2014"/>
      <c r="M320" s="2014"/>
      <c r="N320" s="2014"/>
      <c r="O320" s="2014"/>
      <c r="P320" s="2014"/>
      <c r="Q320" s="2014"/>
      <c r="R320" s="2014"/>
      <c r="S320" s="2014"/>
      <c r="T320" s="2014"/>
      <c r="U320" s="2014"/>
      <c r="V320" s="2014"/>
      <c r="W320" s="2014"/>
      <c r="X320" s="2014"/>
      <c r="Y320" s="2014"/>
      <c r="Z320" s="2014"/>
      <c r="AA320" s="2014"/>
      <c r="AB320" s="2014"/>
      <c r="AC320" s="2014"/>
      <c r="AD320" s="2015"/>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84" t="s">
        <v>1504</v>
      </c>
      <c r="B322" s="1684"/>
      <c r="C322" s="1974" t="s">
        <v>600</v>
      </c>
      <c r="D322" s="1974"/>
      <c r="E322" s="581"/>
      <c r="F322" s="1903" t="s">
        <v>2343</v>
      </c>
      <c r="G322" s="1904"/>
      <c r="H322" s="1904"/>
      <c r="I322" s="1904"/>
      <c r="J322" s="1904"/>
      <c r="K322" s="1904"/>
      <c r="L322" s="1904"/>
      <c r="M322" s="1904"/>
      <c r="N322" s="1904"/>
      <c r="O322" s="1904"/>
      <c r="P322" s="1904"/>
      <c r="Q322" s="1904"/>
      <c r="R322" s="1904"/>
      <c r="S322" s="1904"/>
      <c r="T322" s="1904"/>
      <c r="U322" s="1904"/>
      <c r="V322" s="1904"/>
      <c r="W322" s="1904"/>
      <c r="X322" s="1904"/>
      <c r="Y322" s="1904"/>
      <c r="Z322" s="1904"/>
      <c r="AA322" s="1904"/>
      <c r="AB322" s="1904"/>
      <c r="AC322" s="1904"/>
      <c r="AD322" s="1905"/>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9"/>
      <c r="G323" s="1910"/>
      <c r="H323" s="1910"/>
      <c r="I323" s="1910"/>
      <c r="J323" s="1910"/>
      <c r="K323" s="1910"/>
      <c r="L323" s="1910"/>
      <c r="M323" s="1910"/>
      <c r="N323" s="1910"/>
      <c r="O323" s="1910"/>
      <c r="P323" s="1910"/>
      <c r="Q323" s="1910"/>
      <c r="R323" s="1910"/>
      <c r="S323" s="1910"/>
      <c r="T323" s="1910"/>
      <c r="U323" s="1910"/>
      <c r="V323" s="1910"/>
      <c r="W323" s="1910"/>
      <c r="X323" s="1910"/>
      <c r="Y323" s="1910"/>
      <c r="Z323" s="1910"/>
      <c r="AA323" s="1910"/>
      <c r="AB323" s="1910"/>
      <c r="AC323" s="1910"/>
      <c r="AD323" s="1911"/>
      <c r="AE323" s="585"/>
      <c r="AF323" s="585"/>
      <c r="AG323" s="585"/>
      <c r="AH323" s="585"/>
      <c r="AI323" s="585"/>
      <c r="AJ323" s="584"/>
      <c r="AK323" s="584"/>
      <c r="AL323" s="584"/>
      <c r="AM323" s="584"/>
      <c r="AN323" s="73"/>
      <c r="AO323" s="14"/>
    </row>
    <row r="324" spans="1:44" ht="15" hidden="1" customHeight="1">
      <c r="A324" s="584"/>
      <c r="B324" s="585"/>
      <c r="C324" s="585"/>
      <c r="D324" s="585"/>
      <c r="E324" s="585"/>
      <c r="F324" s="1909"/>
      <c r="G324" s="1910"/>
      <c r="H324" s="1910"/>
      <c r="I324" s="1910"/>
      <c r="J324" s="1910"/>
      <c r="K324" s="1910"/>
      <c r="L324" s="1910"/>
      <c r="M324" s="1910"/>
      <c r="N324" s="1910"/>
      <c r="O324" s="1910"/>
      <c r="P324" s="1910"/>
      <c r="Q324" s="1910"/>
      <c r="R324" s="1910"/>
      <c r="S324" s="1910"/>
      <c r="T324" s="1910"/>
      <c r="U324" s="1910"/>
      <c r="V324" s="1910"/>
      <c r="W324" s="1910"/>
      <c r="X324" s="1910"/>
      <c r="Y324" s="1910"/>
      <c r="Z324" s="1910"/>
      <c r="AA324" s="1910"/>
      <c r="AB324" s="1910"/>
      <c r="AC324" s="1910"/>
      <c r="AD324" s="1911"/>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7">
        <f>IF(NOT(OR(Application!M355="Yes",Application!M356="Yes")),0,AP284)</f>
        <v>0</v>
      </c>
      <c r="AL327" s="1978"/>
      <c r="AM327" s="197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12" t="s">
        <v>1426</v>
      </c>
      <c r="AF330" s="1912"/>
      <c r="AG330" s="1912"/>
      <c r="AH330" s="1912"/>
      <c r="AI330" s="1912"/>
      <c r="AJ330" s="1912"/>
      <c r="AK330" s="191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6" t="s">
        <v>1566</v>
      </c>
      <c r="D332" s="2016"/>
      <c r="E332" s="2016"/>
      <c r="F332" s="2016"/>
      <c r="G332" s="2016"/>
      <c r="H332" s="2016"/>
      <c r="I332" s="2016"/>
      <c r="J332" s="2016"/>
      <c r="K332" s="2016"/>
      <c r="L332" s="2016"/>
      <c r="M332" s="2016"/>
      <c r="N332" s="2016"/>
      <c r="O332" s="2016"/>
      <c r="P332" s="2016"/>
      <c r="Q332" s="2016"/>
      <c r="R332" s="2016"/>
      <c r="S332" s="2016"/>
      <c r="T332" s="2016"/>
      <c r="U332" s="2016"/>
      <c r="V332" s="2016"/>
      <c r="W332" s="2016"/>
      <c r="X332" s="2016"/>
      <c r="Y332" s="2016"/>
      <c r="Z332" s="2016"/>
      <c r="AA332" s="2016"/>
      <c r="AB332" s="2016"/>
      <c r="AC332" s="2016"/>
      <c r="AD332" s="2016"/>
      <c r="AE332" s="2016"/>
      <c r="AF332" s="2016"/>
      <c r="AG332" s="2016"/>
      <c r="AH332" s="2016"/>
      <c r="AI332" s="2016"/>
      <c r="AJ332" s="2016"/>
      <c r="AK332" s="637"/>
      <c r="AL332" s="637"/>
      <c r="AM332" s="637"/>
      <c r="AN332" s="631"/>
    </row>
    <row r="333" spans="1:44" s="584" customFormat="1" ht="12.75" customHeight="1">
      <c r="A333" s="637"/>
      <c r="B333" s="645"/>
      <c r="C333" s="2016"/>
      <c r="D333" s="2016"/>
      <c r="E333" s="2016"/>
      <c r="F333" s="2016"/>
      <c r="G333" s="2016"/>
      <c r="H333" s="2016"/>
      <c r="I333" s="2016"/>
      <c r="J333" s="2016"/>
      <c r="K333" s="2016"/>
      <c r="L333" s="2016"/>
      <c r="M333" s="2016"/>
      <c r="N333" s="2016"/>
      <c r="O333" s="2016"/>
      <c r="P333" s="2016"/>
      <c r="Q333" s="2016"/>
      <c r="R333" s="2016"/>
      <c r="S333" s="2016"/>
      <c r="T333" s="2016"/>
      <c r="U333" s="2016"/>
      <c r="V333" s="2016"/>
      <c r="W333" s="2016"/>
      <c r="X333" s="2016"/>
      <c r="Y333" s="2016"/>
      <c r="Z333" s="2016"/>
      <c r="AA333" s="2016"/>
      <c r="AB333" s="2016"/>
      <c r="AC333" s="2016"/>
      <c r="AD333" s="2016"/>
      <c r="AE333" s="2016"/>
      <c r="AF333" s="2016"/>
      <c r="AG333" s="2016"/>
      <c r="AH333" s="2016"/>
      <c r="AI333" s="2016"/>
      <c r="AJ333" s="2016"/>
      <c r="AK333" s="637"/>
      <c r="AL333" s="637"/>
      <c r="AM333" s="637"/>
      <c r="AN333" s="631"/>
    </row>
    <row r="334" spans="1:44" s="584" customFormat="1" ht="12.75" customHeight="1">
      <c r="A334" s="637"/>
      <c r="B334" s="645"/>
      <c r="C334" s="2016"/>
      <c r="D334" s="2016"/>
      <c r="E334" s="2016"/>
      <c r="F334" s="2016"/>
      <c r="G334" s="2016"/>
      <c r="H334" s="2016"/>
      <c r="I334" s="2016"/>
      <c r="J334" s="2016"/>
      <c r="K334" s="2016"/>
      <c r="L334" s="2016"/>
      <c r="M334" s="2016"/>
      <c r="N334" s="2016"/>
      <c r="O334" s="2016"/>
      <c r="P334" s="2016"/>
      <c r="Q334" s="2016"/>
      <c r="R334" s="2016"/>
      <c r="S334" s="2016"/>
      <c r="T334" s="2016"/>
      <c r="U334" s="2016"/>
      <c r="V334" s="2016"/>
      <c r="W334" s="2016"/>
      <c r="X334" s="2016"/>
      <c r="Y334" s="2016"/>
      <c r="Z334" s="2016"/>
      <c r="AA334" s="2016"/>
      <c r="AB334" s="2016"/>
      <c r="AC334" s="2016"/>
      <c r="AD334" s="2016"/>
      <c r="AE334" s="2016"/>
      <c r="AF334" s="2016"/>
      <c r="AG334" s="2016"/>
      <c r="AH334" s="2016"/>
      <c r="AI334" s="2016"/>
      <c r="AJ334" s="2016"/>
      <c r="AK334" s="637"/>
      <c r="AL334" s="637"/>
      <c r="AM334" s="637"/>
      <c r="AN334" s="631"/>
      <c r="AQ334" s="604"/>
    </row>
    <row r="335" spans="1:44" s="584" customFormat="1" ht="12.75" customHeight="1">
      <c r="A335" s="637"/>
      <c r="B335" s="645"/>
      <c r="C335" s="2016"/>
      <c r="D335" s="2016"/>
      <c r="E335" s="2016"/>
      <c r="F335" s="2016"/>
      <c r="G335" s="2016"/>
      <c r="H335" s="2016"/>
      <c r="I335" s="2016"/>
      <c r="J335" s="2016"/>
      <c r="K335" s="2016"/>
      <c r="L335" s="2016"/>
      <c r="M335" s="2016"/>
      <c r="N335" s="2016"/>
      <c r="O335" s="2016"/>
      <c r="P335" s="2016"/>
      <c r="Q335" s="2016"/>
      <c r="R335" s="2016"/>
      <c r="S335" s="2016"/>
      <c r="T335" s="2016"/>
      <c r="U335" s="2016"/>
      <c r="V335" s="2016"/>
      <c r="W335" s="2016"/>
      <c r="X335" s="2016"/>
      <c r="Y335" s="2016"/>
      <c r="Z335" s="2016"/>
      <c r="AA335" s="2016"/>
      <c r="AB335" s="2016"/>
      <c r="AC335" s="2016"/>
      <c r="AD335" s="2016"/>
      <c r="AE335" s="2016"/>
      <c r="AF335" s="2016"/>
      <c r="AG335" s="2016"/>
      <c r="AH335" s="2016"/>
      <c r="AI335" s="2016"/>
      <c r="AJ335" s="2016"/>
      <c r="AK335" s="637"/>
      <c r="AL335" s="637"/>
      <c r="AM335" s="637"/>
      <c r="AN335" s="631"/>
      <c r="AQ335" s="604"/>
    </row>
    <row r="336" spans="1:44" s="584" customFormat="1" ht="12.4" customHeight="1">
      <c r="A336" s="637"/>
      <c r="B336" s="645"/>
      <c r="C336" s="2016"/>
      <c r="D336" s="2016"/>
      <c r="E336" s="2016"/>
      <c r="F336" s="2016"/>
      <c r="G336" s="2016"/>
      <c r="H336" s="2016"/>
      <c r="I336" s="2016"/>
      <c r="J336" s="2016"/>
      <c r="K336" s="2016"/>
      <c r="L336" s="2016"/>
      <c r="M336" s="2016"/>
      <c r="N336" s="2016"/>
      <c r="O336" s="2016"/>
      <c r="P336" s="2016"/>
      <c r="Q336" s="2016"/>
      <c r="R336" s="2016"/>
      <c r="S336" s="2016"/>
      <c r="T336" s="2016"/>
      <c r="U336" s="2016"/>
      <c r="V336" s="2016"/>
      <c r="W336" s="2016"/>
      <c r="X336" s="2016"/>
      <c r="Y336" s="2016"/>
      <c r="Z336" s="2016"/>
      <c r="AA336" s="2016"/>
      <c r="AB336" s="2016"/>
      <c r="AC336" s="2016"/>
      <c r="AD336" s="2016"/>
      <c r="AE336" s="2016"/>
      <c r="AF336" s="2016"/>
      <c r="AG336" s="2016"/>
      <c r="AH336" s="2016"/>
      <c r="AI336" s="2016"/>
      <c r="AJ336" s="2016"/>
      <c r="AK336" s="637"/>
      <c r="AL336" s="637"/>
      <c r="AM336" s="637"/>
      <c r="AN336" s="631"/>
      <c r="AQ336" s="604"/>
      <c r="AR336" s="604"/>
    </row>
    <row r="337" spans="1:46" s="584" customFormat="1" ht="45.75" customHeight="1">
      <c r="A337" s="637"/>
      <c r="B337" s="645"/>
      <c r="C337" s="2016" t="s">
        <v>2410</v>
      </c>
      <c r="D337" s="2016"/>
      <c r="E337" s="2016"/>
      <c r="F337" s="2016"/>
      <c r="G337" s="2016"/>
      <c r="H337" s="2016"/>
      <c r="I337" s="2016"/>
      <c r="J337" s="2016"/>
      <c r="K337" s="2016"/>
      <c r="L337" s="2016"/>
      <c r="M337" s="2016"/>
      <c r="N337" s="2016"/>
      <c r="O337" s="2016"/>
      <c r="P337" s="2016"/>
      <c r="Q337" s="2016"/>
      <c r="R337" s="2016"/>
      <c r="S337" s="2016"/>
      <c r="T337" s="2016"/>
      <c r="U337" s="2016"/>
      <c r="V337" s="2016"/>
      <c r="W337" s="2016"/>
      <c r="X337" s="2016"/>
      <c r="Y337" s="2016"/>
      <c r="Z337" s="2016"/>
      <c r="AA337" s="2016"/>
      <c r="AB337" s="2016"/>
      <c r="AC337" s="2016"/>
      <c r="AD337" s="2016"/>
      <c r="AE337" s="2016"/>
      <c r="AF337" s="2016"/>
      <c r="AG337" s="2016"/>
      <c r="AH337" s="2016"/>
      <c r="AI337" s="2016"/>
      <c r="AJ337" s="201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6" t="s">
        <v>2574</v>
      </c>
      <c r="D339" s="2016"/>
      <c r="E339" s="2016"/>
      <c r="F339" s="2016"/>
      <c r="G339" s="2016"/>
      <c r="H339" s="2016"/>
      <c r="I339" s="2016"/>
      <c r="J339" s="2016"/>
      <c r="K339" s="2016"/>
      <c r="L339" s="2016"/>
      <c r="M339" s="2016"/>
      <c r="N339" s="2016"/>
      <c r="O339" s="2016"/>
      <c r="P339" s="2016"/>
      <c r="Q339" s="2016"/>
      <c r="R339" s="2016"/>
      <c r="S339" s="2016"/>
      <c r="T339" s="2016"/>
      <c r="U339" s="2016"/>
      <c r="V339" s="2016"/>
      <c r="W339" s="2016"/>
      <c r="X339" s="2016"/>
      <c r="Y339" s="2016"/>
      <c r="Z339" s="2016"/>
      <c r="AA339" s="2016"/>
      <c r="AB339" s="2016"/>
      <c r="AC339" s="2016"/>
      <c r="AD339" s="2016"/>
      <c r="AE339" s="2016"/>
      <c r="AF339" s="2016"/>
      <c r="AG339" s="2016"/>
      <c r="AH339" s="2016"/>
      <c r="AI339" s="2016"/>
      <c r="AJ339" s="2016"/>
      <c r="AK339" s="637"/>
      <c r="AL339" s="637"/>
      <c r="AM339" s="637"/>
      <c r="AN339" s="631"/>
      <c r="AQ339" s="604"/>
      <c r="AR339" s="604"/>
    </row>
    <row r="340" spans="1:46" s="584" customFormat="1" ht="30" customHeight="1">
      <c r="A340" s="637"/>
      <c r="B340" s="645"/>
      <c r="C340" s="2016"/>
      <c r="D340" s="2016"/>
      <c r="E340" s="2016"/>
      <c r="F340" s="2016"/>
      <c r="G340" s="2016"/>
      <c r="H340" s="2016"/>
      <c r="I340" s="2016"/>
      <c r="J340" s="2016"/>
      <c r="K340" s="2016"/>
      <c r="L340" s="2016"/>
      <c r="M340" s="2016"/>
      <c r="N340" s="2016"/>
      <c r="O340" s="2016"/>
      <c r="P340" s="2016"/>
      <c r="Q340" s="2016"/>
      <c r="R340" s="2016"/>
      <c r="S340" s="2016"/>
      <c r="T340" s="2016"/>
      <c r="U340" s="2016"/>
      <c r="V340" s="2016"/>
      <c r="W340" s="2016"/>
      <c r="X340" s="2016"/>
      <c r="Y340" s="2016"/>
      <c r="Z340" s="2016"/>
      <c r="AA340" s="2016"/>
      <c r="AB340" s="2016"/>
      <c r="AC340" s="2016"/>
      <c r="AD340" s="2016"/>
      <c r="AE340" s="2016"/>
      <c r="AF340" s="2016"/>
      <c r="AG340" s="2016"/>
      <c r="AH340" s="2016"/>
      <c r="AI340" s="2016"/>
      <c r="AJ340" s="2016"/>
      <c r="AK340" s="637"/>
      <c r="AL340" s="637"/>
      <c r="AM340" s="637"/>
      <c r="AN340" s="631"/>
      <c r="AR340" s="604"/>
    </row>
    <row r="341" spans="1:46" s="584" customFormat="1" ht="12.75" customHeight="1">
      <c r="A341" s="637"/>
      <c r="B341" s="645"/>
      <c r="C341" s="2016"/>
      <c r="D341" s="2016"/>
      <c r="E341" s="2016"/>
      <c r="F341" s="2016"/>
      <c r="G341" s="2016"/>
      <c r="H341" s="2016"/>
      <c r="I341" s="2016"/>
      <c r="J341" s="2016"/>
      <c r="K341" s="2016"/>
      <c r="L341" s="2016"/>
      <c r="M341" s="2016"/>
      <c r="N341" s="2016"/>
      <c r="O341" s="2016"/>
      <c r="P341" s="2016"/>
      <c r="Q341" s="2016"/>
      <c r="R341" s="2016"/>
      <c r="S341" s="2016"/>
      <c r="T341" s="2016"/>
      <c r="U341" s="2016"/>
      <c r="V341" s="2016"/>
      <c r="W341" s="2016"/>
      <c r="X341" s="2016"/>
      <c r="Y341" s="2016"/>
      <c r="Z341" s="2016"/>
      <c r="AA341" s="2016"/>
      <c r="AB341" s="2016"/>
      <c r="AC341" s="2016"/>
      <c r="AD341" s="2016"/>
      <c r="AE341" s="2016"/>
      <c r="AF341" s="2016"/>
      <c r="AG341" s="2016"/>
      <c r="AH341" s="2016"/>
      <c r="AI341" s="2016"/>
      <c r="AJ341" s="2016"/>
      <c r="AK341" s="637"/>
      <c r="AL341" s="637"/>
      <c r="AM341" s="637"/>
      <c r="AN341" s="631"/>
      <c r="AR341" s="604"/>
    </row>
    <row r="342" spans="1:46" s="584" customFormat="1" ht="12.75" customHeight="1">
      <c r="A342" s="637"/>
      <c r="B342" s="645"/>
      <c r="C342" s="2016" t="s">
        <v>1567</v>
      </c>
      <c r="D342" s="2016"/>
      <c r="E342" s="2016"/>
      <c r="F342" s="2016"/>
      <c r="G342" s="2016"/>
      <c r="H342" s="2016"/>
      <c r="I342" s="2016"/>
      <c r="J342" s="2016"/>
      <c r="K342" s="2016"/>
      <c r="L342" s="2016"/>
      <c r="M342" s="2016"/>
      <c r="N342" s="2016"/>
      <c r="O342" s="2016"/>
      <c r="P342" s="2016"/>
      <c r="Q342" s="2016"/>
      <c r="R342" s="2016"/>
      <c r="S342" s="2016"/>
      <c r="T342" s="2016"/>
      <c r="U342" s="2016"/>
      <c r="V342" s="2016"/>
      <c r="W342" s="2016"/>
      <c r="X342" s="2016"/>
      <c r="Y342" s="2016"/>
      <c r="Z342" s="2016"/>
      <c r="AA342" s="2016"/>
      <c r="AB342" s="2016"/>
      <c r="AC342" s="2016"/>
      <c r="AD342" s="2016"/>
      <c r="AE342" s="2016"/>
      <c r="AF342" s="2016"/>
      <c r="AG342" s="2016"/>
      <c r="AH342" s="2016"/>
      <c r="AI342" s="2016"/>
      <c r="AJ342" s="2016"/>
      <c r="AK342" s="637"/>
      <c r="AL342" s="637"/>
      <c r="AM342" s="637"/>
      <c r="AN342" s="631"/>
      <c r="AQ342" s="604"/>
      <c r="AR342" s="604"/>
    </row>
    <row r="343" spans="1:46" s="584" customFormat="1" ht="12.75" customHeight="1">
      <c r="A343" s="637"/>
      <c r="B343" s="645"/>
      <c r="C343" s="2016"/>
      <c r="D343" s="2016"/>
      <c r="E343" s="2016"/>
      <c r="F343" s="2016"/>
      <c r="G343" s="2016"/>
      <c r="H343" s="2016"/>
      <c r="I343" s="2016"/>
      <c r="J343" s="2016"/>
      <c r="K343" s="2016"/>
      <c r="L343" s="2016"/>
      <c r="M343" s="2016"/>
      <c r="N343" s="2016"/>
      <c r="O343" s="2016"/>
      <c r="P343" s="2016"/>
      <c r="Q343" s="2016"/>
      <c r="R343" s="2016"/>
      <c r="S343" s="2016"/>
      <c r="T343" s="2016"/>
      <c r="U343" s="2016"/>
      <c r="V343" s="2016"/>
      <c r="W343" s="2016"/>
      <c r="X343" s="2016"/>
      <c r="Y343" s="2016"/>
      <c r="Z343" s="2016"/>
      <c r="AA343" s="2016"/>
      <c r="AB343" s="2016"/>
      <c r="AC343" s="2016"/>
      <c r="AD343" s="2016"/>
      <c r="AE343" s="2016"/>
      <c r="AF343" s="2016"/>
      <c r="AG343" s="2016"/>
      <c r="AH343" s="2016"/>
      <c r="AI343" s="2016"/>
      <c r="AJ343" s="2016"/>
      <c r="AK343" s="637"/>
      <c r="AL343" s="637"/>
      <c r="AM343" s="637"/>
      <c r="AN343" s="631"/>
      <c r="AQ343" s="604"/>
      <c r="AR343" s="604"/>
    </row>
    <row r="344" spans="1:46" s="584" customFormat="1" ht="13.15" customHeight="1">
      <c r="A344" s="637"/>
      <c r="B344" s="645"/>
      <c r="C344" s="2016"/>
      <c r="D344" s="2016"/>
      <c r="E344" s="2016"/>
      <c r="F344" s="2016"/>
      <c r="G344" s="2016"/>
      <c r="H344" s="2016"/>
      <c r="I344" s="2016"/>
      <c r="J344" s="2016"/>
      <c r="K344" s="2016"/>
      <c r="L344" s="2016"/>
      <c r="M344" s="2016"/>
      <c r="N344" s="2016"/>
      <c r="O344" s="2016"/>
      <c r="P344" s="2016"/>
      <c r="Q344" s="2016"/>
      <c r="R344" s="2016"/>
      <c r="S344" s="2016"/>
      <c r="T344" s="2016"/>
      <c r="U344" s="2016"/>
      <c r="V344" s="2016"/>
      <c r="W344" s="2016"/>
      <c r="X344" s="2016"/>
      <c r="Y344" s="2016"/>
      <c r="Z344" s="2016"/>
      <c r="AA344" s="2016"/>
      <c r="AB344" s="2016"/>
      <c r="AC344" s="2016"/>
      <c r="AD344" s="2016"/>
      <c r="AE344" s="2016"/>
      <c r="AF344" s="2016"/>
      <c r="AG344" s="2016"/>
      <c r="AH344" s="2016"/>
      <c r="AI344" s="2016"/>
      <c r="AJ344" s="2016"/>
      <c r="AK344" s="637"/>
      <c r="AL344" s="637"/>
      <c r="AM344" s="637"/>
      <c r="AN344" s="631"/>
      <c r="AQ344" s="604"/>
      <c r="AR344" s="604"/>
    </row>
    <row r="345" spans="1:46" s="584" customFormat="1" ht="12.75" customHeight="1">
      <c r="A345" s="637"/>
      <c r="B345" s="645"/>
      <c r="C345" s="2016"/>
      <c r="D345" s="2016"/>
      <c r="E345" s="2016"/>
      <c r="F345" s="2016"/>
      <c r="G345" s="2016"/>
      <c r="H345" s="2016"/>
      <c r="I345" s="2016"/>
      <c r="J345" s="2016"/>
      <c r="K345" s="2016"/>
      <c r="L345" s="2016"/>
      <c r="M345" s="2016"/>
      <c r="N345" s="2016"/>
      <c r="O345" s="2016"/>
      <c r="P345" s="2016"/>
      <c r="Q345" s="2016"/>
      <c r="R345" s="2016"/>
      <c r="S345" s="2016"/>
      <c r="T345" s="2016"/>
      <c r="U345" s="2016"/>
      <c r="V345" s="2016"/>
      <c r="W345" s="2016"/>
      <c r="X345" s="2016"/>
      <c r="Y345" s="2016"/>
      <c r="Z345" s="2016"/>
      <c r="AA345" s="2016"/>
      <c r="AB345" s="2016"/>
      <c r="AC345" s="2016"/>
      <c r="AD345" s="2016"/>
      <c r="AE345" s="2016"/>
      <c r="AF345" s="2016"/>
      <c r="AG345" s="2016"/>
      <c r="AH345" s="2016"/>
      <c r="AI345" s="2016"/>
      <c r="AJ345" s="2016"/>
      <c r="AK345" s="637"/>
      <c r="AL345" s="637"/>
      <c r="AM345" s="637"/>
      <c r="AN345" s="631"/>
      <c r="AO345" s="728"/>
      <c r="AP345" s="728"/>
      <c r="AQ345" s="604"/>
    </row>
    <row r="346" spans="1:46" s="584" customFormat="1" ht="11.85" customHeight="1">
      <c r="A346" s="637"/>
      <c r="B346" s="645"/>
      <c r="C346" s="2016"/>
      <c r="D346" s="2016"/>
      <c r="E346" s="2016"/>
      <c r="F346" s="2016"/>
      <c r="G346" s="2016"/>
      <c r="H346" s="2016"/>
      <c r="I346" s="2016"/>
      <c r="J346" s="2016"/>
      <c r="K346" s="2016"/>
      <c r="L346" s="2016"/>
      <c r="M346" s="2016"/>
      <c r="N346" s="2016"/>
      <c r="O346" s="2016"/>
      <c r="P346" s="2016"/>
      <c r="Q346" s="2016"/>
      <c r="R346" s="2016"/>
      <c r="S346" s="2016"/>
      <c r="T346" s="2016"/>
      <c r="U346" s="2016"/>
      <c r="V346" s="2016"/>
      <c r="W346" s="2016"/>
      <c r="X346" s="2016"/>
      <c r="Y346" s="2016"/>
      <c r="Z346" s="2016"/>
      <c r="AA346" s="2016"/>
      <c r="AB346" s="2016"/>
      <c r="AC346" s="2016"/>
      <c r="AD346" s="2016"/>
      <c r="AE346" s="2016"/>
      <c r="AF346" s="2016"/>
      <c r="AG346" s="2016"/>
      <c r="AH346" s="2016"/>
      <c r="AI346" s="2016"/>
      <c r="AJ346" s="2016"/>
      <c r="AK346" s="637"/>
      <c r="AL346" s="637"/>
      <c r="AM346" s="637"/>
      <c r="AN346" s="631"/>
      <c r="AO346" s="729" t="s">
        <v>112</v>
      </c>
      <c r="AP346" s="730">
        <f>IF(C370="Yes",5,0)</f>
        <v>0</v>
      </c>
      <c r="AS346" s="573" t="s">
        <v>1568</v>
      </c>
    </row>
    <row r="347" spans="1:46" s="584" customFormat="1" ht="12.75" customHeight="1">
      <c r="A347" s="637"/>
      <c r="B347" s="645"/>
      <c r="C347" s="2016"/>
      <c r="D347" s="2016"/>
      <c r="E347" s="2016"/>
      <c r="F347" s="2016"/>
      <c r="G347" s="2016"/>
      <c r="H347" s="2016"/>
      <c r="I347" s="2016"/>
      <c r="J347" s="2016"/>
      <c r="K347" s="2016"/>
      <c r="L347" s="2016"/>
      <c r="M347" s="2016"/>
      <c r="N347" s="2016"/>
      <c r="O347" s="2016"/>
      <c r="P347" s="2016"/>
      <c r="Q347" s="2016"/>
      <c r="R347" s="2016"/>
      <c r="S347" s="2016"/>
      <c r="T347" s="2016"/>
      <c r="U347" s="2016"/>
      <c r="V347" s="2016"/>
      <c r="W347" s="2016"/>
      <c r="X347" s="2016"/>
      <c r="Y347" s="2016"/>
      <c r="Z347" s="2016"/>
      <c r="AA347" s="2016"/>
      <c r="AB347" s="2016"/>
      <c r="AC347" s="2016"/>
      <c r="AD347" s="2016"/>
      <c r="AE347" s="2016"/>
      <c r="AF347" s="2016"/>
      <c r="AG347" s="2016"/>
      <c r="AH347" s="2016"/>
      <c r="AI347" s="2016"/>
      <c r="AJ347" s="2016"/>
      <c r="AK347" s="637"/>
      <c r="AL347" s="637"/>
      <c r="AM347" s="637"/>
      <c r="AN347" s="631"/>
      <c r="AO347" s="729" t="s">
        <v>113</v>
      </c>
      <c r="AP347" s="730">
        <f>IF(C378="Yes",5,0)</f>
        <v>0</v>
      </c>
      <c r="AS347" s="2037">
        <f>IF(Application!D211="Non-Targeted",(SUM(AQ355+AQ364)),AS351)</f>
        <v>10</v>
      </c>
      <c r="AT347" s="2037"/>
    </row>
    <row r="348" spans="1:46" s="584" customFormat="1" ht="12.75" customHeight="1">
      <c r="A348" s="637"/>
      <c r="B348" s="645"/>
      <c r="C348" s="2016"/>
      <c r="D348" s="2016"/>
      <c r="E348" s="2016"/>
      <c r="F348" s="2016"/>
      <c r="G348" s="2016"/>
      <c r="H348" s="2016"/>
      <c r="I348" s="2016"/>
      <c r="J348" s="2016"/>
      <c r="K348" s="2016"/>
      <c r="L348" s="2016"/>
      <c r="M348" s="2016"/>
      <c r="N348" s="2016"/>
      <c r="O348" s="2016"/>
      <c r="P348" s="2016"/>
      <c r="Q348" s="2016"/>
      <c r="R348" s="2016"/>
      <c r="S348" s="2016"/>
      <c r="T348" s="2016"/>
      <c r="U348" s="2016"/>
      <c r="V348" s="2016"/>
      <c r="W348" s="2016"/>
      <c r="X348" s="2016"/>
      <c r="Y348" s="2016"/>
      <c r="Z348" s="2016"/>
      <c r="AA348" s="2016"/>
      <c r="AB348" s="2016"/>
      <c r="AC348" s="2016"/>
      <c r="AD348" s="2016"/>
      <c r="AE348" s="2016"/>
      <c r="AF348" s="2016"/>
      <c r="AG348" s="2016"/>
      <c r="AH348" s="2016"/>
      <c r="AI348" s="2016"/>
      <c r="AJ348" s="2016"/>
      <c r="AK348" s="637"/>
      <c r="AL348" s="637"/>
      <c r="AM348" s="637"/>
      <c r="AN348" s="631"/>
      <c r="AO348" s="729" t="s">
        <v>119</v>
      </c>
      <c r="AP348" s="730">
        <f>IF(C386="Yes",7,0)</f>
        <v>7</v>
      </c>
      <c r="AS348" s="573" t="s">
        <v>1569</v>
      </c>
    </row>
    <row r="349" spans="1:46" s="584" customFormat="1" ht="12.75" customHeight="1">
      <c r="A349" s="637"/>
      <c r="B349" s="645"/>
      <c r="C349" s="2016"/>
      <c r="D349" s="2016"/>
      <c r="E349" s="2016"/>
      <c r="F349" s="2016"/>
      <c r="G349" s="2016"/>
      <c r="H349" s="2016"/>
      <c r="I349" s="2016"/>
      <c r="J349" s="2016"/>
      <c r="K349" s="2016"/>
      <c r="L349" s="2016"/>
      <c r="M349" s="2016"/>
      <c r="N349" s="2016"/>
      <c r="O349" s="2016"/>
      <c r="P349" s="2016"/>
      <c r="Q349" s="2016"/>
      <c r="R349" s="2016"/>
      <c r="S349" s="2016"/>
      <c r="T349" s="2016"/>
      <c r="U349" s="2016"/>
      <c r="V349" s="2016"/>
      <c r="W349" s="2016"/>
      <c r="X349" s="2016"/>
      <c r="Y349" s="2016"/>
      <c r="Z349" s="2016"/>
      <c r="AA349" s="2016"/>
      <c r="AB349" s="2016"/>
      <c r="AC349" s="2016"/>
      <c r="AD349" s="2016"/>
      <c r="AE349" s="2016"/>
      <c r="AF349" s="2016"/>
      <c r="AG349" s="2016"/>
      <c r="AH349" s="2016"/>
      <c r="AI349" s="2016"/>
      <c r="AJ349" s="2016"/>
      <c r="AK349" s="637"/>
      <c r="AL349" s="637"/>
      <c r="AM349" s="637"/>
      <c r="AN349" s="631"/>
      <c r="AO349" s="631"/>
      <c r="AP349" s="730">
        <f>IF(C388="Yes",5,0)</f>
        <v>0</v>
      </c>
      <c r="AS349" s="2037">
        <f>IF(AND(AQ355&gt;0,AQ364&gt;0),(AQ355+AQ364)/2,0)</f>
        <v>0</v>
      </c>
      <c r="AT349" s="2037"/>
    </row>
    <row r="350" spans="1:46" s="584" customFormat="1" ht="12.75" customHeight="1">
      <c r="A350" s="637"/>
      <c r="B350" s="645"/>
      <c r="C350" s="2016"/>
      <c r="D350" s="2016"/>
      <c r="E350" s="2016"/>
      <c r="F350" s="2016"/>
      <c r="G350" s="2016"/>
      <c r="H350" s="2016"/>
      <c r="I350" s="2016"/>
      <c r="J350" s="2016"/>
      <c r="K350" s="2016"/>
      <c r="L350" s="2016"/>
      <c r="M350" s="2016"/>
      <c r="N350" s="2016"/>
      <c r="O350" s="2016"/>
      <c r="P350" s="2016"/>
      <c r="Q350" s="2016"/>
      <c r="R350" s="2016"/>
      <c r="S350" s="2016"/>
      <c r="T350" s="2016"/>
      <c r="U350" s="2016"/>
      <c r="V350" s="2016"/>
      <c r="W350" s="2016"/>
      <c r="X350" s="2016"/>
      <c r="Y350" s="2016"/>
      <c r="Z350" s="2016"/>
      <c r="AA350" s="2016"/>
      <c r="AB350" s="2016"/>
      <c r="AC350" s="2016"/>
      <c r="AD350" s="2016"/>
      <c r="AE350" s="2016"/>
      <c r="AF350" s="2016"/>
      <c r="AG350" s="2016"/>
      <c r="AH350" s="2016"/>
      <c r="AI350" s="2016"/>
      <c r="AJ350" s="2016"/>
      <c r="AK350" s="637"/>
      <c r="AL350" s="637"/>
      <c r="AM350" s="637"/>
      <c r="AN350" s="631"/>
      <c r="AO350" s="729" t="s">
        <v>590</v>
      </c>
      <c r="AP350" s="730">
        <f>IF(C396="Yes",5,0)</f>
        <v>0</v>
      </c>
      <c r="AS350" s="573" t="s">
        <v>2071</v>
      </c>
    </row>
    <row r="351" spans="1:46" s="584" customFormat="1" ht="12.75" customHeight="1">
      <c r="A351" s="637"/>
      <c r="B351" s="645"/>
      <c r="C351" s="2038" t="s">
        <v>1570</v>
      </c>
      <c r="D351" s="2038"/>
      <c r="E351" s="2038"/>
      <c r="F351" s="2038"/>
      <c r="G351" s="2038"/>
      <c r="H351" s="2038"/>
      <c r="I351" s="2038"/>
      <c r="J351" s="2038"/>
      <c r="K351" s="2038"/>
      <c r="L351" s="2038"/>
      <c r="M351" s="2038"/>
      <c r="N351" s="2038"/>
      <c r="O351" s="2038"/>
      <c r="P351" s="2038"/>
      <c r="Q351" s="2038"/>
      <c r="R351" s="2038"/>
      <c r="S351" s="2038"/>
      <c r="T351" s="2038"/>
      <c r="U351" s="2038"/>
      <c r="V351" s="2038"/>
      <c r="W351" s="2038"/>
      <c r="X351" s="2038"/>
      <c r="Y351" s="2038"/>
      <c r="Z351" s="2038"/>
      <c r="AA351" s="2038"/>
      <c r="AB351" s="2038"/>
      <c r="AC351" s="2038"/>
      <c r="AD351" s="2038"/>
      <c r="AE351" s="2038"/>
      <c r="AF351" s="2038"/>
      <c r="AG351" s="2038"/>
      <c r="AH351" s="2038"/>
      <c r="AI351" s="2038"/>
      <c r="AJ351" s="2038"/>
      <c r="AK351" s="637"/>
      <c r="AL351" s="637"/>
      <c r="AM351" s="637"/>
      <c r="AN351" s="631"/>
      <c r="AO351" s="631"/>
      <c r="AP351" s="730">
        <f>IF(C398="Yes",3,0)</f>
        <v>3</v>
      </c>
      <c r="AS351" s="2037">
        <f>IF(AQ355=0,AQ364,AQ355)</f>
        <v>10</v>
      </c>
      <c r="AT351" s="2037"/>
    </row>
    <row r="352" spans="1:46" s="584" customFormat="1" ht="12.75" customHeight="1">
      <c r="A352" s="637"/>
      <c r="B352" s="645"/>
      <c r="C352" s="2038"/>
      <c r="D352" s="2038"/>
      <c r="E352" s="2038"/>
      <c r="F352" s="2038"/>
      <c r="G352" s="2038"/>
      <c r="H352" s="2038"/>
      <c r="I352" s="2038"/>
      <c r="J352" s="2038"/>
      <c r="K352" s="2038"/>
      <c r="L352" s="2038"/>
      <c r="M352" s="2038"/>
      <c r="N352" s="2038"/>
      <c r="O352" s="2038"/>
      <c r="P352" s="2038"/>
      <c r="Q352" s="2038"/>
      <c r="R352" s="2038"/>
      <c r="S352" s="2038"/>
      <c r="T352" s="2038"/>
      <c r="U352" s="2038"/>
      <c r="V352" s="2038"/>
      <c r="W352" s="2038"/>
      <c r="X352" s="2038"/>
      <c r="Y352" s="2038"/>
      <c r="Z352" s="2038"/>
      <c r="AA352" s="2038"/>
      <c r="AB352" s="2038"/>
      <c r="AC352" s="2038"/>
      <c r="AD352" s="2038"/>
      <c r="AE352" s="2038"/>
      <c r="AF352" s="2038"/>
      <c r="AG352" s="2038"/>
      <c r="AH352" s="2038"/>
      <c r="AI352" s="2038"/>
      <c r="AJ352" s="2038"/>
      <c r="AK352" s="637"/>
      <c r="AL352" s="637"/>
      <c r="AM352" s="637"/>
      <c r="AN352" s="631"/>
      <c r="AO352" s="729" t="s">
        <v>773</v>
      </c>
      <c r="AP352" s="730">
        <f>IF(C401="Yes",5,0)</f>
        <v>0</v>
      </c>
    </row>
    <row r="353" spans="1:81" s="584" customFormat="1" ht="12.75" customHeight="1">
      <c r="A353" s="637"/>
      <c r="B353" s="645"/>
      <c r="C353" s="2038"/>
      <c r="D353" s="2038"/>
      <c r="E353" s="2038"/>
      <c r="F353" s="2038"/>
      <c r="G353" s="2038"/>
      <c r="H353" s="2038"/>
      <c r="I353" s="2038"/>
      <c r="J353" s="2038"/>
      <c r="K353" s="2038"/>
      <c r="L353" s="2038"/>
      <c r="M353" s="2038"/>
      <c r="N353" s="2038"/>
      <c r="O353" s="2038"/>
      <c r="P353" s="2038"/>
      <c r="Q353" s="2038"/>
      <c r="R353" s="2038"/>
      <c r="S353" s="2038"/>
      <c r="T353" s="2038"/>
      <c r="U353" s="2038"/>
      <c r="V353" s="2038"/>
      <c r="W353" s="2038"/>
      <c r="X353" s="2038"/>
      <c r="Y353" s="2038"/>
      <c r="Z353" s="2038"/>
      <c r="AA353" s="2038"/>
      <c r="AB353" s="2038"/>
      <c r="AC353" s="2038"/>
      <c r="AD353" s="2038"/>
      <c r="AE353" s="2038"/>
      <c r="AF353" s="2038"/>
      <c r="AG353" s="2038"/>
      <c r="AH353" s="2038"/>
      <c r="AI353" s="2038"/>
      <c r="AJ353" s="2038"/>
      <c r="AK353" s="637"/>
      <c r="AL353" s="637"/>
      <c r="AM353" s="637"/>
      <c r="AN353" s="631"/>
      <c r="AO353" s="729" t="s">
        <v>593</v>
      </c>
      <c r="AP353" s="730">
        <f>IF(C410="Yes",5,0)</f>
        <v>0</v>
      </c>
    </row>
    <row r="354" spans="1:81" s="584" customFormat="1" ht="11.85" customHeight="1">
      <c r="A354" s="637"/>
      <c r="B354" s="645"/>
      <c r="C354" s="2038"/>
      <c r="D354" s="2038"/>
      <c r="E354" s="2038"/>
      <c r="F354" s="2038"/>
      <c r="G354" s="2038"/>
      <c r="H354" s="2038"/>
      <c r="I354" s="2038"/>
      <c r="J354" s="2038"/>
      <c r="K354" s="2038"/>
      <c r="L354" s="2038"/>
      <c r="M354" s="2038"/>
      <c r="N354" s="2038"/>
      <c r="O354" s="2038"/>
      <c r="P354" s="2038"/>
      <c r="Q354" s="2038"/>
      <c r="R354" s="2038"/>
      <c r="S354" s="2038"/>
      <c r="T354" s="2038"/>
      <c r="U354" s="2038"/>
      <c r="V354" s="2038"/>
      <c r="W354" s="2038"/>
      <c r="X354" s="2038"/>
      <c r="Y354" s="2038"/>
      <c r="Z354" s="2038"/>
      <c r="AA354" s="2038"/>
      <c r="AB354" s="2038"/>
      <c r="AC354" s="2038"/>
      <c r="AD354" s="2038"/>
      <c r="AE354" s="2038"/>
      <c r="AF354" s="2038"/>
      <c r="AG354" s="2038"/>
      <c r="AH354" s="2038"/>
      <c r="AI354" s="2038"/>
      <c r="AJ354" s="2038"/>
      <c r="AK354" s="637"/>
      <c r="AL354" s="637"/>
      <c r="AM354" s="637"/>
      <c r="AN354" s="631"/>
      <c r="AO354" s="731"/>
      <c r="AP354" s="732">
        <f>IF(C412="Yes",3,0)</f>
        <v>0</v>
      </c>
    </row>
    <row r="355" spans="1:81" s="584" customFormat="1" ht="12.4" customHeight="1">
      <c r="A355" s="637"/>
      <c r="B355" s="645"/>
      <c r="C355" s="2038"/>
      <c r="D355" s="2038"/>
      <c r="E355" s="2038"/>
      <c r="F355" s="2038"/>
      <c r="G355" s="2038"/>
      <c r="H355" s="2038"/>
      <c r="I355" s="2038"/>
      <c r="J355" s="2038"/>
      <c r="K355" s="2038"/>
      <c r="L355" s="2038"/>
      <c r="M355" s="2038"/>
      <c r="N355" s="2038"/>
      <c r="O355" s="2038"/>
      <c r="P355" s="2038"/>
      <c r="Q355" s="2038"/>
      <c r="R355" s="2038"/>
      <c r="S355" s="2038"/>
      <c r="T355" s="2038"/>
      <c r="U355" s="2038"/>
      <c r="V355" s="2038"/>
      <c r="W355" s="2038"/>
      <c r="X355" s="2038"/>
      <c r="Y355" s="2038"/>
      <c r="Z355" s="2038"/>
      <c r="AA355" s="2038"/>
      <c r="AB355" s="2038"/>
      <c r="AC355" s="2038"/>
      <c r="AD355" s="2038"/>
      <c r="AE355" s="2038"/>
      <c r="AF355" s="2038"/>
      <c r="AG355" s="2038"/>
      <c r="AH355" s="2038"/>
      <c r="AI355" s="2038"/>
      <c r="AJ355" s="2038"/>
      <c r="AK355" s="637"/>
      <c r="AL355" s="637"/>
      <c r="AM355" s="637"/>
      <c r="AN355" s="631"/>
      <c r="AO355" s="733" t="s">
        <v>228</v>
      </c>
      <c r="AP355" s="734">
        <f>SUM(AP346:AP354)</f>
        <v>10</v>
      </c>
      <c r="AQ355" s="2039">
        <f>IF(AP355&gt;0,AP355,0)</f>
        <v>10</v>
      </c>
      <c r="AR355" s="2039"/>
    </row>
    <row r="356" spans="1:81" s="584" customFormat="1" ht="12.75" customHeight="1">
      <c r="A356" s="637"/>
      <c r="B356" s="645"/>
      <c r="C356" s="2038"/>
      <c r="D356" s="2038"/>
      <c r="E356" s="2038"/>
      <c r="F356" s="2038"/>
      <c r="G356" s="2038"/>
      <c r="H356" s="2038"/>
      <c r="I356" s="2038"/>
      <c r="J356" s="2038"/>
      <c r="K356" s="2038"/>
      <c r="L356" s="2038"/>
      <c r="M356" s="2038"/>
      <c r="N356" s="2038"/>
      <c r="O356" s="2038"/>
      <c r="P356" s="2038"/>
      <c r="Q356" s="2038"/>
      <c r="R356" s="2038"/>
      <c r="S356" s="2038"/>
      <c r="T356" s="2038"/>
      <c r="U356" s="2038"/>
      <c r="V356" s="2038"/>
      <c r="W356" s="2038"/>
      <c r="X356" s="2038"/>
      <c r="Y356" s="2038"/>
      <c r="Z356" s="2038"/>
      <c r="AA356" s="2038"/>
      <c r="AB356" s="2038"/>
      <c r="AC356" s="2038"/>
      <c r="AD356" s="2038"/>
      <c r="AE356" s="2038"/>
      <c r="AF356" s="2038"/>
      <c r="AG356" s="2038"/>
      <c r="AH356" s="2038"/>
      <c r="AI356" s="2038"/>
      <c r="AJ356" s="203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16" t="s">
        <v>1571</v>
      </c>
      <c r="D358" s="2016"/>
      <c r="E358" s="2016"/>
      <c r="F358" s="2016"/>
      <c r="G358" s="2016"/>
      <c r="H358" s="2016"/>
      <c r="I358" s="2016"/>
      <c r="J358" s="2016"/>
      <c r="K358" s="2016"/>
      <c r="L358" s="2016"/>
      <c r="M358" s="2016"/>
      <c r="N358" s="2016"/>
      <c r="O358" s="2016"/>
      <c r="P358" s="2016"/>
      <c r="Q358" s="2016"/>
      <c r="R358" s="2016"/>
      <c r="S358" s="2016"/>
      <c r="T358" s="2016"/>
      <c r="U358" s="2016"/>
      <c r="V358" s="2016"/>
      <c r="W358" s="2016"/>
      <c r="X358" s="2016"/>
      <c r="Y358" s="2016"/>
      <c r="Z358" s="2016"/>
      <c r="AA358" s="2016"/>
      <c r="AB358" s="2016"/>
      <c r="AC358" s="2016"/>
      <c r="AD358" s="2016"/>
      <c r="AE358" s="2016"/>
      <c r="AF358" s="2016"/>
      <c r="AG358" s="2016"/>
      <c r="AH358" s="2016"/>
      <c r="AI358" s="2016"/>
      <c r="AJ358" s="2016"/>
      <c r="AK358" s="637"/>
      <c r="AL358" s="637"/>
      <c r="AM358" s="637"/>
      <c r="AN358" s="631"/>
      <c r="AO358" s="729" t="s">
        <v>465</v>
      </c>
      <c r="AP358" s="730">
        <f>IF(C431="Yes",5,0)</f>
        <v>0</v>
      </c>
    </row>
    <row r="359" spans="1:81" s="584" customFormat="1" ht="12.75" customHeight="1">
      <c r="A359" s="637"/>
      <c r="B359" s="645"/>
      <c r="C359" s="2016"/>
      <c r="D359" s="2016"/>
      <c r="E359" s="2016"/>
      <c r="F359" s="2016"/>
      <c r="G359" s="2016"/>
      <c r="H359" s="2016"/>
      <c r="I359" s="2016"/>
      <c r="J359" s="2016"/>
      <c r="K359" s="2016"/>
      <c r="L359" s="2016"/>
      <c r="M359" s="2016"/>
      <c r="N359" s="2016"/>
      <c r="O359" s="2016"/>
      <c r="P359" s="2016"/>
      <c r="Q359" s="2016"/>
      <c r="R359" s="2016"/>
      <c r="S359" s="2016"/>
      <c r="T359" s="2016"/>
      <c r="U359" s="2016"/>
      <c r="V359" s="2016"/>
      <c r="W359" s="2016"/>
      <c r="X359" s="2016"/>
      <c r="Y359" s="2016"/>
      <c r="Z359" s="2016"/>
      <c r="AA359" s="2016"/>
      <c r="AB359" s="2016"/>
      <c r="AC359" s="2016"/>
      <c r="AD359" s="2016"/>
      <c r="AE359" s="2016"/>
      <c r="AF359" s="2016"/>
      <c r="AG359" s="2016"/>
      <c r="AH359" s="2016"/>
      <c r="AI359" s="2016"/>
      <c r="AJ359" s="2016"/>
      <c r="AK359" s="637"/>
      <c r="AL359" s="637"/>
      <c r="AM359" s="637"/>
      <c r="AN359" s="631"/>
      <c r="AO359" s="729" t="s">
        <v>470</v>
      </c>
      <c r="AP359" s="730">
        <f>IF(C438="Yes",5,0)</f>
        <v>0</v>
      </c>
    </row>
    <row r="360" spans="1:81" s="584" customFormat="1" ht="68.099999999999994" customHeight="1">
      <c r="A360" s="637"/>
      <c r="B360" s="645"/>
      <c r="C360" s="2016"/>
      <c r="D360" s="2016"/>
      <c r="E360" s="2016"/>
      <c r="F360" s="2016"/>
      <c r="G360" s="2016"/>
      <c r="H360" s="2016"/>
      <c r="I360" s="2016"/>
      <c r="J360" s="2016"/>
      <c r="K360" s="2016"/>
      <c r="L360" s="2016"/>
      <c r="M360" s="2016"/>
      <c r="N360" s="2016"/>
      <c r="O360" s="2016"/>
      <c r="P360" s="2016"/>
      <c r="Q360" s="2016"/>
      <c r="R360" s="2016"/>
      <c r="S360" s="2016"/>
      <c r="T360" s="2016"/>
      <c r="U360" s="2016"/>
      <c r="V360" s="2016"/>
      <c r="W360" s="2016"/>
      <c r="X360" s="2016"/>
      <c r="Y360" s="2016"/>
      <c r="Z360" s="2016"/>
      <c r="AA360" s="2016"/>
      <c r="AB360" s="2016"/>
      <c r="AC360" s="2016"/>
      <c r="AD360" s="2016"/>
      <c r="AE360" s="2016"/>
      <c r="AF360" s="2016"/>
      <c r="AG360" s="2016"/>
      <c r="AH360" s="2016"/>
      <c r="AI360" s="2016"/>
      <c r="AJ360" s="2016"/>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25">
        <f>Application!CS660-U363</f>
        <v>238</v>
      </c>
      <c r="V362" s="2125"/>
      <c r="W362" s="212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6">
        <f>Application!AG756</f>
        <v>0</v>
      </c>
      <c r="V363" s="2126"/>
      <c r="W363" s="212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9">
        <f>IF(AP364&gt;0,AP364,0)</f>
        <v>0</v>
      </c>
      <c r="AR364" s="2039"/>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20" t="s">
        <v>1573</v>
      </c>
      <c r="G366" s="2020"/>
      <c r="H366" s="2020"/>
      <c r="I366" s="2020"/>
      <c r="J366" s="2020"/>
      <c r="K366" s="2020"/>
      <c r="L366" s="2020"/>
      <c r="M366" s="2020"/>
      <c r="N366" s="2020"/>
      <c r="O366" s="2020"/>
      <c r="P366" s="2020"/>
      <c r="Q366" s="2020"/>
      <c r="R366" s="2020"/>
      <c r="S366" s="2020"/>
      <c r="T366" s="2020"/>
      <c r="U366" s="2020"/>
      <c r="V366" s="2020"/>
      <c r="W366" s="2020"/>
      <c r="X366" s="2020"/>
      <c r="Y366" s="2020"/>
      <c r="Z366" s="2020"/>
      <c r="AA366" s="2020"/>
      <c r="AB366" s="2020"/>
      <c r="AC366" s="2020"/>
      <c r="AD366" s="2020"/>
      <c r="AE366" s="2020"/>
      <c r="AF366" s="20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21"/>
      <c r="G367" s="2021"/>
      <c r="H367" s="2021"/>
      <c r="I367" s="2021"/>
      <c r="J367" s="2021"/>
      <c r="K367" s="2021"/>
      <c r="L367" s="2021"/>
      <c r="M367" s="2021"/>
      <c r="N367" s="2021"/>
      <c r="O367" s="2021"/>
      <c r="P367" s="2021"/>
      <c r="Q367" s="2021"/>
      <c r="R367" s="2021"/>
      <c r="S367" s="2021"/>
      <c r="T367" s="2021"/>
      <c r="U367" s="2021"/>
      <c r="V367" s="2021"/>
      <c r="W367" s="2021"/>
      <c r="X367" s="2021"/>
      <c r="Y367" s="2021"/>
      <c r="Z367" s="2021"/>
      <c r="AA367" s="2021"/>
      <c r="AB367" s="2021"/>
      <c r="AC367" s="2021"/>
      <c r="AD367" s="2021"/>
      <c r="AE367" s="2021"/>
      <c r="AF367" s="20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21"/>
      <c r="G368" s="2021"/>
      <c r="H368" s="2021"/>
      <c r="I368" s="2021"/>
      <c r="J368" s="2021"/>
      <c r="K368" s="2021"/>
      <c r="L368" s="2021"/>
      <c r="M368" s="2021"/>
      <c r="N368" s="2021"/>
      <c r="O368" s="2021"/>
      <c r="P368" s="2021"/>
      <c r="Q368" s="2021"/>
      <c r="R368" s="2021"/>
      <c r="S368" s="2021"/>
      <c r="T368" s="2021"/>
      <c r="U368" s="2021"/>
      <c r="V368" s="2021"/>
      <c r="W368" s="2021"/>
      <c r="X368" s="2021"/>
      <c r="Y368" s="2021"/>
      <c r="Z368" s="2021"/>
      <c r="AA368" s="2021"/>
      <c r="AB368" s="2021"/>
      <c r="AC368" s="2021"/>
      <c r="AD368" s="2021"/>
      <c r="AE368" s="2021"/>
      <c r="AF368" s="20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21"/>
      <c r="G369" s="2021"/>
      <c r="H369" s="2021"/>
      <c r="I369" s="2021"/>
      <c r="J369" s="2021"/>
      <c r="K369" s="2021"/>
      <c r="L369" s="2021"/>
      <c r="M369" s="2021"/>
      <c r="N369" s="2021"/>
      <c r="O369" s="2021"/>
      <c r="P369" s="2021"/>
      <c r="Q369" s="2021"/>
      <c r="R369" s="2021"/>
      <c r="S369" s="2021"/>
      <c r="T369" s="2021"/>
      <c r="U369" s="2021"/>
      <c r="V369" s="2021"/>
      <c r="W369" s="2021"/>
      <c r="X369" s="2021"/>
      <c r="Y369" s="2021"/>
      <c r="Z369" s="2021"/>
      <c r="AA369" s="2021"/>
      <c r="AB369" s="2021"/>
      <c r="AC369" s="2021"/>
      <c r="AD369" s="2021"/>
      <c r="AE369" s="2021"/>
      <c r="AF369" s="20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7" t="s">
        <v>600</v>
      </c>
      <c r="D370" s="1974"/>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8" t="s">
        <v>1575</v>
      </c>
      <c r="AG370" s="2018"/>
      <c r="AH370" s="2018"/>
      <c r="AI370" s="2018"/>
      <c r="AJ370" s="2018"/>
      <c r="AK370" s="2018"/>
      <c r="AL370" s="201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20" t="s">
        <v>1576</v>
      </c>
      <c r="G373" s="2020"/>
      <c r="H373" s="2020"/>
      <c r="I373" s="2020"/>
      <c r="J373" s="2020"/>
      <c r="K373" s="2020"/>
      <c r="L373" s="2020"/>
      <c r="M373" s="2020"/>
      <c r="N373" s="2020"/>
      <c r="O373" s="2020"/>
      <c r="P373" s="2020"/>
      <c r="Q373" s="2020"/>
      <c r="R373" s="2020"/>
      <c r="S373" s="2020"/>
      <c r="T373" s="2020"/>
      <c r="U373" s="2020"/>
      <c r="V373" s="2020"/>
      <c r="W373" s="2020"/>
      <c r="X373" s="2020"/>
      <c r="Y373" s="2020"/>
      <c r="Z373" s="2020"/>
      <c r="AA373" s="2020"/>
      <c r="AB373" s="2020"/>
      <c r="AC373" s="2020"/>
      <c r="AD373" s="2020"/>
      <c r="AE373" s="2020"/>
      <c r="AF373" s="20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21"/>
      <c r="G374" s="2021"/>
      <c r="H374" s="2021"/>
      <c r="I374" s="2021"/>
      <c r="J374" s="2021"/>
      <c r="K374" s="2021"/>
      <c r="L374" s="2021"/>
      <c r="M374" s="2021"/>
      <c r="N374" s="2021"/>
      <c r="O374" s="2021"/>
      <c r="P374" s="2021"/>
      <c r="Q374" s="2021"/>
      <c r="R374" s="2021"/>
      <c r="S374" s="2021"/>
      <c r="T374" s="2021"/>
      <c r="U374" s="2021"/>
      <c r="V374" s="2021"/>
      <c r="W374" s="2021"/>
      <c r="X374" s="2021"/>
      <c r="Y374" s="2021"/>
      <c r="Z374" s="2021"/>
      <c r="AA374" s="2021"/>
      <c r="AB374" s="2021"/>
      <c r="AC374" s="2021"/>
      <c r="AD374" s="2021"/>
      <c r="AE374" s="2021"/>
      <c r="AF374" s="20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21"/>
      <c r="G375" s="2021"/>
      <c r="H375" s="2021"/>
      <c r="I375" s="2021"/>
      <c r="J375" s="2021"/>
      <c r="K375" s="2021"/>
      <c r="L375" s="2021"/>
      <c r="M375" s="2021"/>
      <c r="N375" s="2021"/>
      <c r="O375" s="2021"/>
      <c r="P375" s="2021"/>
      <c r="Q375" s="2021"/>
      <c r="R375" s="2021"/>
      <c r="S375" s="2021"/>
      <c r="T375" s="2021"/>
      <c r="U375" s="2021"/>
      <c r="V375" s="2021"/>
      <c r="W375" s="2021"/>
      <c r="X375" s="2021"/>
      <c r="Y375" s="2021"/>
      <c r="Z375" s="2021"/>
      <c r="AA375" s="2021"/>
      <c r="AB375" s="2021"/>
      <c r="AC375" s="2021"/>
      <c r="AD375" s="2021"/>
      <c r="AE375" s="2021"/>
      <c r="AF375" s="20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21"/>
      <c r="G376" s="2021"/>
      <c r="H376" s="2021"/>
      <c r="I376" s="2021"/>
      <c r="J376" s="2021"/>
      <c r="K376" s="2021"/>
      <c r="L376" s="2021"/>
      <c r="M376" s="2021"/>
      <c r="N376" s="2021"/>
      <c r="O376" s="2021"/>
      <c r="P376" s="2021"/>
      <c r="Q376" s="2021"/>
      <c r="R376" s="2021"/>
      <c r="S376" s="2021"/>
      <c r="T376" s="2021"/>
      <c r="U376" s="2021"/>
      <c r="V376" s="2021"/>
      <c r="W376" s="2021"/>
      <c r="X376" s="2021"/>
      <c r="Y376" s="2021"/>
      <c r="Z376" s="2021"/>
      <c r="AA376" s="2021"/>
      <c r="AB376" s="2021"/>
      <c r="AC376" s="2021"/>
      <c r="AD376" s="2021"/>
      <c r="AE376" s="2021"/>
      <c r="AF376" s="20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21"/>
      <c r="G377" s="2021"/>
      <c r="H377" s="2021"/>
      <c r="I377" s="2021"/>
      <c r="J377" s="2021"/>
      <c r="K377" s="2021"/>
      <c r="L377" s="2021"/>
      <c r="M377" s="2021"/>
      <c r="N377" s="2021"/>
      <c r="O377" s="2021"/>
      <c r="P377" s="2021"/>
      <c r="Q377" s="2021"/>
      <c r="R377" s="2021"/>
      <c r="S377" s="2021"/>
      <c r="T377" s="2021"/>
      <c r="U377" s="2021"/>
      <c r="V377" s="2021"/>
      <c r="W377" s="2021"/>
      <c r="X377" s="2021"/>
      <c r="Y377" s="2021"/>
      <c r="Z377" s="2021"/>
      <c r="AA377" s="2021"/>
      <c r="AB377" s="2021"/>
      <c r="AC377" s="2021"/>
      <c r="AD377" s="2021"/>
      <c r="AE377" s="2021"/>
      <c r="AF377" s="2021"/>
      <c r="AL377" s="766"/>
      <c r="AN377" s="631"/>
      <c r="BS377" s="30"/>
      <c r="BT377" s="30"/>
      <c r="BU377" s="14"/>
      <c r="BV377" s="14"/>
      <c r="BW377" s="14"/>
      <c r="BX377" s="14"/>
      <c r="BY377" s="14"/>
      <c r="BZ377" s="14"/>
      <c r="CA377" s="14"/>
      <c r="CB377" s="14"/>
      <c r="CC377" s="14"/>
    </row>
    <row r="378" spans="1:81" s="584" customFormat="1" ht="12.75" customHeight="1">
      <c r="A378" s="570"/>
      <c r="B378" s="14"/>
      <c r="C378" s="2017" t="s">
        <v>600</v>
      </c>
      <c r="D378" s="1974"/>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8" t="s">
        <v>1575</v>
      </c>
      <c r="AG378" s="2018"/>
      <c r="AH378" s="2018"/>
      <c r="AI378" s="2018"/>
      <c r="AJ378" s="2018"/>
      <c r="AK378" s="2018"/>
      <c r="AL378" s="201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20" t="s">
        <v>1578</v>
      </c>
      <c r="G381" s="2020"/>
      <c r="H381" s="2020"/>
      <c r="I381" s="2020"/>
      <c r="J381" s="2020"/>
      <c r="K381" s="2020"/>
      <c r="L381" s="2020"/>
      <c r="M381" s="2020"/>
      <c r="N381" s="2020"/>
      <c r="O381" s="2020"/>
      <c r="P381" s="2020"/>
      <c r="Q381" s="2020"/>
      <c r="R381" s="2020"/>
      <c r="S381" s="2020"/>
      <c r="T381" s="2020"/>
      <c r="U381" s="2020"/>
      <c r="V381" s="2020"/>
      <c r="W381" s="2020"/>
      <c r="X381" s="2020"/>
      <c r="Y381" s="2020"/>
      <c r="Z381" s="2020"/>
      <c r="AA381" s="2020"/>
      <c r="AB381" s="2020"/>
      <c r="AC381" s="2020"/>
      <c r="AD381" s="2020"/>
      <c r="AE381" s="2020"/>
      <c r="AF381" s="20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21"/>
      <c r="G382" s="2021"/>
      <c r="H382" s="2021"/>
      <c r="I382" s="2021"/>
      <c r="J382" s="2021"/>
      <c r="K382" s="2021"/>
      <c r="L382" s="2021"/>
      <c r="M382" s="2021"/>
      <c r="N382" s="2021"/>
      <c r="O382" s="2021"/>
      <c r="P382" s="2021"/>
      <c r="Q382" s="2021"/>
      <c r="R382" s="2021"/>
      <c r="S382" s="2021"/>
      <c r="T382" s="2021"/>
      <c r="U382" s="2021"/>
      <c r="V382" s="2021"/>
      <c r="W382" s="2021"/>
      <c r="X382" s="2021"/>
      <c r="Y382" s="2021"/>
      <c r="Z382" s="2021"/>
      <c r="AA382" s="2021"/>
      <c r="AB382" s="2021"/>
      <c r="AC382" s="2021"/>
      <c r="AD382" s="2021"/>
      <c r="AE382" s="2021"/>
      <c r="AF382" s="20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21"/>
      <c r="G383" s="2021"/>
      <c r="H383" s="2021"/>
      <c r="I383" s="2021"/>
      <c r="J383" s="2021"/>
      <c r="K383" s="2021"/>
      <c r="L383" s="2021"/>
      <c r="M383" s="2021"/>
      <c r="N383" s="2021"/>
      <c r="O383" s="2021"/>
      <c r="P383" s="2021"/>
      <c r="Q383" s="2021"/>
      <c r="R383" s="2021"/>
      <c r="S383" s="2021"/>
      <c r="T383" s="2021"/>
      <c r="U383" s="2021"/>
      <c r="V383" s="2021"/>
      <c r="W383" s="2021"/>
      <c r="X383" s="2021"/>
      <c r="Y383" s="2021"/>
      <c r="Z383" s="2021"/>
      <c r="AA383" s="2021"/>
      <c r="AB383" s="2021"/>
      <c r="AC383" s="2021"/>
      <c r="AD383" s="2021"/>
      <c r="AE383" s="2021"/>
      <c r="AF383" s="20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21"/>
      <c r="G384" s="2021"/>
      <c r="H384" s="2021"/>
      <c r="I384" s="2021"/>
      <c r="J384" s="2021"/>
      <c r="K384" s="2021"/>
      <c r="L384" s="2021"/>
      <c r="M384" s="2021"/>
      <c r="N384" s="2021"/>
      <c r="O384" s="2021"/>
      <c r="P384" s="2021"/>
      <c r="Q384" s="2021"/>
      <c r="R384" s="2021"/>
      <c r="S384" s="2021"/>
      <c r="T384" s="2021"/>
      <c r="U384" s="2021"/>
      <c r="V384" s="2021"/>
      <c r="W384" s="2021"/>
      <c r="X384" s="2021"/>
      <c r="Y384" s="2021"/>
      <c r="Z384" s="2021"/>
      <c r="AA384" s="2021"/>
      <c r="AB384" s="2021"/>
      <c r="AC384" s="2021"/>
      <c r="AD384" s="2021"/>
      <c r="AE384" s="2021"/>
      <c r="AF384" s="20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21"/>
      <c r="G385" s="2021"/>
      <c r="H385" s="2021"/>
      <c r="I385" s="2021"/>
      <c r="J385" s="2021"/>
      <c r="K385" s="2021"/>
      <c r="L385" s="2021"/>
      <c r="M385" s="2021"/>
      <c r="N385" s="2021"/>
      <c r="O385" s="2021"/>
      <c r="P385" s="2021"/>
      <c r="Q385" s="2021"/>
      <c r="R385" s="2021"/>
      <c r="S385" s="2021"/>
      <c r="T385" s="2021"/>
      <c r="U385" s="2021"/>
      <c r="V385" s="2021"/>
      <c r="W385" s="2021"/>
      <c r="X385" s="2021"/>
      <c r="Y385" s="2021"/>
      <c r="Z385" s="2021"/>
      <c r="AA385" s="2021"/>
      <c r="AB385" s="2021"/>
      <c r="AC385" s="2021"/>
      <c r="AD385" s="2021"/>
      <c r="AE385" s="2021"/>
      <c r="AF385" s="20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7" t="s">
        <v>554</v>
      </c>
      <c r="D386" s="1974"/>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8" t="s">
        <v>1580</v>
      </c>
      <c r="AG386" s="2018"/>
      <c r="AH386" s="2018"/>
      <c r="AI386" s="2018"/>
      <c r="AJ386" s="2018"/>
      <c r="AK386" s="2018"/>
      <c r="AL386" s="201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7" t="s">
        <v>600</v>
      </c>
      <c r="D388" s="1974"/>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8" t="s">
        <v>1575</v>
      </c>
      <c r="AG388" s="2018"/>
      <c r="AH388" s="2018"/>
      <c r="AI388" s="2018"/>
      <c r="AJ388" s="2018"/>
      <c r="AK388" s="2018"/>
      <c r="AL388" s="201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20" t="s">
        <v>1584</v>
      </c>
      <c r="G392" s="2020"/>
      <c r="H392" s="2020"/>
      <c r="I392" s="2020"/>
      <c r="J392" s="2020"/>
      <c r="K392" s="2020"/>
      <c r="L392" s="2020"/>
      <c r="M392" s="2020"/>
      <c r="N392" s="2020"/>
      <c r="O392" s="2020"/>
      <c r="P392" s="2020"/>
      <c r="Q392" s="2020"/>
      <c r="R392" s="2020"/>
      <c r="S392" s="2020"/>
      <c r="T392" s="2020"/>
      <c r="U392" s="2020"/>
      <c r="V392" s="2020"/>
      <c r="W392" s="2020"/>
      <c r="X392" s="2020"/>
      <c r="Y392" s="2020"/>
      <c r="Z392" s="2020"/>
      <c r="AA392" s="2020"/>
      <c r="AB392" s="2020"/>
      <c r="AC392" s="2020"/>
      <c r="AD392" s="2020"/>
      <c r="AE392" s="2020"/>
      <c r="AF392" s="20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21"/>
      <c r="G393" s="2021"/>
      <c r="H393" s="2021"/>
      <c r="I393" s="2021"/>
      <c r="J393" s="2021"/>
      <c r="K393" s="2021"/>
      <c r="L393" s="2021"/>
      <c r="M393" s="2021"/>
      <c r="N393" s="2021"/>
      <c r="O393" s="2021"/>
      <c r="P393" s="2021"/>
      <c r="Q393" s="2021"/>
      <c r="R393" s="2021"/>
      <c r="S393" s="2021"/>
      <c r="T393" s="2021"/>
      <c r="U393" s="2021"/>
      <c r="V393" s="2021"/>
      <c r="W393" s="2021"/>
      <c r="X393" s="2021"/>
      <c r="Y393" s="2021"/>
      <c r="Z393" s="2021"/>
      <c r="AA393" s="2021"/>
      <c r="AB393" s="2021"/>
      <c r="AC393" s="2021"/>
      <c r="AD393" s="2021"/>
      <c r="AE393" s="2021"/>
      <c r="AF393" s="20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21"/>
      <c r="G394" s="2021"/>
      <c r="H394" s="2021"/>
      <c r="I394" s="2021"/>
      <c r="J394" s="2021"/>
      <c r="K394" s="2021"/>
      <c r="L394" s="2021"/>
      <c r="M394" s="2021"/>
      <c r="N394" s="2021"/>
      <c r="O394" s="2021"/>
      <c r="P394" s="2021"/>
      <c r="Q394" s="2021"/>
      <c r="R394" s="2021"/>
      <c r="S394" s="2021"/>
      <c r="T394" s="2021"/>
      <c r="U394" s="2021"/>
      <c r="V394" s="2021"/>
      <c r="W394" s="2021"/>
      <c r="X394" s="2021"/>
      <c r="Y394" s="2021"/>
      <c r="Z394" s="2021"/>
      <c r="AA394" s="2021"/>
      <c r="AB394" s="2021"/>
      <c r="AC394" s="2021"/>
      <c r="AD394" s="2021"/>
      <c r="AE394" s="2021"/>
      <c r="AF394" s="20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21"/>
      <c r="G395" s="2021"/>
      <c r="H395" s="2021"/>
      <c r="I395" s="2021"/>
      <c r="J395" s="2021"/>
      <c r="K395" s="2021"/>
      <c r="L395" s="2021"/>
      <c r="M395" s="2021"/>
      <c r="N395" s="2021"/>
      <c r="O395" s="2021"/>
      <c r="P395" s="2021"/>
      <c r="Q395" s="2021"/>
      <c r="R395" s="2021"/>
      <c r="S395" s="2021"/>
      <c r="T395" s="2021"/>
      <c r="U395" s="2021"/>
      <c r="V395" s="2021"/>
      <c r="W395" s="2021"/>
      <c r="X395" s="2021"/>
      <c r="Y395" s="2021"/>
      <c r="Z395" s="2021"/>
      <c r="AA395" s="2021"/>
      <c r="AB395" s="2021"/>
      <c r="AC395" s="2021"/>
      <c r="AD395" s="2021"/>
      <c r="AE395" s="2021"/>
      <c r="AF395" s="202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7" t="s">
        <v>600</v>
      </c>
      <c r="D396" s="1974"/>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8" t="s">
        <v>1575</v>
      </c>
      <c r="AG396" s="2018"/>
      <c r="AH396" s="2018"/>
      <c r="AI396" s="2018"/>
      <c r="AJ396" s="2018"/>
      <c r="AK396" s="2018"/>
      <c r="AL396" s="201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7" t="s">
        <v>554</v>
      </c>
      <c r="D398" s="1974"/>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8" t="s">
        <v>1587</v>
      </c>
      <c r="AG398" s="2018"/>
      <c r="AH398" s="2018"/>
      <c r="AI398" s="2018"/>
      <c r="AJ398" s="2018"/>
      <c r="AK398" s="2018"/>
      <c r="AL398" s="201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7" t="s">
        <v>600</v>
      </c>
      <c r="D401" s="1974"/>
      <c r="E401" s="749" t="s">
        <v>1588</v>
      </c>
      <c r="F401" s="2020" t="s">
        <v>1589</v>
      </c>
      <c r="G401" s="2020"/>
      <c r="H401" s="2020"/>
      <c r="I401" s="2020"/>
      <c r="J401" s="2020"/>
      <c r="K401" s="2020"/>
      <c r="L401" s="2020"/>
      <c r="M401" s="2020"/>
      <c r="N401" s="2020"/>
      <c r="O401" s="2020"/>
      <c r="P401" s="2020"/>
      <c r="Q401" s="2020"/>
      <c r="R401" s="2020"/>
      <c r="S401" s="2020"/>
      <c r="T401" s="2020"/>
      <c r="U401" s="2020"/>
      <c r="V401" s="2020"/>
      <c r="W401" s="2020"/>
      <c r="X401" s="2020"/>
      <c r="Y401" s="2020"/>
      <c r="Z401" s="2020"/>
      <c r="AA401" s="2020"/>
      <c r="AB401" s="2020"/>
      <c r="AC401" s="2020"/>
      <c r="AD401" s="2020"/>
      <c r="AE401" s="202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21"/>
      <c r="G402" s="2021"/>
      <c r="H402" s="2021"/>
      <c r="I402" s="2021"/>
      <c r="J402" s="2021"/>
      <c r="K402" s="2021"/>
      <c r="L402" s="2021"/>
      <c r="M402" s="2021"/>
      <c r="N402" s="2021"/>
      <c r="O402" s="2021"/>
      <c r="P402" s="2021"/>
      <c r="Q402" s="2021"/>
      <c r="R402" s="2021"/>
      <c r="S402" s="2021"/>
      <c r="T402" s="2021"/>
      <c r="U402" s="2021"/>
      <c r="V402" s="2021"/>
      <c r="W402" s="2021"/>
      <c r="X402" s="2021"/>
      <c r="Y402" s="2021"/>
      <c r="Z402" s="2021"/>
      <c r="AA402" s="2021"/>
      <c r="AB402" s="2021"/>
      <c r="AC402" s="2021"/>
      <c r="AD402" s="2021"/>
      <c r="AE402" s="2021"/>
      <c r="AF402" s="1944" t="s">
        <v>1575</v>
      </c>
      <c r="AG402" s="1944"/>
      <c r="AH402" s="1944"/>
      <c r="AI402" s="1944"/>
      <c r="AJ402" s="1944"/>
      <c r="AK402" s="1944"/>
      <c r="AL402" s="2022"/>
      <c r="AM402" s="604"/>
      <c r="AN402" s="631"/>
      <c r="BS402" s="604"/>
      <c r="BT402" s="604"/>
      <c r="BY402" s="604"/>
      <c r="BZ402" s="604"/>
      <c r="CA402" s="604"/>
      <c r="CB402" s="604"/>
      <c r="CC402" s="604"/>
    </row>
    <row r="403" spans="1:81" s="584" customFormat="1" ht="12.75" customHeight="1">
      <c r="A403" s="570"/>
      <c r="B403" s="14"/>
      <c r="C403" s="765"/>
      <c r="D403" s="14"/>
      <c r="E403" s="725"/>
      <c r="F403" s="2021"/>
      <c r="G403" s="2021"/>
      <c r="H403" s="2021"/>
      <c r="I403" s="2021"/>
      <c r="J403" s="2021"/>
      <c r="K403" s="2021"/>
      <c r="L403" s="2021"/>
      <c r="M403" s="2021"/>
      <c r="N403" s="2021"/>
      <c r="O403" s="2021"/>
      <c r="P403" s="2021"/>
      <c r="Q403" s="2021"/>
      <c r="R403" s="2021"/>
      <c r="S403" s="2021"/>
      <c r="T403" s="2021"/>
      <c r="U403" s="2021"/>
      <c r="V403" s="2021"/>
      <c r="W403" s="2021"/>
      <c r="X403" s="2021"/>
      <c r="Y403" s="2021"/>
      <c r="Z403" s="2021"/>
      <c r="AA403" s="2021"/>
      <c r="AB403" s="2021"/>
      <c r="AC403" s="2021"/>
      <c r="AD403" s="2021"/>
      <c r="AE403" s="202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40"/>
      <c r="G404" s="2040"/>
      <c r="H404" s="2040"/>
      <c r="I404" s="2040"/>
      <c r="J404" s="2040"/>
      <c r="K404" s="2040"/>
      <c r="L404" s="2040"/>
      <c r="M404" s="2040"/>
      <c r="N404" s="2040"/>
      <c r="O404" s="2040"/>
      <c r="P404" s="2040"/>
      <c r="Q404" s="2040"/>
      <c r="R404" s="2040"/>
      <c r="S404" s="2040"/>
      <c r="T404" s="2040"/>
      <c r="U404" s="2040"/>
      <c r="V404" s="2040"/>
      <c r="W404" s="2040"/>
      <c r="X404" s="2040"/>
      <c r="Y404" s="2040"/>
      <c r="Z404" s="2040"/>
      <c r="AA404" s="2040"/>
      <c r="AB404" s="2040"/>
      <c r="AC404" s="2040"/>
      <c r="AD404" s="2040"/>
      <c r="AE404" s="204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20" t="s">
        <v>1591</v>
      </c>
      <c r="G406" s="2020"/>
      <c r="H406" s="2020"/>
      <c r="I406" s="2020"/>
      <c r="J406" s="2020"/>
      <c r="K406" s="2020"/>
      <c r="L406" s="2020"/>
      <c r="M406" s="2020"/>
      <c r="N406" s="2020"/>
      <c r="O406" s="2020"/>
      <c r="P406" s="2020"/>
      <c r="Q406" s="2020"/>
      <c r="R406" s="2020"/>
      <c r="S406" s="2020"/>
      <c r="T406" s="2020"/>
      <c r="U406" s="2020"/>
      <c r="V406" s="2020"/>
      <c r="W406" s="2020"/>
      <c r="X406" s="2020"/>
      <c r="Y406" s="2020"/>
      <c r="Z406" s="2020"/>
      <c r="AA406" s="2020"/>
      <c r="AB406" s="2020"/>
      <c r="AC406" s="2020"/>
      <c r="AD406" s="2020"/>
      <c r="AE406" s="2020"/>
      <c r="AF406" s="781"/>
      <c r="AG406" s="781"/>
      <c r="AH406" s="781"/>
      <c r="AI406" s="781"/>
      <c r="AJ406" s="781"/>
      <c r="AK406" s="781"/>
      <c r="AL406" s="782"/>
      <c r="AM406" s="604"/>
    </row>
    <row r="407" spans="1:81">
      <c r="A407" s="570"/>
      <c r="C407" s="765"/>
      <c r="E407" s="725"/>
      <c r="F407" s="2021"/>
      <c r="G407" s="2021"/>
      <c r="H407" s="2021"/>
      <c r="I407" s="2021"/>
      <c r="J407" s="2021"/>
      <c r="K407" s="2021"/>
      <c r="L407" s="2021"/>
      <c r="M407" s="2021"/>
      <c r="N407" s="2021"/>
      <c r="O407" s="2021"/>
      <c r="P407" s="2021"/>
      <c r="Q407" s="2021"/>
      <c r="R407" s="2021"/>
      <c r="S407" s="2021"/>
      <c r="T407" s="2021"/>
      <c r="U407" s="2021"/>
      <c r="V407" s="2021"/>
      <c r="W407" s="2021"/>
      <c r="X407" s="2021"/>
      <c r="Y407" s="2021"/>
      <c r="Z407" s="2021"/>
      <c r="AA407" s="2021"/>
      <c r="AB407" s="2021"/>
      <c r="AC407" s="2021"/>
      <c r="AD407" s="2021"/>
      <c r="AE407" s="2021"/>
      <c r="AF407" s="573"/>
      <c r="AG407" s="570"/>
      <c r="AH407" s="584"/>
      <c r="AI407" s="584"/>
      <c r="AJ407" s="584"/>
      <c r="AK407" s="584"/>
      <c r="AL407" s="766"/>
      <c r="AM407" s="604"/>
    </row>
    <row r="408" spans="1:81" s="584" customFormat="1" ht="12.75" customHeight="1">
      <c r="A408" s="570"/>
      <c r="B408" s="14"/>
      <c r="C408" s="765"/>
      <c r="D408" s="14"/>
      <c r="E408" s="725"/>
      <c r="F408" s="2021"/>
      <c r="G408" s="2021"/>
      <c r="H408" s="2021"/>
      <c r="I408" s="2021"/>
      <c r="J408" s="2021"/>
      <c r="K408" s="2021"/>
      <c r="L408" s="2021"/>
      <c r="M408" s="2021"/>
      <c r="N408" s="2021"/>
      <c r="O408" s="2021"/>
      <c r="P408" s="2021"/>
      <c r="Q408" s="2021"/>
      <c r="R408" s="2021"/>
      <c r="S408" s="2021"/>
      <c r="T408" s="2021"/>
      <c r="U408" s="2021"/>
      <c r="V408" s="2021"/>
      <c r="W408" s="2021"/>
      <c r="X408" s="2021"/>
      <c r="Y408" s="2021"/>
      <c r="Z408" s="2021"/>
      <c r="AA408" s="2021"/>
      <c r="AB408" s="2021"/>
      <c r="AC408" s="2021"/>
      <c r="AD408" s="2021"/>
      <c r="AE408" s="2021"/>
      <c r="AL408" s="766"/>
      <c r="AM408" s="604"/>
      <c r="AN408" s="631"/>
    </row>
    <row r="409" spans="1:81" s="584" customFormat="1" ht="12.75" customHeight="1">
      <c r="A409" s="570"/>
      <c r="B409" s="14"/>
      <c r="C409" s="773"/>
      <c r="F409" s="2021"/>
      <c r="G409" s="2021"/>
      <c r="H409" s="2021"/>
      <c r="I409" s="2021"/>
      <c r="J409" s="2021"/>
      <c r="K409" s="2021"/>
      <c r="L409" s="2021"/>
      <c r="M409" s="2021"/>
      <c r="N409" s="2021"/>
      <c r="O409" s="2021"/>
      <c r="P409" s="2021"/>
      <c r="Q409" s="2021"/>
      <c r="R409" s="2021"/>
      <c r="S409" s="2021"/>
      <c r="T409" s="2021"/>
      <c r="U409" s="2021"/>
      <c r="V409" s="2021"/>
      <c r="W409" s="2021"/>
      <c r="X409" s="2021"/>
      <c r="Y409" s="2021"/>
      <c r="Z409" s="2021"/>
      <c r="AA409" s="2021"/>
      <c r="AB409" s="2021"/>
      <c r="AC409" s="2021"/>
      <c r="AD409" s="2021"/>
      <c r="AE409" s="2021"/>
      <c r="AL409" s="766"/>
      <c r="AM409" s="604"/>
      <c r="AN409" s="631"/>
    </row>
    <row r="410" spans="1:81" s="584" customFormat="1" ht="12.75" customHeight="1">
      <c r="A410" s="570"/>
      <c r="B410" s="14"/>
      <c r="C410" s="2017" t="s">
        <v>600</v>
      </c>
      <c r="D410" s="1974"/>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4" t="s">
        <v>1575</v>
      </c>
      <c r="AG410" s="1944"/>
      <c r="AH410" s="1944"/>
      <c r="AI410" s="1944"/>
      <c r="AJ410" s="1944"/>
      <c r="AK410" s="1944"/>
      <c r="AL410" s="2022"/>
      <c r="AM410" s="604"/>
      <c r="AN410" s="631"/>
    </row>
    <row r="411" spans="1:81" s="584" customFormat="1" ht="12.75" customHeight="1">
      <c r="A411" s="570"/>
      <c r="B411" s="14"/>
      <c r="C411" s="773"/>
      <c r="AL411" s="766"/>
      <c r="AM411" s="604"/>
      <c r="AN411" s="631"/>
    </row>
    <row r="412" spans="1:81" s="584" customFormat="1" ht="12.75" customHeight="1">
      <c r="A412" s="570"/>
      <c r="B412" s="14"/>
      <c r="C412" s="2017" t="s">
        <v>600</v>
      </c>
      <c r="D412" s="1974"/>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4" t="s">
        <v>1587</v>
      </c>
      <c r="AG412" s="1944"/>
      <c r="AH412" s="1944"/>
      <c r="AI412" s="1944"/>
      <c r="AJ412" s="1944"/>
      <c r="AK412" s="1944"/>
      <c r="AL412" s="202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20" t="s">
        <v>1595</v>
      </c>
      <c r="G416" s="2020"/>
      <c r="H416" s="2020"/>
      <c r="I416" s="2020"/>
      <c r="J416" s="2020"/>
      <c r="K416" s="2020"/>
      <c r="L416" s="2020"/>
      <c r="M416" s="2020"/>
      <c r="N416" s="2020"/>
      <c r="O416" s="2020"/>
      <c r="P416" s="2020"/>
      <c r="Q416" s="2020"/>
      <c r="R416" s="2020"/>
      <c r="S416" s="2020"/>
      <c r="T416" s="2020"/>
      <c r="U416" s="2020"/>
      <c r="V416" s="2020"/>
      <c r="W416" s="2020"/>
      <c r="X416" s="2020"/>
      <c r="Y416" s="2020"/>
      <c r="Z416" s="2020"/>
      <c r="AA416" s="2020"/>
      <c r="AB416" s="2020"/>
      <c r="AC416" s="2020"/>
      <c r="AD416" s="2020"/>
      <c r="AE416" s="2020"/>
      <c r="AF416" s="748"/>
      <c r="AG416" s="748"/>
      <c r="AH416" s="748"/>
      <c r="AI416" s="748"/>
      <c r="AJ416" s="748"/>
      <c r="AK416" s="748"/>
      <c r="AL416" s="779"/>
      <c r="AM416" s="604"/>
      <c r="AN416" s="631"/>
    </row>
    <row r="417" spans="1:60" s="584" customFormat="1" ht="12.75" customHeight="1">
      <c r="A417" s="570"/>
      <c r="B417" s="14"/>
      <c r="C417" s="765"/>
      <c r="D417" s="14"/>
      <c r="E417" s="725"/>
      <c r="F417" s="2021"/>
      <c r="G417" s="2021"/>
      <c r="H417" s="2021"/>
      <c r="I417" s="2021"/>
      <c r="J417" s="2021"/>
      <c r="K417" s="2021"/>
      <c r="L417" s="2021"/>
      <c r="M417" s="2021"/>
      <c r="N417" s="2021"/>
      <c r="O417" s="2021"/>
      <c r="P417" s="2021"/>
      <c r="Q417" s="2021"/>
      <c r="R417" s="2021"/>
      <c r="S417" s="2021"/>
      <c r="T417" s="2021"/>
      <c r="U417" s="2021"/>
      <c r="V417" s="2021"/>
      <c r="W417" s="2021"/>
      <c r="X417" s="2021"/>
      <c r="Y417" s="2021"/>
      <c r="Z417" s="2021"/>
      <c r="AA417" s="2021"/>
      <c r="AB417" s="2021"/>
      <c r="AC417" s="2021"/>
      <c r="AD417" s="2021"/>
      <c r="AE417" s="2021"/>
      <c r="AF417" s="573"/>
      <c r="AG417" s="570"/>
      <c r="AL417" s="766"/>
      <c r="AM417" s="604"/>
      <c r="AN417" s="631"/>
    </row>
    <row r="418" spans="1:60" s="584" customFormat="1" ht="12.4" customHeight="1">
      <c r="A418" s="570"/>
      <c r="B418" s="14"/>
      <c r="C418" s="765"/>
      <c r="D418" s="14"/>
      <c r="E418" s="725"/>
      <c r="F418" s="2021"/>
      <c r="G418" s="2021"/>
      <c r="H418" s="2021"/>
      <c r="I418" s="2021"/>
      <c r="J418" s="2021"/>
      <c r="K418" s="2021"/>
      <c r="L418" s="2021"/>
      <c r="M418" s="2021"/>
      <c r="N418" s="2021"/>
      <c r="O418" s="2021"/>
      <c r="P418" s="2021"/>
      <c r="Q418" s="2021"/>
      <c r="R418" s="2021"/>
      <c r="S418" s="2021"/>
      <c r="T418" s="2021"/>
      <c r="U418" s="2021"/>
      <c r="V418" s="2021"/>
      <c r="W418" s="2021"/>
      <c r="X418" s="2021"/>
      <c r="Y418" s="2021"/>
      <c r="Z418" s="2021"/>
      <c r="AA418" s="2021"/>
      <c r="AB418" s="2021"/>
      <c r="AC418" s="2021"/>
      <c r="AD418" s="2021"/>
      <c r="AE418" s="2021"/>
      <c r="AL418" s="766"/>
      <c r="AM418" s="604"/>
      <c r="AN418" s="631"/>
    </row>
    <row r="419" spans="1:60" s="584" customFormat="1" ht="12.75" customHeight="1">
      <c r="A419" s="570"/>
      <c r="B419" s="14"/>
      <c r="C419" s="2017" t="s">
        <v>600</v>
      </c>
      <c r="D419" s="1974"/>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4" t="s">
        <v>1575</v>
      </c>
      <c r="AG419" s="1944"/>
      <c r="AH419" s="1944"/>
      <c r="AI419" s="1944"/>
      <c r="AJ419" s="1944"/>
      <c r="AK419" s="1944"/>
      <c r="AL419" s="202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20" t="s">
        <v>1598</v>
      </c>
      <c r="G422" s="2020"/>
      <c r="H422" s="2020"/>
      <c r="I422" s="2020"/>
      <c r="J422" s="2020"/>
      <c r="K422" s="2020"/>
      <c r="L422" s="2020"/>
      <c r="M422" s="2020"/>
      <c r="N422" s="2020"/>
      <c r="O422" s="2020"/>
      <c r="P422" s="2020"/>
      <c r="Q422" s="2020"/>
      <c r="R422" s="2020"/>
      <c r="S422" s="2020"/>
      <c r="T422" s="2020"/>
      <c r="U422" s="2020"/>
      <c r="V422" s="2020"/>
      <c r="W422" s="2020"/>
      <c r="X422" s="2020"/>
      <c r="Y422" s="2020"/>
      <c r="Z422" s="2020"/>
      <c r="AA422" s="2020"/>
      <c r="AB422" s="2020"/>
      <c r="AC422" s="2020"/>
      <c r="AD422" s="2020"/>
      <c r="AE422" s="2020"/>
      <c r="AF422" s="781"/>
      <c r="AG422" s="781"/>
      <c r="AH422" s="781"/>
      <c r="AI422" s="781"/>
      <c r="AJ422" s="781"/>
      <c r="AK422" s="781"/>
      <c r="AL422" s="782"/>
      <c r="AM422" s="604"/>
      <c r="AO422" s="584"/>
      <c r="AP422" s="584"/>
      <c r="BD422" s="14"/>
      <c r="BE422" s="14"/>
      <c r="BF422" s="14"/>
      <c r="BG422" s="14"/>
      <c r="BH422" s="14"/>
    </row>
    <row r="423" spans="1:60">
      <c r="A423" s="570"/>
      <c r="C423" s="765"/>
      <c r="E423" s="725"/>
      <c r="F423" s="2021"/>
      <c r="G423" s="2021"/>
      <c r="H423" s="2021"/>
      <c r="I423" s="2021"/>
      <c r="J423" s="2021"/>
      <c r="K423" s="2021"/>
      <c r="L423" s="2021"/>
      <c r="M423" s="2021"/>
      <c r="N423" s="2021"/>
      <c r="O423" s="2021"/>
      <c r="P423" s="2021"/>
      <c r="Q423" s="2021"/>
      <c r="R423" s="2021"/>
      <c r="S423" s="2021"/>
      <c r="T423" s="2021"/>
      <c r="U423" s="2021"/>
      <c r="V423" s="2021"/>
      <c r="W423" s="2021"/>
      <c r="X423" s="2021"/>
      <c r="Y423" s="2021"/>
      <c r="Z423" s="2021"/>
      <c r="AA423" s="2021"/>
      <c r="AB423" s="2021"/>
      <c r="AC423" s="2021"/>
      <c r="AD423" s="2021"/>
      <c r="AE423" s="2021"/>
      <c r="AF423" s="628"/>
      <c r="AG423" s="628"/>
      <c r="AH423" s="628"/>
      <c r="AI423" s="628"/>
      <c r="AJ423" s="628"/>
      <c r="AK423" s="628"/>
      <c r="AL423" s="784"/>
      <c r="AM423" s="604"/>
      <c r="AO423" s="584"/>
      <c r="AP423" s="584"/>
    </row>
    <row r="424" spans="1:60" s="584" customFormat="1" ht="12.75" customHeight="1">
      <c r="A424" s="570"/>
      <c r="B424" s="14"/>
      <c r="C424" s="765"/>
      <c r="D424" s="14"/>
      <c r="E424" s="725"/>
      <c r="F424" s="2021"/>
      <c r="G424" s="2021"/>
      <c r="H424" s="2021"/>
      <c r="I424" s="2021"/>
      <c r="J424" s="2021"/>
      <c r="K424" s="2021"/>
      <c r="L424" s="2021"/>
      <c r="M424" s="2021"/>
      <c r="N424" s="2021"/>
      <c r="O424" s="2021"/>
      <c r="P424" s="2021"/>
      <c r="Q424" s="2021"/>
      <c r="R424" s="2021"/>
      <c r="S424" s="2021"/>
      <c r="T424" s="2021"/>
      <c r="U424" s="2021"/>
      <c r="V424" s="2021"/>
      <c r="W424" s="2021"/>
      <c r="X424" s="2021"/>
      <c r="Y424" s="2021"/>
      <c r="Z424" s="2021"/>
      <c r="AA424" s="2021"/>
      <c r="AB424" s="2021"/>
      <c r="AC424" s="2021"/>
      <c r="AD424" s="2021"/>
      <c r="AE424" s="2021"/>
      <c r="AF424" s="628"/>
      <c r="AG424" s="628"/>
      <c r="AH424" s="628"/>
      <c r="AI424" s="628"/>
      <c r="AJ424" s="628"/>
      <c r="AK424" s="628"/>
      <c r="AL424" s="784"/>
      <c r="AM424" s="604"/>
      <c r="AN424" s="631"/>
    </row>
    <row r="425" spans="1:60" s="584" customFormat="1" ht="12.75" customHeight="1">
      <c r="A425" s="570"/>
      <c r="B425" s="14"/>
      <c r="C425" s="785"/>
      <c r="D425" s="764"/>
      <c r="E425" s="753"/>
      <c r="F425" s="2021"/>
      <c r="G425" s="2021"/>
      <c r="H425" s="2021"/>
      <c r="I425" s="2021"/>
      <c r="J425" s="2021"/>
      <c r="K425" s="2021"/>
      <c r="L425" s="2021"/>
      <c r="M425" s="2021"/>
      <c r="N425" s="2021"/>
      <c r="O425" s="2021"/>
      <c r="P425" s="2021"/>
      <c r="Q425" s="2021"/>
      <c r="R425" s="2021"/>
      <c r="S425" s="2021"/>
      <c r="T425" s="2021"/>
      <c r="U425" s="2021"/>
      <c r="V425" s="2021"/>
      <c r="W425" s="2021"/>
      <c r="X425" s="2021"/>
      <c r="Y425" s="2021"/>
      <c r="Z425" s="2021"/>
      <c r="AA425" s="2021"/>
      <c r="AB425" s="2021"/>
      <c r="AC425" s="2021"/>
      <c r="AD425" s="2021"/>
      <c r="AE425" s="202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21"/>
      <c r="G426" s="2021"/>
      <c r="H426" s="2021"/>
      <c r="I426" s="2021"/>
      <c r="J426" s="2021"/>
      <c r="K426" s="2021"/>
      <c r="L426" s="2021"/>
      <c r="M426" s="2021"/>
      <c r="N426" s="2021"/>
      <c r="O426" s="2021"/>
      <c r="P426" s="2021"/>
      <c r="Q426" s="2021"/>
      <c r="R426" s="2021"/>
      <c r="S426" s="2021"/>
      <c r="T426" s="2021"/>
      <c r="U426" s="2021"/>
      <c r="V426" s="2021"/>
      <c r="W426" s="2021"/>
      <c r="X426" s="2021"/>
      <c r="Y426" s="2021"/>
      <c r="Z426" s="2021"/>
      <c r="AA426" s="2021"/>
      <c r="AB426" s="2021"/>
      <c r="AC426" s="2021"/>
      <c r="AD426" s="2021"/>
      <c r="AE426" s="2021"/>
      <c r="AF426" s="628"/>
      <c r="AG426" s="628"/>
      <c r="AH426" s="628"/>
      <c r="AI426" s="628"/>
      <c r="AJ426" s="628"/>
      <c r="AK426" s="628"/>
      <c r="AL426" s="784"/>
      <c r="AM426" s="604"/>
      <c r="AN426" s="631"/>
    </row>
    <row r="427" spans="1:60" s="584" customFormat="1" ht="12.75" customHeight="1">
      <c r="A427" s="570"/>
      <c r="B427" s="14"/>
      <c r="C427" s="785"/>
      <c r="D427" s="764"/>
      <c r="E427" s="753"/>
      <c r="F427" s="2021"/>
      <c r="G427" s="2021"/>
      <c r="H427" s="2021"/>
      <c r="I427" s="2021"/>
      <c r="J427" s="2021"/>
      <c r="K427" s="2021"/>
      <c r="L427" s="2021"/>
      <c r="M427" s="2021"/>
      <c r="N427" s="2021"/>
      <c r="O427" s="2021"/>
      <c r="P427" s="2021"/>
      <c r="Q427" s="2021"/>
      <c r="R427" s="2021"/>
      <c r="S427" s="2021"/>
      <c r="T427" s="2021"/>
      <c r="U427" s="2021"/>
      <c r="V427" s="2021"/>
      <c r="W427" s="2021"/>
      <c r="X427" s="2021"/>
      <c r="Y427" s="2021"/>
      <c r="Z427" s="2021"/>
      <c r="AA427" s="2021"/>
      <c r="AB427" s="2021"/>
      <c r="AC427" s="2021"/>
      <c r="AD427" s="2021"/>
      <c r="AE427" s="2021"/>
      <c r="AF427" s="628"/>
      <c r="AG427" s="628"/>
      <c r="AH427" s="628"/>
      <c r="AI427" s="628"/>
      <c r="AJ427" s="628"/>
      <c r="AK427" s="628"/>
      <c r="AL427" s="784"/>
      <c r="AM427" s="604"/>
      <c r="AN427" s="631"/>
    </row>
    <row r="428" spans="1:60" s="584" customFormat="1" ht="12.75" customHeight="1">
      <c r="A428" s="570"/>
      <c r="B428" s="14"/>
      <c r="C428" s="785"/>
      <c r="D428" s="764"/>
      <c r="E428" s="753"/>
      <c r="F428" s="2021"/>
      <c r="G428" s="2021"/>
      <c r="H428" s="2021"/>
      <c r="I428" s="2021"/>
      <c r="J428" s="2021"/>
      <c r="K428" s="2021"/>
      <c r="L428" s="2021"/>
      <c r="M428" s="2021"/>
      <c r="N428" s="2021"/>
      <c r="O428" s="2021"/>
      <c r="P428" s="2021"/>
      <c r="Q428" s="2021"/>
      <c r="R428" s="2021"/>
      <c r="S428" s="2021"/>
      <c r="T428" s="2021"/>
      <c r="U428" s="2021"/>
      <c r="V428" s="2021"/>
      <c r="W428" s="2021"/>
      <c r="X428" s="2021"/>
      <c r="Y428" s="2021"/>
      <c r="Z428" s="2021"/>
      <c r="AA428" s="2021"/>
      <c r="AB428" s="2021"/>
      <c r="AC428" s="2021"/>
      <c r="AD428" s="2021"/>
      <c r="AE428" s="2021"/>
      <c r="AF428" s="628"/>
      <c r="AG428" s="628"/>
      <c r="AH428" s="628"/>
      <c r="AI428" s="628"/>
      <c r="AJ428" s="628"/>
      <c r="AK428" s="628"/>
      <c r="AL428" s="784"/>
      <c r="AM428" s="604"/>
      <c r="AN428" s="631"/>
    </row>
    <row r="429" spans="1:60" s="584" customFormat="1" ht="12.75" customHeight="1">
      <c r="A429" s="570"/>
      <c r="B429" s="14"/>
      <c r="C429" s="785"/>
      <c r="D429" s="764"/>
      <c r="E429" s="753"/>
      <c r="F429" s="2021"/>
      <c r="G429" s="2021"/>
      <c r="H429" s="2021"/>
      <c r="I429" s="2021"/>
      <c r="J429" s="2021"/>
      <c r="K429" s="2021"/>
      <c r="L429" s="2021"/>
      <c r="M429" s="2021"/>
      <c r="N429" s="2021"/>
      <c r="O429" s="2021"/>
      <c r="P429" s="2021"/>
      <c r="Q429" s="2021"/>
      <c r="R429" s="2021"/>
      <c r="S429" s="2021"/>
      <c r="T429" s="2021"/>
      <c r="U429" s="2021"/>
      <c r="V429" s="2021"/>
      <c r="W429" s="2021"/>
      <c r="X429" s="2021"/>
      <c r="Y429" s="2021"/>
      <c r="Z429" s="2021"/>
      <c r="AA429" s="2021"/>
      <c r="AB429" s="2021"/>
      <c r="AC429" s="2021"/>
      <c r="AD429" s="2021"/>
      <c r="AE429" s="2021"/>
      <c r="AF429" s="628"/>
      <c r="AG429" s="628"/>
      <c r="AH429" s="628"/>
      <c r="AI429" s="628"/>
      <c r="AJ429" s="628"/>
      <c r="AK429" s="628"/>
      <c r="AL429" s="784"/>
      <c r="AM429" s="604"/>
      <c r="AN429" s="631"/>
    </row>
    <row r="430" spans="1:60" s="584" customFormat="1" ht="17.25" customHeight="1">
      <c r="A430" s="570"/>
      <c r="B430" s="14"/>
      <c r="C430" s="785"/>
      <c r="D430" s="764"/>
      <c r="E430" s="753"/>
      <c r="F430" s="2021"/>
      <c r="G430" s="2021"/>
      <c r="H430" s="2021"/>
      <c r="I430" s="2021"/>
      <c r="J430" s="2021"/>
      <c r="K430" s="2021"/>
      <c r="L430" s="2021"/>
      <c r="M430" s="2021"/>
      <c r="N430" s="2021"/>
      <c r="O430" s="2021"/>
      <c r="P430" s="2021"/>
      <c r="Q430" s="2021"/>
      <c r="R430" s="2021"/>
      <c r="S430" s="2021"/>
      <c r="T430" s="2021"/>
      <c r="U430" s="2021"/>
      <c r="V430" s="2021"/>
      <c r="W430" s="2021"/>
      <c r="X430" s="2021"/>
      <c r="Y430" s="2021"/>
      <c r="Z430" s="2021"/>
      <c r="AA430" s="2021"/>
      <c r="AB430" s="2021"/>
      <c r="AC430" s="2021"/>
      <c r="AD430" s="2021"/>
      <c r="AE430" s="2021"/>
      <c r="AL430" s="766"/>
      <c r="AM430" s="604"/>
      <c r="AN430" s="631"/>
    </row>
    <row r="431" spans="1:60" s="584" customFormat="1" ht="12.75" customHeight="1">
      <c r="A431" s="570"/>
      <c r="B431" s="14"/>
      <c r="C431" s="2017" t="s">
        <v>600</v>
      </c>
      <c r="D431" s="1974"/>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4" t="s">
        <v>1575</v>
      </c>
      <c r="AG431" s="1944"/>
      <c r="AH431" s="1944"/>
      <c r="AI431" s="1944"/>
      <c r="AJ431" s="1944"/>
      <c r="AK431" s="1944"/>
      <c r="AL431" s="202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20" t="s">
        <v>1601</v>
      </c>
      <c r="G434" s="2020"/>
      <c r="H434" s="2020"/>
      <c r="I434" s="2020"/>
      <c r="J434" s="2020"/>
      <c r="K434" s="2020"/>
      <c r="L434" s="2020"/>
      <c r="M434" s="2020"/>
      <c r="N434" s="2020"/>
      <c r="O434" s="2020"/>
      <c r="P434" s="2020"/>
      <c r="Q434" s="2020"/>
      <c r="R434" s="2020"/>
      <c r="S434" s="2020"/>
      <c r="T434" s="2020"/>
      <c r="U434" s="2020"/>
      <c r="V434" s="2020"/>
      <c r="W434" s="2020"/>
      <c r="X434" s="2020"/>
      <c r="Y434" s="2020"/>
      <c r="Z434" s="2020"/>
      <c r="AA434" s="2020"/>
      <c r="AB434" s="2020"/>
      <c r="AC434" s="2020"/>
      <c r="AD434" s="2020"/>
      <c r="AE434" s="2020"/>
      <c r="AF434" s="748"/>
      <c r="AG434" s="748"/>
      <c r="AH434" s="748"/>
      <c r="AI434" s="748"/>
      <c r="AJ434" s="748"/>
      <c r="AK434" s="748"/>
      <c r="AL434" s="779"/>
      <c r="AM434" s="604"/>
      <c r="AN434" s="631"/>
    </row>
    <row r="435" spans="1:40" s="584" customFormat="1" ht="12.75" customHeight="1">
      <c r="A435" s="570"/>
      <c r="B435" s="14"/>
      <c r="C435" s="785"/>
      <c r="D435" s="764"/>
      <c r="E435" s="753"/>
      <c r="F435" s="2021"/>
      <c r="G435" s="2021"/>
      <c r="H435" s="2021"/>
      <c r="I435" s="2021"/>
      <c r="J435" s="2021"/>
      <c r="K435" s="2021"/>
      <c r="L435" s="2021"/>
      <c r="M435" s="2021"/>
      <c r="N435" s="2021"/>
      <c r="O435" s="2021"/>
      <c r="P435" s="2021"/>
      <c r="Q435" s="2021"/>
      <c r="R435" s="2021"/>
      <c r="S435" s="2021"/>
      <c r="T435" s="2021"/>
      <c r="U435" s="2021"/>
      <c r="V435" s="2021"/>
      <c r="W435" s="2021"/>
      <c r="X435" s="2021"/>
      <c r="Y435" s="2021"/>
      <c r="Z435" s="2021"/>
      <c r="AA435" s="2021"/>
      <c r="AB435" s="2021"/>
      <c r="AC435" s="2021"/>
      <c r="AD435" s="2021"/>
      <c r="AE435" s="2021"/>
      <c r="AF435" s="625"/>
      <c r="AG435" s="625"/>
      <c r="AH435" s="625"/>
      <c r="AI435" s="625"/>
      <c r="AJ435" s="625"/>
      <c r="AK435" s="625"/>
      <c r="AL435" s="754"/>
      <c r="AM435" s="604"/>
      <c r="AN435" s="631"/>
    </row>
    <row r="436" spans="1:40" s="584" customFormat="1" ht="12.75" customHeight="1">
      <c r="A436" s="570"/>
      <c r="B436" s="14"/>
      <c r="C436" s="785"/>
      <c r="D436" s="764"/>
      <c r="E436" s="753"/>
      <c r="F436" s="2021"/>
      <c r="G436" s="2021"/>
      <c r="H436" s="2021"/>
      <c r="I436" s="2021"/>
      <c r="J436" s="2021"/>
      <c r="K436" s="2021"/>
      <c r="L436" s="2021"/>
      <c r="M436" s="2021"/>
      <c r="N436" s="2021"/>
      <c r="O436" s="2021"/>
      <c r="P436" s="2021"/>
      <c r="Q436" s="2021"/>
      <c r="R436" s="2021"/>
      <c r="S436" s="2021"/>
      <c r="T436" s="2021"/>
      <c r="U436" s="2021"/>
      <c r="V436" s="2021"/>
      <c r="W436" s="2021"/>
      <c r="X436" s="2021"/>
      <c r="Y436" s="2021"/>
      <c r="Z436" s="2021"/>
      <c r="AA436" s="2021"/>
      <c r="AB436" s="2021"/>
      <c r="AC436" s="2021"/>
      <c r="AD436" s="2021"/>
      <c r="AE436" s="2021"/>
      <c r="AF436" s="625"/>
      <c r="AG436" s="625"/>
      <c r="AH436" s="625"/>
      <c r="AI436" s="625"/>
      <c r="AJ436" s="625"/>
      <c r="AK436" s="625"/>
      <c r="AL436" s="754"/>
      <c r="AM436" s="604"/>
      <c r="AN436" s="631"/>
    </row>
    <row r="437" spans="1:40" s="584" customFormat="1" ht="12.75" customHeight="1">
      <c r="A437" s="570"/>
      <c r="B437" s="14"/>
      <c r="C437" s="785"/>
      <c r="D437" s="764"/>
      <c r="E437" s="753"/>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L437" s="766"/>
      <c r="AM437" s="604"/>
      <c r="AN437" s="631"/>
    </row>
    <row r="438" spans="1:40" s="584" customFormat="1" ht="12.75" customHeight="1">
      <c r="A438" s="570"/>
      <c r="B438" s="14"/>
      <c r="C438" s="2017" t="s">
        <v>600</v>
      </c>
      <c r="D438" s="1974"/>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4" t="s">
        <v>1575</v>
      </c>
      <c r="AG438" s="1944"/>
      <c r="AH438" s="1944"/>
      <c r="AI438" s="1944"/>
      <c r="AJ438" s="1944"/>
      <c r="AK438" s="1944"/>
      <c r="AL438" s="202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3" t="s">
        <v>600</v>
      </c>
      <c r="D442" s="2024"/>
      <c r="E442" s="749" t="s">
        <v>1610</v>
      </c>
      <c r="F442" s="2020" t="s">
        <v>1611</v>
      </c>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41" t="s">
        <v>1575</v>
      </c>
      <c r="AG442" s="2041"/>
      <c r="AH442" s="2041"/>
      <c r="AI442" s="2041"/>
      <c r="AJ442" s="2041"/>
      <c r="AK442" s="2041"/>
      <c r="AL442" s="2042"/>
      <c r="AM442" s="604"/>
      <c r="AN442" s="787"/>
    </row>
    <row r="443" spans="1:40" s="584" customFormat="1" ht="12.75" customHeight="1">
      <c r="A443" s="570"/>
      <c r="B443" s="14"/>
      <c r="C443" s="785"/>
      <c r="D443" s="764"/>
      <c r="E443" s="753"/>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625"/>
      <c r="AG443" s="625"/>
      <c r="AH443" s="625"/>
      <c r="AI443" s="625"/>
      <c r="AJ443" s="625"/>
      <c r="AK443" s="625"/>
      <c r="AL443" s="754"/>
      <c r="AM443" s="604"/>
      <c r="AN443" s="788"/>
    </row>
    <row r="444" spans="1:40" s="584" customFormat="1" ht="17.649999999999999" customHeight="1">
      <c r="A444" s="570"/>
      <c r="B444" s="14"/>
      <c r="C444" s="790"/>
      <c r="D444" s="757"/>
      <c r="E444" s="758"/>
      <c r="F444" s="2040"/>
      <c r="G444" s="2040"/>
      <c r="H444" s="2040"/>
      <c r="I444" s="2040"/>
      <c r="J444" s="2040"/>
      <c r="K444" s="2040"/>
      <c r="L444" s="2040"/>
      <c r="M444" s="2040"/>
      <c r="N444" s="2040"/>
      <c r="O444" s="2040"/>
      <c r="P444" s="2040"/>
      <c r="Q444" s="2040"/>
      <c r="R444" s="2040"/>
      <c r="S444" s="2040"/>
      <c r="T444" s="2040"/>
      <c r="U444" s="2040"/>
      <c r="V444" s="2040"/>
      <c r="W444" s="2040"/>
      <c r="X444" s="2040"/>
      <c r="Y444" s="2040"/>
      <c r="Z444" s="2040"/>
      <c r="AA444" s="2040"/>
      <c r="AB444" s="2040"/>
      <c r="AC444" s="2040"/>
      <c r="AD444" s="2040"/>
      <c r="AE444" s="204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7" t="s">
        <v>600</v>
      </c>
      <c r="D446" s="1974"/>
      <c r="E446" s="749" t="s">
        <v>1616</v>
      </c>
      <c r="F446" s="2020" t="s">
        <v>1617</v>
      </c>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41" t="s">
        <v>1575</v>
      </c>
      <c r="AG446" s="2041"/>
      <c r="AH446" s="2041"/>
      <c r="AI446" s="2041"/>
      <c r="AJ446" s="2041"/>
      <c r="AK446" s="2041"/>
      <c r="AL446" s="2042"/>
      <c r="AM446" s="604"/>
      <c r="AN446" s="569"/>
    </row>
    <row r="447" spans="1:40" s="584" customFormat="1" ht="12.75" customHeight="1">
      <c r="A447" s="570"/>
      <c r="B447" s="14"/>
      <c r="C447" s="765"/>
      <c r="D447" s="14"/>
      <c r="E447" s="725"/>
      <c r="F447" s="2021"/>
      <c r="G447" s="2021"/>
      <c r="H447" s="2021"/>
      <c r="I447" s="2021"/>
      <c r="J447" s="2021"/>
      <c r="K447" s="2021"/>
      <c r="L447" s="2021"/>
      <c r="M447" s="2021"/>
      <c r="N447" s="2021"/>
      <c r="O447" s="2021"/>
      <c r="P447" s="2021"/>
      <c r="Q447" s="2021"/>
      <c r="R447" s="2021"/>
      <c r="S447" s="2021"/>
      <c r="T447" s="2021"/>
      <c r="U447" s="2021"/>
      <c r="V447" s="2021"/>
      <c r="W447" s="2021"/>
      <c r="X447" s="2021"/>
      <c r="Y447" s="2021"/>
      <c r="Z447" s="2021"/>
      <c r="AA447" s="2021"/>
      <c r="AB447" s="2021"/>
      <c r="AC447" s="2021"/>
      <c r="AD447" s="2021"/>
      <c r="AE447" s="2021"/>
      <c r="AF447" s="573"/>
      <c r="AG447" s="570"/>
      <c r="AL447" s="766"/>
      <c r="AM447" s="604"/>
      <c r="AN447" s="569"/>
    </row>
    <row r="448" spans="1:40" s="584" customFormat="1" ht="12.75" customHeight="1">
      <c r="A448" s="570"/>
      <c r="B448" s="14"/>
      <c r="C448" s="765"/>
      <c r="D448" s="14"/>
      <c r="E448" s="725"/>
      <c r="F448" s="2021"/>
      <c r="G448" s="2021"/>
      <c r="H448" s="2021"/>
      <c r="I448" s="2021"/>
      <c r="J448" s="2021"/>
      <c r="K448" s="2021"/>
      <c r="L448" s="2021"/>
      <c r="M448" s="2021"/>
      <c r="N448" s="2021"/>
      <c r="O448" s="2021"/>
      <c r="P448" s="2021"/>
      <c r="Q448" s="2021"/>
      <c r="R448" s="2021"/>
      <c r="S448" s="2021"/>
      <c r="T448" s="2021"/>
      <c r="U448" s="2021"/>
      <c r="V448" s="2021"/>
      <c r="W448" s="2021"/>
      <c r="X448" s="2021"/>
      <c r="Y448" s="2021"/>
      <c r="Z448" s="2021"/>
      <c r="AA448" s="2021"/>
      <c r="AB448" s="2021"/>
      <c r="AC448" s="2021"/>
      <c r="AD448" s="2021"/>
      <c r="AE448" s="2021"/>
      <c r="AF448" s="573"/>
      <c r="AG448" s="570"/>
      <c r="AL448" s="766"/>
      <c r="AM448" s="604"/>
      <c r="AN448" s="569"/>
    </row>
    <row r="449" spans="1:48" s="584" customFormat="1" ht="12.75" customHeight="1">
      <c r="A449" s="570"/>
      <c r="B449" s="14"/>
      <c r="C449" s="790"/>
      <c r="D449" s="757"/>
      <c r="E449" s="758"/>
      <c r="F449" s="2040"/>
      <c r="G449" s="2040"/>
      <c r="H449" s="2040"/>
      <c r="I449" s="2040"/>
      <c r="J449" s="2040"/>
      <c r="K449" s="2040"/>
      <c r="L449" s="2040"/>
      <c r="M449" s="2040"/>
      <c r="N449" s="2040"/>
      <c r="O449" s="2040"/>
      <c r="P449" s="2040"/>
      <c r="Q449" s="2040"/>
      <c r="R449" s="2040"/>
      <c r="S449" s="2040"/>
      <c r="T449" s="2040"/>
      <c r="U449" s="2040"/>
      <c r="V449" s="2040"/>
      <c r="W449" s="2040"/>
      <c r="X449" s="2040"/>
      <c r="Y449" s="2040"/>
      <c r="Z449" s="2040"/>
      <c r="AA449" s="2040"/>
      <c r="AB449" s="2040"/>
      <c r="AC449" s="2040"/>
      <c r="AD449" s="2040"/>
      <c r="AE449" s="204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20" t="s">
        <v>1620</v>
      </c>
      <c r="G451" s="2020"/>
      <c r="H451" s="2020"/>
      <c r="I451" s="2020"/>
      <c r="J451" s="2020"/>
      <c r="K451" s="2020"/>
      <c r="L451" s="2020"/>
      <c r="M451" s="2020"/>
      <c r="N451" s="2020"/>
      <c r="O451" s="2020"/>
      <c r="P451" s="2020"/>
      <c r="Q451" s="2020"/>
      <c r="R451" s="2020"/>
      <c r="S451" s="2020"/>
      <c r="T451" s="2020"/>
      <c r="U451" s="2020"/>
      <c r="V451" s="2020"/>
      <c r="W451" s="2020"/>
      <c r="X451" s="2020"/>
      <c r="Y451" s="2020"/>
      <c r="Z451" s="2020"/>
      <c r="AA451" s="2020"/>
      <c r="AB451" s="2020"/>
      <c r="AC451" s="2020"/>
      <c r="AD451" s="2020"/>
      <c r="AE451" s="2020"/>
      <c r="AF451" s="2020"/>
      <c r="AG451" s="778"/>
      <c r="AH451" s="748"/>
      <c r="AI451" s="748"/>
      <c r="AJ451" s="748"/>
      <c r="AK451" s="748"/>
      <c r="AL451" s="779"/>
      <c r="AM451" s="604"/>
      <c r="AN451" s="631"/>
    </row>
    <row r="452" spans="1:48" s="584" customFormat="1" ht="12.75" customHeight="1">
      <c r="A452" s="570"/>
      <c r="B452" s="14"/>
      <c r="C452" s="765"/>
      <c r="D452" s="14"/>
      <c r="E452" s="725"/>
      <c r="F452" s="2021"/>
      <c r="G452" s="2021"/>
      <c r="H452" s="2021"/>
      <c r="I452" s="2021"/>
      <c r="J452" s="2021"/>
      <c r="K452" s="2021"/>
      <c r="L452" s="2021"/>
      <c r="M452" s="2021"/>
      <c r="N452" s="2021"/>
      <c r="O452" s="2021"/>
      <c r="P452" s="2021"/>
      <c r="Q452" s="2021"/>
      <c r="R452" s="2021"/>
      <c r="S452" s="2021"/>
      <c r="T452" s="2021"/>
      <c r="U452" s="2021"/>
      <c r="V452" s="2021"/>
      <c r="W452" s="2021"/>
      <c r="X452" s="2021"/>
      <c r="Y452" s="2021"/>
      <c r="Z452" s="2021"/>
      <c r="AA452" s="2021"/>
      <c r="AB452" s="2021"/>
      <c r="AC452" s="2021"/>
      <c r="AD452" s="2021"/>
      <c r="AE452" s="2021"/>
      <c r="AF452" s="2021"/>
      <c r="AL452" s="766"/>
      <c r="AM452" s="604"/>
      <c r="AN452" s="631"/>
    </row>
    <row r="453" spans="1:48" s="584" customFormat="1" ht="12.75" customHeight="1">
      <c r="A453" s="570"/>
      <c r="B453" s="14"/>
      <c r="C453" s="773"/>
      <c r="F453" s="2021"/>
      <c r="G453" s="2021"/>
      <c r="H453" s="2021"/>
      <c r="I453" s="2021"/>
      <c r="J453" s="2021"/>
      <c r="K453" s="2021"/>
      <c r="L453" s="2021"/>
      <c r="M453" s="2021"/>
      <c r="N453" s="2021"/>
      <c r="O453" s="2021"/>
      <c r="P453" s="2021"/>
      <c r="Q453" s="2021"/>
      <c r="R453" s="2021"/>
      <c r="S453" s="2021"/>
      <c r="T453" s="2021"/>
      <c r="U453" s="2021"/>
      <c r="V453" s="2021"/>
      <c r="W453" s="2021"/>
      <c r="X453" s="2021"/>
      <c r="Y453" s="2021"/>
      <c r="Z453" s="2021"/>
      <c r="AA453" s="2021"/>
      <c r="AB453" s="2021"/>
      <c r="AC453" s="2021"/>
      <c r="AD453" s="2021"/>
      <c r="AE453" s="2021"/>
      <c r="AF453" s="2021"/>
      <c r="AL453" s="766"/>
      <c r="AM453" s="604"/>
      <c r="AN453" s="631"/>
    </row>
    <row r="454" spans="1:48" s="584" customFormat="1" ht="12.75" customHeight="1">
      <c r="A454" s="570"/>
      <c r="B454" s="14"/>
      <c r="C454" s="773"/>
      <c r="F454" s="2021"/>
      <c r="G454" s="2021"/>
      <c r="H454" s="2021"/>
      <c r="I454" s="2021"/>
      <c r="J454" s="2021"/>
      <c r="K454" s="2021"/>
      <c r="L454" s="2021"/>
      <c r="M454" s="2021"/>
      <c r="N454" s="2021"/>
      <c r="O454" s="2021"/>
      <c r="P454" s="2021"/>
      <c r="Q454" s="2021"/>
      <c r="R454" s="2021"/>
      <c r="S454" s="2021"/>
      <c r="T454" s="2021"/>
      <c r="U454" s="2021"/>
      <c r="V454" s="2021"/>
      <c r="W454" s="2021"/>
      <c r="X454" s="2021"/>
      <c r="Y454" s="2021"/>
      <c r="Z454" s="2021"/>
      <c r="AA454" s="2021"/>
      <c r="AB454" s="2021"/>
      <c r="AC454" s="2021"/>
      <c r="AD454" s="2021"/>
      <c r="AE454" s="2021"/>
      <c r="AF454" s="2021"/>
      <c r="AL454" s="766"/>
      <c r="AM454" s="604"/>
      <c r="AN454" s="631"/>
    </row>
    <row r="455" spans="1:48" s="584" customFormat="1" ht="12.75" customHeight="1">
      <c r="A455" s="570"/>
      <c r="B455" s="14"/>
      <c r="C455" s="2017" t="s">
        <v>600</v>
      </c>
      <c r="D455" s="1974"/>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8" t="s">
        <v>1575</v>
      </c>
      <c r="AG455" s="2018"/>
      <c r="AH455" s="2018"/>
      <c r="AI455" s="2018"/>
      <c r="AJ455" s="2018"/>
      <c r="AK455" s="2018"/>
      <c r="AL455" s="201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7">
        <f>IF(Application!D214="N/A",AS347,AS349)</f>
        <v>10</v>
      </c>
      <c r="AL458" s="1978"/>
      <c r="AM458" s="197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8" t="s">
        <v>1624</v>
      </c>
      <c r="AF461" s="2018"/>
      <c r="AG461" s="2018"/>
      <c r="AH461" s="2018"/>
      <c r="AI461" s="2018"/>
      <c r="AJ461" s="2018"/>
      <c r="AK461" s="2018"/>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43" t="s">
        <v>600</v>
      </c>
      <c r="D467" s="2044"/>
      <c r="E467" s="795" t="s">
        <v>516</v>
      </c>
      <c r="F467" s="2045" t="s">
        <v>1630</v>
      </c>
      <c r="G467" s="2045"/>
      <c r="H467" s="2045"/>
      <c r="I467" s="2045"/>
      <c r="J467" s="2045"/>
      <c r="K467" s="2045"/>
      <c r="L467" s="2045"/>
      <c r="M467" s="2045"/>
      <c r="N467" s="2045"/>
      <c r="O467" s="2045"/>
      <c r="P467" s="2045"/>
      <c r="Q467" s="2045"/>
      <c r="R467" s="2045"/>
      <c r="S467" s="2045"/>
      <c r="T467" s="2045"/>
      <c r="U467" s="2045"/>
      <c r="V467" s="2045"/>
      <c r="W467" s="2045"/>
      <c r="X467" s="2045"/>
      <c r="Y467" s="2045"/>
      <c r="Z467" s="2045"/>
      <c r="AA467" s="2045"/>
      <c r="AB467" s="2045"/>
      <c r="AC467" s="2045"/>
      <c r="AD467" s="2045"/>
      <c r="AE467" s="2045"/>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6"/>
      <c r="G468" s="2046"/>
      <c r="H468" s="2046"/>
      <c r="I468" s="2046"/>
      <c r="J468" s="2046"/>
      <c r="K468" s="2046"/>
      <c r="L468" s="2046"/>
      <c r="M468" s="2046"/>
      <c r="N468" s="2046"/>
      <c r="O468" s="2046"/>
      <c r="P468" s="2046"/>
      <c r="Q468" s="2046"/>
      <c r="R468" s="2046"/>
      <c r="S468" s="2046"/>
      <c r="T468" s="2046"/>
      <c r="U468" s="2046"/>
      <c r="V468" s="2046"/>
      <c r="W468" s="2046"/>
      <c r="X468" s="2046"/>
      <c r="Y468" s="2046"/>
      <c r="Z468" s="2046"/>
      <c r="AA468" s="2046"/>
      <c r="AB468" s="2046"/>
      <c r="AC468" s="2046"/>
      <c r="AD468" s="2046"/>
      <c r="AE468" s="2046"/>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7" t="s">
        <v>600</v>
      </c>
      <c r="G469" s="2047"/>
      <c r="H469" s="2047"/>
      <c r="I469" s="2047"/>
      <c r="J469" s="2047"/>
      <c r="K469" s="2047"/>
      <c r="L469" s="2047"/>
      <c r="M469" s="2047"/>
      <c r="N469" s="2047"/>
      <c r="O469" s="2047"/>
      <c r="P469" s="2047"/>
      <c r="Q469" s="2047"/>
      <c r="R469" s="2047"/>
      <c r="S469" s="2047"/>
      <c r="T469" s="2047"/>
      <c r="U469" s="2047"/>
      <c r="V469" s="2047"/>
      <c r="W469" s="2047"/>
      <c r="X469" s="2047"/>
      <c r="Y469" s="2047"/>
      <c r="Z469" s="2047"/>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8" t="s">
        <v>554</v>
      </c>
      <c r="D471" s="2049"/>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55" t="s">
        <v>600</v>
      </c>
      <c r="W474" s="2055"/>
      <c r="X474" s="2055"/>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55" t="s">
        <v>600</v>
      </c>
      <c r="W476" s="2055"/>
      <c r="X476" s="2055"/>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55" t="s">
        <v>600</v>
      </c>
      <c r="W481" s="2055"/>
      <c r="X481" s="2055"/>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54"/>
      <c r="E484" s="2054"/>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55" t="s">
        <v>600</v>
      </c>
      <c r="W485" s="2055"/>
      <c r="X485" s="2055"/>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55" t="s">
        <v>600</v>
      </c>
      <c r="W487" s="2055"/>
      <c r="X487" s="2055"/>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3" t="s">
        <v>600</v>
      </c>
      <c r="D490" s="2044"/>
      <c r="E490" s="795" t="s">
        <v>516</v>
      </c>
      <c r="F490" s="2045" t="s">
        <v>1630</v>
      </c>
      <c r="G490" s="2045"/>
      <c r="H490" s="2045"/>
      <c r="I490" s="2045"/>
      <c r="J490" s="2045"/>
      <c r="K490" s="2045"/>
      <c r="L490" s="2045"/>
      <c r="M490" s="2045"/>
      <c r="N490" s="2045"/>
      <c r="O490" s="2045"/>
      <c r="P490" s="2045"/>
      <c r="Q490" s="2045"/>
      <c r="R490" s="2045"/>
      <c r="S490" s="2045"/>
      <c r="T490" s="2045"/>
      <c r="U490" s="2045"/>
      <c r="V490" s="2045"/>
      <c r="W490" s="2045"/>
      <c r="X490" s="2045"/>
      <c r="Y490" s="2045"/>
      <c r="Z490" s="2045"/>
      <c r="AA490" s="2045"/>
      <c r="AB490" s="2045"/>
      <c r="AC490" s="2045"/>
      <c r="AD490" s="2045"/>
      <c r="AE490" s="204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6"/>
      <c r="G491" s="2046"/>
      <c r="H491" s="2046"/>
      <c r="I491" s="2046"/>
      <c r="J491" s="2046"/>
      <c r="K491" s="2046"/>
      <c r="L491" s="2046"/>
      <c r="M491" s="2046"/>
      <c r="N491" s="2046"/>
      <c r="O491" s="2046"/>
      <c r="P491" s="2046"/>
      <c r="Q491" s="2046"/>
      <c r="R491" s="2046"/>
      <c r="S491" s="2046"/>
      <c r="T491" s="2046"/>
      <c r="U491" s="2046"/>
      <c r="V491" s="2046"/>
      <c r="W491" s="2046"/>
      <c r="X491" s="2046"/>
      <c r="Y491" s="2046"/>
      <c r="Z491" s="2046"/>
      <c r="AA491" s="2046"/>
      <c r="AB491" s="2046"/>
      <c r="AC491" s="2046"/>
      <c r="AD491" s="2046"/>
      <c r="AE491" s="204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50" t="s">
        <v>600</v>
      </c>
      <c r="G492" s="2050"/>
      <c r="H492" s="2050"/>
      <c r="I492" s="2050"/>
      <c r="J492" s="2050"/>
      <c r="K492" s="2050"/>
      <c r="L492" s="2050"/>
      <c r="M492" s="2050"/>
      <c r="N492" s="2050"/>
      <c r="O492" s="2050"/>
      <c r="P492" s="2050"/>
      <c r="Q492" s="2050"/>
      <c r="R492" s="2050"/>
      <c r="S492" s="2050"/>
      <c r="T492" s="2050"/>
      <c r="U492" s="2050"/>
      <c r="V492" s="2050"/>
      <c r="W492" s="2050"/>
      <c r="X492" s="2050"/>
      <c r="Y492" s="2050"/>
      <c r="Z492" s="2050"/>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3" t="s">
        <v>600</v>
      </c>
      <c r="D494" s="2044"/>
      <c r="E494" s="795" t="s">
        <v>767</v>
      </c>
      <c r="F494" s="2051" t="s">
        <v>1652</v>
      </c>
      <c r="G494" s="2051"/>
      <c r="H494" s="2051"/>
      <c r="I494" s="2051"/>
      <c r="J494" s="2051"/>
      <c r="K494" s="2051"/>
      <c r="L494" s="2051"/>
      <c r="M494" s="2051"/>
      <c r="N494" s="2051"/>
      <c r="O494" s="2051"/>
      <c r="P494" s="2051"/>
      <c r="Q494" s="2051"/>
      <c r="R494" s="2051"/>
      <c r="S494" s="2051"/>
      <c r="T494" s="2051"/>
      <c r="U494" s="2051"/>
      <c r="V494" s="2051"/>
      <c r="W494" s="2051"/>
      <c r="X494" s="2051"/>
      <c r="Y494" s="2051"/>
      <c r="Z494" s="2051"/>
      <c r="AA494" s="2051"/>
      <c r="AB494" s="2051"/>
      <c r="AC494" s="2051"/>
      <c r="AD494" s="2051"/>
      <c r="AE494" s="205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52"/>
      <c r="G495" s="2052"/>
      <c r="H495" s="2052"/>
      <c r="I495" s="2052"/>
      <c r="J495" s="2052"/>
      <c r="K495" s="2052"/>
      <c r="L495" s="2052"/>
      <c r="M495" s="2052"/>
      <c r="N495" s="2052"/>
      <c r="O495" s="2052"/>
      <c r="P495" s="2052"/>
      <c r="Q495" s="2052"/>
      <c r="R495" s="2052"/>
      <c r="S495" s="2052"/>
      <c r="T495" s="2052"/>
      <c r="U495" s="2052"/>
      <c r="V495" s="2052"/>
      <c r="W495" s="2052"/>
      <c r="X495" s="2052"/>
      <c r="Y495" s="2052"/>
      <c r="Z495" s="2052"/>
      <c r="AA495" s="2052"/>
      <c r="AB495" s="2052"/>
      <c r="AC495" s="2052"/>
      <c r="AD495" s="2052"/>
      <c r="AE495" s="205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3" t="s">
        <v>600</v>
      </c>
      <c r="G497" s="2053"/>
      <c r="H497" s="205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3" t="s">
        <v>600</v>
      </c>
      <c r="D499" s="2044"/>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6"/>
      <c r="D501" s="2054"/>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7" t="s">
        <v>600</v>
      </c>
      <c r="H502" s="2067"/>
      <c r="I502" s="2067"/>
      <c r="J502" s="2067"/>
      <c r="K502" s="2067"/>
      <c r="L502" s="2067"/>
      <c r="M502" s="2067"/>
      <c r="N502" s="2067"/>
      <c r="O502" s="2067"/>
      <c r="P502" s="2067"/>
      <c r="Q502" s="2067"/>
      <c r="R502" s="2067"/>
      <c r="S502" s="2067"/>
      <c r="T502" s="2067"/>
      <c r="U502" s="2067"/>
      <c r="V502" s="2067"/>
      <c r="W502" s="2067"/>
      <c r="X502" s="2067"/>
      <c r="Y502" s="2067"/>
      <c r="Z502" s="2067"/>
      <c r="AA502" s="2067"/>
      <c r="AB502" s="2067"/>
      <c r="AC502" s="2067"/>
      <c r="AD502" s="2067"/>
      <c r="AE502" s="2067"/>
      <c r="AF502" s="206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8" t="s">
        <v>600</v>
      </c>
      <c r="D504" s="2069"/>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8" t="s">
        <v>600</v>
      </c>
      <c r="D508" s="2069"/>
      <c r="F508" s="829" t="s">
        <v>1660</v>
      </c>
      <c r="G508" s="2021" t="s">
        <v>1661</v>
      </c>
      <c r="H508" s="2021"/>
      <c r="I508" s="2021"/>
      <c r="J508" s="2021"/>
      <c r="K508" s="2021"/>
      <c r="L508" s="2021"/>
      <c r="M508" s="2021"/>
      <c r="N508" s="2021"/>
      <c r="O508" s="2021"/>
      <c r="P508" s="2021"/>
      <c r="Q508" s="2021"/>
      <c r="R508" s="2021"/>
      <c r="S508" s="2021"/>
      <c r="T508" s="2021"/>
      <c r="U508" s="2021"/>
      <c r="V508" s="2021"/>
      <c r="W508" s="2021"/>
      <c r="X508" s="2021"/>
      <c r="Y508" s="2021"/>
      <c r="Z508" s="2021"/>
      <c r="AA508" s="2021"/>
      <c r="AB508" s="2021"/>
      <c r="AC508" s="2021"/>
      <c r="AD508" s="2021"/>
      <c r="AE508" s="2021"/>
      <c r="AF508" s="2021"/>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40"/>
      <c r="H509" s="2040"/>
      <c r="I509" s="2040"/>
      <c r="J509" s="2040"/>
      <c r="K509" s="2040"/>
      <c r="L509" s="2040"/>
      <c r="M509" s="2040"/>
      <c r="N509" s="2040"/>
      <c r="O509" s="2040"/>
      <c r="P509" s="2040"/>
      <c r="Q509" s="2040"/>
      <c r="R509" s="2040"/>
      <c r="S509" s="2040"/>
      <c r="T509" s="2040"/>
      <c r="U509" s="2040"/>
      <c r="V509" s="2040"/>
      <c r="W509" s="2040"/>
      <c r="X509" s="2040"/>
      <c r="Y509" s="2040"/>
      <c r="Z509" s="2040"/>
      <c r="AA509" s="2040"/>
      <c r="AB509" s="2040"/>
      <c r="AC509" s="2040"/>
      <c r="AD509" s="2040"/>
      <c r="AE509" s="2040"/>
      <c r="AF509" s="204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6" t="s">
        <v>600</v>
      </c>
      <c r="D512" s="2057"/>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8" t="s">
        <v>600</v>
      </c>
      <c r="G513" s="2058"/>
      <c r="H513" s="2058"/>
      <c r="I513" s="2058"/>
      <c r="J513" s="2058"/>
      <c r="K513" s="2058"/>
      <c r="L513" s="2058"/>
      <c r="M513" s="2058"/>
      <c r="N513" s="2058"/>
      <c r="O513" s="2058"/>
      <c r="P513" s="2058"/>
      <c r="Q513" s="2058"/>
      <c r="R513" s="2058"/>
      <c r="S513" s="2058"/>
      <c r="T513" s="2058"/>
      <c r="U513" s="2058"/>
      <c r="V513" s="2058"/>
      <c r="W513" s="2058"/>
      <c r="X513" s="2058"/>
      <c r="Y513" s="2058"/>
      <c r="Z513" s="2058"/>
      <c r="AA513" s="2058"/>
      <c r="AB513" s="2058"/>
      <c r="AC513" s="2058"/>
      <c r="AD513" s="2058"/>
      <c r="AE513" s="2058"/>
      <c r="AF513" s="205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9"/>
      <c r="G514" s="2059"/>
      <c r="H514" s="2059"/>
      <c r="I514" s="2059"/>
      <c r="J514" s="2059"/>
      <c r="K514" s="2059"/>
      <c r="L514" s="2059"/>
      <c r="M514" s="2059"/>
      <c r="N514" s="2059"/>
      <c r="O514" s="2059"/>
      <c r="P514" s="2059"/>
      <c r="Q514" s="2059"/>
      <c r="R514" s="2059"/>
      <c r="S514" s="2059"/>
      <c r="T514" s="2059"/>
      <c r="U514" s="2059"/>
      <c r="V514" s="2059"/>
      <c r="W514" s="2059"/>
      <c r="X514" s="2059"/>
      <c r="Y514" s="2059"/>
      <c r="Z514" s="2059"/>
      <c r="AA514" s="2059"/>
      <c r="AB514" s="2059"/>
      <c r="AC514" s="2059"/>
      <c r="AD514" s="2059"/>
      <c r="AE514" s="2059"/>
      <c r="AF514" s="205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7">
        <f>SUM(AG468:AG513)</f>
        <v>0</v>
      </c>
      <c r="AL524" s="1978"/>
      <c r="AM524" s="197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2" t="s">
        <v>1673</v>
      </c>
      <c r="AF527" s="1912"/>
      <c r="AG527" s="1912"/>
      <c r="AH527" s="1912"/>
      <c r="AI527" s="1912"/>
      <c r="AJ527" s="1912"/>
      <c r="AK527" s="1912"/>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4" t="s">
        <v>554</v>
      </c>
      <c r="D530" s="1974"/>
      <c r="E530" s="585"/>
      <c r="F530" s="2060" t="s">
        <v>1674</v>
      </c>
      <c r="G530" s="2061"/>
      <c r="H530" s="2061"/>
      <c r="I530" s="2061"/>
      <c r="J530" s="2061"/>
      <c r="K530" s="2061"/>
      <c r="L530" s="2061"/>
      <c r="M530" s="2061"/>
      <c r="N530" s="2061"/>
      <c r="O530" s="2061"/>
      <c r="P530" s="2061"/>
      <c r="Q530" s="2061"/>
      <c r="R530" s="2061"/>
      <c r="S530" s="2061"/>
      <c r="T530" s="2061"/>
      <c r="U530" s="2061"/>
      <c r="V530" s="2061"/>
      <c r="W530" s="2061"/>
      <c r="X530" s="2061"/>
      <c r="Y530" s="2061"/>
      <c r="Z530" s="2061"/>
      <c r="AA530" s="2061"/>
      <c r="AB530" s="2061"/>
      <c r="AC530" s="2061"/>
      <c r="AD530" s="2061"/>
      <c r="AE530" s="2061"/>
      <c r="AF530" s="2061"/>
      <c r="AG530" s="2061"/>
      <c r="AH530" s="2061"/>
      <c r="AI530" s="2061"/>
      <c r="AJ530" s="2061"/>
      <c r="AK530" s="2061"/>
      <c r="AL530" s="2062"/>
      <c r="AM530" s="629"/>
      <c r="AN530" s="631"/>
    </row>
    <row r="531" spans="1:49" s="584" customFormat="1" ht="12.75" customHeight="1">
      <c r="A531" s="573"/>
      <c r="B531" s="573"/>
      <c r="C531" s="585"/>
      <c r="D531" s="585"/>
      <c r="E531" s="585"/>
      <c r="F531" s="2063"/>
      <c r="G531" s="2064"/>
      <c r="H531" s="2064"/>
      <c r="I531" s="2064"/>
      <c r="J531" s="2064"/>
      <c r="K531" s="2064"/>
      <c r="L531" s="2064"/>
      <c r="M531" s="2064"/>
      <c r="N531" s="2064"/>
      <c r="O531" s="2064"/>
      <c r="P531" s="2064"/>
      <c r="Q531" s="2064"/>
      <c r="R531" s="2064"/>
      <c r="S531" s="2064"/>
      <c r="T531" s="2064"/>
      <c r="U531" s="2064"/>
      <c r="V531" s="2064"/>
      <c r="W531" s="2064"/>
      <c r="X531" s="2064"/>
      <c r="Y531" s="2064"/>
      <c r="Z531" s="2064"/>
      <c r="AA531" s="2064"/>
      <c r="AB531" s="2064"/>
      <c r="AC531" s="2064"/>
      <c r="AD531" s="2064"/>
      <c r="AE531" s="2064"/>
      <c r="AF531" s="2064"/>
      <c r="AG531" s="2064"/>
      <c r="AH531" s="2064"/>
      <c r="AI531" s="2064"/>
      <c r="AJ531" s="2064"/>
      <c r="AK531" s="2064"/>
      <c r="AL531" s="206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4" t="s">
        <v>600</v>
      </c>
      <c r="D533" s="1974"/>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6" t="s">
        <v>1676</v>
      </c>
      <c r="G534" s="1997"/>
      <c r="H534" s="1997"/>
      <c r="I534" s="1997"/>
      <c r="J534" s="1997"/>
      <c r="K534" s="1997"/>
      <c r="L534" s="1997"/>
      <c r="M534" s="1997"/>
      <c r="N534" s="1997"/>
      <c r="O534" s="1997"/>
      <c r="P534" s="1997"/>
      <c r="Q534" s="1997"/>
      <c r="R534" s="1997"/>
      <c r="S534" s="1997"/>
      <c r="T534" s="1997"/>
      <c r="U534" s="1997"/>
      <c r="V534" s="1997"/>
      <c r="W534" s="1997"/>
      <c r="X534" s="1997"/>
      <c r="Y534" s="1997"/>
      <c r="Z534" s="1997"/>
      <c r="AA534" s="1997"/>
      <c r="AB534" s="1997"/>
      <c r="AC534" s="1997"/>
      <c r="AD534" s="1997"/>
      <c r="AE534" s="1997"/>
      <c r="AF534" s="1997"/>
      <c r="AG534" s="1997"/>
      <c r="AH534" s="1997"/>
      <c r="AI534" s="1997"/>
      <c r="AJ534" s="1997"/>
      <c r="AK534" s="1997"/>
      <c r="AL534" s="1998"/>
      <c r="AM534" s="629"/>
      <c r="AN534" s="631"/>
      <c r="AS534" s="904"/>
      <c r="AT534" s="904"/>
      <c r="AU534" s="904"/>
      <c r="AV534" s="904"/>
      <c r="AW534" s="904"/>
    </row>
    <row r="535" spans="1:49" s="584" customFormat="1" ht="12.75" customHeight="1">
      <c r="B535" s="840"/>
      <c r="C535" s="840"/>
      <c r="D535" s="840"/>
      <c r="E535" s="840"/>
      <c r="F535" s="1996"/>
      <c r="G535" s="1997"/>
      <c r="H535" s="1997"/>
      <c r="I535" s="1997"/>
      <c r="J535" s="1997"/>
      <c r="K535" s="1997"/>
      <c r="L535" s="1997"/>
      <c r="M535" s="1997"/>
      <c r="N535" s="1997"/>
      <c r="O535" s="1997"/>
      <c r="P535" s="1997"/>
      <c r="Q535" s="1997"/>
      <c r="R535" s="1997"/>
      <c r="S535" s="1997"/>
      <c r="T535" s="1997"/>
      <c r="U535" s="1997"/>
      <c r="V535" s="1997"/>
      <c r="W535" s="1997"/>
      <c r="X535" s="1997"/>
      <c r="Y535" s="1997"/>
      <c r="Z535" s="1997"/>
      <c r="AA535" s="1997"/>
      <c r="AB535" s="1997"/>
      <c r="AC535" s="1997"/>
      <c r="AD535" s="1997"/>
      <c r="AE535" s="1997"/>
      <c r="AF535" s="1997"/>
      <c r="AG535" s="1997"/>
      <c r="AH535" s="1997"/>
      <c r="AI535" s="1997"/>
      <c r="AJ535" s="1997"/>
      <c r="AK535" s="1997"/>
      <c r="AL535" s="1998"/>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6" t="s">
        <v>1677</v>
      </c>
      <c r="G537" s="1997"/>
      <c r="H537" s="1997"/>
      <c r="I537" s="1997"/>
      <c r="J537" s="1997"/>
      <c r="K537" s="1997"/>
      <c r="L537" s="1997"/>
      <c r="M537" s="1997"/>
      <c r="N537" s="1997"/>
      <c r="O537" s="1997"/>
      <c r="P537" s="1997"/>
      <c r="Q537" s="1997"/>
      <c r="R537" s="1997"/>
      <c r="S537" s="1997"/>
      <c r="T537" s="1997"/>
      <c r="U537" s="1997"/>
      <c r="V537" s="1997"/>
      <c r="W537" s="1997"/>
      <c r="X537" s="1997"/>
      <c r="Y537" s="1997"/>
      <c r="Z537" s="1997"/>
      <c r="AA537" s="1997"/>
      <c r="AB537" s="1997"/>
      <c r="AC537" s="1997"/>
      <c r="AD537" s="1997"/>
      <c r="AE537" s="1997"/>
      <c r="AF537" s="1997"/>
      <c r="AG537" s="1997"/>
      <c r="AH537" s="1997"/>
      <c r="AI537" s="1997"/>
      <c r="AJ537" s="1997"/>
      <c r="AK537" s="1997"/>
      <c r="AL537" s="847"/>
      <c r="AM537" s="629"/>
      <c r="AN537" s="631"/>
    </row>
    <row r="538" spans="1:49" s="584" customFormat="1" ht="12.75" customHeight="1">
      <c r="B538" s="840"/>
      <c r="C538" s="840"/>
      <c r="D538" s="840"/>
      <c r="E538" s="840"/>
      <c r="F538" s="1999"/>
      <c r="G538" s="2000"/>
      <c r="H538" s="2000"/>
      <c r="I538" s="2000"/>
      <c r="J538" s="2000"/>
      <c r="K538" s="2000"/>
      <c r="L538" s="2000"/>
      <c r="M538" s="2000"/>
      <c r="N538" s="2000"/>
      <c r="O538" s="2000"/>
      <c r="P538" s="2000"/>
      <c r="Q538" s="2000"/>
      <c r="R538" s="2000"/>
      <c r="S538" s="2000"/>
      <c r="T538" s="2000"/>
      <c r="U538" s="2000"/>
      <c r="V538" s="2000"/>
      <c r="W538" s="2000"/>
      <c r="X538" s="2000"/>
      <c r="Y538" s="2000"/>
      <c r="Z538" s="2000"/>
      <c r="AA538" s="2000"/>
      <c r="AB538" s="2000"/>
      <c r="AC538" s="2000"/>
      <c r="AD538" s="2000"/>
      <c r="AE538" s="2000"/>
      <c r="AF538" s="2000"/>
      <c r="AG538" s="2000"/>
      <c r="AH538" s="2000"/>
      <c r="AI538" s="2000"/>
      <c r="AJ538" s="2000"/>
      <c r="AK538" s="200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4">
        <f>Application!AJ991</f>
        <v>108276800</v>
      </c>
      <c r="AQ539" s="2124"/>
      <c r="AR539" s="2124"/>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80">
        <f>'Sources and Uses Budget'!S107+'Sources and Uses Budget'!T107</f>
        <v>95719428</v>
      </c>
      <c r="AG540" s="1980"/>
      <c r="AH540" s="1980"/>
      <c r="AI540" s="1980"/>
      <c r="AJ540" s="1980"/>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9">
        <f>IFERROR(AP548,0)</f>
        <v>194898240</v>
      </c>
      <c r="AG541" s="2129"/>
      <c r="AH541" s="2129"/>
      <c r="AI541" s="2129"/>
      <c r="AJ541" s="2129"/>
      <c r="AK541" s="629"/>
      <c r="AL541" s="629"/>
      <c r="AM541" s="629"/>
      <c r="AN541" s="631"/>
      <c r="AP541" s="2124">
        <f>Application!AJ1044</f>
        <v>100697424</v>
      </c>
      <c r="AQ541" s="2124"/>
      <c r="AR541" s="2124"/>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30">
        <f>IFERROR(ROUNDDOWN(IF(C533="YES",((1-(AF540/AF541))*2),(1-(AF540/AF541))),2),0)</f>
        <v>0.5</v>
      </c>
      <c r="AG542" s="2130"/>
      <c r="AH542" s="2130"/>
      <c r="AI542" s="2130"/>
      <c r="AJ542" s="2130"/>
      <c r="AK542" s="629"/>
      <c r="AL542" s="629"/>
      <c r="AM542" s="629"/>
      <c r="AN542" s="631"/>
      <c r="AP542" s="2127">
        <f>Application!AJ1048</f>
        <v>10827680</v>
      </c>
      <c r="AQ542" s="2127"/>
      <c r="AR542" s="2127"/>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3">
        <f>IF(((AP541+AP542)/AP539)&gt;0.8,0.8,((AP541+AP542)/AP539))</f>
        <v>0.8</v>
      </c>
      <c r="AQ543" s="2123"/>
      <c r="AR543" s="2123"/>
      <c r="AS543" s="584" t="s">
        <v>2537</v>
      </c>
    </row>
    <row r="544" spans="1:49" s="584" customFormat="1" ht="12.75" customHeight="1">
      <c r="A544" s="658"/>
      <c r="B544" s="2076" t="s">
        <v>2347</v>
      </c>
      <c r="C544" s="2077"/>
      <c r="D544" s="2077"/>
      <c r="E544" s="2077"/>
      <c r="F544" s="2077"/>
      <c r="G544" s="2077"/>
      <c r="H544" s="2077"/>
      <c r="I544" s="2077"/>
      <c r="J544" s="2077"/>
      <c r="K544" s="2077"/>
      <c r="L544" s="2077"/>
      <c r="M544" s="2077"/>
      <c r="N544" s="2077"/>
      <c r="O544" s="2077"/>
      <c r="P544" s="2077"/>
      <c r="Q544" s="2077"/>
      <c r="R544" s="2077"/>
      <c r="S544" s="2077"/>
      <c r="T544" s="2077"/>
      <c r="U544" s="2077"/>
      <c r="V544" s="2077"/>
      <c r="W544" s="2077"/>
      <c r="X544" s="2077"/>
      <c r="Y544" s="2077"/>
      <c r="Z544" s="2077"/>
      <c r="AA544" s="2077"/>
      <c r="AB544" s="2077"/>
      <c r="AC544" s="2077"/>
      <c r="AD544" s="2077"/>
      <c r="AE544" s="2077"/>
      <c r="AF544" s="2077"/>
      <c r="AG544" s="2077"/>
      <c r="AH544" s="2077"/>
      <c r="AI544" s="2077"/>
      <c r="AJ544" s="2078"/>
      <c r="AK544" s="629"/>
      <c r="AL544" s="629"/>
      <c r="AM544" s="629"/>
      <c r="AN544" s="631"/>
    </row>
    <row r="545" spans="1:45" s="584" customFormat="1" ht="12.75" customHeight="1">
      <c r="A545" s="658"/>
      <c r="B545" s="2079"/>
      <c r="C545" s="2080"/>
      <c r="D545" s="2080"/>
      <c r="E545" s="2080"/>
      <c r="F545" s="2080"/>
      <c r="G545" s="2080"/>
      <c r="H545" s="2080"/>
      <c r="I545" s="2080"/>
      <c r="J545" s="2080"/>
      <c r="K545" s="2080"/>
      <c r="L545" s="2080"/>
      <c r="M545" s="2080"/>
      <c r="N545" s="2080"/>
      <c r="O545" s="2080"/>
      <c r="P545" s="2080"/>
      <c r="Q545" s="2080"/>
      <c r="R545" s="2080"/>
      <c r="S545" s="2080"/>
      <c r="T545" s="2080"/>
      <c r="U545" s="2080"/>
      <c r="V545" s="2080"/>
      <c r="W545" s="2080"/>
      <c r="X545" s="2080"/>
      <c r="Y545" s="2080"/>
      <c r="Z545" s="2080"/>
      <c r="AA545" s="2080"/>
      <c r="AB545" s="2080"/>
      <c r="AC545" s="2080"/>
      <c r="AD545" s="2080"/>
      <c r="AE545" s="2080"/>
      <c r="AF545" s="2080"/>
      <c r="AG545" s="2080"/>
      <c r="AH545" s="2080"/>
      <c r="AI545" s="2080"/>
      <c r="AJ545" s="2081"/>
      <c r="AK545" s="629"/>
      <c r="AL545" s="629"/>
      <c r="AM545" s="629"/>
      <c r="AN545" s="631"/>
      <c r="AP545" s="2124">
        <f>AP546-AP541-AP542</f>
        <v>108276800</v>
      </c>
      <c r="AQ545" s="2032"/>
      <c r="AR545" s="2032"/>
      <c r="AS545" s="584" t="s">
        <v>2539</v>
      </c>
    </row>
    <row r="546" spans="1:45" s="584" customFormat="1" ht="12.75" customHeight="1">
      <c r="A546" s="658"/>
      <c r="B546" s="2082"/>
      <c r="C546" s="2083"/>
      <c r="D546" s="2083"/>
      <c r="E546" s="2083"/>
      <c r="F546" s="2083"/>
      <c r="G546" s="2083"/>
      <c r="H546" s="2083"/>
      <c r="I546" s="2083"/>
      <c r="J546" s="2083"/>
      <c r="K546" s="2083"/>
      <c r="L546" s="2083"/>
      <c r="M546" s="2083"/>
      <c r="N546" s="2083"/>
      <c r="O546" s="2083"/>
      <c r="P546" s="2083"/>
      <c r="Q546" s="2083"/>
      <c r="R546" s="2083"/>
      <c r="S546" s="2083"/>
      <c r="T546" s="2083"/>
      <c r="U546" s="2083"/>
      <c r="V546" s="2083"/>
      <c r="W546" s="2083"/>
      <c r="X546" s="2083"/>
      <c r="Y546" s="2083"/>
      <c r="Z546" s="2083"/>
      <c r="AA546" s="2083"/>
      <c r="AB546" s="2083"/>
      <c r="AC546" s="2083"/>
      <c r="AD546" s="2083"/>
      <c r="AE546" s="2083"/>
      <c r="AF546" s="2083"/>
      <c r="AG546" s="2083"/>
      <c r="AH546" s="2083"/>
      <c r="AI546" s="2083"/>
      <c r="AJ546" s="2084"/>
      <c r="AK546" s="629"/>
      <c r="AL546" s="629"/>
      <c r="AM546" s="629"/>
      <c r="AN546" s="631"/>
      <c r="AP546" s="2124">
        <f>Application!AJ1052</f>
        <v>219801904</v>
      </c>
      <c r="AQ546" s="2124"/>
      <c r="AR546" s="2124"/>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85">
        <f>IFERROR(IF(AND(C530="N/A",C533="N/A"),0,IF(AF542=0,0,IF((AF542*100)&gt;12,12,(AF542*100)))),0)</f>
        <v>12</v>
      </c>
      <c r="AL548" s="2085"/>
      <c r="AM548" s="2086"/>
      <c r="AN548" s="631"/>
      <c r="AP548" s="2140">
        <f>AP545+(AP539*AP543)</f>
        <v>194898240</v>
      </c>
      <c r="AQ548" s="2141"/>
      <c r="AR548" s="214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2" t="s">
        <v>1426</v>
      </c>
      <c r="AF551" s="1912"/>
      <c r="AG551" s="1912"/>
      <c r="AH551" s="1912"/>
      <c r="AI551" s="1912"/>
      <c r="AJ551" s="1912"/>
      <c r="AK551" s="191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7" t="s">
        <v>2338</v>
      </c>
      <c r="C553" s="1997"/>
      <c r="D553" s="1997"/>
      <c r="E553" s="1997"/>
      <c r="F553" s="1997"/>
      <c r="G553" s="1997"/>
      <c r="H553" s="1997"/>
      <c r="I553" s="1997"/>
      <c r="J553" s="1997"/>
      <c r="K553" s="1997"/>
      <c r="L553" s="1997"/>
      <c r="M553" s="1997"/>
      <c r="N553" s="1997"/>
      <c r="O553" s="1997"/>
      <c r="P553" s="1997"/>
      <c r="Q553" s="1997"/>
      <c r="R553" s="1997"/>
      <c r="S553" s="1997"/>
      <c r="T553" s="1997"/>
      <c r="U553" s="1997"/>
      <c r="V553" s="1997"/>
      <c r="W553" s="1997"/>
      <c r="X553" s="1997"/>
      <c r="Y553" s="1997"/>
      <c r="Z553" s="1997"/>
      <c r="AA553" s="1997"/>
      <c r="AB553" s="1997"/>
      <c r="AC553" s="1997"/>
      <c r="AD553" s="1997"/>
      <c r="AE553" s="1997"/>
      <c r="AF553" s="1997"/>
      <c r="AG553" s="1997"/>
      <c r="AH553" s="1997"/>
      <c r="AI553" s="1997"/>
      <c r="AJ553" s="1997"/>
      <c r="AK553" s="676"/>
      <c r="AL553" s="607"/>
      <c r="AM553" s="637"/>
      <c r="AN553" s="631"/>
    </row>
    <row r="554" spans="1:45" s="584" customFormat="1" ht="12.75" customHeight="1">
      <c r="A554" s="637"/>
      <c r="B554" s="1997"/>
      <c r="C554" s="1997"/>
      <c r="D554" s="1997"/>
      <c r="E554" s="1997"/>
      <c r="F554" s="1997"/>
      <c r="G554" s="1997"/>
      <c r="H554" s="1997"/>
      <c r="I554" s="1997"/>
      <c r="J554" s="1997"/>
      <c r="K554" s="1997"/>
      <c r="L554" s="1997"/>
      <c r="M554" s="1997"/>
      <c r="N554" s="1997"/>
      <c r="O554" s="1997"/>
      <c r="P554" s="1997"/>
      <c r="Q554" s="1997"/>
      <c r="R554" s="1997"/>
      <c r="S554" s="1997"/>
      <c r="T554" s="1997"/>
      <c r="U554" s="1997"/>
      <c r="V554" s="1997"/>
      <c r="W554" s="1997"/>
      <c r="X554" s="1997"/>
      <c r="Y554" s="1997"/>
      <c r="Z554" s="1997"/>
      <c r="AA554" s="1997"/>
      <c r="AB554" s="1997"/>
      <c r="AC554" s="1997"/>
      <c r="AD554" s="1997"/>
      <c r="AE554" s="1997"/>
      <c r="AF554" s="1997"/>
      <c r="AG554" s="1997"/>
      <c r="AH554" s="1997"/>
      <c r="AI554" s="1997"/>
      <c r="AJ554" s="1997"/>
      <c r="AK554" s="676"/>
      <c r="AL554" s="607"/>
      <c r="AM554" s="637"/>
      <c r="AN554" s="631"/>
    </row>
    <row r="555" spans="1:45" s="584" customFormat="1" ht="12.75" customHeight="1">
      <c r="A555" s="637"/>
      <c r="B555" s="1997"/>
      <c r="C555" s="1997"/>
      <c r="D555" s="1997"/>
      <c r="E555" s="1997"/>
      <c r="F555" s="1997"/>
      <c r="G555" s="1997"/>
      <c r="H555" s="1997"/>
      <c r="I555" s="1997"/>
      <c r="J555" s="1997"/>
      <c r="K555" s="1997"/>
      <c r="L555" s="1997"/>
      <c r="M555" s="1997"/>
      <c r="N555" s="1997"/>
      <c r="O555" s="1997"/>
      <c r="P555" s="1997"/>
      <c r="Q555" s="1997"/>
      <c r="R555" s="1997"/>
      <c r="S555" s="1997"/>
      <c r="T555" s="1997"/>
      <c r="U555" s="1997"/>
      <c r="V555" s="1997"/>
      <c r="W555" s="1997"/>
      <c r="X555" s="1997"/>
      <c r="Y555" s="1997"/>
      <c r="Z555" s="1997"/>
      <c r="AA555" s="1997"/>
      <c r="AB555" s="1997"/>
      <c r="AC555" s="1997"/>
      <c r="AD555" s="1997"/>
      <c r="AE555" s="1997"/>
      <c r="AF555" s="1997"/>
      <c r="AG555" s="1997"/>
      <c r="AH555" s="1997"/>
      <c r="AI555" s="1997"/>
      <c r="AJ555" s="1997"/>
      <c r="AK555" s="676"/>
      <c r="AL555" s="607"/>
      <c r="AM555" s="637"/>
      <c r="AN555" s="631"/>
    </row>
    <row r="556" spans="1:45" s="584" customFormat="1" ht="12.75" customHeight="1">
      <c r="A556" s="637"/>
      <c r="B556" s="1997"/>
      <c r="C556" s="1997"/>
      <c r="D556" s="1997"/>
      <c r="E556" s="1997"/>
      <c r="F556" s="1997"/>
      <c r="G556" s="1997"/>
      <c r="H556" s="1997"/>
      <c r="I556" s="1997"/>
      <c r="J556" s="1997"/>
      <c r="K556" s="1997"/>
      <c r="L556" s="1997"/>
      <c r="M556" s="1997"/>
      <c r="N556" s="1997"/>
      <c r="O556" s="1997"/>
      <c r="P556" s="1997"/>
      <c r="Q556" s="1997"/>
      <c r="R556" s="1997"/>
      <c r="S556" s="1997"/>
      <c r="T556" s="1997"/>
      <c r="U556" s="1997"/>
      <c r="V556" s="1997"/>
      <c r="W556" s="1997"/>
      <c r="X556" s="1997"/>
      <c r="Y556" s="1997"/>
      <c r="Z556" s="1997"/>
      <c r="AA556" s="1997"/>
      <c r="AB556" s="1997"/>
      <c r="AC556" s="1997"/>
      <c r="AD556" s="1997"/>
      <c r="AE556" s="1997"/>
      <c r="AF556" s="1997"/>
      <c r="AG556" s="1997"/>
      <c r="AH556" s="1997"/>
      <c r="AI556" s="1997"/>
      <c r="AJ556" s="1997"/>
      <c r="AK556" s="676"/>
      <c r="AL556" s="607"/>
      <c r="AM556" s="637"/>
      <c r="AN556" s="631"/>
    </row>
    <row r="557" spans="1:45" s="584" customFormat="1" ht="12.75" customHeight="1">
      <c r="A557" s="637"/>
      <c r="B557" s="1997"/>
      <c r="C557" s="1997"/>
      <c r="D557" s="1997"/>
      <c r="E557" s="1997"/>
      <c r="F557" s="1997"/>
      <c r="G557" s="1997"/>
      <c r="H557" s="1997"/>
      <c r="I557" s="1997"/>
      <c r="J557" s="1997"/>
      <c r="K557" s="1997"/>
      <c r="L557" s="1997"/>
      <c r="M557" s="1997"/>
      <c r="N557" s="1997"/>
      <c r="O557" s="1997"/>
      <c r="P557" s="1997"/>
      <c r="Q557" s="1997"/>
      <c r="R557" s="1997"/>
      <c r="S557" s="1997"/>
      <c r="T557" s="1997"/>
      <c r="U557" s="1997"/>
      <c r="V557" s="1997"/>
      <c r="W557" s="1997"/>
      <c r="X557" s="1997"/>
      <c r="Y557" s="1997"/>
      <c r="Z557" s="1997"/>
      <c r="AA557" s="1997"/>
      <c r="AB557" s="1997"/>
      <c r="AC557" s="1997"/>
      <c r="AD557" s="1997"/>
      <c r="AE557" s="1997"/>
      <c r="AF557" s="1997"/>
      <c r="AG557" s="1997"/>
      <c r="AH557" s="1997"/>
      <c r="AI557" s="1997"/>
      <c r="AJ557" s="1997"/>
      <c r="AK557" s="676"/>
      <c r="AL557" s="607"/>
      <c r="AM557" s="637"/>
      <c r="AN557" s="631"/>
    </row>
    <row r="558" spans="1:45" s="584" customFormat="1" ht="12.75" customHeight="1">
      <c r="A558" s="637"/>
      <c r="B558" s="1997"/>
      <c r="C558" s="1997"/>
      <c r="D558" s="1997"/>
      <c r="E558" s="1997"/>
      <c r="F558" s="1997"/>
      <c r="G558" s="1997"/>
      <c r="H558" s="1997"/>
      <c r="I558" s="1997"/>
      <c r="J558" s="1997"/>
      <c r="K558" s="1997"/>
      <c r="L558" s="1997"/>
      <c r="M558" s="1997"/>
      <c r="N558" s="1997"/>
      <c r="O558" s="1997"/>
      <c r="P558" s="1997"/>
      <c r="Q558" s="1997"/>
      <c r="R558" s="1997"/>
      <c r="S558" s="1997"/>
      <c r="T558" s="1997"/>
      <c r="U558" s="1997"/>
      <c r="V558" s="1997"/>
      <c r="W558" s="1997"/>
      <c r="X558" s="1997"/>
      <c r="Y558" s="1997"/>
      <c r="Z558" s="1997"/>
      <c r="AA558" s="1997"/>
      <c r="AB558" s="1997"/>
      <c r="AC558" s="1997"/>
      <c r="AD558" s="1997"/>
      <c r="AE558" s="1997"/>
      <c r="AF558" s="1997"/>
      <c r="AG558" s="1997"/>
      <c r="AH558" s="1997"/>
      <c r="AI558" s="1997"/>
      <c r="AJ558" s="1997"/>
      <c r="AK558" s="676"/>
      <c r="AL558" s="607"/>
      <c r="AM558" s="637"/>
      <c r="AN558" s="631"/>
    </row>
    <row r="559" spans="1:45" s="584" customFormat="1" ht="12.75" customHeight="1">
      <c r="A559" s="637"/>
      <c r="B559" s="1997"/>
      <c r="C559" s="1997"/>
      <c r="D559" s="1997"/>
      <c r="E559" s="1997"/>
      <c r="F559" s="1997"/>
      <c r="G559" s="1997"/>
      <c r="H559" s="1997"/>
      <c r="I559" s="1997"/>
      <c r="J559" s="1997"/>
      <c r="K559" s="1997"/>
      <c r="L559" s="1997"/>
      <c r="M559" s="1997"/>
      <c r="N559" s="1997"/>
      <c r="O559" s="1997"/>
      <c r="P559" s="1997"/>
      <c r="Q559" s="1997"/>
      <c r="R559" s="1997"/>
      <c r="S559" s="1997"/>
      <c r="T559" s="1997"/>
      <c r="U559" s="1997"/>
      <c r="V559" s="1997"/>
      <c r="W559" s="1997"/>
      <c r="X559" s="1997"/>
      <c r="Y559" s="1997"/>
      <c r="Z559" s="1997"/>
      <c r="AA559" s="1997"/>
      <c r="AB559" s="1997"/>
      <c r="AC559" s="1997"/>
      <c r="AD559" s="1997"/>
      <c r="AE559" s="1997"/>
      <c r="AF559" s="1997"/>
      <c r="AG559" s="1997"/>
      <c r="AH559" s="1997"/>
      <c r="AI559" s="1997"/>
      <c r="AJ559" s="1997"/>
      <c r="AK559" s="676"/>
      <c r="AL559" s="607"/>
      <c r="AM559" s="637"/>
      <c r="AN559" s="631"/>
    </row>
    <row r="560" spans="1:45" ht="12.75" customHeight="1">
      <c r="A560" s="637"/>
      <c r="B560" s="1997"/>
      <c r="C560" s="1997"/>
      <c r="D560" s="1997"/>
      <c r="E560" s="1997"/>
      <c r="F560" s="1997"/>
      <c r="G560" s="1997"/>
      <c r="H560" s="1997"/>
      <c r="I560" s="1997"/>
      <c r="J560" s="1997"/>
      <c r="K560" s="1997"/>
      <c r="L560" s="1997"/>
      <c r="M560" s="1997"/>
      <c r="N560" s="1997"/>
      <c r="O560" s="1997"/>
      <c r="P560" s="1997"/>
      <c r="Q560" s="1997"/>
      <c r="R560" s="1997"/>
      <c r="S560" s="1997"/>
      <c r="T560" s="1997"/>
      <c r="U560" s="1997"/>
      <c r="V560" s="1997"/>
      <c r="W560" s="1997"/>
      <c r="X560" s="1997"/>
      <c r="Y560" s="1997"/>
      <c r="Z560" s="1997"/>
      <c r="AA560" s="1997"/>
      <c r="AB560" s="1997"/>
      <c r="AC560" s="1997"/>
      <c r="AD560" s="1997"/>
      <c r="AE560" s="1997"/>
      <c r="AF560" s="1997"/>
      <c r="AG560" s="1997"/>
      <c r="AH560" s="1997"/>
      <c r="AI560" s="1997"/>
      <c r="AJ560" s="1997"/>
      <c r="AK560" s="676"/>
      <c r="AL560" s="607"/>
      <c r="AM560" s="637"/>
    </row>
    <row r="561" spans="1:42" s="584" customFormat="1" ht="12.75" customHeight="1">
      <c r="B561" s="1997"/>
      <c r="C561" s="1997"/>
      <c r="D561" s="1997"/>
      <c r="E561" s="1997"/>
      <c r="F561" s="1997"/>
      <c r="G561" s="1997"/>
      <c r="H561" s="1997"/>
      <c r="I561" s="1997"/>
      <c r="J561" s="1997"/>
      <c r="K561" s="1997"/>
      <c r="L561" s="1997"/>
      <c r="M561" s="1997"/>
      <c r="N561" s="1997"/>
      <c r="O561" s="1997"/>
      <c r="P561" s="1997"/>
      <c r="Q561" s="1997"/>
      <c r="R561" s="1997"/>
      <c r="S561" s="1997"/>
      <c r="T561" s="1997"/>
      <c r="U561" s="1997"/>
      <c r="V561" s="1997"/>
      <c r="W561" s="1997"/>
      <c r="X561" s="1997"/>
      <c r="Y561" s="1997"/>
      <c r="Z561" s="1997"/>
      <c r="AA561" s="1997"/>
      <c r="AB561" s="1997"/>
      <c r="AC561" s="1997"/>
      <c r="AD561" s="1997"/>
      <c r="AE561" s="1997"/>
      <c r="AF561" s="1997"/>
      <c r="AG561" s="1997"/>
      <c r="AH561" s="1997"/>
      <c r="AI561" s="1997"/>
      <c r="AJ561" s="199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4" t="s">
        <v>1450</v>
      </c>
      <c r="AG567" s="1944"/>
      <c r="AH567" s="1944"/>
      <c r="AI567" s="1944"/>
      <c r="AJ567" s="1944"/>
      <c r="AK567" s="1944"/>
      <c r="AL567" s="1944"/>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4" t="s">
        <v>1508</v>
      </c>
      <c r="AG574" s="1944"/>
      <c r="AH574" s="1944"/>
      <c r="AI574" s="1944"/>
      <c r="AJ574" s="1944"/>
      <c r="AK574" s="1944"/>
      <c r="AL574" s="1944"/>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4" t="s">
        <v>1490</v>
      </c>
      <c r="AG580" s="1944"/>
      <c r="AH580" s="1944"/>
      <c r="AI580" s="1944"/>
      <c r="AJ580" s="1944"/>
      <c r="AK580" s="1944"/>
      <c r="AL580" s="1944"/>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4" t="s">
        <v>1511</v>
      </c>
      <c r="AG586" s="1944"/>
      <c r="AH586" s="1944"/>
      <c r="AI586" s="1944"/>
      <c r="AJ586" s="1944"/>
      <c r="AK586" s="1944"/>
      <c r="AL586" s="1944"/>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8" t="s">
        <v>1291</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4" t="s">
        <v>1464</v>
      </c>
      <c r="AG592" s="1944"/>
      <c r="AH592" s="1944"/>
      <c r="AI592" s="1944"/>
      <c r="AJ592" s="1944"/>
      <c r="AK592" s="1944"/>
      <c r="AL592" s="1944"/>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6" t="s">
        <v>1509</v>
      </c>
      <c r="I595" s="2026"/>
      <c r="J595" s="971"/>
      <c r="K595" s="971"/>
      <c r="L595" s="971"/>
      <c r="N595" s="22"/>
      <c r="O595" s="22"/>
      <c r="P595" s="22"/>
      <c r="Q595" s="1195" t="s">
        <v>2542</v>
      </c>
      <c r="R595" s="2029" t="s">
        <v>2543</v>
      </c>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7" t="s">
        <v>600</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71" t="s">
        <v>600</v>
      </c>
      <c r="C605" s="1971"/>
      <c r="D605" s="676"/>
      <c r="E605" s="1997" t="s">
        <v>1515</v>
      </c>
      <c r="F605" s="1997"/>
      <c r="G605" s="1997"/>
      <c r="H605" s="1997"/>
      <c r="I605" s="1997"/>
      <c r="J605" s="1997"/>
      <c r="K605" s="1997"/>
      <c r="L605" s="1997"/>
      <c r="M605" s="1997"/>
      <c r="N605" s="1997"/>
      <c r="O605" s="1997"/>
      <c r="P605" s="1997"/>
      <c r="Q605" s="1997"/>
      <c r="R605" s="1997"/>
      <c r="S605" s="1997"/>
      <c r="T605" s="1997"/>
      <c r="U605" s="1997"/>
      <c r="V605" s="1997"/>
      <c r="W605" s="1997"/>
      <c r="X605" s="1997"/>
      <c r="Y605" s="1997"/>
      <c r="Z605" s="1997"/>
      <c r="AA605" s="1997"/>
      <c r="AB605" s="1997"/>
      <c r="AC605" s="1997"/>
      <c r="AD605" s="1997"/>
      <c r="AE605" s="1997"/>
      <c r="AF605" s="1997"/>
      <c r="AG605" s="1997"/>
      <c r="AH605" s="676"/>
      <c r="AI605" s="676"/>
      <c r="AJ605" s="676"/>
      <c r="AK605" s="676"/>
      <c r="AL605" s="676"/>
      <c r="AN605" s="631"/>
    </row>
    <row r="606" spans="2:47" s="584" customFormat="1" ht="12.75" customHeight="1">
      <c r="B606" s="570"/>
      <c r="C606" s="968"/>
      <c r="D606" s="676"/>
      <c r="E606" s="1997"/>
      <c r="F606" s="1997"/>
      <c r="G606" s="1997"/>
      <c r="H606" s="1997"/>
      <c r="I606" s="1997"/>
      <c r="J606" s="1997"/>
      <c r="K606" s="1997"/>
      <c r="L606" s="1997"/>
      <c r="M606" s="1997"/>
      <c r="N606" s="1997"/>
      <c r="O606" s="1997"/>
      <c r="P606" s="1997"/>
      <c r="Q606" s="1997"/>
      <c r="R606" s="1997"/>
      <c r="S606" s="1997"/>
      <c r="T606" s="1997"/>
      <c r="U606" s="1997"/>
      <c r="V606" s="1997"/>
      <c r="W606" s="1997"/>
      <c r="X606" s="1997"/>
      <c r="Y606" s="1997"/>
      <c r="Z606" s="1997"/>
      <c r="AA606" s="1997"/>
      <c r="AB606" s="1997"/>
      <c r="AC606" s="1997"/>
      <c r="AD606" s="1997"/>
      <c r="AE606" s="1997"/>
      <c r="AF606" s="1997"/>
      <c r="AG606" s="1997"/>
      <c r="AH606" s="676"/>
      <c r="AI606" s="676"/>
      <c r="AJ606" s="676"/>
      <c r="AK606" s="676"/>
      <c r="AL606" s="676"/>
      <c r="AN606" s="631"/>
    </row>
    <row r="607" spans="2:47" s="584" customFormat="1" ht="12.75" customHeight="1">
      <c r="B607" s="570"/>
      <c r="C607" s="968"/>
      <c r="D607" s="676"/>
      <c r="E607" s="1997"/>
      <c r="F607" s="1997"/>
      <c r="G607" s="1997"/>
      <c r="H607" s="1997"/>
      <c r="I607" s="1997"/>
      <c r="J607" s="1997"/>
      <c r="K607" s="1997"/>
      <c r="L607" s="1997"/>
      <c r="M607" s="1997"/>
      <c r="N607" s="1997"/>
      <c r="O607" s="1997"/>
      <c r="P607" s="1997"/>
      <c r="Q607" s="1997"/>
      <c r="R607" s="1997"/>
      <c r="S607" s="1997"/>
      <c r="T607" s="1997"/>
      <c r="U607" s="1997"/>
      <c r="V607" s="1997"/>
      <c r="W607" s="1997"/>
      <c r="X607" s="1997"/>
      <c r="Y607" s="1997"/>
      <c r="Z607" s="1997"/>
      <c r="AA607" s="1997"/>
      <c r="AB607" s="1997"/>
      <c r="AC607" s="1997"/>
      <c r="AD607" s="1997"/>
      <c r="AE607" s="1997"/>
      <c r="AF607" s="1997"/>
      <c r="AG607" s="1997"/>
      <c r="AH607" s="676"/>
      <c r="AI607" s="676"/>
      <c r="AJ607" s="676"/>
      <c r="AK607" s="676"/>
      <c r="AL607" s="676"/>
      <c r="AN607" s="631"/>
    </row>
    <row r="608" spans="2:47" s="584" customFormat="1" ht="12.75" customHeight="1">
      <c r="B608" s="570"/>
      <c r="C608" s="968"/>
      <c r="D608" s="676"/>
      <c r="E608" s="1997"/>
      <c r="F608" s="1997"/>
      <c r="G608" s="1997"/>
      <c r="H608" s="1997"/>
      <c r="I608" s="1997"/>
      <c r="J608" s="1997"/>
      <c r="K608" s="1997"/>
      <c r="L608" s="1997"/>
      <c r="M608" s="1997"/>
      <c r="N608" s="1997"/>
      <c r="O608" s="1997"/>
      <c r="P608" s="1997"/>
      <c r="Q608" s="1997"/>
      <c r="R608" s="1997"/>
      <c r="S608" s="1997"/>
      <c r="T608" s="1997"/>
      <c r="U608" s="1997"/>
      <c r="V608" s="1997"/>
      <c r="W608" s="1997"/>
      <c r="X608" s="1997"/>
      <c r="Y608" s="1997"/>
      <c r="Z608" s="1997"/>
      <c r="AA608" s="1997"/>
      <c r="AB608" s="1997"/>
      <c r="AC608" s="1997"/>
      <c r="AD608" s="1997"/>
      <c r="AE608" s="1997"/>
      <c r="AF608" s="1997"/>
      <c r="AG608" s="199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7">
        <f>VLOOKUP($H$595,$AO$575:$AP$580,2,FALSE)+IF(R595=AO583,0,VLOOKUP($I$603,$AO$602:$AP$604,2,FALSE))</f>
        <v>4</v>
      </c>
      <c r="AK610" s="197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1885</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44" t="s">
        <v>1464</v>
      </c>
      <c r="AG614" s="1944"/>
      <c r="AH614" s="1944"/>
      <c r="AI614" s="1944"/>
      <c r="AJ614" s="1944"/>
      <c r="AK614" s="1944"/>
      <c r="AL614" s="1944"/>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71" t="s">
        <v>600</v>
      </c>
      <c r="Y623" s="197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4" t="s">
        <v>1520</v>
      </c>
      <c r="AG625" s="1944"/>
      <c r="AH625" s="1944"/>
      <c r="AI625" s="1944"/>
      <c r="AJ625" s="1944"/>
      <c r="AK625" s="1944"/>
      <c r="AL625" s="194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6" t="s">
        <v>697</v>
      </c>
      <c r="I627" s="202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7">
        <f>VLOOKUP($H$627,$AO$594:$AP$596,2,FALSE)</f>
        <v>3</v>
      </c>
      <c r="AK629" s="1979"/>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7" t="s">
        <v>2417</v>
      </c>
      <c r="F633" s="1997"/>
      <c r="G633" s="1997"/>
      <c r="H633" s="1997"/>
      <c r="I633" s="1997"/>
      <c r="J633" s="1997"/>
      <c r="K633" s="1997"/>
      <c r="L633" s="1997"/>
      <c r="M633" s="1997"/>
      <c r="N633" s="1997"/>
      <c r="O633" s="1997"/>
      <c r="P633" s="1997"/>
      <c r="Q633" s="1997"/>
      <c r="R633" s="1997"/>
      <c r="S633" s="1997"/>
      <c r="T633" s="1997"/>
      <c r="U633" s="1997"/>
      <c r="V633" s="1997"/>
      <c r="W633" s="1997"/>
      <c r="X633" s="1997"/>
      <c r="Y633" s="1997"/>
      <c r="Z633" s="1997"/>
      <c r="AA633" s="1997"/>
      <c r="AB633" s="1997"/>
      <c r="AC633" s="1997"/>
      <c r="AD633" s="1997"/>
      <c r="AE633" s="570"/>
      <c r="AF633" s="1944" t="s">
        <v>1464</v>
      </c>
      <c r="AG633" s="1944"/>
      <c r="AH633" s="1944"/>
      <c r="AI633" s="1944"/>
      <c r="AJ633" s="1944"/>
      <c r="AK633" s="1944"/>
      <c r="AL633" s="1944"/>
      <c r="AN633" s="631"/>
    </row>
    <row r="634" spans="1:42" s="584" customFormat="1" ht="12.75" customHeight="1">
      <c r="B634" s="570"/>
      <c r="C634" s="570"/>
      <c r="D634" s="697"/>
      <c r="E634" s="1997"/>
      <c r="F634" s="1997"/>
      <c r="G634" s="1997"/>
      <c r="H634" s="1997"/>
      <c r="I634" s="1997"/>
      <c r="J634" s="1997"/>
      <c r="K634" s="1997"/>
      <c r="L634" s="1997"/>
      <c r="M634" s="1997"/>
      <c r="N634" s="1997"/>
      <c r="O634" s="1997"/>
      <c r="P634" s="1997"/>
      <c r="Q634" s="1997"/>
      <c r="R634" s="1997"/>
      <c r="S634" s="1997"/>
      <c r="T634" s="1997"/>
      <c r="U634" s="1997"/>
      <c r="V634" s="1997"/>
      <c r="W634" s="1997"/>
      <c r="X634" s="1997"/>
      <c r="Y634" s="1997"/>
      <c r="Z634" s="1997"/>
      <c r="AA634" s="1997"/>
      <c r="AB634" s="1997"/>
      <c r="AC634" s="1997"/>
      <c r="AD634" s="199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4" t="s">
        <v>1520</v>
      </c>
      <c r="AG636" s="1944"/>
      <c r="AH636" s="1944"/>
      <c r="AI636" s="1944"/>
      <c r="AJ636" s="1944"/>
      <c r="AK636" s="1944"/>
      <c r="AL636" s="1944"/>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6" t="s">
        <v>697</v>
      </c>
      <c r="I639" s="202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7">
        <f>VLOOKUP(H639,AT594:AU596,2,FALSE)</f>
        <v>3</v>
      </c>
      <c r="AK641" s="197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7" t="s">
        <v>1530</v>
      </c>
      <c r="F646" s="1997"/>
      <c r="G646" s="1997"/>
      <c r="H646" s="1997"/>
      <c r="I646" s="1997"/>
      <c r="J646" s="1997"/>
      <c r="K646" s="1997"/>
      <c r="L646" s="1997"/>
      <c r="M646" s="1997"/>
      <c r="N646" s="1997"/>
      <c r="O646" s="1997"/>
      <c r="P646" s="1997"/>
      <c r="Q646" s="1997"/>
      <c r="R646" s="1997"/>
      <c r="S646" s="1997"/>
      <c r="T646" s="1997"/>
      <c r="U646" s="1997"/>
      <c r="V646" s="1997"/>
      <c r="W646" s="1997"/>
      <c r="X646" s="1997"/>
      <c r="Y646" s="1997"/>
      <c r="Z646" s="1997"/>
      <c r="AA646" s="1997"/>
      <c r="AB646" s="1997"/>
      <c r="AC646" s="1997"/>
      <c r="AD646" s="570"/>
      <c r="AE646" s="570"/>
      <c r="AF646" s="1944" t="s">
        <v>1490</v>
      </c>
      <c r="AG646" s="1944"/>
      <c r="AH646" s="1944"/>
      <c r="AI646" s="1944"/>
      <c r="AJ646" s="1944"/>
      <c r="AK646" s="1944"/>
      <c r="AL646" s="1944"/>
      <c r="AN646" s="631"/>
    </row>
    <row r="647" spans="1:42" s="584" customFormat="1" ht="12.75" customHeight="1">
      <c r="B647" s="570"/>
      <c r="C647" s="573"/>
      <c r="D647" s="570"/>
      <c r="E647" s="1997"/>
      <c r="F647" s="1997"/>
      <c r="G647" s="1997"/>
      <c r="H647" s="1997"/>
      <c r="I647" s="1997"/>
      <c r="J647" s="1997"/>
      <c r="K647" s="1997"/>
      <c r="L647" s="1997"/>
      <c r="M647" s="1997"/>
      <c r="N647" s="1997"/>
      <c r="O647" s="1997"/>
      <c r="P647" s="1997"/>
      <c r="Q647" s="1997"/>
      <c r="R647" s="1997"/>
      <c r="S647" s="1997"/>
      <c r="T647" s="1997"/>
      <c r="U647" s="1997"/>
      <c r="V647" s="1997"/>
      <c r="W647" s="1997"/>
      <c r="X647" s="1997"/>
      <c r="Y647" s="1997"/>
      <c r="Z647" s="1997"/>
      <c r="AA647" s="1997"/>
      <c r="AB647" s="1997"/>
      <c r="AC647" s="1997"/>
      <c r="AD647" s="570"/>
      <c r="AE647" s="570"/>
      <c r="AF647" s="570"/>
      <c r="AG647" s="570"/>
      <c r="AH647" s="570"/>
      <c r="AI647" s="570"/>
      <c r="AJ647" s="570"/>
      <c r="AK647" s="570"/>
      <c r="AL647" s="570"/>
      <c r="AN647" s="631"/>
    </row>
    <row r="648" spans="1:42" s="584" customFormat="1" ht="12.75" customHeight="1">
      <c r="B648" s="570"/>
      <c r="C648" s="573"/>
      <c r="D648" s="697"/>
      <c r="E648" s="1997"/>
      <c r="F648" s="1997"/>
      <c r="G648" s="1997"/>
      <c r="H648" s="1997"/>
      <c r="I648" s="1997"/>
      <c r="J648" s="1997"/>
      <c r="K648" s="1997"/>
      <c r="L648" s="1997"/>
      <c r="M648" s="1997"/>
      <c r="N648" s="1997"/>
      <c r="O648" s="1997"/>
      <c r="P648" s="1997"/>
      <c r="Q648" s="1997"/>
      <c r="R648" s="1997"/>
      <c r="S648" s="1997"/>
      <c r="T648" s="1997"/>
      <c r="U648" s="1997"/>
      <c r="V648" s="1997"/>
      <c r="W648" s="1997"/>
      <c r="X648" s="1997"/>
      <c r="Y648" s="1997"/>
      <c r="Z648" s="1997"/>
      <c r="AA648" s="1997"/>
      <c r="AB648" s="1997"/>
      <c r="AC648" s="199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7" t="s">
        <v>1531</v>
      </c>
      <c r="F650" s="1997"/>
      <c r="G650" s="1997"/>
      <c r="H650" s="1997"/>
      <c r="I650" s="1997"/>
      <c r="J650" s="1997"/>
      <c r="K650" s="1997"/>
      <c r="L650" s="1997"/>
      <c r="M650" s="1997"/>
      <c r="N650" s="1997"/>
      <c r="O650" s="1997"/>
      <c r="P650" s="1997"/>
      <c r="Q650" s="1997"/>
      <c r="R650" s="1997"/>
      <c r="S650" s="1997"/>
      <c r="T650" s="1997"/>
      <c r="U650" s="1997"/>
      <c r="V650" s="1997"/>
      <c r="W650" s="1997"/>
      <c r="X650" s="1997"/>
      <c r="Y650" s="1997"/>
      <c r="Z650" s="1997"/>
      <c r="AA650" s="1997"/>
      <c r="AB650" s="1997"/>
      <c r="AC650" s="1997"/>
      <c r="AD650" s="570"/>
      <c r="AE650" s="570"/>
      <c r="AF650" s="1944" t="s">
        <v>1511</v>
      </c>
      <c r="AG650" s="1944"/>
      <c r="AH650" s="1944"/>
      <c r="AI650" s="1944"/>
      <c r="AJ650" s="1944"/>
      <c r="AK650" s="1944"/>
      <c r="AL650" s="1944"/>
      <c r="AN650" s="631"/>
    </row>
    <row r="651" spans="1:42" s="584" customFormat="1" ht="12.75" customHeight="1">
      <c r="B651" s="570"/>
      <c r="C651" s="573"/>
      <c r="D651" s="570"/>
      <c r="E651" s="1997"/>
      <c r="F651" s="1997"/>
      <c r="G651" s="1997"/>
      <c r="H651" s="1997"/>
      <c r="I651" s="1997"/>
      <c r="J651" s="1997"/>
      <c r="K651" s="1997"/>
      <c r="L651" s="1997"/>
      <c r="M651" s="1997"/>
      <c r="N651" s="1997"/>
      <c r="O651" s="1997"/>
      <c r="P651" s="1997"/>
      <c r="Q651" s="1997"/>
      <c r="R651" s="1997"/>
      <c r="S651" s="1997"/>
      <c r="T651" s="1997"/>
      <c r="U651" s="1997"/>
      <c r="V651" s="1997"/>
      <c r="W651" s="1997"/>
      <c r="X651" s="1997"/>
      <c r="Y651" s="1997"/>
      <c r="Z651" s="1997"/>
      <c r="AA651" s="1997"/>
      <c r="AB651" s="1997"/>
      <c r="AC651" s="1997"/>
      <c r="AD651" s="570"/>
      <c r="AE651" s="570"/>
      <c r="AF651" s="570"/>
      <c r="AG651" s="570"/>
      <c r="AH651" s="570"/>
      <c r="AI651" s="570"/>
      <c r="AJ651" s="570"/>
      <c r="AK651" s="570"/>
      <c r="AL651" s="570"/>
      <c r="AN651" s="631"/>
    </row>
    <row r="652" spans="1:42" s="584" customFormat="1" ht="15" customHeight="1">
      <c r="B652" s="570"/>
      <c r="C652" s="573"/>
      <c r="D652" s="697"/>
      <c r="E652" s="1997"/>
      <c r="F652" s="1997"/>
      <c r="G652" s="1997"/>
      <c r="H652" s="1997"/>
      <c r="I652" s="1997"/>
      <c r="J652" s="1997"/>
      <c r="K652" s="1997"/>
      <c r="L652" s="1997"/>
      <c r="M652" s="1997"/>
      <c r="N652" s="1997"/>
      <c r="O652" s="1997"/>
      <c r="P652" s="1997"/>
      <c r="Q652" s="1997"/>
      <c r="R652" s="1997"/>
      <c r="S652" s="1997"/>
      <c r="T652" s="1997"/>
      <c r="U652" s="1997"/>
      <c r="V652" s="1997"/>
      <c r="W652" s="1997"/>
      <c r="X652" s="1997"/>
      <c r="Y652" s="1997"/>
      <c r="Z652" s="1997"/>
      <c r="AA652" s="1997"/>
      <c r="AB652" s="1997"/>
      <c r="AC652" s="199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7" t="s">
        <v>1532</v>
      </c>
      <c r="F654" s="1997"/>
      <c r="G654" s="1997"/>
      <c r="H654" s="1997"/>
      <c r="I654" s="1997"/>
      <c r="J654" s="1997"/>
      <c r="K654" s="1997"/>
      <c r="L654" s="1997"/>
      <c r="M654" s="1997"/>
      <c r="N654" s="1997"/>
      <c r="O654" s="1997"/>
      <c r="P654" s="1997"/>
      <c r="Q654" s="1997"/>
      <c r="R654" s="1997"/>
      <c r="S654" s="1997"/>
      <c r="T654" s="1997"/>
      <c r="U654" s="1997"/>
      <c r="V654" s="1997"/>
      <c r="W654" s="1997"/>
      <c r="X654" s="1997"/>
      <c r="Y654" s="1997"/>
      <c r="Z654" s="1997"/>
      <c r="AA654" s="1997"/>
      <c r="AB654" s="1997"/>
      <c r="AC654" s="1997"/>
      <c r="AD654" s="570"/>
      <c r="AE654" s="570"/>
      <c r="AF654" s="1944" t="s">
        <v>1464</v>
      </c>
      <c r="AG654" s="1944"/>
      <c r="AH654" s="1944"/>
      <c r="AI654" s="1944"/>
      <c r="AJ654" s="1944"/>
      <c r="AK654" s="1944"/>
      <c r="AL654" s="1944"/>
      <c r="AN654" s="631"/>
    </row>
    <row r="655" spans="1:42" s="584" customFormat="1" ht="12.75" customHeight="1">
      <c r="B655" s="570"/>
      <c r="C655" s="966"/>
      <c r="D655" s="570"/>
      <c r="E655" s="1997"/>
      <c r="F655" s="1997"/>
      <c r="G655" s="1997"/>
      <c r="H655" s="1997"/>
      <c r="I655" s="1997"/>
      <c r="J655" s="1997"/>
      <c r="K655" s="1997"/>
      <c r="L655" s="1997"/>
      <c r="M655" s="1997"/>
      <c r="N655" s="1997"/>
      <c r="O655" s="1997"/>
      <c r="P655" s="1997"/>
      <c r="Q655" s="1997"/>
      <c r="R655" s="1997"/>
      <c r="S655" s="1997"/>
      <c r="T655" s="1997"/>
      <c r="U655" s="1997"/>
      <c r="V655" s="1997"/>
      <c r="W655" s="1997"/>
      <c r="X655" s="1997"/>
      <c r="Y655" s="1997"/>
      <c r="Z655" s="1997"/>
      <c r="AA655" s="1997"/>
      <c r="AB655" s="1997"/>
      <c r="AC655" s="1997"/>
      <c r="AD655" s="570"/>
      <c r="AE655" s="1944"/>
      <c r="AF655" s="1944"/>
      <c r="AG655" s="1944"/>
      <c r="AH655" s="1944"/>
      <c r="AI655" s="1944"/>
      <c r="AJ655" s="1944"/>
      <c r="AK655" s="1944"/>
      <c r="AL655" s="628"/>
      <c r="AN655" s="631"/>
      <c r="AO655" s="584" t="s">
        <v>600</v>
      </c>
      <c r="AP655" s="707">
        <v>0</v>
      </c>
    </row>
    <row r="656" spans="1:42" s="584" customFormat="1" ht="12.75" customHeight="1">
      <c r="A656" s="713"/>
      <c r="B656" s="570"/>
      <c r="C656" s="570"/>
      <c r="D656" s="697"/>
      <c r="E656" s="1997"/>
      <c r="F656" s="1997"/>
      <c r="G656" s="1997"/>
      <c r="H656" s="1997"/>
      <c r="I656" s="1997"/>
      <c r="J656" s="1997"/>
      <c r="K656" s="1997"/>
      <c r="L656" s="1997"/>
      <c r="M656" s="1997"/>
      <c r="N656" s="1997"/>
      <c r="O656" s="1997"/>
      <c r="P656" s="1997"/>
      <c r="Q656" s="1997"/>
      <c r="R656" s="1997"/>
      <c r="S656" s="1997"/>
      <c r="T656" s="1997"/>
      <c r="U656" s="1997"/>
      <c r="V656" s="1997"/>
      <c r="W656" s="1997"/>
      <c r="X656" s="1997"/>
      <c r="Y656" s="1997"/>
      <c r="Z656" s="1997"/>
      <c r="AA656" s="1997"/>
      <c r="AB656" s="1997"/>
      <c r="AC656" s="1997"/>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7" t="s">
        <v>1533</v>
      </c>
      <c r="F658" s="1997"/>
      <c r="G658" s="1997"/>
      <c r="H658" s="1997"/>
      <c r="I658" s="1997"/>
      <c r="J658" s="1997"/>
      <c r="K658" s="1997"/>
      <c r="L658" s="1997"/>
      <c r="M658" s="1997"/>
      <c r="N658" s="1997"/>
      <c r="O658" s="1997"/>
      <c r="P658" s="1997"/>
      <c r="Q658" s="1997"/>
      <c r="R658" s="1997"/>
      <c r="S658" s="1997"/>
      <c r="T658" s="1997"/>
      <c r="U658" s="1997"/>
      <c r="V658" s="1997"/>
      <c r="W658" s="1997"/>
      <c r="X658" s="1997"/>
      <c r="Y658" s="1997"/>
      <c r="Z658" s="1997"/>
      <c r="AA658" s="1997"/>
      <c r="AB658" s="1997"/>
      <c r="AC658" s="1997"/>
      <c r="AD658" s="570"/>
      <c r="AE658" s="570"/>
      <c r="AF658" s="1944" t="s">
        <v>1511</v>
      </c>
      <c r="AG658" s="1944"/>
      <c r="AH658" s="1944"/>
      <c r="AI658" s="1944"/>
      <c r="AJ658" s="1944"/>
      <c r="AK658" s="1944"/>
      <c r="AL658" s="1944"/>
      <c r="AN658" s="631"/>
    </row>
    <row r="659" spans="1:42" s="584" customFormat="1" ht="12.75" customHeight="1">
      <c r="A659" s="704"/>
      <c r="B659" s="570"/>
      <c r="C659" s="982"/>
      <c r="D659" s="697"/>
      <c r="E659" s="1997"/>
      <c r="F659" s="1997"/>
      <c r="G659" s="1997"/>
      <c r="H659" s="1997"/>
      <c r="I659" s="1997"/>
      <c r="J659" s="1997"/>
      <c r="K659" s="1997"/>
      <c r="L659" s="1997"/>
      <c r="M659" s="1997"/>
      <c r="N659" s="1997"/>
      <c r="O659" s="1997"/>
      <c r="P659" s="1997"/>
      <c r="Q659" s="1997"/>
      <c r="R659" s="1997"/>
      <c r="S659" s="1997"/>
      <c r="T659" s="1997"/>
      <c r="U659" s="1997"/>
      <c r="V659" s="1997"/>
      <c r="W659" s="1997"/>
      <c r="X659" s="1997"/>
      <c r="Y659" s="1997"/>
      <c r="Z659" s="1997"/>
      <c r="AA659" s="1997"/>
      <c r="AB659" s="1997"/>
      <c r="AC659" s="1997"/>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7"/>
      <c r="F660" s="1997"/>
      <c r="G660" s="1997"/>
      <c r="H660" s="1997"/>
      <c r="I660" s="1997"/>
      <c r="J660" s="1997"/>
      <c r="K660" s="1997"/>
      <c r="L660" s="1997"/>
      <c r="M660" s="1997"/>
      <c r="N660" s="1997"/>
      <c r="O660" s="1997"/>
      <c r="P660" s="1997"/>
      <c r="Q660" s="1997"/>
      <c r="R660" s="1997"/>
      <c r="S660" s="1997"/>
      <c r="T660" s="1997"/>
      <c r="U660" s="1997"/>
      <c r="V660" s="1997"/>
      <c r="W660" s="1997"/>
      <c r="X660" s="1997"/>
      <c r="Y660" s="1997"/>
      <c r="Z660" s="1997"/>
      <c r="AA660" s="1997"/>
      <c r="AB660" s="1997"/>
      <c r="AC660" s="199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7" t="s">
        <v>1534</v>
      </c>
      <c r="F662" s="1997"/>
      <c r="G662" s="1997"/>
      <c r="H662" s="1997"/>
      <c r="I662" s="1997"/>
      <c r="J662" s="1997"/>
      <c r="K662" s="1997"/>
      <c r="L662" s="1997"/>
      <c r="M662" s="1997"/>
      <c r="N662" s="1997"/>
      <c r="O662" s="1997"/>
      <c r="P662" s="1997"/>
      <c r="Q662" s="1997"/>
      <c r="R662" s="1997"/>
      <c r="S662" s="1997"/>
      <c r="T662" s="1997"/>
      <c r="U662" s="1997"/>
      <c r="V662" s="1997"/>
      <c r="W662" s="1997"/>
      <c r="X662" s="1997"/>
      <c r="Y662" s="1997"/>
      <c r="Z662" s="1997"/>
      <c r="AA662" s="1997"/>
      <c r="AB662" s="1997"/>
      <c r="AC662" s="1997"/>
      <c r="AD662" s="570"/>
      <c r="AE662" s="570"/>
      <c r="AF662" s="1944" t="s">
        <v>1464</v>
      </c>
      <c r="AG662" s="1944"/>
      <c r="AH662" s="1944"/>
      <c r="AI662" s="1944"/>
      <c r="AJ662" s="1944"/>
      <c r="AK662" s="1944"/>
      <c r="AL662" s="1944"/>
      <c r="AM662" s="630"/>
      <c r="AN662" s="631"/>
    </row>
    <row r="663" spans="1:42" s="584" customFormat="1" ht="12.75" customHeight="1">
      <c r="B663" s="570"/>
      <c r="C663" s="966"/>
      <c r="D663" s="697"/>
      <c r="E663" s="1997"/>
      <c r="F663" s="1997"/>
      <c r="G663" s="1997"/>
      <c r="H663" s="1997"/>
      <c r="I663" s="1997"/>
      <c r="J663" s="1997"/>
      <c r="K663" s="1997"/>
      <c r="L663" s="1997"/>
      <c r="M663" s="1997"/>
      <c r="N663" s="1997"/>
      <c r="O663" s="1997"/>
      <c r="P663" s="1997"/>
      <c r="Q663" s="1997"/>
      <c r="R663" s="1997"/>
      <c r="S663" s="1997"/>
      <c r="T663" s="1997"/>
      <c r="U663" s="1997"/>
      <c r="V663" s="1997"/>
      <c r="W663" s="1997"/>
      <c r="X663" s="1997"/>
      <c r="Y663" s="1997"/>
      <c r="Z663" s="1997"/>
      <c r="AA663" s="1997"/>
      <c r="AB663" s="1997"/>
      <c r="AC663" s="1997"/>
      <c r="AD663" s="570"/>
      <c r="AE663" s="570"/>
      <c r="AF663" s="570"/>
      <c r="AG663" s="570"/>
      <c r="AH663" s="570"/>
      <c r="AI663" s="570"/>
      <c r="AJ663" s="570"/>
      <c r="AK663" s="570"/>
      <c r="AL663" s="570"/>
      <c r="AM663" s="630"/>
      <c r="AN663" s="631"/>
    </row>
    <row r="664" spans="1:42" s="584" customFormat="1" ht="12.75" customHeight="1">
      <c r="B664" s="570"/>
      <c r="C664" s="966"/>
      <c r="D664" s="697"/>
      <c r="E664" s="1997"/>
      <c r="F664" s="1997"/>
      <c r="G664" s="1997"/>
      <c r="H664" s="1997"/>
      <c r="I664" s="1997"/>
      <c r="J664" s="1997"/>
      <c r="K664" s="1997"/>
      <c r="L664" s="1997"/>
      <c r="M664" s="1997"/>
      <c r="N664" s="1997"/>
      <c r="O664" s="1997"/>
      <c r="P664" s="1997"/>
      <c r="Q664" s="1997"/>
      <c r="R664" s="1997"/>
      <c r="S664" s="1997"/>
      <c r="T664" s="1997"/>
      <c r="U664" s="1997"/>
      <c r="V664" s="1997"/>
      <c r="W664" s="1997"/>
      <c r="X664" s="1997"/>
      <c r="Y664" s="1997"/>
      <c r="Z664" s="1997"/>
      <c r="AA664" s="1997"/>
      <c r="AB664" s="1997"/>
      <c r="AC664" s="199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7" t="s">
        <v>1535</v>
      </c>
      <c r="F666" s="1997"/>
      <c r="G666" s="1997"/>
      <c r="H666" s="1997"/>
      <c r="I666" s="1997"/>
      <c r="J666" s="1997"/>
      <c r="K666" s="1997"/>
      <c r="L666" s="1997"/>
      <c r="M666" s="1997"/>
      <c r="N666" s="1997"/>
      <c r="O666" s="1997"/>
      <c r="P666" s="1997"/>
      <c r="Q666" s="1997"/>
      <c r="R666" s="1997"/>
      <c r="S666" s="1997"/>
      <c r="T666" s="1997"/>
      <c r="U666" s="1997"/>
      <c r="V666" s="1997"/>
      <c r="W666" s="1997"/>
      <c r="X666" s="1997"/>
      <c r="Y666" s="1997"/>
      <c r="Z666" s="1997"/>
      <c r="AA666" s="1997"/>
      <c r="AB666" s="1997"/>
      <c r="AC666" s="1997"/>
      <c r="AD666" s="570"/>
      <c r="AE666" s="570"/>
      <c r="AF666" s="1944" t="s">
        <v>1520</v>
      </c>
      <c r="AG666" s="1944"/>
      <c r="AH666" s="1944"/>
      <c r="AI666" s="1944"/>
      <c r="AJ666" s="1944"/>
      <c r="AK666" s="1944"/>
      <c r="AL666" s="1944"/>
      <c r="AM666" s="630"/>
      <c r="AN666" s="631"/>
    </row>
    <row r="667" spans="1:42" s="584" customFormat="1" ht="12.75" customHeight="1">
      <c r="A667" s="713"/>
      <c r="B667" s="570"/>
      <c r="C667" s="966"/>
      <c r="D667" s="697"/>
      <c r="E667" s="1997"/>
      <c r="F667" s="1997"/>
      <c r="G667" s="1997"/>
      <c r="H667" s="1997"/>
      <c r="I667" s="1997"/>
      <c r="J667" s="1997"/>
      <c r="K667" s="1997"/>
      <c r="L667" s="1997"/>
      <c r="M667" s="1997"/>
      <c r="N667" s="1997"/>
      <c r="O667" s="1997"/>
      <c r="P667" s="1997"/>
      <c r="Q667" s="1997"/>
      <c r="R667" s="1997"/>
      <c r="S667" s="1997"/>
      <c r="T667" s="1997"/>
      <c r="U667" s="1997"/>
      <c r="V667" s="1997"/>
      <c r="W667" s="1997"/>
      <c r="X667" s="1997"/>
      <c r="Y667" s="1997"/>
      <c r="Z667" s="1997"/>
      <c r="AA667" s="1997"/>
      <c r="AB667" s="1997"/>
      <c r="AC667" s="1997"/>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7"/>
      <c r="F668" s="1997"/>
      <c r="G668" s="1997"/>
      <c r="H668" s="1997"/>
      <c r="I668" s="1997"/>
      <c r="J668" s="1997"/>
      <c r="K668" s="1997"/>
      <c r="L668" s="1997"/>
      <c r="M668" s="1997"/>
      <c r="N668" s="1997"/>
      <c r="O668" s="1997"/>
      <c r="P668" s="1997"/>
      <c r="Q668" s="1997"/>
      <c r="R668" s="1997"/>
      <c r="S668" s="1997"/>
      <c r="T668" s="1997"/>
      <c r="U668" s="1997"/>
      <c r="V668" s="1997"/>
      <c r="W668" s="1997"/>
      <c r="X668" s="1997"/>
      <c r="Y668" s="1997"/>
      <c r="Z668" s="1997"/>
      <c r="AA668" s="1997"/>
      <c r="AB668" s="1997"/>
      <c r="AC668" s="199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7" t="s">
        <v>1536</v>
      </c>
      <c r="F670" s="1997"/>
      <c r="G670" s="1997"/>
      <c r="H670" s="1997"/>
      <c r="I670" s="1997"/>
      <c r="J670" s="1997"/>
      <c r="K670" s="1997"/>
      <c r="L670" s="1997"/>
      <c r="M670" s="1997"/>
      <c r="N670" s="1997"/>
      <c r="O670" s="1997"/>
      <c r="P670" s="1997"/>
      <c r="Q670" s="1997"/>
      <c r="R670" s="1997"/>
      <c r="S670" s="1997"/>
      <c r="T670" s="1997"/>
      <c r="U670" s="1997"/>
      <c r="V670" s="1997"/>
      <c r="W670" s="1997"/>
      <c r="X670" s="1997"/>
      <c r="Y670" s="1997"/>
      <c r="Z670" s="1997"/>
      <c r="AA670" s="1997"/>
      <c r="AB670" s="1997"/>
      <c r="AC670" s="1997"/>
      <c r="AD670" s="570"/>
      <c r="AE670" s="570"/>
      <c r="AF670" s="1944" t="s">
        <v>1537</v>
      </c>
      <c r="AG670" s="1944"/>
      <c r="AH670" s="1944"/>
      <c r="AI670" s="1944"/>
      <c r="AJ670" s="1944"/>
      <c r="AK670" s="1944"/>
      <c r="AL670" s="1944"/>
      <c r="AM670" s="630"/>
      <c r="AN670" s="631"/>
      <c r="AO670" s="645" t="s">
        <v>697</v>
      </c>
      <c r="AP670" s="584">
        <v>3</v>
      </c>
    </row>
    <row r="671" spans="1:42" s="584" customFormat="1" ht="12.75" customHeight="1">
      <c r="A671" s="713"/>
      <c r="B671" s="570"/>
      <c r="C671" s="966"/>
      <c r="D671" s="697"/>
      <c r="E671" s="1997"/>
      <c r="F671" s="1997"/>
      <c r="G671" s="1997"/>
      <c r="H671" s="1997"/>
      <c r="I671" s="1997"/>
      <c r="J671" s="1997"/>
      <c r="K671" s="1997"/>
      <c r="L671" s="1997"/>
      <c r="M671" s="1997"/>
      <c r="N671" s="1997"/>
      <c r="O671" s="1997"/>
      <c r="P671" s="1997"/>
      <c r="Q671" s="1997"/>
      <c r="R671" s="1997"/>
      <c r="S671" s="1997"/>
      <c r="T671" s="1997"/>
      <c r="U671" s="1997"/>
      <c r="V671" s="1997"/>
      <c r="W671" s="1997"/>
      <c r="X671" s="1997"/>
      <c r="Y671" s="1997"/>
      <c r="Z671" s="1997"/>
      <c r="AA671" s="1997"/>
      <c r="AB671" s="1997"/>
      <c r="AC671" s="1997"/>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7"/>
      <c r="F672" s="1997"/>
      <c r="G672" s="1997"/>
      <c r="H672" s="1997"/>
      <c r="I672" s="1997"/>
      <c r="J672" s="1997"/>
      <c r="K672" s="1997"/>
      <c r="L672" s="1997"/>
      <c r="M672" s="1997"/>
      <c r="N672" s="1997"/>
      <c r="O672" s="1997"/>
      <c r="P672" s="1997"/>
      <c r="Q672" s="1997"/>
      <c r="R672" s="1997"/>
      <c r="S672" s="1997"/>
      <c r="T672" s="1997"/>
      <c r="U672" s="1997"/>
      <c r="V672" s="1997"/>
      <c r="W672" s="1997"/>
      <c r="X672" s="1997"/>
      <c r="Y672" s="1997"/>
      <c r="Z672" s="1997"/>
      <c r="AA672" s="1997"/>
      <c r="AB672" s="1997"/>
      <c r="AC672" s="199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6" t="s">
        <v>600</v>
      </c>
      <c r="I674" s="202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7">
        <f>VLOOKUP($H$674,$AO$622:$AP$629,2,FALSE)</f>
        <v>0</v>
      </c>
      <c r="AK676" s="197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159</v>
      </c>
    </row>
    <row r="680" spans="1:51" s="584" customFormat="1" ht="12.75" customHeight="1">
      <c r="A680" s="713"/>
      <c r="B680" s="570"/>
      <c r="C680" s="983"/>
      <c r="D680" s="697" t="s">
        <v>697</v>
      </c>
      <c r="E680" s="2033" t="s">
        <v>2555</v>
      </c>
      <c r="F680" s="2033"/>
      <c r="G680" s="2033"/>
      <c r="H680" s="2033"/>
      <c r="I680" s="2033"/>
      <c r="J680" s="2033"/>
      <c r="K680" s="2033"/>
      <c r="L680" s="2033"/>
      <c r="M680" s="2033"/>
      <c r="N680" s="2033"/>
      <c r="O680" s="2033"/>
      <c r="P680" s="2033"/>
      <c r="Q680" s="2033"/>
      <c r="R680" s="2033"/>
      <c r="S680" s="2033"/>
      <c r="T680" s="2033"/>
      <c r="U680" s="2033"/>
      <c r="V680" s="2033"/>
      <c r="W680" s="2033"/>
      <c r="X680" s="2033"/>
      <c r="Y680" s="2033"/>
      <c r="Z680" s="2033"/>
      <c r="AA680" s="2033"/>
      <c r="AB680" s="2033"/>
      <c r="AC680" s="570"/>
      <c r="AD680" s="570"/>
      <c r="AE680" s="570"/>
      <c r="AF680" s="1944" t="s">
        <v>1464</v>
      </c>
      <c r="AG680" s="1944"/>
      <c r="AH680" s="1944"/>
      <c r="AI680" s="1944"/>
      <c r="AJ680" s="1944"/>
      <c r="AK680" s="1944"/>
      <c r="AL680" s="1944"/>
      <c r="AN680" s="631"/>
      <c r="AW680" s="22" t="s">
        <v>2550</v>
      </c>
      <c r="AX680" s="584">
        <f>Application!CC632</f>
        <v>0</v>
      </c>
    </row>
    <row r="681" spans="1:51" s="584" customFormat="1" ht="12.75" customHeight="1">
      <c r="A681" s="713"/>
      <c r="B681" s="570"/>
      <c r="C681" s="983"/>
      <c r="D681" s="697"/>
      <c r="E681" s="2033"/>
      <c r="F681" s="2033"/>
      <c r="G681" s="2033"/>
      <c r="H681" s="2033"/>
      <c r="I681" s="2033"/>
      <c r="J681" s="2033"/>
      <c r="K681" s="2033"/>
      <c r="L681" s="2033"/>
      <c r="M681" s="2033"/>
      <c r="N681" s="2033"/>
      <c r="O681" s="2033"/>
      <c r="P681" s="2033"/>
      <c r="Q681" s="2033"/>
      <c r="R681" s="2033"/>
      <c r="S681" s="2033"/>
      <c r="T681" s="2033"/>
      <c r="U681" s="2033"/>
      <c r="V681" s="2033"/>
      <c r="W681" s="2033"/>
      <c r="X681" s="2033"/>
      <c r="Y681" s="2033"/>
      <c r="Z681" s="2033"/>
      <c r="AA681" s="2033"/>
      <c r="AB681" s="2033"/>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7" t="s">
        <v>2454</v>
      </c>
      <c r="F683" s="1997"/>
      <c r="G683" s="1997"/>
      <c r="H683" s="1997"/>
      <c r="I683" s="1997"/>
      <c r="J683" s="1997"/>
      <c r="K683" s="1997"/>
      <c r="L683" s="1997"/>
      <c r="M683" s="1997"/>
      <c r="N683" s="1997"/>
      <c r="O683" s="1997"/>
      <c r="P683" s="1997"/>
      <c r="Q683" s="1997"/>
      <c r="R683" s="1997"/>
      <c r="S683" s="1997"/>
      <c r="T683" s="1997"/>
      <c r="U683" s="1997"/>
      <c r="V683" s="1997"/>
      <c r="W683" s="1997"/>
      <c r="X683" s="1997"/>
      <c r="Y683" s="1997"/>
      <c r="Z683" s="1997"/>
      <c r="AA683" s="1997"/>
      <c r="AB683" s="1997"/>
      <c r="AC683" s="570"/>
      <c r="AD683" s="570"/>
      <c r="AE683" s="570"/>
      <c r="AF683" s="1944" t="s">
        <v>1464</v>
      </c>
      <c r="AG683" s="1944"/>
      <c r="AH683" s="1944"/>
      <c r="AI683" s="1944"/>
      <c r="AJ683" s="1944"/>
      <c r="AK683" s="1944"/>
      <c r="AL683" s="1944"/>
      <c r="AN683" s="631"/>
      <c r="AW683" s="22" t="s">
        <v>2553</v>
      </c>
      <c r="AX683" s="584">
        <f>AX680+AX681+AX682</f>
        <v>0</v>
      </c>
    </row>
    <row r="684" spans="1:51" s="584" customFormat="1" ht="12.75" customHeight="1">
      <c r="B684" s="570"/>
      <c r="C684" s="975"/>
      <c r="D684" s="697"/>
      <c r="E684" s="1997"/>
      <c r="F684" s="1997"/>
      <c r="G684" s="1997"/>
      <c r="H684" s="1997"/>
      <c r="I684" s="1997"/>
      <c r="J684" s="1997"/>
      <c r="K684" s="1997"/>
      <c r="L684" s="1997"/>
      <c r="M684" s="1997"/>
      <c r="N684" s="1997"/>
      <c r="O684" s="1997"/>
      <c r="P684" s="1997"/>
      <c r="Q684" s="1997"/>
      <c r="R684" s="1997"/>
      <c r="S684" s="1997"/>
      <c r="T684" s="1997"/>
      <c r="U684" s="1997"/>
      <c r="V684" s="1997"/>
      <c r="W684" s="1997"/>
      <c r="X684" s="1997"/>
      <c r="Y684" s="1997"/>
      <c r="Z684" s="1997"/>
      <c r="AA684" s="1997"/>
      <c r="AB684" s="1997"/>
      <c r="AC684" s="570"/>
      <c r="AD684" s="570"/>
      <c r="AE684" s="650"/>
      <c r="AF684" s="570"/>
      <c r="AG684" s="570"/>
      <c r="AH684" s="570"/>
      <c r="AI684" s="570"/>
      <c r="AJ684" s="570"/>
      <c r="AK684" s="570"/>
      <c r="AL684" s="570"/>
      <c r="AN684" s="631"/>
      <c r="AO684" s="2032" t="b">
        <f>IF(Application!D211="Special Needs",IF(AY684&gt;=0.25,TRUE,FALSE),IF(AX684&gt;=0.25,TRUE,FALSE))</f>
        <v>0</v>
      </c>
      <c r="AP684" s="2032"/>
      <c r="AW684" s="22" t="s">
        <v>2554</v>
      </c>
      <c r="AX684" s="584">
        <f>IFERROR(AX683/AX679,0)</f>
        <v>0</v>
      </c>
      <c r="AY684" s="584">
        <f>IFERROR(AX683/(AX679-AX678),0)</f>
        <v>0</v>
      </c>
    </row>
    <row r="685" spans="1:51" s="584" customFormat="1" ht="12.75" customHeight="1">
      <c r="B685" s="570"/>
      <c r="C685" s="975"/>
      <c r="E685" s="1997"/>
      <c r="F685" s="1997"/>
      <c r="G685" s="1997"/>
      <c r="H685" s="1997"/>
      <c r="I685" s="1997"/>
      <c r="J685" s="1997"/>
      <c r="K685" s="1997"/>
      <c r="L685" s="1997"/>
      <c r="M685" s="1997"/>
      <c r="N685" s="1997"/>
      <c r="O685" s="1997"/>
      <c r="P685" s="1997"/>
      <c r="Q685" s="1997"/>
      <c r="R685" s="1997"/>
      <c r="S685" s="1997"/>
      <c r="T685" s="1997"/>
      <c r="U685" s="1997"/>
      <c r="V685" s="1997"/>
      <c r="W685" s="1997"/>
      <c r="X685" s="1997"/>
      <c r="Y685" s="1997"/>
      <c r="Z685" s="1997"/>
      <c r="AA685" s="1997"/>
      <c r="AB685" s="1997"/>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7"/>
      <c r="F686" s="1997"/>
      <c r="G686" s="1997"/>
      <c r="H686" s="1997"/>
      <c r="I686" s="1997"/>
      <c r="J686" s="1997"/>
      <c r="K686" s="1997"/>
      <c r="L686" s="1997"/>
      <c r="M686" s="1997"/>
      <c r="N686" s="1997"/>
      <c r="O686" s="1997"/>
      <c r="P686" s="1997"/>
      <c r="Q686" s="1997"/>
      <c r="R686" s="1997"/>
      <c r="S686" s="1997"/>
      <c r="T686" s="1997"/>
      <c r="U686" s="1997"/>
      <c r="V686" s="1997"/>
      <c r="W686" s="1997"/>
      <c r="X686" s="1997"/>
      <c r="Y686" s="1997"/>
      <c r="Z686" s="1997"/>
      <c r="AA686" s="1997"/>
      <c r="AB686" s="1997"/>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7" t="s">
        <v>2455</v>
      </c>
      <c r="F688" s="1997"/>
      <c r="G688" s="1997"/>
      <c r="H688" s="1997"/>
      <c r="I688" s="1997"/>
      <c r="J688" s="1997"/>
      <c r="K688" s="1997"/>
      <c r="L688" s="1997"/>
      <c r="M688" s="1997"/>
      <c r="N688" s="1997"/>
      <c r="O688" s="1997"/>
      <c r="P688" s="1997"/>
      <c r="Q688" s="1997"/>
      <c r="R688" s="1997"/>
      <c r="S688" s="1997"/>
      <c r="T688" s="1997"/>
      <c r="U688" s="1997"/>
      <c r="V688" s="1997"/>
      <c r="W688" s="1997"/>
      <c r="X688" s="1997"/>
      <c r="Y688" s="1997"/>
      <c r="Z688" s="1997"/>
      <c r="AA688" s="1997"/>
      <c r="AB688" s="1997"/>
      <c r="AC688" s="570"/>
      <c r="AD688" s="570"/>
      <c r="AE688" s="570"/>
      <c r="AF688" s="1944" t="s">
        <v>1520</v>
      </c>
      <c r="AG688" s="1944"/>
      <c r="AH688" s="1944"/>
      <c r="AI688" s="1944"/>
      <c r="AJ688" s="1944"/>
      <c r="AK688" s="1944"/>
      <c r="AL688" s="1944"/>
      <c r="AN688" s="631"/>
      <c r="AO688" s="645" t="s">
        <v>518</v>
      </c>
      <c r="AP688" s="584">
        <v>1</v>
      </c>
    </row>
    <row r="689" spans="1:42" s="584" customFormat="1" ht="12" customHeight="1">
      <c r="B689" s="570"/>
      <c r="C689" s="966"/>
      <c r="E689" s="1997"/>
      <c r="F689" s="1997"/>
      <c r="G689" s="1997"/>
      <c r="H689" s="1997"/>
      <c r="I689" s="1997"/>
      <c r="J689" s="1997"/>
      <c r="K689" s="1997"/>
      <c r="L689" s="1997"/>
      <c r="M689" s="1997"/>
      <c r="N689" s="1997"/>
      <c r="O689" s="1997"/>
      <c r="P689" s="1997"/>
      <c r="Q689" s="1997"/>
      <c r="R689" s="1997"/>
      <c r="S689" s="1997"/>
      <c r="T689" s="1997"/>
      <c r="U689" s="1997"/>
      <c r="V689" s="1997"/>
      <c r="W689" s="1997"/>
      <c r="X689" s="1997"/>
      <c r="Y689" s="1997"/>
      <c r="Z689" s="1997"/>
      <c r="AA689" s="1997"/>
      <c r="AB689" s="1997"/>
      <c r="AC689" s="570"/>
      <c r="AD689" s="570"/>
      <c r="AE689" s="650"/>
      <c r="AF689" s="570"/>
      <c r="AG689" s="570"/>
      <c r="AH689" s="570"/>
      <c r="AI689" s="570"/>
      <c r="AJ689" s="570"/>
      <c r="AK689" s="570"/>
      <c r="AL689" s="570"/>
      <c r="AN689" s="631"/>
    </row>
    <row r="690" spans="1:42" s="584" customFormat="1" ht="12" customHeight="1">
      <c r="B690" s="570"/>
      <c r="C690" s="966"/>
      <c r="D690" s="570"/>
      <c r="E690" s="1997"/>
      <c r="F690" s="1997"/>
      <c r="G690" s="1997"/>
      <c r="H690" s="1997"/>
      <c r="I690" s="1997"/>
      <c r="J690" s="1997"/>
      <c r="K690" s="1997"/>
      <c r="L690" s="1997"/>
      <c r="M690" s="1997"/>
      <c r="N690" s="1997"/>
      <c r="O690" s="1997"/>
      <c r="P690" s="1997"/>
      <c r="Q690" s="1997"/>
      <c r="R690" s="1997"/>
      <c r="S690" s="1997"/>
      <c r="T690" s="1997"/>
      <c r="U690" s="1997"/>
      <c r="V690" s="1997"/>
      <c r="W690" s="1997"/>
      <c r="X690" s="1997"/>
      <c r="Y690" s="1997"/>
      <c r="Z690" s="1997"/>
      <c r="AA690" s="1997"/>
      <c r="AB690" s="1997"/>
      <c r="AC690" s="570"/>
      <c r="AD690" s="570"/>
      <c r="AE690" s="650"/>
      <c r="AF690" s="570"/>
      <c r="AG690" s="570"/>
      <c r="AH690" s="570"/>
      <c r="AI690" s="570"/>
      <c r="AJ690" s="570"/>
      <c r="AK690" s="570"/>
      <c r="AL690" s="570"/>
      <c r="AN690" s="631"/>
    </row>
    <row r="691" spans="1:42" s="584" customFormat="1" ht="12" customHeight="1">
      <c r="B691" s="570"/>
      <c r="C691" s="966"/>
      <c r="D691" s="570"/>
      <c r="E691" s="1997"/>
      <c r="F691" s="1997"/>
      <c r="G691" s="1997"/>
      <c r="H691" s="1997"/>
      <c r="I691" s="1997"/>
      <c r="J691" s="1997"/>
      <c r="K691" s="1997"/>
      <c r="L691" s="1997"/>
      <c r="M691" s="1997"/>
      <c r="N691" s="1997"/>
      <c r="O691" s="1997"/>
      <c r="P691" s="1997"/>
      <c r="Q691" s="1997"/>
      <c r="R691" s="1997"/>
      <c r="S691" s="1997"/>
      <c r="T691" s="1997"/>
      <c r="U691" s="1997"/>
      <c r="V691" s="1997"/>
      <c r="W691" s="1997"/>
      <c r="X691" s="1997"/>
      <c r="Y691" s="1997"/>
      <c r="Z691" s="1997"/>
      <c r="AA691" s="1997"/>
      <c r="AB691" s="1997"/>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7"/>
      <c r="F692" s="1997"/>
      <c r="G692" s="1997"/>
      <c r="H692" s="1997"/>
      <c r="I692" s="1997"/>
      <c r="J692" s="1997"/>
      <c r="K692" s="1997"/>
      <c r="L692" s="1997"/>
      <c r="M692" s="1997"/>
      <c r="N692" s="1997"/>
      <c r="O692" s="1997"/>
      <c r="P692" s="1997"/>
      <c r="Q692" s="1997"/>
      <c r="R692" s="1997"/>
      <c r="S692" s="1997"/>
      <c r="T692" s="1997"/>
      <c r="U692" s="1997"/>
      <c r="V692" s="1997"/>
      <c r="W692" s="1997"/>
      <c r="X692" s="1997"/>
      <c r="Y692" s="1997"/>
      <c r="Z692" s="1997"/>
      <c r="AA692" s="1997"/>
      <c r="AB692" s="1997"/>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7" t="s">
        <v>1884</v>
      </c>
      <c r="F694" s="1997"/>
      <c r="G694" s="1997"/>
      <c r="H694" s="1997"/>
      <c r="I694" s="1997"/>
      <c r="J694" s="1997"/>
      <c r="K694" s="1997"/>
      <c r="L694" s="1997"/>
      <c r="M694" s="1997"/>
      <c r="N694" s="1997"/>
      <c r="O694" s="1997"/>
      <c r="P694" s="1997"/>
      <c r="Q694" s="1997"/>
      <c r="R694" s="1997"/>
      <c r="S694" s="1997"/>
      <c r="T694" s="1997"/>
      <c r="U694" s="1997"/>
      <c r="V694" s="1997"/>
      <c r="W694" s="1997"/>
      <c r="X694" s="1997"/>
      <c r="Y694" s="1997"/>
      <c r="Z694" s="1997"/>
      <c r="AA694" s="1997"/>
      <c r="AB694" s="1997"/>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7"/>
      <c r="F695" s="1997"/>
      <c r="G695" s="1997"/>
      <c r="H695" s="1997"/>
      <c r="I695" s="1997"/>
      <c r="J695" s="1997"/>
      <c r="K695" s="1997"/>
      <c r="L695" s="1997"/>
      <c r="M695" s="1997"/>
      <c r="N695" s="1997"/>
      <c r="O695" s="1997"/>
      <c r="P695" s="1997"/>
      <c r="Q695" s="1997"/>
      <c r="R695" s="1997"/>
      <c r="S695" s="1997"/>
      <c r="T695" s="1997"/>
      <c r="U695" s="1997"/>
      <c r="V695" s="1997"/>
      <c r="W695" s="1997"/>
      <c r="X695" s="1997"/>
      <c r="Y695" s="1997"/>
      <c r="Z695" s="1997"/>
      <c r="AA695" s="1997"/>
      <c r="AB695" s="199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7"/>
      <c r="F696" s="1997"/>
      <c r="G696" s="1997"/>
      <c r="H696" s="1997"/>
      <c r="I696" s="1997"/>
      <c r="J696" s="1997"/>
      <c r="K696" s="1997"/>
      <c r="L696" s="1997"/>
      <c r="M696" s="1997"/>
      <c r="N696" s="1997"/>
      <c r="O696" s="1997"/>
      <c r="P696" s="1997"/>
      <c r="Q696" s="1997"/>
      <c r="R696" s="1997"/>
      <c r="S696" s="1997"/>
      <c r="T696" s="1997"/>
      <c r="U696" s="1997"/>
      <c r="V696" s="1997"/>
      <c r="W696" s="1997"/>
      <c r="X696" s="1997"/>
      <c r="Y696" s="1997"/>
      <c r="Z696" s="1997"/>
      <c r="AA696" s="1997"/>
      <c r="AB696" s="199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6" t="s">
        <v>600</v>
      </c>
      <c r="I698" s="202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7">
        <f>VLOOKUP($H$698,$AO$692:$AP$694,2,FALSE)</f>
        <v>0</v>
      </c>
      <c r="AK700" s="1979"/>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34" t="s">
        <v>1886</v>
      </c>
      <c r="F704" s="2034"/>
      <c r="G704" s="2034"/>
      <c r="H704" s="2034"/>
      <c r="I704" s="2034"/>
      <c r="J704" s="2034"/>
      <c r="K704" s="2034"/>
      <c r="L704" s="2034"/>
      <c r="M704" s="2034"/>
      <c r="N704" s="2034"/>
      <c r="O704" s="2034"/>
      <c r="P704" s="2034"/>
      <c r="Q704" s="2034"/>
      <c r="R704" s="2034"/>
      <c r="S704" s="2034"/>
      <c r="T704" s="2034"/>
      <c r="U704" s="2034"/>
      <c r="V704" s="2034"/>
      <c r="W704" s="2034"/>
      <c r="X704" s="2034"/>
      <c r="Y704" s="2034"/>
      <c r="Z704" s="2034"/>
      <c r="AA704" s="2034"/>
      <c r="AB704" s="2034"/>
      <c r="AC704" s="570"/>
      <c r="AD704" s="570"/>
      <c r="AE704" s="570"/>
      <c r="AF704" s="1944" t="s">
        <v>1464</v>
      </c>
      <c r="AG704" s="1944"/>
      <c r="AH704" s="1944"/>
      <c r="AI704" s="1944"/>
      <c r="AJ704" s="1944"/>
      <c r="AK704" s="1944"/>
      <c r="AL704" s="1944"/>
      <c r="AM704" s="584"/>
      <c r="AN704" s="718"/>
      <c r="AP704" s="604" t="s">
        <v>1544</v>
      </c>
    </row>
    <row r="705" spans="1:52" s="604" customFormat="1" ht="11.85" customHeight="1">
      <c r="A705" s="584"/>
      <c r="B705" s="570"/>
      <c r="C705" s="968"/>
      <c r="D705" s="697"/>
      <c r="E705" s="2034"/>
      <c r="F705" s="2034"/>
      <c r="G705" s="2034"/>
      <c r="H705" s="2034"/>
      <c r="I705" s="2034"/>
      <c r="J705" s="2034"/>
      <c r="K705" s="2034"/>
      <c r="L705" s="2034"/>
      <c r="M705" s="2034"/>
      <c r="N705" s="2034"/>
      <c r="O705" s="2034"/>
      <c r="P705" s="2034"/>
      <c r="Q705" s="2034"/>
      <c r="R705" s="2034"/>
      <c r="S705" s="2034"/>
      <c r="T705" s="2034"/>
      <c r="U705" s="2034"/>
      <c r="V705" s="2034"/>
      <c r="W705" s="2034"/>
      <c r="X705" s="2034"/>
      <c r="Y705" s="2034"/>
      <c r="Z705" s="2034"/>
      <c r="AA705" s="2034"/>
      <c r="AB705" s="2034"/>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34"/>
      <c r="F706" s="2034"/>
      <c r="G706" s="2034"/>
      <c r="H706" s="2034"/>
      <c r="I706" s="2034"/>
      <c r="J706" s="2034"/>
      <c r="K706" s="2034"/>
      <c r="L706" s="2034"/>
      <c r="M706" s="2034"/>
      <c r="N706" s="2034"/>
      <c r="O706" s="2034"/>
      <c r="P706" s="2034"/>
      <c r="Q706" s="2034"/>
      <c r="R706" s="2034"/>
      <c r="S706" s="2034"/>
      <c r="T706" s="2034"/>
      <c r="U706" s="2034"/>
      <c r="V706" s="2034"/>
      <c r="W706" s="2034"/>
      <c r="X706" s="2034"/>
      <c r="Y706" s="2034"/>
      <c r="Z706" s="2034"/>
      <c r="AA706" s="2034"/>
      <c r="AB706" s="2034"/>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35" t="s">
        <v>1547</v>
      </c>
      <c r="F708" s="2035"/>
      <c r="G708" s="2035"/>
      <c r="H708" s="2035"/>
      <c r="I708" s="2035"/>
      <c r="J708" s="2035"/>
      <c r="K708" s="2035"/>
      <c r="L708" s="2035"/>
      <c r="M708" s="2035"/>
      <c r="N708" s="2035"/>
      <c r="O708" s="2035"/>
      <c r="P708" s="2035"/>
      <c r="Q708" s="2035"/>
      <c r="R708" s="2035"/>
      <c r="S708" s="2035"/>
      <c r="T708" s="2035"/>
      <c r="U708" s="2035"/>
      <c r="V708" s="2035"/>
      <c r="W708" s="2035"/>
      <c r="X708" s="2035"/>
      <c r="Y708" s="2035"/>
      <c r="Z708" s="2035"/>
      <c r="AA708" s="2035"/>
      <c r="AB708" s="2035"/>
      <c r="AC708" s="570"/>
      <c r="AD708" s="570"/>
      <c r="AE708" s="570"/>
      <c r="AF708" s="1944" t="s">
        <v>1520</v>
      </c>
      <c r="AG708" s="1944"/>
      <c r="AH708" s="1944"/>
      <c r="AI708" s="1944"/>
      <c r="AJ708" s="1944"/>
      <c r="AK708" s="1944"/>
      <c r="AL708" s="1944"/>
      <c r="AM708" s="584"/>
      <c r="AN708" s="719"/>
    </row>
    <row r="709" spans="1:52" s="604" customFormat="1" ht="12.75" customHeight="1">
      <c r="A709" s="584"/>
      <c r="B709" s="570"/>
      <c r="C709" s="968"/>
      <c r="D709" s="570"/>
      <c r="E709" s="2035"/>
      <c r="F709" s="2035"/>
      <c r="G709" s="2035"/>
      <c r="H709" s="2035"/>
      <c r="I709" s="2035"/>
      <c r="J709" s="2035"/>
      <c r="K709" s="2035"/>
      <c r="L709" s="2035"/>
      <c r="M709" s="2035"/>
      <c r="N709" s="2035"/>
      <c r="O709" s="2035"/>
      <c r="P709" s="2035"/>
      <c r="Q709" s="2035"/>
      <c r="R709" s="2035"/>
      <c r="S709" s="2035"/>
      <c r="T709" s="2035"/>
      <c r="U709" s="2035"/>
      <c r="V709" s="2035"/>
      <c r="W709" s="2035"/>
      <c r="X709" s="2035"/>
      <c r="Y709" s="2035"/>
      <c r="Z709" s="2035"/>
      <c r="AA709" s="2035"/>
      <c r="AB709" s="2035"/>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35"/>
      <c r="F710" s="2035"/>
      <c r="G710" s="2035"/>
      <c r="H710" s="2035"/>
      <c r="I710" s="2035"/>
      <c r="J710" s="2035"/>
      <c r="K710" s="2035"/>
      <c r="L710" s="2035"/>
      <c r="M710" s="2035"/>
      <c r="N710" s="2035"/>
      <c r="O710" s="2035"/>
      <c r="P710" s="2035"/>
      <c r="Q710" s="2035"/>
      <c r="R710" s="2035"/>
      <c r="S710" s="2035"/>
      <c r="T710" s="2035"/>
      <c r="U710" s="2035"/>
      <c r="V710" s="2035"/>
      <c r="W710" s="2035"/>
      <c r="X710" s="2035"/>
      <c r="Y710" s="2035"/>
      <c r="Z710" s="2035"/>
      <c r="AA710" s="2035"/>
      <c r="AB710" s="2035"/>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6" t="s">
        <v>600</v>
      </c>
      <c r="I712" s="202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7">
        <f>VLOOKUP($H$712,$AP$709:$AQ$711,2,FALSE)</f>
        <v>0</v>
      </c>
      <c r="AK714" s="1979"/>
      <c r="AL714" s="629"/>
      <c r="AM714" s="584"/>
      <c r="AN714" s="718"/>
      <c r="AP714" s="1977"/>
      <c r="AQ714" s="197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7" t="s">
        <v>1887</v>
      </c>
      <c r="F718" s="1997"/>
      <c r="G718" s="1997"/>
      <c r="H718" s="1997"/>
      <c r="I718" s="1997"/>
      <c r="J718" s="1997"/>
      <c r="K718" s="1997"/>
      <c r="L718" s="1997"/>
      <c r="M718" s="1997"/>
      <c r="N718" s="1997"/>
      <c r="O718" s="1997"/>
      <c r="P718" s="1997"/>
      <c r="Q718" s="1997"/>
      <c r="R718" s="1997"/>
      <c r="S718" s="1997"/>
      <c r="T718" s="1997"/>
      <c r="U718" s="1997"/>
      <c r="V718" s="1997"/>
      <c r="W718" s="1997"/>
      <c r="X718" s="1997"/>
      <c r="Y718" s="1997"/>
      <c r="Z718" s="1997"/>
      <c r="AA718" s="1997"/>
      <c r="AB718" s="1997"/>
      <c r="AC718" s="570"/>
      <c r="AD718" s="570"/>
      <c r="AE718" s="570"/>
      <c r="AF718" s="1944" t="s">
        <v>1464</v>
      </c>
      <c r="AG718" s="1944"/>
      <c r="AH718" s="1944"/>
      <c r="AI718" s="1944"/>
      <c r="AJ718" s="1944"/>
      <c r="AK718" s="1944"/>
      <c r="AL718" s="1944"/>
      <c r="AM718" s="584"/>
      <c r="AN718" s="718"/>
      <c r="AT718" s="14"/>
      <c r="AU718" s="14"/>
      <c r="AV718" s="14"/>
      <c r="AW718" s="14"/>
      <c r="AX718" s="14"/>
      <c r="AY718" s="14"/>
      <c r="AZ718" s="14"/>
    </row>
    <row r="719" spans="1:52" s="604" customFormat="1">
      <c r="A719" s="584"/>
      <c r="B719" s="570"/>
      <c r="C719" s="968"/>
      <c r="D719" s="697"/>
      <c r="E719" s="1997"/>
      <c r="F719" s="1997"/>
      <c r="G719" s="1997"/>
      <c r="H719" s="1997"/>
      <c r="I719" s="1997"/>
      <c r="J719" s="1997"/>
      <c r="K719" s="1997"/>
      <c r="L719" s="1997"/>
      <c r="M719" s="1997"/>
      <c r="N719" s="1997"/>
      <c r="O719" s="1997"/>
      <c r="P719" s="1997"/>
      <c r="Q719" s="1997"/>
      <c r="R719" s="1997"/>
      <c r="S719" s="1997"/>
      <c r="T719" s="1997"/>
      <c r="U719" s="1997"/>
      <c r="V719" s="1997"/>
      <c r="W719" s="1997"/>
      <c r="X719" s="1997"/>
      <c r="Y719" s="1997"/>
      <c r="Z719" s="1997"/>
      <c r="AA719" s="1997"/>
      <c r="AB719" s="199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7" t="s">
        <v>1551</v>
      </c>
      <c r="F721" s="1997"/>
      <c r="G721" s="1997"/>
      <c r="H721" s="1997"/>
      <c r="I721" s="1997"/>
      <c r="J721" s="1997"/>
      <c r="K721" s="1997"/>
      <c r="L721" s="1997"/>
      <c r="M721" s="1997"/>
      <c r="N721" s="1997"/>
      <c r="O721" s="1997"/>
      <c r="P721" s="1997"/>
      <c r="Q721" s="1997"/>
      <c r="R721" s="1997"/>
      <c r="S721" s="1997"/>
      <c r="T721" s="1997"/>
      <c r="U721" s="1997"/>
      <c r="V721" s="1997"/>
      <c r="W721" s="1997"/>
      <c r="X721" s="1997"/>
      <c r="Y721" s="1997"/>
      <c r="Z721" s="1997"/>
      <c r="AA721" s="1997"/>
      <c r="AB721" s="1997"/>
      <c r="AC721" s="570"/>
      <c r="AD721" s="570"/>
      <c r="AE721" s="570"/>
      <c r="AF721" s="1944" t="s">
        <v>1520</v>
      </c>
      <c r="AG721" s="1944"/>
      <c r="AH721" s="1944"/>
      <c r="AI721" s="1944"/>
      <c r="AJ721" s="1944"/>
      <c r="AK721" s="1944"/>
      <c r="AL721" s="1944"/>
      <c r="AM721" s="584"/>
      <c r="AN721" s="718"/>
      <c r="AT721" s="14"/>
      <c r="AU721" s="14"/>
      <c r="AV721" s="14"/>
      <c r="AW721" s="14"/>
      <c r="AX721" s="14"/>
      <c r="AY721" s="14"/>
      <c r="AZ721" s="14"/>
    </row>
    <row r="722" spans="1:81" s="604" customFormat="1">
      <c r="A722" s="584"/>
      <c r="B722" s="570"/>
      <c r="C722" s="968"/>
      <c r="D722" s="570"/>
      <c r="E722" s="1997"/>
      <c r="F722" s="1997"/>
      <c r="G722" s="1997"/>
      <c r="H722" s="1997"/>
      <c r="I722" s="1997"/>
      <c r="J722" s="1997"/>
      <c r="K722" s="1997"/>
      <c r="L722" s="1997"/>
      <c r="M722" s="1997"/>
      <c r="N722" s="1997"/>
      <c r="O722" s="1997"/>
      <c r="P722" s="1997"/>
      <c r="Q722" s="1997"/>
      <c r="R722" s="1997"/>
      <c r="S722" s="1997"/>
      <c r="T722" s="1997"/>
      <c r="U722" s="1997"/>
      <c r="V722" s="1997"/>
      <c r="W722" s="1997"/>
      <c r="X722" s="1997"/>
      <c r="Y722" s="1997"/>
      <c r="Z722" s="1997"/>
      <c r="AA722" s="1997"/>
      <c r="AB722" s="199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6" t="s">
        <v>600</v>
      </c>
      <c r="I724" s="202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7">
        <f>VLOOKUP($H$724,$AO$655:$AP$657,2,FALSE)</f>
        <v>0</v>
      </c>
      <c r="AK726" s="197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7" t="s">
        <v>1554</v>
      </c>
      <c r="F730" s="1997"/>
      <c r="G730" s="1997"/>
      <c r="H730" s="1997"/>
      <c r="I730" s="1997"/>
      <c r="J730" s="1997"/>
      <c r="K730" s="1997"/>
      <c r="L730" s="1997"/>
      <c r="M730" s="1997"/>
      <c r="N730" s="1997"/>
      <c r="O730" s="1997"/>
      <c r="P730" s="1997"/>
      <c r="Q730" s="1997"/>
      <c r="R730" s="1997"/>
      <c r="S730" s="1997"/>
      <c r="T730" s="1997"/>
      <c r="U730" s="1997"/>
      <c r="V730" s="1997"/>
      <c r="W730" s="1997"/>
      <c r="X730" s="1997"/>
      <c r="Y730" s="1997"/>
      <c r="Z730" s="1997"/>
      <c r="AA730" s="1997"/>
      <c r="AB730" s="1997"/>
      <c r="AC730" s="570"/>
      <c r="AD730" s="570"/>
      <c r="AE730" s="570"/>
      <c r="AF730" s="1944" t="s">
        <v>1464</v>
      </c>
      <c r="AG730" s="1944"/>
      <c r="AH730" s="1944"/>
      <c r="AI730" s="1944"/>
      <c r="AJ730" s="1944"/>
      <c r="AK730" s="1944"/>
      <c r="AL730" s="1944"/>
      <c r="AM730" s="584"/>
      <c r="AN730" s="718"/>
      <c r="AT730" s="14"/>
      <c r="AU730" s="14"/>
      <c r="AV730" s="14"/>
      <c r="AW730" s="14"/>
      <c r="AX730" s="14"/>
      <c r="AY730" s="14"/>
      <c r="AZ730" s="14"/>
    </row>
    <row r="731" spans="1:81" s="604" customFormat="1">
      <c r="A731" s="584"/>
      <c r="B731" s="570"/>
      <c r="C731" s="966"/>
      <c r="D731" s="697"/>
      <c r="E731" s="1997"/>
      <c r="F731" s="1997"/>
      <c r="G731" s="1997"/>
      <c r="H731" s="1997"/>
      <c r="I731" s="1997"/>
      <c r="J731" s="1997"/>
      <c r="K731" s="1997"/>
      <c r="L731" s="1997"/>
      <c r="M731" s="1997"/>
      <c r="N731" s="1997"/>
      <c r="O731" s="1997"/>
      <c r="P731" s="1997"/>
      <c r="Q731" s="1997"/>
      <c r="R731" s="1997"/>
      <c r="S731" s="1997"/>
      <c r="T731" s="1997"/>
      <c r="U731" s="1997"/>
      <c r="V731" s="1997"/>
      <c r="W731" s="1997"/>
      <c r="X731" s="1997"/>
      <c r="Y731" s="1997"/>
      <c r="Z731" s="1997"/>
      <c r="AA731" s="1997"/>
      <c r="AB731" s="199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7"/>
      <c r="F732" s="1997"/>
      <c r="G732" s="1997"/>
      <c r="H732" s="1997"/>
      <c r="I732" s="1997"/>
      <c r="J732" s="1997"/>
      <c r="K732" s="1997"/>
      <c r="L732" s="1997"/>
      <c r="M732" s="1997"/>
      <c r="N732" s="1997"/>
      <c r="O732" s="1997"/>
      <c r="P732" s="1997"/>
      <c r="Q732" s="1997"/>
      <c r="R732" s="1997"/>
      <c r="S732" s="1997"/>
      <c r="T732" s="1997"/>
      <c r="U732" s="1997"/>
      <c r="V732" s="1997"/>
      <c r="W732" s="1997"/>
      <c r="X732" s="1997"/>
      <c r="Y732" s="1997"/>
      <c r="Z732" s="1997"/>
      <c r="AA732" s="1997"/>
      <c r="AB732" s="199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7"/>
      <c r="F733" s="1997"/>
      <c r="G733" s="1997"/>
      <c r="H733" s="1997"/>
      <c r="I733" s="1997"/>
      <c r="J733" s="1997"/>
      <c r="K733" s="1997"/>
      <c r="L733" s="1997"/>
      <c r="M733" s="1997"/>
      <c r="N733" s="1997"/>
      <c r="O733" s="1997"/>
      <c r="P733" s="1997"/>
      <c r="Q733" s="1997"/>
      <c r="R733" s="1997"/>
      <c r="S733" s="1997"/>
      <c r="T733" s="1997"/>
      <c r="U733" s="1997"/>
      <c r="V733" s="1997"/>
      <c r="W733" s="1997"/>
      <c r="X733" s="1997"/>
      <c r="Y733" s="1997"/>
      <c r="Z733" s="1997"/>
      <c r="AA733" s="1997"/>
      <c r="AB733" s="199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7" t="s">
        <v>1555</v>
      </c>
      <c r="F735" s="1997"/>
      <c r="G735" s="1997"/>
      <c r="H735" s="1997"/>
      <c r="I735" s="1997"/>
      <c r="J735" s="1997"/>
      <c r="K735" s="1997"/>
      <c r="L735" s="1997"/>
      <c r="M735" s="1997"/>
      <c r="N735" s="1997"/>
      <c r="O735" s="1997"/>
      <c r="P735" s="1997"/>
      <c r="Q735" s="1997"/>
      <c r="R735" s="1997"/>
      <c r="S735" s="1997"/>
      <c r="T735" s="1997"/>
      <c r="U735" s="1997"/>
      <c r="V735" s="1997"/>
      <c r="W735" s="1997"/>
      <c r="X735" s="1997"/>
      <c r="Y735" s="1997"/>
      <c r="Z735" s="1997"/>
      <c r="AA735" s="1997"/>
      <c r="AB735" s="609"/>
      <c r="AC735" s="570"/>
      <c r="AD735" s="570"/>
      <c r="AE735" s="570"/>
      <c r="AF735" s="1944" t="s">
        <v>1520</v>
      </c>
      <c r="AG735" s="1944"/>
      <c r="AH735" s="1944"/>
      <c r="AI735" s="1944"/>
      <c r="AJ735" s="1944"/>
      <c r="AK735" s="1944"/>
      <c r="AL735" s="1944"/>
      <c r="AM735" s="584"/>
      <c r="AN735" s="718"/>
      <c r="AO735" s="30"/>
      <c r="AP735" s="14"/>
    </row>
    <row r="736" spans="1:81" s="604" customFormat="1">
      <c r="A736" s="584"/>
      <c r="B736" s="570"/>
      <c r="C736" s="966"/>
      <c r="D736" s="697"/>
      <c r="E736" s="1997"/>
      <c r="F736" s="1997"/>
      <c r="G736" s="1997"/>
      <c r="H736" s="1997"/>
      <c r="I736" s="1997"/>
      <c r="J736" s="1997"/>
      <c r="K736" s="1997"/>
      <c r="L736" s="1997"/>
      <c r="M736" s="1997"/>
      <c r="N736" s="1997"/>
      <c r="O736" s="1997"/>
      <c r="P736" s="1997"/>
      <c r="Q736" s="1997"/>
      <c r="R736" s="1997"/>
      <c r="S736" s="1997"/>
      <c r="T736" s="1997"/>
      <c r="U736" s="1997"/>
      <c r="V736" s="1997"/>
      <c r="W736" s="1997"/>
      <c r="X736" s="1997"/>
      <c r="Y736" s="1997"/>
      <c r="Z736" s="1997"/>
      <c r="AA736" s="1997"/>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7"/>
      <c r="F737" s="1997"/>
      <c r="G737" s="1997"/>
      <c r="H737" s="1997"/>
      <c r="I737" s="1997"/>
      <c r="J737" s="1997"/>
      <c r="K737" s="1997"/>
      <c r="L737" s="1997"/>
      <c r="M737" s="1997"/>
      <c r="N737" s="1997"/>
      <c r="O737" s="1997"/>
      <c r="P737" s="1997"/>
      <c r="Q737" s="1997"/>
      <c r="R737" s="1997"/>
      <c r="S737" s="1997"/>
      <c r="T737" s="1997"/>
      <c r="U737" s="1997"/>
      <c r="V737" s="1997"/>
      <c r="W737" s="1997"/>
      <c r="X737" s="1997"/>
      <c r="Y737" s="1997"/>
      <c r="Z737" s="1997"/>
      <c r="AA737" s="1997"/>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7"/>
      <c r="F738" s="1997"/>
      <c r="G738" s="1997"/>
      <c r="H738" s="1997"/>
      <c r="I738" s="1997"/>
      <c r="J738" s="1997"/>
      <c r="K738" s="1997"/>
      <c r="L738" s="1997"/>
      <c r="M738" s="1997"/>
      <c r="N738" s="1997"/>
      <c r="O738" s="1997"/>
      <c r="P738" s="1997"/>
      <c r="Q738" s="1997"/>
      <c r="R738" s="1997"/>
      <c r="S738" s="1997"/>
      <c r="T738" s="1997"/>
      <c r="U738" s="1997"/>
      <c r="V738" s="1997"/>
      <c r="W738" s="1997"/>
      <c r="X738" s="1997"/>
      <c r="Y738" s="1997"/>
      <c r="Z738" s="1997"/>
      <c r="AA738" s="1997"/>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6" t="s">
        <v>518</v>
      </c>
      <c r="I740" s="202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7">
        <f>VLOOKUP($H$740,$AO$669:$AP$671,2,FALSE)</f>
        <v>2</v>
      </c>
      <c r="AK742" s="197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7" t="s">
        <v>1557</v>
      </c>
      <c r="F746" s="1997"/>
      <c r="G746" s="1997"/>
      <c r="H746" s="1997"/>
      <c r="I746" s="1997"/>
      <c r="J746" s="1997"/>
      <c r="K746" s="1997"/>
      <c r="L746" s="1997"/>
      <c r="M746" s="1997"/>
      <c r="N746" s="1997"/>
      <c r="O746" s="1997"/>
      <c r="P746" s="1997"/>
      <c r="Q746" s="1997"/>
      <c r="R746" s="1997"/>
      <c r="S746" s="1997"/>
      <c r="T746" s="1997"/>
      <c r="U746" s="1997"/>
      <c r="V746" s="1997"/>
      <c r="W746" s="1997"/>
      <c r="X746" s="1997"/>
      <c r="Y746" s="1997"/>
      <c r="Z746" s="1997"/>
      <c r="AA746" s="1997"/>
      <c r="AB746" s="1997"/>
      <c r="AC746" s="570"/>
      <c r="AD746" s="570"/>
      <c r="AE746" s="570"/>
      <c r="AF746" s="1944" t="s">
        <v>1520</v>
      </c>
      <c r="AG746" s="1944"/>
      <c r="AH746" s="1944"/>
      <c r="AI746" s="1944"/>
      <c r="AJ746" s="1944"/>
      <c r="AK746" s="1944"/>
      <c r="AL746" s="194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7"/>
      <c r="F747" s="1997"/>
      <c r="G747" s="1997"/>
      <c r="H747" s="1997"/>
      <c r="I747" s="1997"/>
      <c r="J747" s="1997"/>
      <c r="K747" s="1997"/>
      <c r="L747" s="1997"/>
      <c r="M747" s="1997"/>
      <c r="N747" s="1997"/>
      <c r="O747" s="1997"/>
      <c r="P747" s="1997"/>
      <c r="Q747" s="1997"/>
      <c r="R747" s="1997"/>
      <c r="S747" s="1997"/>
      <c r="T747" s="1997"/>
      <c r="U747" s="1997"/>
      <c r="V747" s="1997"/>
      <c r="W747" s="1997"/>
      <c r="X747" s="1997"/>
      <c r="Y747" s="1997"/>
      <c r="Z747" s="1997"/>
      <c r="AA747" s="1997"/>
      <c r="AB747" s="199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7" t="s">
        <v>1558</v>
      </c>
      <c r="F749" s="1997"/>
      <c r="G749" s="1997"/>
      <c r="H749" s="1997"/>
      <c r="I749" s="1997"/>
      <c r="J749" s="1997"/>
      <c r="K749" s="1997"/>
      <c r="L749" s="1997"/>
      <c r="M749" s="1997"/>
      <c r="N749" s="1997"/>
      <c r="O749" s="1997"/>
      <c r="P749" s="1997"/>
      <c r="Q749" s="1997"/>
      <c r="R749" s="1997"/>
      <c r="S749" s="1997"/>
      <c r="T749" s="1997"/>
      <c r="U749" s="1997"/>
      <c r="V749" s="1997"/>
      <c r="W749" s="1997"/>
      <c r="X749" s="1997"/>
      <c r="Y749" s="1997"/>
      <c r="Z749" s="1997"/>
      <c r="AA749" s="1997"/>
      <c r="AB749" s="1997"/>
      <c r="AC749" s="570"/>
      <c r="AD749" s="570"/>
      <c r="AE749" s="570"/>
      <c r="AF749" s="1944" t="s">
        <v>1537</v>
      </c>
      <c r="AG749" s="1944"/>
      <c r="AH749" s="1944"/>
      <c r="AI749" s="1944"/>
      <c r="AJ749" s="1944"/>
      <c r="AK749" s="1944"/>
      <c r="AL749" s="194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7"/>
      <c r="F750" s="1997"/>
      <c r="G750" s="1997"/>
      <c r="H750" s="1997"/>
      <c r="I750" s="1997"/>
      <c r="J750" s="1997"/>
      <c r="K750" s="1997"/>
      <c r="L750" s="1997"/>
      <c r="M750" s="1997"/>
      <c r="N750" s="1997"/>
      <c r="O750" s="1997"/>
      <c r="P750" s="1997"/>
      <c r="Q750" s="1997"/>
      <c r="R750" s="1997"/>
      <c r="S750" s="1997"/>
      <c r="T750" s="1997"/>
      <c r="U750" s="1997"/>
      <c r="V750" s="1997"/>
      <c r="W750" s="1997"/>
      <c r="X750" s="1997"/>
      <c r="Y750" s="1997"/>
      <c r="Z750" s="1997"/>
      <c r="AA750" s="1997"/>
      <c r="AB750" s="199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6" t="s">
        <v>697</v>
      </c>
      <c r="I752" s="202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7">
        <f>VLOOKUP($H$752,$AO$686:$AP$688,2,FALSE)</f>
        <v>2</v>
      </c>
      <c r="AK754" s="197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7" t="s">
        <v>1883</v>
      </c>
      <c r="F758" s="1997"/>
      <c r="G758" s="1997"/>
      <c r="H758" s="1997"/>
      <c r="I758" s="1997"/>
      <c r="J758" s="1997"/>
      <c r="K758" s="1997"/>
      <c r="L758" s="1997"/>
      <c r="M758" s="1997"/>
      <c r="N758" s="1997"/>
      <c r="O758" s="1997"/>
      <c r="P758" s="1997"/>
      <c r="Q758" s="1997"/>
      <c r="R758" s="1997"/>
      <c r="S758" s="1997"/>
      <c r="T758" s="1997"/>
      <c r="U758" s="1997"/>
      <c r="V758" s="1997"/>
      <c r="W758" s="1997"/>
      <c r="X758" s="1997"/>
      <c r="Y758" s="1997"/>
      <c r="Z758" s="1997"/>
      <c r="AA758" s="1997"/>
      <c r="AB758" s="1997"/>
      <c r="AC758" s="1997"/>
      <c r="AD758" s="1997"/>
      <c r="AE758" s="570"/>
      <c r="AF758" s="1944" t="s">
        <v>1520</v>
      </c>
      <c r="AG758" s="1944"/>
      <c r="AH758" s="1944"/>
      <c r="AI758" s="1944"/>
      <c r="AJ758" s="1944"/>
      <c r="AK758" s="1944"/>
      <c r="AL758" s="1944"/>
      <c r="AM758" s="647"/>
      <c r="AN758" s="718"/>
      <c r="AO758" s="584" t="s">
        <v>600</v>
      </c>
      <c r="AP758" s="707">
        <v>0</v>
      </c>
    </row>
    <row r="759" spans="1:74" s="604" customFormat="1" ht="13.7" customHeight="1">
      <c r="A759" s="584"/>
      <c r="B759" s="650"/>
      <c r="C759" s="975"/>
      <c r="D759" s="697"/>
      <c r="E759" s="1997"/>
      <c r="F759" s="1997"/>
      <c r="G759" s="1997"/>
      <c r="H759" s="1997"/>
      <c r="I759" s="1997"/>
      <c r="J759" s="1997"/>
      <c r="K759" s="1997"/>
      <c r="L759" s="1997"/>
      <c r="M759" s="1997"/>
      <c r="N759" s="1997"/>
      <c r="O759" s="1997"/>
      <c r="P759" s="1997"/>
      <c r="Q759" s="1997"/>
      <c r="R759" s="1997"/>
      <c r="S759" s="1997"/>
      <c r="T759" s="1997"/>
      <c r="U759" s="1997"/>
      <c r="V759" s="1997"/>
      <c r="W759" s="1997"/>
      <c r="X759" s="1997"/>
      <c r="Y759" s="1997"/>
      <c r="Z759" s="1997"/>
      <c r="AA759" s="1997"/>
      <c r="AB759" s="1997"/>
      <c r="AC759" s="1997"/>
      <c r="AD759" s="1997"/>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7"/>
      <c r="F760" s="1997"/>
      <c r="G760" s="1997"/>
      <c r="H760" s="1997"/>
      <c r="I760" s="1997"/>
      <c r="J760" s="1997"/>
      <c r="K760" s="1997"/>
      <c r="L760" s="1997"/>
      <c r="M760" s="1997"/>
      <c r="N760" s="1997"/>
      <c r="O760" s="1997"/>
      <c r="P760" s="1997"/>
      <c r="Q760" s="1997"/>
      <c r="R760" s="1997"/>
      <c r="S760" s="1997"/>
      <c r="T760" s="1997"/>
      <c r="U760" s="1997"/>
      <c r="V760" s="1997"/>
      <c r="W760" s="1997"/>
      <c r="X760" s="1997"/>
      <c r="Y760" s="1997"/>
      <c r="Z760" s="1997"/>
      <c r="AA760" s="1997"/>
      <c r="AB760" s="1997"/>
      <c r="AC760" s="1997"/>
      <c r="AD760" s="1997"/>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7"/>
      <c r="F761" s="1997"/>
      <c r="G761" s="1997"/>
      <c r="H761" s="1997"/>
      <c r="I761" s="1997"/>
      <c r="J761" s="1997"/>
      <c r="K761" s="1997"/>
      <c r="L761" s="1997"/>
      <c r="M761" s="1997"/>
      <c r="N761" s="1997"/>
      <c r="O761" s="1997"/>
      <c r="P761" s="1997"/>
      <c r="Q761" s="1997"/>
      <c r="R761" s="1997"/>
      <c r="S761" s="1997"/>
      <c r="T761" s="1997"/>
      <c r="U761" s="1997"/>
      <c r="V761" s="1997"/>
      <c r="W761" s="1997"/>
      <c r="X761" s="1997"/>
      <c r="Y761" s="1997"/>
      <c r="Z761" s="1997"/>
      <c r="AA761" s="1997"/>
      <c r="AB761" s="1997"/>
      <c r="AC761" s="1997"/>
      <c r="AD761" s="199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6" t="s">
        <v>1888</v>
      </c>
      <c r="F763" s="2036"/>
      <c r="G763" s="2036"/>
      <c r="H763" s="2036"/>
      <c r="I763" s="2036"/>
      <c r="J763" s="2036"/>
      <c r="K763" s="2036"/>
      <c r="L763" s="2036"/>
      <c r="M763" s="2036"/>
      <c r="N763" s="2036"/>
      <c r="O763" s="2036"/>
      <c r="P763" s="2036"/>
      <c r="Q763" s="2036"/>
      <c r="R763" s="2036"/>
      <c r="S763" s="2036"/>
      <c r="T763" s="2036"/>
      <c r="U763" s="2036"/>
      <c r="V763" s="2036"/>
      <c r="W763" s="2036"/>
      <c r="X763" s="2036"/>
      <c r="Y763" s="2036"/>
      <c r="Z763" s="2036"/>
      <c r="AA763" s="2036"/>
      <c r="AB763" s="2036"/>
      <c r="AC763" s="2036"/>
      <c r="AD763" s="2036"/>
      <c r="AE763" s="570"/>
      <c r="AF763" s="1944" t="s">
        <v>1464</v>
      </c>
      <c r="AG763" s="1944"/>
      <c r="AH763" s="1944"/>
      <c r="AI763" s="1944"/>
      <c r="AJ763" s="1944"/>
      <c r="AK763" s="1944"/>
      <c r="AL763" s="1944"/>
      <c r="AM763" s="647"/>
      <c r="AN763" s="631"/>
    </row>
    <row r="764" spans="1:74" s="584" customFormat="1" ht="12.75" customHeight="1">
      <c r="B764" s="650"/>
      <c r="C764" s="975"/>
      <c r="D764" s="697"/>
      <c r="E764" s="2036"/>
      <c r="F764" s="2036"/>
      <c r="G764" s="2036"/>
      <c r="H764" s="2036"/>
      <c r="I764" s="2036"/>
      <c r="J764" s="2036"/>
      <c r="K764" s="2036"/>
      <c r="L764" s="2036"/>
      <c r="M764" s="2036"/>
      <c r="N764" s="2036"/>
      <c r="O764" s="2036"/>
      <c r="P764" s="2036"/>
      <c r="Q764" s="2036"/>
      <c r="R764" s="2036"/>
      <c r="S764" s="2036"/>
      <c r="T764" s="2036"/>
      <c r="U764" s="2036"/>
      <c r="V764" s="2036"/>
      <c r="W764" s="2036"/>
      <c r="X764" s="2036"/>
      <c r="Y764" s="2036"/>
      <c r="Z764" s="2036"/>
      <c r="AA764" s="2036"/>
      <c r="AB764" s="2036"/>
      <c r="AC764" s="2036"/>
      <c r="AD764" s="2036"/>
      <c r="AE764" s="628"/>
      <c r="AF764" s="628"/>
      <c r="AG764" s="628"/>
      <c r="AH764" s="628"/>
      <c r="AI764" s="628"/>
      <c r="AJ764" s="628"/>
      <c r="AK764" s="628"/>
      <c r="AL764" s="628"/>
      <c r="AM764" s="647"/>
      <c r="AN764" s="631"/>
    </row>
    <row r="765" spans="1:74" s="584" customFormat="1" ht="12.75" customHeight="1">
      <c r="B765" s="650"/>
      <c r="C765" s="975"/>
      <c r="D765" s="697"/>
      <c r="E765" s="2036"/>
      <c r="F765" s="2036"/>
      <c r="G765" s="2036"/>
      <c r="H765" s="2036"/>
      <c r="I765" s="2036"/>
      <c r="J765" s="2036"/>
      <c r="K765" s="2036"/>
      <c r="L765" s="2036"/>
      <c r="M765" s="2036"/>
      <c r="N765" s="2036"/>
      <c r="O765" s="2036"/>
      <c r="P765" s="2036"/>
      <c r="Q765" s="2036"/>
      <c r="R765" s="2036"/>
      <c r="S765" s="2036"/>
      <c r="T765" s="2036"/>
      <c r="U765" s="2036"/>
      <c r="V765" s="2036"/>
      <c r="W765" s="2036"/>
      <c r="X765" s="2036"/>
      <c r="Y765" s="2036"/>
      <c r="Z765" s="2036"/>
      <c r="AA765" s="2036"/>
      <c r="AB765" s="2036"/>
      <c r="AC765" s="2036"/>
      <c r="AD765" s="2036"/>
      <c r="AE765" s="628"/>
      <c r="AF765" s="628"/>
      <c r="AG765" s="628"/>
      <c r="AH765" s="628"/>
      <c r="AI765" s="628"/>
      <c r="AJ765" s="628"/>
      <c r="AK765" s="628"/>
      <c r="AL765" s="628"/>
      <c r="AM765" s="647"/>
      <c r="AN765" s="631"/>
    </row>
    <row r="766" spans="1:74" s="584" customFormat="1" ht="12.75" customHeight="1">
      <c r="B766" s="650"/>
      <c r="C766" s="975"/>
      <c r="D766" s="697"/>
      <c r="E766" s="2036"/>
      <c r="F766" s="2036"/>
      <c r="G766" s="2036"/>
      <c r="H766" s="2036"/>
      <c r="I766" s="2036"/>
      <c r="J766" s="2036"/>
      <c r="K766" s="2036"/>
      <c r="L766" s="2036"/>
      <c r="M766" s="2036"/>
      <c r="N766" s="2036"/>
      <c r="O766" s="2036"/>
      <c r="P766" s="2036"/>
      <c r="Q766" s="2036"/>
      <c r="R766" s="2036"/>
      <c r="S766" s="2036"/>
      <c r="T766" s="2036"/>
      <c r="U766" s="2036"/>
      <c r="V766" s="2036"/>
      <c r="W766" s="2036"/>
      <c r="X766" s="2036"/>
      <c r="Y766" s="2036"/>
      <c r="Z766" s="2036"/>
      <c r="AA766" s="2036"/>
      <c r="AB766" s="2036"/>
      <c r="AC766" s="2036"/>
      <c r="AD766" s="203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6" t="s">
        <v>600</v>
      </c>
      <c r="I768" s="202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7">
        <f>VLOOKUP($H$768,$AO$758:$AP$760,2,FALSE)</f>
        <v>0</v>
      </c>
      <c r="AK770" s="1979"/>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7" t="s">
        <v>2348</v>
      </c>
      <c r="F774" s="1997"/>
      <c r="G774" s="1997"/>
      <c r="H774" s="1997"/>
      <c r="I774" s="1997"/>
      <c r="J774" s="1997"/>
      <c r="K774" s="1997"/>
      <c r="L774" s="1997"/>
      <c r="M774" s="1997"/>
      <c r="N774" s="1997"/>
      <c r="O774" s="1997"/>
      <c r="P774" s="1997"/>
      <c r="Q774" s="1997"/>
      <c r="R774" s="1997"/>
      <c r="S774" s="1997"/>
      <c r="T774" s="1997"/>
      <c r="U774" s="1997"/>
      <c r="V774" s="1997"/>
      <c r="W774" s="1997"/>
      <c r="X774" s="1997"/>
      <c r="Y774" s="1997"/>
      <c r="Z774" s="1997"/>
      <c r="AA774" s="1997"/>
      <c r="AB774" s="1997"/>
      <c r="AC774" s="1997"/>
      <c r="AD774" s="1997"/>
      <c r="AE774" s="570"/>
      <c r="AF774" s="1944" t="s">
        <v>1464</v>
      </c>
      <c r="AG774" s="1944"/>
      <c r="AH774" s="1944"/>
      <c r="AI774" s="1944"/>
      <c r="AJ774" s="1944"/>
      <c r="AK774" s="1944"/>
      <c r="AL774" s="1944"/>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7"/>
      <c r="F775" s="1997"/>
      <c r="G775" s="1997"/>
      <c r="H775" s="1997"/>
      <c r="I775" s="1997"/>
      <c r="J775" s="1997"/>
      <c r="K775" s="1997"/>
      <c r="L775" s="1997"/>
      <c r="M775" s="1997"/>
      <c r="N775" s="1997"/>
      <c r="O775" s="1997"/>
      <c r="P775" s="1997"/>
      <c r="Q775" s="1997"/>
      <c r="R775" s="1997"/>
      <c r="S775" s="1997"/>
      <c r="T775" s="1997"/>
      <c r="U775" s="1997"/>
      <c r="V775" s="1997"/>
      <c r="W775" s="1997"/>
      <c r="X775" s="1997"/>
      <c r="Y775" s="1997"/>
      <c r="Z775" s="1997"/>
      <c r="AA775" s="1997"/>
      <c r="AB775" s="1997"/>
      <c r="AC775" s="1997"/>
      <c r="AD775" s="199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7"/>
      <c r="F776" s="1997"/>
      <c r="G776" s="1997"/>
      <c r="H776" s="1997"/>
      <c r="I776" s="1997"/>
      <c r="J776" s="1997"/>
      <c r="K776" s="1997"/>
      <c r="L776" s="1997"/>
      <c r="M776" s="1997"/>
      <c r="N776" s="1997"/>
      <c r="O776" s="1997"/>
      <c r="P776" s="1997"/>
      <c r="Q776" s="1997"/>
      <c r="R776" s="1997"/>
      <c r="S776" s="1997"/>
      <c r="T776" s="1997"/>
      <c r="U776" s="1997"/>
      <c r="V776" s="1997"/>
      <c r="W776" s="1997"/>
      <c r="X776" s="1997"/>
      <c r="Y776" s="1997"/>
      <c r="Z776" s="1997"/>
      <c r="AA776" s="1997"/>
      <c r="AB776" s="1997"/>
      <c r="AC776" s="1997"/>
      <c r="AD776" s="199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7"/>
      <c r="F777" s="1997"/>
      <c r="G777" s="1997"/>
      <c r="H777" s="1997"/>
      <c r="I777" s="1997"/>
      <c r="J777" s="1997"/>
      <c r="K777" s="1997"/>
      <c r="L777" s="1997"/>
      <c r="M777" s="1997"/>
      <c r="N777" s="1997"/>
      <c r="O777" s="1997"/>
      <c r="P777" s="1997"/>
      <c r="Q777" s="1997"/>
      <c r="R777" s="1997"/>
      <c r="S777" s="1997"/>
      <c r="T777" s="1997"/>
      <c r="U777" s="1997"/>
      <c r="V777" s="1997"/>
      <c r="W777" s="1997"/>
      <c r="X777" s="1997"/>
      <c r="Y777" s="1997"/>
      <c r="Z777" s="1997"/>
      <c r="AA777" s="1997"/>
      <c r="AB777" s="1997"/>
      <c r="AC777" s="1997"/>
      <c r="AD777" s="199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6" t="s">
        <v>600</v>
      </c>
      <c r="I779" s="202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7">
        <f>VLOOKUP($H$779,$AO$773:$AP$774,2,FALSE)</f>
        <v>0</v>
      </c>
      <c r="AK781" s="197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7">
        <f>IF(($AJ$610+$AJ$629+$AJ$641+$AJ$676+$AJ$700+$AJ$714+$AJ$726+$AJ$742+$AJ$754+$AJ$770+AJ781)&gt;10,10,($AJ$610+$AJ$629+$AJ$641+$AJ$676+$AJ$700+$AJ$714+$AJ$726+$AJ$742+$AJ$754+$AJ$770+AJ781))</f>
        <v>10</v>
      </c>
      <c r="AL783" s="1978"/>
      <c r="AM783" s="197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7" t="s">
        <v>1681</v>
      </c>
      <c r="B786" s="2088"/>
      <c r="C786" s="2088"/>
      <c r="D786" s="2088"/>
      <c r="E786" s="2088"/>
      <c r="F786" s="2088"/>
      <c r="G786" s="2088"/>
      <c r="H786" s="2088"/>
      <c r="I786" s="2088"/>
      <c r="J786" s="2088"/>
      <c r="K786" s="2088"/>
      <c r="L786" s="2088"/>
      <c r="M786" s="2088"/>
      <c r="N786" s="2088"/>
      <c r="O786" s="2088"/>
      <c r="P786" s="2088"/>
      <c r="Q786" s="2088"/>
      <c r="R786" s="2088"/>
      <c r="S786" s="2088"/>
      <c r="T786" s="2088"/>
      <c r="U786" s="2088"/>
      <c r="V786" s="2088"/>
      <c r="W786" s="2088"/>
      <c r="X786" s="2088"/>
      <c r="Y786" s="2088"/>
      <c r="Z786" s="2088"/>
      <c r="AA786" s="2088"/>
      <c r="AB786" s="2088"/>
      <c r="AC786" s="2088"/>
      <c r="AD786" s="2088"/>
      <c r="AE786" s="2088"/>
      <c r="AF786" s="2088"/>
      <c r="AG786" s="2088"/>
      <c r="AH786" s="2088"/>
      <c r="AI786" s="2088"/>
      <c r="AJ786" s="2088"/>
      <c r="AK786" s="2088"/>
      <c r="AL786" s="2088"/>
      <c r="AM786" s="2088"/>
    </row>
    <row r="787" spans="1:43">
      <c r="A787" s="2089"/>
      <c r="B787" s="2089"/>
      <c r="C787" s="2089"/>
      <c r="D787" s="2089"/>
      <c r="E787" s="2089"/>
      <c r="F787" s="2089"/>
      <c r="G787" s="2089"/>
      <c r="H787" s="2089"/>
      <c r="I787" s="2089"/>
      <c r="J787" s="2089"/>
      <c r="K787" s="2089"/>
      <c r="L787" s="2089"/>
      <c r="M787" s="2089"/>
      <c r="N787" s="2089"/>
      <c r="O787" s="2089"/>
      <c r="P787" s="2089"/>
      <c r="Q787" s="2089"/>
      <c r="R787" s="2089"/>
      <c r="S787" s="2089"/>
      <c r="T787" s="2089"/>
      <c r="U787" s="2089"/>
      <c r="V787" s="2089"/>
      <c r="W787" s="2089"/>
      <c r="X787" s="2089"/>
      <c r="Y787" s="2089"/>
      <c r="Z787" s="2089"/>
      <c r="AA787" s="2089"/>
      <c r="AB787" s="2089"/>
      <c r="AC787" s="2089"/>
      <c r="AD787" s="2089"/>
      <c r="AE787" s="2089"/>
      <c r="AF787" s="2089"/>
      <c r="AG787" s="2089"/>
      <c r="AH787" s="2089"/>
      <c r="AI787" s="2089"/>
      <c r="AJ787" s="2089"/>
      <c r="AK787" s="2089"/>
      <c r="AL787" s="2089"/>
      <c r="AM787" s="20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8"/>
      <c r="B789" s="2018"/>
      <c r="C789" s="2018"/>
      <c r="D789" s="2018"/>
      <c r="E789" s="2018"/>
      <c r="F789" s="2018"/>
      <c r="G789" s="2018"/>
      <c r="H789" s="2018"/>
      <c r="I789" s="2018"/>
      <c r="J789" s="2018"/>
      <c r="K789" s="2018"/>
      <c r="L789" s="2018"/>
      <c r="M789" s="2018"/>
      <c r="N789" s="2018"/>
      <c r="O789" s="2018"/>
      <c r="P789" s="2018"/>
      <c r="Q789" s="2018"/>
      <c r="R789" s="2018"/>
      <c r="S789" s="2018"/>
      <c r="T789" s="2018"/>
      <c r="U789" s="2018"/>
      <c r="V789" s="2018"/>
      <c r="W789" s="2018"/>
      <c r="X789" s="2018"/>
      <c r="Y789" s="2018"/>
      <c r="Z789" s="2018"/>
      <c r="AA789" s="2018"/>
      <c r="AB789" s="2018"/>
      <c r="AC789" s="2018"/>
      <c r="AD789" s="2018"/>
      <c r="AE789" s="2018"/>
      <c r="AF789" s="2018"/>
      <c r="AG789" s="2018"/>
      <c r="AH789" s="2018"/>
      <c r="AI789" s="2018"/>
      <c r="AJ789" s="2018"/>
      <c r="AK789" s="2018"/>
      <c r="AL789" s="2018"/>
      <c r="AM789" s="2018"/>
      <c r="AP789" s="850"/>
      <c r="AQ789" s="850"/>
    </row>
    <row r="790" spans="1:43">
      <c r="A790" s="2018"/>
      <c r="B790" s="2018"/>
      <c r="C790" s="2018"/>
      <c r="D790" s="2018"/>
      <c r="E790" s="2018"/>
      <c r="F790" s="2018"/>
      <c r="G790" s="2018"/>
      <c r="H790" s="2018"/>
      <c r="I790" s="2018"/>
      <c r="J790" s="2018"/>
      <c r="K790" s="2018"/>
      <c r="L790" s="2018"/>
      <c r="M790" s="2018"/>
      <c r="N790" s="2018"/>
      <c r="O790" s="2018"/>
      <c r="P790" s="2018"/>
      <c r="Q790" s="2018"/>
      <c r="R790" s="2018"/>
      <c r="S790" s="2018"/>
      <c r="T790" s="2018"/>
      <c r="U790" s="2018"/>
      <c r="V790" s="2018"/>
      <c r="W790" s="2018"/>
      <c r="X790" s="2018"/>
      <c r="Y790" s="2018"/>
      <c r="Z790" s="2018"/>
      <c r="AA790" s="2018"/>
      <c r="AB790" s="2018"/>
      <c r="AC790" s="2018"/>
      <c r="AD790" s="2018"/>
      <c r="AE790" s="2018"/>
      <c r="AF790" s="2018"/>
      <c r="AG790" s="2018"/>
      <c r="AH790" s="2018"/>
      <c r="AI790" s="2018"/>
      <c r="AJ790" s="2018"/>
      <c r="AK790" s="2018"/>
      <c r="AL790" s="2018"/>
      <c r="AM790" s="20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90" t="s">
        <v>1682</v>
      </c>
      <c r="U791" s="2091"/>
      <c r="V791" s="2091"/>
      <c r="W791" s="2091"/>
      <c r="X791" s="2091"/>
      <c r="Y791" s="2092"/>
      <c r="Z791" s="2090" t="s">
        <v>1683</v>
      </c>
      <c r="AA791" s="2091"/>
      <c r="AB791" s="2091"/>
      <c r="AC791" s="2091"/>
      <c r="AD791" s="2091"/>
      <c r="AE791" s="2092"/>
      <c r="AF791" s="2090" t="s">
        <v>1684</v>
      </c>
      <c r="AG791" s="2091"/>
      <c r="AH791" s="2091"/>
      <c r="AI791" s="2091"/>
      <c r="AJ791" s="2091"/>
      <c r="AK791" s="20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3"/>
      <c r="U792" s="2094"/>
      <c r="V792" s="2094"/>
      <c r="W792" s="2094"/>
      <c r="X792" s="2094"/>
      <c r="Y792" s="2095"/>
      <c r="Z792" s="2093"/>
      <c r="AA792" s="2094"/>
      <c r="AB792" s="2094"/>
      <c r="AC792" s="2094"/>
      <c r="AD792" s="2094"/>
      <c r="AE792" s="2095"/>
      <c r="AF792" s="2093"/>
      <c r="AG792" s="2094"/>
      <c r="AH792" s="2094"/>
      <c r="AI792" s="2094"/>
      <c r="AJ792" s="2094"/>
      <c r="AK792" s="2095"/>
      <c r="AL792" s="852"/>
      <c r="AM792" s="630"/>
      <c r="AO792" s="850"/>
      <c r="AP792" s="850"/>
      <c r="AQ792" s="850"/>
    </row>
    <row r="793" spans="1:43">
      <c r="A793" s="853" t="s">
        <v>767</v>
      </c>
      <c r="B793" s="2070" t="s">
        <v>1416</v>
      </c>
      <c r="C793" s="2070"/>
      <c r="D793" s="2070"/>
      <c r="E793" s="2070"/>
      <c r="F793" s="2070"/>
      <c r="G793" s="2070"/>
      <c r="H793" s="2070"/>
      <c r="I793" s="2070"/>
      <c r="J793" s="2070"/>
      <c r="K793" s="2070"/>
      <c r="L793" s="2070"/>
      <c r="M793" s="2070"/>
      <c r="N793" s="2070"/>
      <c r="O793" s="2070"/>
      <c r="P793" s="2070"/>
      <c r="Q793" s="2070"/>
      <c r="R793" s="2070"/>
      <c r="S793" s="2071"/>
      <c r="T793" s="2072">
        <f>AK56</f>
        <v>0</v>
      </c>
      <c r="U793" s="2073"/>
      <c r="V793" s="2073"/>
      <c r="W793" s="2073"/>
      <c r="X793" s="2073"/>
      <c r="Y793" s="2074"/>
      <c r="Z793" s="2075">
        <v>20</v>
      </c>
      <c r="AA793" s="2073"/>
      <c r="AB793" s="2073"/>
      <c r="AC793" s="2073"/>
      <c r="AD793" s="2073"/>
      <c r="AE793" s="2074"/>
      <c r="AF793" s="2039">
        <f>IF(T793&gt;Z793,Z793,T793)</f>
        <v>0</v>
      </c>
      <c r="AG793" s="2039"/>
      <c r="AH793" s="2039"/>
      <c r="AI793" s="2039"/>
      <c r="AJ793" s="2039"/>
      <c r="AK793" s="2039"/>
      <c r="AL793" s="852"/>
      <c r="AM793" s="630"/>
      <c r="AO793" s="850"/>
      <c r="AP793" s="850"/>
      <c r="AQ793" s="850"/>
    </row>
    <row r="794" spans="1:43">
      <c r="A794" s="853" t="s">
        <v>1654</v>
      </c>
      <c r="B794" s="2070" t="s">
        <v>1425</v>
      </c>
      <c r="C794" s="2070"/>
      <c r="D794" s="2070"/>
      <c r="E794" s="2070"/>
      <c r="F794" s="2070"/>
      <c r="G794" s="2070"/>
      <c r="H794" s="2070"/>
      <c r="I794" s="2070"/>
      <c r="J794" s="2070"/>
      <c r="K794" s="2070"/>
      <c r="L794" s="2070"/>
      <c r="M794" s="2070"/>
      <c r="N794" s="2070"/>
      <c r="O794" s="2070"/>
      <c r="P794" s="2070"/>
      <c r="Q794" s="2070"/>
      <c r="R794" s="2070"/>
      <c r="S794" s="2071"/>
      <c r="T794" s="2072">
        <f>AK78</f>
        <v>0</v>
      </c>
      <c r="U794" s="2073"/>
      <c r="V794" s="2073"/>
      <c r="W794" s="2073"/>
      <c r="X794" s="2073"/>
      <c r="Y794" s="2074"/>
      <c r="Z794" s="2075">
        <v>10</v>
      </c>
      <c r="AA794" s="2073"/>
      <c r="AB794" s="2073"/>
      <c r="AC794" s="2073"/>
      <c r="AD794" s="2073"/>
      <c r="AE794" s="2074"/>
      <c r="AF794" s="2039">
        <f>IF(T794&gt;Z794,Z794,T794)</f>
        <v>0</v>
      </c>
      <c r="AG794" s="2039"/>
      <c r="AH794" s="2039"/>
      <c r="AI794" s="2039"/>
      <c r="AJ794" s="2039"/>
      <c r="AK794" s="2039"/>
      <c r="AL794" s="852"/>
      <c r="AM794" s="630"/>
      <c r="AO794" s="850"/>
      <c r="AP794" s="850"/>
      <c r="AQ794" s="850"/>
    </row>
    <row r="795" spans="1:43">
      <c r="A795" s="853" t="s">
        <v>1663</v>
      </c>
      <c r="B795" s="2070" t="s">
        <v>1435</v>
      </c>
      <c r="C795" s="2070"/>
      <c r="D795" s="2070"/>
      <c r="E795" s="2070"/>
      <c r="F795" s="2070"/>
      <c r="G795" s="2070"/>
      <c r="H795" s="2070"/>
      <c r="I795" s="2070"/>
      <c r="J795" s="2070"/>
      <c r="K795" s="2070"/>
      <c r="L795" s="2070"/>
      <c r="M795" s="2070"/>
      <c r="N795" s="2070"/>
      <c r="O795" s="2070"/>
      <c r="P795" s="2070"/>
      <c r="Q795" s="2070"/>
      <c r="R795" s="2070"/>
      <c r="S795" s="2071"/>
      <c r="T795" s="2072">
        <f>AK103</f>
        <v>19.999999999999996</v>
      </c>
      <c r="U795" s="2073"/>
      <c r="V795" s="2073"/>
      <c r="W795" s="2073"/>
      <c r="X795" s="2073"/>
      <c r="Y795" s="2074"/>
      <c r="Z795" s="2075">
        <v>20</v>
      </c>
      <c r="AA795" s="2073"/>
      <c r="AB795" s="2073"/>
      <c r="AC795" s="2073"/>
      <c r="AD795" s="2073"/>
      <c r="AE795" s="2074"/>
      <c r="AF795" s="2039">
        <f>IF(T795&gt;Z795,Z795,T795)</f>
        <v>19.999999999999996</v>
      </c>
      <c r="AG795" s="2039"/>
      <c r="AH795" s="2039"/>
      <c r="AI795" s="2039"/>
      <c r="AJ795" s="2039"/>
      <c r="AK795" s="2039"/>
      <c r="AL795" s="852"/>
      <c r="AM795" s="630"/>
      <c r="AO795" s="850"/>
      <c r="AP795" s="850"/>
      <c r="AQ795" s="850"/>
    </row>
    <row r="796" spans="1:43">
      <c r="A796" s="853" t="s">
        <v>1685</v>
      </c>
      <c r="B796" s="2070" t="s">
        <v>1445</v>
      </c>
      <c r="C796" s="2070"/>
      <c r="D796" s="2070"/>
      <c r="E796" s="2070"/>
      <c r="F796" s="2070"/>
      <c r="G796" s="2070"/>
      <c r="H796" s="2070"/>
      <c r="I796" s="2070"/>
      <c r="J796" s="2070"/>
      <c r="K796" s="2070"/>
      <c r="L796" s="2070"/>
      <c r="M796" s="2070"/>
      <c r="N796" s="2070"/>
      <c r="O796" s="2070"/>
      <c r="P796" s="2070"/>
      <c r="Q796" s="2070"/>
      <c r="R796" s="2070"/>
      <c r="S796" s="2071"/>
      <c r="T796" s="2072">
        <f>AK137</f>
        <v>10</v>
      </c>
      <c r="U796" s="2073"/>
      <c r="V796" s="2073"/>
      <c r="W796" s="2073"/>
      <c r="X796" s="2073"/>
      <c r="Y796" s="2074"/>
      <c r="Z796" s="2075">
        <v>10</v>
      </c>
      <c r="AA796" s="2073"/>
      <c r="AB796" s="2073"/>
      <c r="AC796" s="2073"/>
      <c r="AD796" s="2073"/>
      <c r="AE796" s="2074"/>
      <c r="AF796" s="2039">
        <f>IF(T796&gt;Z796,Z796,T796)</f>
        <v>10</v>
      </c>
      <c r="AG796" s="2039"/>
      <c r="AH796" s="2039"/>
      <c r="AI796" s="2039"/>
      <c r="AJ796" s="2039"/>
      <c r="AK796" s="2039"/>
      <c r="AL796" s="852"/>
      <c r="AM796" s="630"/>
      <c r="AO796" s="850"/>
      <c r="AP796" s="850"/>
      <c r="AQ796" s="850"/>
    </row>
    <row r="797" spans="1:43">
      <c r="A797" s="854" t="s">
        <v>1686</v>
      </c>
      <c r="B797" s="2070" t="s">
        <v>1687</v>
      </c>
      <c r="C797" s="2070"/>
      <c r="D797" s="2070"/>
      <c r="E797" s="2070"/>
      <c r="F797" s="2070"/>
      <c r="G797" s="2070"/>
      <c r="H797" s="2070"/>
      <c r="I797" s="2070"/>
      <c r="J797" s="2070"/>
      <c r="K797" s="2070"/>
      <c r="L797" s="2070"/>
      <c r="M797" s="2070"/>
      <c r="N797" s="2070"/>
      <c r="O797" s="2070"/>
      <c r="P797" s="2070"/>
      <c r="Q797" s="2070"/>
      <c r="R797" s="2070"/>
      <c r="S797" s="2071"/>
      <c r="T797" s="2096">
        <f>SUM(T798:Y799)</f>
        <v>10</v>
      </c>
      <c r="U797" s="2096"/>
      <c r="V797" s="2096"/>
      <c r="W797" s="2096"/>
      <c r="X797" s="2096"/>
      <c r="Y797" s="2096"/>
      <c r="Z797" s="2039">
        <v>10</v>
      </c>
      <c r="AA797" s="2039"/>
      <c r="AB797" s="2039"/>
      <c r="AC797" s="2039"/>
      <c r="AD797" s="2039"/>
      <c r="AE797" s="2039"/>
      <c r="AF797" s="2039">
        <f>IF(T797&gt;Z797,Z797,T797)</f>
        <v>10</v>
      </c>
      <c r="AG797" s="2039"/>
      <c r="AH797" s="2039"/>
      <c r="AI797" s="2039"/>
      <c r="AJ797" s="2039"/>
      <c r="AK797" s="2039"/>
      <c r="AL797" s="852"/>
      <c r="AM797" s="630"/>
    </row>
    <row r="798" spans="1:43">
      <c r="A798" s="569"/>
      <c r="B798" s="635"/>
      <c r="C798" s="2097" t="s">
        <v>1688</v>
      </c>
      <c r="D798" s="2097"/>
      <c r="E798" s="2097"/>
      <c r="F798" s="2097"/>
      <c r="G798" s="2097"/>
      <c r="H798" s="2097"/>
      <c r="I798" s="2097"/>
      <c r="J798" s="2097"/>
      <c r="K798" s="2097"/>
      <c r="L798" s="2097"/>
      <c r="M798" s="2097"/>
      <c r="N798" s="2097"/>
      <c r="O798" s="2097"/>
      <c r="P798" s="2097"/>
      <c r="Q798" s="2097"/>
      <c r="R798" s="2097"/>
      <c r="S798" s="2098"/>
      <c r="T798" s="1972">
        <f>AJ155</f>
        <v>7</v>
      </c>
      <c r="U798" s="1972"/>
      <c r="V798" s="1972"/>
      <c r="W798" s="1972"/>
      <c r="X798" s="1972"/>
      <c r="Y798" s="1972"/>
      <c r="Z798" s="1973">
        <v>7</v>
      </c>
      <c r="AA798" s="1973"/>
      <c r="AB798" s="1973"/>
      <c r="AC798" s="1973"/>
      <c r="AD798" s="1973"/>
      <c r="AE798" s="1973"/>
      <c r="AF798" s="2099"/>
      <c r="AG798" s="2099"/>
      <c r="AH798" s="2099"/>
      <c r="AI798" s="2099"/>
      <c r="AJ798" s="2099"/>
      <c r="AK798" s="2099"/>
      <c r="AL798" s="852"/>
      <c r="AM798" s="630"/>
    </row>
    <row r="799" spans="1:43">
      <c r="A799" s="634"/>
      <c r="B799" s="635"/>
      <c r="C799" s="2097" t="s">
        <v>1689</v>
      </c>
      <c r="D799" s="2097"/>
      <c r="E799" s="2097"/>
      <c r="F799" s="2097"/>
      <c r="G799" s="2097"/>
      <c r="H799" s="2097"/>
      <c r="I799" s="2097"/>
      <c r="J799" s="2097"/>
      <c r="K799" s="2097"/>
      <c r="L799" s="2097"/>
      <c r="M799" s="2097"/>
      <c r="N799" s="2097"/>
      <c r="O799" s="2097"/>
      <c r="P799" s="2097"/>
      <c r="Q799" s="2097"/>
      <c r="R799" s="2097"/>
      <c r="S799" s="2098"/>
      <c r="T799" s="1972">
        <f>AJ169</f>
        <v>3</v>
      </c>
      <c r="U799" s="1972"/>
      <c r="V799" s="1972"/>
      <c r="W799" s="1972"/>
      <c r="X799" s="1972"/>
      <c r="Y799" s="1972"/>
      <c r="Z799" s="1973">
        <v>3</v>
      </c>
      <c r="AA799" s="1973"/>
      <c r="AB799" s="1973"/>
      <c r="AC799" s="1973"/>
      <c r="AD799" s="1973"/>
      <c r="AE799" s="1973"/>
      <c r="AF799" s="2099"/>
      <c r="AG799" s="2099"/>
      <c r="AH799" s="2099"/>
      <c r="AI799" s="2099"/>
      <c r="AJ799" s="2099"/>
      <c r="AK799" s="2099"/>
      <c r="AL799" s="852"/>
      <c r="AM799" s="630"/>
      <c r="AO799" s="584"/>
    </row>
    <row r="800" spans="1:43">
      <c r="A800" s="854" t="s">
        <v>1473</v>
      </c>
      <c r="B800" s="2070" t="s">
        <v>1690</v>
      </c>
      <c r="C800" s="2070"/>
      <c r="D800" s="2070"/>
      <c r="E800" s="2070"/>
      <c r="F800" s="2070"/>
      <c r="G800" s="2070"/>
      <c r="H800" s="2070"/>
      <c r="I800" s="2070"/>
      <c r="J800" s="2070"/>
      <c r="K800" s="2070"/>
      <c r="L800" s="2070"/>
      <c r="M800" s="2070"/>
      <c r="N800" s="2070"/>
      <c r="O800" s="2070"/>
      <c r="P800" s="2070"/>
      <c r="Q800" s="2070"/>
      <c r="R800" s="2070"/>
      <c r="S800" s="2071"/>
      <c r="T800" s="2096">
        <f>AK180</f>
        <v>0</v>
      </c>
      <c r="U800" s="2096"/>
      <c r="V800" s="2096"/>
      <c r="W800" s="2096"/>
      <c r="X800" s="2096"/>
      <c r="Y800" s="2096"/>
      <c r="Z800" s="2039">
        <v>10</v>
      </c>
      <c r="AA800" s="2039"/>
      <c r="AB800" s="2039"/>
      <c r="AC800" s="2039"/>
      <c r="AD800" s="2039"/>
      <c r="AE800" s="2039"/>
      <c r="AF800" s="2039">
        <f>IF(T800&gt;Z800,Z800,T800)</f>
        <v>0</v>
      </c>
      <c r="AG800" s="2039"/>
      <c r="AH800" s="2039"/>
      <c r="AI800" s="2039"/>
      <c r="AJ800" s="2039"/>
      <c r="AK800" s="2039"/>
      <c r="AL800" s="852"/>
      <c r="AM800" s="630"/>
    </row>
    <row r="801" spans="1:81">
      <c r="A801" s="853" t="s">
        <v>1482</v>
      </c>
      <c r="B801" s="2070" t="s">
        <v>1483</v>
      </c>
      <c r="C801" s="2070"/>
      <c r="D801" s="2070"/>
      <c r="E801" s="2070"/>
      <c r="F801" s="2070"/>
      <c r="G801" s="2070"/>
      <c r="H801" s="2070"/>
      <c r="I801" s="2070"/>
      <c r="J801" s="2070"/>
      <c r="K801" s="2070"/>
      <c r="L801" s="2070"/>
      <c r="M801" s="2070"/>
      <c r="N801" s="2070"/>
      <c r="O801" s="2070"/>
      <c r="P801" s="2070"/>
      <c r="Q801" s="2070"/>
      <c r="R801" s="2070"/>
      <c r="S801" s="2071"/>
      <c r="T801" s="2096">
        <f>AK262</f>
        <v>8</v>
      </c>
      <c r="U801" s="2096"/>
      <c r="V801" s="2096"/>
      <c r="W801" s="2096"/>
      <c r="X801" s="2096"/>
      <c r="Y801" s="2096"/>
      <c r="Z801" s="2075">
        <v>8</v>
      </c>
      <c r="AA801" s="2073"/>
      <c r="AB801" s="2073"/>
      <c r="AC801" s="2073"/>
      <c r="AD801" s="2073"/>
      <c r="AE801" s="2074"/>
      <c r="AF801" s="2039">
        <f>IF(T801&gt;Z801,Z801,T801)</f>
        <v>8</v>
      </c>
      <c r="AG801" s="2039"/>
      <c r="AH801" s="2039"/>
      <c r="AI801" s="2039"/>
      <c r="AJ801" s="2039"/>
      <c r="AK801" s="2039"/>
      <c r="AL801" s="852"/>
      <c r="AM801" s="630"/>
    </row>
    <row r="802" spans="1:81" s="568" customFormat="1" hidden="1">
      <c r="A802" s="854" t="s">
        <v>598</v>
      </c>
      <c r="B802" s="2070" t="s">
        <v>1691</v>
      </c>
      <c r="C802" s="2070"/>
      <c r="D802" s="2070"/>
      <c r="E802" s="2070"/>
      <c r="F802" s="2070"/>
      <c r="G802" s="2070"/>
      <c r="H802" s="2070"/>
      <c r="I802" s="2070"/>
      <c r="J802" s="2070"/>
      <c r="K802" s="2070"/>
      <c r="L802" s="2070"/>
      <c r="M802" s="2070"/>
      <c r="N802" s="2070"/>
      <c r="O802" s="2070"/>
      <c r="P802" s="2070"/>
      <c r="Q802" s="2070"/>
      <c r="R802" s="2070"/>
      <c r="S802" s="2071"/>
      <c r="T802" s="2096">
        <f>IF(AK524&gt;5,5,AK524)</f>
        <v>0</v>
      </c>
      <c r="U802" s="2096"/>
      <c r="V802" s="2096"/>
      <c r="W802" s="2096"/>
      <c r="X802" s="2096"/>
      <c r="Y802" s="2096"/>
      <c r="Z802" s="2039">
        <v>5</v>
      </c>
      <c r="AA802" s="2039"/>
      <c r="AB802" s="2039"/>
      <c r="AC802" s="2039"/>
      <c r="AD802" s="2039"/>
      <c r="AE802" s="2039"/>
      <c r="AF802" s="2039">
        <f>IF(T802&gt;Z802,5,T802)</f>
        <v>0</v>
      </c>
      <c r="AG802" s="2039"/>
      <c r="AH802" s="2039"/>
      <c r="AI802" s="2039"/>
      <c r="AJ802" s="2039"/>
      <c r="AK802" s="203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70" t="s">
        <v>1692</v>
      </c>
      <c r="C803" s="2070"/>
      <c r="D803" s="2070"/>
      <c r="E803" s="2070"/>
      <c r="F803" s="2070"/>
      <c r="G803" s="2070"/>
      <c r="H803" s="2070"/>
      <c r="I803" s="2070"/>
      <c r="J803" s="2070"/>
      <c r="K803" s="2070"/>
      <c r="L803" s="2070"/>
      <c r="M803" s="2070"/>
      <c r="N803" s="2070"/>
      <c r="O803" s="2070"/>
      <c r="P803" s="2070"/>
      <c r="Q803" s="2070"/>
      <c r="R803" s="2070"/>
      <c r="S803" s="2071"/>
      <c r="T803" s="2096">
        <f>AK274</f>
        <v>10</v>
      </c>
      <c r="U803" s="2096"/>
      <c r="V803" s="2096"/>
      <c r="W803" s="2096"/>
      <c r="X803" s="2096"/>
      <c r="Y803" s="2096"/>
      <c r="Z803" s="2039">
        <v>10</v>
      </c>
      <c r="AA803" s="2039"/>
      <c r="AB803" s="2039"/>
      <c r="AC803" s="2039"/>
      <c r="AD803" s="2039"/>
      <c r="AE803" s="2039"/>
      <c r="AF803" s="2102">
        <f>IF(T803&gt;Z803,Z803,T803)</f>
        <v>10</v>
      </c>
      <c r="AG803" s="2103"/>
      <c r="AH803" s="2103"/>
      <c r="AI803" s="2103"/>
      <c r="AJ803" s="2103"/>
      <c r="AK803" s="210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70" t="s">
        <v>1493</v>
      </c>
      <c r="C804" s="2070"/>
      <c r="D804" s="2070"/>
      <c r="E804" s="2070"/>
      <c r="F804" s="2070"/>
      <c r="G804" s="2070"/>
      <c r="H804" s="2070"/>
      <c r="I804" s="2070"/>
      <c r="J804" s="2070"/>
      <c r="K804" s="2070"/>
      <c r="L804" s="2070"/>
      <c r="M804" s="2070"/>
      <c r="N804" s="2070"/>
      <c r="O804" s="2070"/>
      <c r="P804" s="2070"/>
      <c r="Q804" s="2070"/>
      <c r="R804" s="2070"/>
      <c r="S804" s="2071"/>
      <c r="T804" s="2096">
        <f>AK327</f>
        <v>0</v>
      </c>
      <c r="U804" s="2096"/>
      <c r="V804" s="2096"/>
      <c r="W804" s="2096"/>
      <c r="X804" s="2096"/>
      <c r="Y804" s="2096"/>
      <c r="Z804" s="2102">
        <v>10</v>
      </c>
      <c r="AA804" s="2103"/>
      <c r="AB804" s="2103"/>
      <c r="AC804" s="2103"/>
      <c r="AD804" s="2103"/>
      <c r="AE804" s="2104"/>
      <c r="AF804" s="2102">
        <f>IF(T804&gt;Z804,Z804,T804)</f>
        <v>0</v>
      </c>
      <c r="AG804" s="2103"/>
      <c r="AH804" s="2103"/>
      <c r="AI804" s="2103"/>
      <c r="AJ804" s="2103"/>
      <c r="AK804" s="210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72">
        <f>AK327</f>
        <v>0</v>
      </c>
      <c r="U805" s="1972"/>
      <c r="V805" s="1972"/>
      <c r="W805" s="1972"/>
      <c r="X805" s="1972"/>
      <c r="Y805" s="1972"/>
      <c r="Z805" s="1977">
        <v>20</v>
      </c>
      <c r="AA805" s="1978"/>
      <c r="AB805" s="1978"/>
      <c r="AC805" s="1978"/>
      <c r="AD805" s="1978"/>
      <c r="AE805" s="1979"/>
      <c r="AF805" s="2099"/>
      <c r="AG805" s="2099"/>
      <c r="AH805" s="2099"/>
      <c r="AI805" s="2099"/>
      <c r="AJ805" s="2099"/>
      <c r="AK805" s="209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70" t="s">
        <v>857</v>
      </c>
      <c r="C806" s="2070"/>
      <c r="D806" s="2070"/>
      <c r="E806" s="2070"/>
      <c r="F806" s="2070"/>
      <c r="G806" s="2070"/>
      <c r="H806" s="2070"/>
      <c r="I806" s="2070"/>
      <c r="J806" s="2070"/>
      <c r="K806" s="2070"/>
      <c r="L806" s="2070"/>
      <c r="M806" s="2070"/>
      <c r="N806" s="2070"/>
      <c r="O806" s="2070"/>
      <c r="P806" s="2070"/>
      <c r="Q806" s="2070"/>
      <c r="R806" s="2070"/>
      <c r="S806" s="2071"/>
      <c r="T806" s="2096">
        <f>AK458</f>
        <v>10</v>
      </c>
      <c r="U806" s="2096"/>
      <c r="V806" s="2096"/>
      <c r="W806" s="2096"/>
      <c r="X806" s="2096"/>
      <c r="Y806" s="2096"/>
      <c r="Z806" s="2102">
        <v>10</v>
      </c>
      <c r="AA806" s="2103"/>
      <c r="AB806" s="2103"/>
      <c r="AC806" s="2103"/>
      <c r="AD806" s="2103"/>
      <c r="AE806" s="2104"/>
      <c r="AF806" s="2039">
        <f>IF(T806&gt;Z806,Z806,T806)</f>
        <v>10</v>
      </c>
      <c r="AG806" s="2039"/>
      <c r="AH806" s="2039"/>
      <c r="AI806" s="2039"/>
      <c r="AJ806" s="2039"/>
      <c r="AK806" s="203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70" t="s">
        <v>1672</v>
      </c>
      <c r="C807" s="2070"/>
      <c r="D807" s="2070"/>
      <c r="E807" s="2070"/>
      <c r="F807" s="2070"/>
      <c r="G807" s="2070"/>
      <c r="H807" s="2070"/>
      <c r="I807" s="2070"/>
      <c r="J807" s="2070"/>
      <c r="K807" s="2070"/>
      <c r="L807" s="2070"/>
      <c r="M807" s="2070"/>
      <c r="N807" s="2070"/>
      <c r="O807" s="2070"/>
      <c r="P807" s="2070"/>
      <c r="Q807" s="2070"/>
      <c r="R807" s="2070"/>
      <c r="S807" s="2071"/>
      <c r="T807" s="2096">
        <f>AK548</f>
        <v>12</v>
      </c>
      <c r="U807" s="2096"/>
      <c r="V807" s="2096"/>
      <c r="W807" s="2096"/>
      <c r="X807" s="2096"/>
      <c r="Y807" s="2096"/>
      <c r="Z807" s="2102">
        <v>12</v>
      </c>
      <c r="AA807" s="2103"/>
      <c r="AB807" s="2103"/>
      <c r="AC807" s="2103"/>
      <c r="AD807" s="2103"/>
      <c r="AE807" s="2104"/>
      <c r="AF807" s="2039">
        <f>IF(T807&gt;Z807,Z807,T807)</f>
        <v>12</v>
      </c>
      <c r="AG807" s="2039"/>
      <c r="AH807" s="2039"/>
      <c r="AI807" s="2039"/>
      <c r="AJ807" s="2039"/>
      <c r="AK807" s="203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70" t="s">
        <v>1694</v>
      </c>
      <c r="C808" s="2070"/>
      <c r="D808" s="2070"/>
      <c r="E808" s="2070"/>
      <c r="F808" s="2070"/>
      <c r="G808" s="2070"/>
      <c r="H808" s="2070"/>
      <c r="I808" s="2070"/>
      <c r="J808" s="2070"/>
      <c r="K808" s="2070"/>
      <c r="L808" s="2070"/>
      <c r="M808" s="2070"/>
      <c r="N808" s="2070"/>
      <c r="O808" s="2070"/>
      <c r="P808" s="2070"/>
      <c r="Q808" s="2070"/>
      <c r="R808" s="2070"/>
      <c r="S808" s="2071"/>
      <c r="T808" s="2096">
        <f>AK783</f>
        <v>10</v>
      </c>
      <c r="U808" s="2096"/>
      <c r="V808" s="2096"/>
      <c r="W808" s="2096"/>
      <c r="X808" s="2096"/>
      <c r="Y808" s="2096"/>
      <c r="Z808" s="2102">
        <v>10</v>
      </c>
      <c r="AA808" s="2103"/>
      <c r="AB808" s="2103"/>
      <c r="AC808" s="2103"/>
      <c r="AD808" s="2103"/>
      <c r="AE808" s="2104"/>
      <c r="AF808" s="2039">
        <f>IF(T808&gt;Z808,Z808,T808)</f>
        <v>10</v>
      </c>
      <c r="AG808" s="2039"/>
      <c r="AH808" s="2039"/>
      <c r="AI808" s="2039"/>
      <c r="AJ808" s="2039"/>
      <c r="AK808" s="203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00" t="s">
        <v>1695</v>
      </c>
      <c r="B809" s="2070"/>
      <c r="C809" s="2070"/>
      <c r="D809" s="2070"/>
      <c r="E809" s="2070"/>
      <c r="F809" s="2070"/>
      <c r="G809" s="2070"/>
      <c r="H809" s="2070"/>
      <c r="I809" s="2070"/>
      <c r="J809" s="2070"/>
      <c r="K809" s="2070"/>
      <c r="L809" s="2070"/>
      <c r="M809" s="2070"/>
      <c r="N809" s="2070"/>
      <c r="O809" s="2070"/>
      <c r="P809" s="2070"/>
      <c r="Q809" s="2070"/>
      <c r="R809" s="2070"/>
      <c r="S809" s="2071"/>
      <c r="T809" s="2101"/>
      <c r="U809" s="2101"/>
      <c r="V809" s="2101"/>
      <c r="W809" s="2101"/>
      <c r="X809" s="2101"/>
      <c r="Y809" s="2101"/>
      <c r="Z809" s="1973" t="s">
        <v>1696</v>
      </c>
      <c r="AA809" s="1973"/>
      <c r="AB809" s="1973"/>
      <c r="AC809" s="1973"/>
      <c r="AD809" s="1973"/>
      <c r="AE809" s="1973"/>
      <c r="AF809" s="2102">
        <f>IF(T809&gt;0,T809,0)</f>
        <v>0</v>
      </c>
      <c r="AG809" s="2103"/>
      <c r="AH809" s="2103"/>
      <c r="AI809" s="2103"/>
      <c r="AJ809" s="2103"/>
      <c r="AK809" s="210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5" t="s">
        <v>1697</v>
      </c>
      <c r="B810" s="2106"/>
      <c r="C810" s="2106"/>
      <c r="D810" s="2106"/>
      <c r="E810" s="2106"/>
      <c r="F810" s="2106"/>
      <c r="G810" s="2106"/>
      <c r="H810" s="2106"/>
      <c r="I810" s="2106"/>
      <c r="J810" s="2106"/>
      <c r="K810" s="2106"/>
      <c r="L810" s="2106"/>
      <c r="M810" s="2106"/>
      <c r="N810" s="2106"/>
      <c r="O810" s="2106"/>
      <c r="P810" s="2106"/>
      <c r="Q810" s="2106"/>
      <c r="R810" s="2106"/>
      <c r="S810" s="2106"/>
      <c r="T810" s="2106"/>
      <c r="U810" s="2106"/>
      <c r="V810" s="2106"/>
      <c r="W810" s="2106"/>
      <c r="X810" s="2106"/>
      <c r="Y810" s="2106"/>
      <c r="Z810" s="2106"/>
      <c r="AA810" s="2106"/>
      <c r="AB810" s="2106"/>
      <c r="AC810" s="2106"/>
      <c r="AD810" s="2106"/>
      <c r="AE810" s="2107"/>
      <c r="AF810" s="2111">
        <f>SUM(AF793:AK808)-AF809</f>
        <v>90</v>
      </c>
      <c r="AG810" s="2112"/>
      <c r="AH810" s="2112"/>
      <c r="AI810" s="2112"/>
      <c r="AJ810" s="2112"/>
      <c r="AK810" s="211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8"/>
      <c r="B811" s="2109"/>
      <c r="C811" s="2109"/>
      <c r="D811" s="2109"/>
      <c r="E811" s="2109"/>
      <c r="F811" s="2109"/>
      <c r="G811" s="2109"/>
      <c r="H811" s="2109"/>
      <c r="I811" s="2109"/>
      <c r="J811" s="2109"/>
      <c r="K811" s="2109"/>
      <c r="L811" s="2109"/>
      <c r="M811" s="2109"/>
      <c r="N811" s="2109"/>
      <c r="O811" s="2109"/>
      <c r="P811" s="2109"/>
      <c r="Q811" s="2109"/>
      <c r="R811" s="2109"/>
      <c r="S811" s="2109"/>
      <c r="T811" s="2109"/>
      <c r="U811" s="2109"/>
      <c r="V811" s="2109"/>
      <c r="W811" s="2109"/>
      <c r="X811" s="2109"/>
      <c r="Y811" s="2109"/>
      <c r="Z811" s="2109"/>
      <c r="AA811" s="2109"/>
      <c r="AB811" s="2109"/>
      <c r="AC811" s="2109"/>
      <c r="AD811" s="2109"/>
      <c r="AE811" s="2110"/>
      <c r="AF811" s="2114"/>
      <c r="AG811" s="2115"/>
      <c r="AH811" s="2115"/>
      <c r="AI811" s="2115"/>
      <c r="AJ811" s="2115"/>
      <c r="AK811" s="211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S36" sqref="AS36:AX36"/>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07" t="s">
        <v>2414</v>
      </c>
      <c r="B1" s="2208"/>
      <c r="C1" s="2208"/>
      <c r="D1" s="2208"/>
      <c r="E1" s="2208"/>
      <c r="F1" s="2208"/>
      <c r="G1" s="2208"/>
      <c r="H1" s="2208"/>
      <c r="I1" s="2208"/>
      <c r="J1" s="2208"/>
      <c r="K1" s="2208"/>
      <c r="L1" s="2208"/>
      <c r="M1" s="2208"/>
      <c r="N1" s="2208"/>
      <c r="O1" s="2208"/>
      <c r="P1" s="2208"/>
      <c r="Q1" s="2208"/>
      <c r="R1" s="2208"/>
      <c r="S1" s="2208"/>
      <c r="T1" s="2208"/>
      <c r="U1" s="2208"/>
      <c r="V1" s="2208"/>
      <c r="W1" s="2208"/>
      <c r="X1" s="2208"/>
      <c r="Y1" s="2208"/>
      <c r="Z1" s="2208"/>
      <c r="AA1" s="2208"/>
      <c r="AB1" s="2208"/>
      <c r="AC1" s="2208"/>
      <c r="AD1" s="2208"/>
      <c r="AE1" s="2208"/>
      <c r="AF1" s="2208"/>
      <c r="AG1" s="2208"/>
      <c r="AH1" s="2208"/>
      <c r="AI1" s="2208"/>
      <c r="AJ1" s="2208"/>
      <c r="AK1" s="2208"/>
      <c r="AL1" s="2208"/>
      <c r="AM1" s="2208"/>
      <c r="AN1" s="2208"/>
      <c r="AO1" s="2208"/>
      <c r="AP1" s="2208"/>
      <c r="AQ1" s="2208"/>
      <c r="AR1" s="2208"/>
      <c r="AS1" s="2208"/>
      <c r="AT1" s="2208"/>
      <c r="AU1" s="2208"/>
      <c r="AV1" s="2208"/>
      <c r="AW1" s="2208"/>
      <c r="AX1" s="2208"/>
      <c r="AY1" s="2208"/>
      <c r="AZ1" s="2208"/>
      <c r="BA1" s="2208"/>
      <c r="BB1" s="2208"/>
      <c r="BC1" s="2208"/>
      <c r="BD1" s="2208"/>
      <c r="BE1" s="2209"/>
    </row>
    <row r="2" spans="1:65" ht="15.75" customHeight="1">
      <c r="A2" s="2210" t="s">
        <v>2461</v>
      </c>
      <c r="B2" s="2211"/>
      <c r="C2" s="2211"/>
      <c r="D2" s="2211"/>
      <c r="E2" s="2211"/>
      <c r="F2" s="2211"/>
      <c r="G2" s="2211"/>
      <c r="H2" s="2211"/>
      <c r="I2" s="2211"/>
      <c r="J2" s="2211"/>
      <c r="K2" s="2211"/>
      <c r="L2" s="2211"/>
      <c r="M2" s="2211"/>
      <c r="N2" s="2211"/>
      <c r="O2" s="2211"/>
      <c r="P2" s="2211"/>
      <c r="Q2" s="2211"/>
      <c r="R2" s="2211"/>
      <c r="S2" s="2211"/>
      <c r="T2" s="2211"/>
      <c r="U2" s="2211"/>
      <c r="V2" s="2211"/>
      <c r="W2" s="2211"/>
      <c r="X2" s="2211"/>
      <c r="Y2" s="2211"/>
      <c r="Z2" s="2211"/>
      <c r="AA2" s="2211"/>
      <c r="AB2" s="2211"/>
      <c r="AC2" s="2211"/>
      <c r="AD2" s="2211"/>
      <c r="AE2" s="2211"/>
      <c r="AF2" s="2211"/>
      <c r="AG2" s="2211"/>
      <c r="AH2" s="2211"/>
      <c r="AI2" s="2211"/>
      <c r="AJ2" s="2211"/>
      <c r="AK2" s="2211"/>
      <c r="AL2" s="2211"/>
      <c r="AM2" s="2211"/>
      <c r="AN2" s="2211"/>
      <c r="AO2" s="2211"/>
      <c r="AP2" s="2211"/>
      <c r="AQ2" s="2211"/>
      <c r="AR2" s="2211"/>
      <c r="AS2" s="2211"/>
      <c r="AT2" s="2211"/>
      <c r="AU2" s="2211"/>
      <c r="AV2" s="2211"/>
      <c r="AW2" s="2211"/>
      <c r="AX2" s="2211"/>
      <c r="AY2" s="2211"/>
      <c r="AZ2" s="2211"/>
      <c r="BA2" s="2211"/>
      <c r="BB2" s="2211"/>
      <c r="BC2" s="2211"/>
      <c r="BD2" s="2211"/>
      <c r="BE2" s="221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13" t="str">
        <f>IF(Application!H18="","",Application!H18)</f>
        <v>Moreland Apartments</v>
      </c>
      <c r="M4" s="2214"/>
      <c r="N4" s="2214"/>
      <c r="O4" s="2214"/>
      <c r="P4" s="2214"/>
      <c r="Q4" s="2214"/>
      <c r="R4" s="2214"/>
      <c r="S4" s="2214"/>
      <c r="T4" s="2214"/>
      <c r="U4" s="2214"/>
      <c r="V4" s="2214"/>
      <c r="W4" s="2214"/>
      <c r="X4" s="2214"/>
      <c r="Y4" s="2214"/>
      <c r="Z4" s="2214"/>
      <c r="AA4" s="2214"/>
      <c r="AB4" s="2214"/>
      <c r="AC4" s="2215"/>
      <c r="AD4" s="1209"/>
      <c r="AE4" s="1209"/>
      <c r="AF4" s="2216" t="s">
        <v>2462</v>
      </c>
      <c r="AG4" s="2216"/>
      <c r="AH4" s="2216"/>
      <c r="AI4" s="2216"/>
      <c r="AJ4" s="2216"/>
      <c r="AK4" s="2216"/>
      <c r="AL4" s="2216"/>
      <c r="AM4" s="2216"/>
      <c r="AN4" s="2216"/>
      <c r="AO4" s="2216"/>
      <c r="AP4" s="2217"/>
      <c r="AQ4" s="2218"/>
      <c r="AR4" s="2218"/>
      <c r="AS4" s="2218"/>
      <c r="AT4" s="2218"/>
      <c r="AU4" s="221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6" t="s">
        <v>2463</v>
      </c>
      <c r="AG5" s="2216"/>
      <c r="AH5" s="2216"/>
      <c r="AI5" s="2216"/>
      <c r="AJ5" s="2216"/>
      <c r="AK5" s="2216"/>
      <c r="AL5" s="2216"/>
      <c r="AM5" s="2216"/>
      <c r="AN5" s="2216"/>
      <c r="AO5" s="2216"/>
      <c r="AP5" s="2217"/>
      <c r="AQ5" s="2218"/>
      <c r="AR5" s="2218"/>
      <c r="AS5" s="2218"/>
      <c r="AT5" s="2218"/>
      <c r="AU5" s="2218"/>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13" t="str">
        <f>IF(Application!H16="","",Application!H16)</f>
        <v>Reliant - Moreland, LP</v>
      </c>
      <c r="M6" s="2214"/>
      <c r="N6" s="2214"/>
      <c r="O6" s="2214"/>
      <c r="P6" s="2214"/>
      <c r="Q6" s="2214"/>
      <c r="R6" s="2214"/>
      <c r="S6" s="2214"/>
      <c r="T6" s="2214"/>
      <c r="U6" s="2214"/>
      <c r="V6" s="2214"/>
      <c r="W6" s="2214"/>
      <c r="X6" s="2214"/>
      <c r="Y6" s="2214"/>
      <c r="Z6" s="2214"/>
      <c r="AA6" s="2214"/>
      <c r="AB6" s="2214"/>
      <c r="AC6" s="2215"/>
      <c r="AD6" s="1209"/>
      <c r="AE6" s="1209"/>
      <c r="AF6" s="2219" t="s">
        <v>2464</v>
      </c>
      <c r="AG6" s="2219"/>
      <c r="AH6" s="2219"/>
      <c r="AI6" s="2219"/>
      <c r="AJ6" s="2219"/>
      <c r="AK6" s="2219"/>
      <c r="AL6" s="2219"/>
      <c r="AM6" s="2219"/>
      <c r="AN6" s="2219"/>
      <c r="AO6" s="2219"/>
      <c r="AP6" s="2206">
        <v>0</v>
      </c>
      <c r="AQ6" s="2206"/>
      <c r="AR6" s="2206"/>
      <c r="AS6" s="2206"/>
      <c r="AT6" s="2206"/>
      <c r="AU6" s="220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19" t="s">
        <v>2465</v>
      </c>
      <c r="AG7" s="2219"/>
      <c r="AH7" s="2219"/>
      <c r="AI7" s="2219"/>
      <c r="AJ7" s="2219"/>
      <c r="AK7" s="2219"/>
      <c r="AL7" s="2219"/>
      <c r="AM7" s="2219"/>
      <c r="AN7" s="2219"/>
      <c r="AO7" s="2219"/>
      <c r="AP7" s="2206">
        <v>0</v>
      </c>
      <c r="AQ7" s="2206"/>
      <c r="AR7" s="2206"/>
      <c r="AS7" s="2206"/>
      <c r="AT7" s="2206"/>
      <c r="AU7" s="2206"/>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20" t="str">
        <f>Application!T197</f>
        <v>No</v>
      </c>
      <c r="AC8" s="2221"/>
      <c r="AD8" s="2222"/>
      <c r="AE8" s="1209"/>
      <c r="AF8" s="2219" t="s">
        <v>2466</v>
      </c>
      <c r="AG8" s="2219"/>
      <c r="AH8" s="2219"/>
      <c r="AI8" s="2219"/>
      <c r="AJ8" s="2219"/>
      <c r="AK8" s="2219"/>
      <c r="AL8" s="2219"/>
      <c r="AM8" s="2219"/>
      <c r="AN8" s="2219"/>
      <c r="AO8" s="2219"/>
      <c r="AP8" s="2206" t="s">
        <v>2418</v>
      </c>
      <c r="AQ8" s="2206"/>
      <c r="AR8" s="2206"/>
      <c r="AS8" s="2206"/>
      <c r="AT8" s="2206"/>
      <c r="AU8" s="2206"/>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6" t="s">
        <v>2626</v>
      </c>
      <c r="AG9" s="2216"/>
      <c r="AH9" s="2216"/>
      <c r="AI9" s="2216"/>
      <c r="AJ9" s="2216"/>
      <c r="AK9" s="2216"/>
      <c r="AL9" s="2216"/>
      <c r="AM9" s="2216"/>
      <c r="AN9" s="2216"/>
      <c r="AO9" s="2216"/>
      <c r="AP9" s="2217"/>
      <c r="AQ9" s="2218"/>
      <c r="AR9" s="2218"/>
      <c r="AS9" s="2218"/>
      <c r="AT9" s="2218"/>
      <c r="AU9" s="2218"/>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31">
        <f>Application!AO627</f>
        <v>48003469</v>
      </c>
      <c r="O10" s="2231"/>
      <c r="P10" s="2231"/>
      <c r="Q10" s="2231"/>
      <c r="R10" s="2231"/>
      <c r="S10" s="2231"/>
      <c r="T10" s="2231"/>
      <c r="U10" s="1209"/>
      <c r="V10" s="1209"/>
      <c r="W10" s="1209"/>
      <c r="X10" s="1258"/>
      <c r="Y10" s="1258"/>
      <c r="Z10" s="1258"/>
      <c r="AA10" s="1258"/>
      <c r="AB10" s="1258"/>
      <c r="AC10" s="1258"/>
      <c r="AD10" s="1258"/>
      <c r="AE10" s="1258"/>
      <c r="AF10" s="2216" t="s">
        <v>2625</v>
      </c>
      <c r="AG10" s="2216"/>
      <c r="AH10" s="2216"/>
      <c r="AI10" s="2216"/>
      <c r="AJ10" s="2216"/>
      <c r="AK10" s="2216"/>
      <c r="AL10" s="2216"/>
      <c r="AM10" s="2216"/>
      <c r="AN10" s="2216"/>
      <c r="AO10" s="2216"/>
      <c r="AP10" s="2217"/>
      <c r="AQ10" s="2218"/>
      <c r="AR10" s="2218"/>
      <c r="AS10" s="2218"/>
      <c r="AT10" s="2218"/>
      <c r="AU10" s="2218"/>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31">
        <f>Application!AA933</f>
        <v>0</v>
      </c>
      <c r="O11" s="2231"/>
      <c r="P11" s="2231"/>
      <c r="Q11" s="2231"/>
      <c r="R11" s="2231"/>
      <c r="S11" s="2231"/>
      <c r="T11" s="2231"/>
      <c r="U11" s="1209"/>
      <c r="V11" s="1209"/>
      <c r="W11" s="1209"/>
      <c r="X11" s="1258"/>
      <c r="Y11" s="1258"/>
      <c r="Z11" s="1258"/>
      <c r="AA11" s="1258"/>
      <c r="AB11" s="1258"/>
      <c r="AC11" s="1258"/>
      <c r="AD11" s="1258"/>
      <c r="AE11" s="1258"/>
      <c r="AF11" s="2216" t="s">
        <v>2624</v>
      </c>
      <c r="AG11" s="2216"/>
      <c r="AH11" s="2216"/>
      <c r="AI11" s="2216"/>
      <c r="AJ11" s="2216"/>
      <c r="AK11" s="2216"/>
      <c r="AL11" s="2216"/>
      <c r="AM11" s="2216"/>
      <c r="AN11" s="2216"/>
      <c r="AO11" s="2216"/>
      <c r="AP11" s="2217"/>
      <c r="AQ11" s="2218"/>
      <c r="AR11" s="2218"/>
      <c r="AS11" s="2218"/>
      <c r="AT11" s="2218"/>
      <c r="AU11" s="2218"/>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38" t="s">
        <v>1795</v>
      </c>
      <c r="C13" s="2239"/>
      <c r="D13" s="2239"/>
      <c r="E13" s="2239"/>
      <c r="F13" s="2239"/>
      <c r="G13" s="2239"/>
      <c r="H13" s="2239"/>
      <c r="I13" s="2239"/>
      <c r="J13" s="2239"/>
      <c r="K13" s="2239"/>
      <c r="L13" s="2239"/>
      <c r="M13" s="2239"/>
      <c r="N13" s="2239"/>
      <c r="O13" s="2239"/>
      <c r="P13" s="2240"/>
      <c r="Q13" s="2241" t="s">
        <v>678</v>
      </c>
      <c r="R13" s="2242"/>
      <c r="S13" s="2242"/>
      <c r="T13" s="2243"/>
      <c r="U13" s="1258"/>
      <c r="V13" s="1209"/>
      <c r="W13" s="1209"/>
      <c r="X13" s="1209"/>
      <c r="Y13" s="1209"/>
      <c r="Z13" s="1209"/>
      <c r="AA13" s="2232" t="s">
        <v>2468</v>
      </c>
      <c r="AB13" s="2232"/>
      <c r="AC13" s="2232"/>
      <c r="AD13" s="2232"/>
      <c r="AE13" s="2232"/>
      <c r="AF13" s="2232"/>
      <c r="AG13" s="2232"/>
      <c r="AH13" s="2232"/>
      <c r="AI13" s="2232"/>
      <c r="AJ13" s="2232"/>
      <c r="AK13" s="2232"/>
      <c r="AL13" s="2232"/>
      <c r="AM13" s="2232"/>
      <c r="AN13" s="2232"/>
      <c r="AO13" s="2233">
        <f>Application!W473</f>
        <v>0</v>
      </c>
      <c r="AP13" s="2234"/>
      <c r="AQ13" s="2234"/>
      <c r="AR13" s="2234"/>
      <c r="AS13" s="2234"/>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35" t="s">
        <v>2470</v>
      </c>
      <c r="AB14" s="2235"/>
      <c r="AC14" s="2235"/>
      <c r="AD14" s="2235"/>
      <c r="AE14" s="2235"/>
      <c r="AF14" s="2235"/>
      <c r="AG14" s="2235"/>
      <c r="AH14" s="2235"/>
      <c r="AI14" s="2235"/>
      <c r="AJ14" s="2235"/>
      <c r="AK14" s="2235"/>
      <c r="AL14" s="2235"/>
      <c r="AM14" s="2235"/>
      <c r="AN14" s="2235"/>
      <c r="AO14" s="2236"/>
      <c r="AP14" s="2237"/>
      <c r="AQ14" s="2237"/>
      <c r="AR14" s="2237"/>
      <c r="AS14" s="2237"/>
      <c r="AT14" s="1258"/>
      <c r="AU14" s="1258"/>
      <c r="AV14" s="1258"/>
      <c r="AW14" s="1258"/>
      <c r="AX14" s="1258"/>
      <c r="AY14" s="1258"/>
      <c r="AZ14" s="1258"/>
      <c r="BA14" s="1258"/>
      <c r="BB14" s="1258"/>
      <c r="BC14" s="1258"/>
      <c r="BD14" s="1258"/>
      <c r="BE14" s="1205"/>
    </row>
    <row r="15" spans="1:65" thickBot="1">
      <c r="A15" s="1209"/>
      <c r="B15" s="2244" t="s">
        <v>1796</v>
      </c>
      <c r="C15" s="2245"/>
      <c r="D15" s="2245"/>
      <c r="E15" s="2245"/>
      <c r="F15" s="2245"/>
      <c r="G15" s="2245"/>
      <c r="H15" s="2245"/>
      <c r="I15" s="2245"/>
      <c r="J15" s="2245"/>
      <c r="K15" s="2245"/>
      <c r="L15" s="2245"/>
      <c r="M15" s="2245"/>
      <c r="N15" s="2245"/>
      <c r="O15" s="2245"/>
      <c r="P15" s="2245"/>
      <c r="Q15" s="2245"/>
      <c r="R15" s="2246"/>
      <c r="S15" s="2247" t="str">
        <f>IF(Application!AB214="","",Application!AB214)</f>
        <v/>
      </c>
      <c r="T15" s="2247"/>
      <c r="U15" s="2247"/>
      <c r="V15" s="2247"/>
      <c r="W15" s="2248"/>
      <c r="X15" s="1258"/>
      <c r="Y15" s="1209"/>
      <c r="Z15" s="1209"/>
      <c r="AA15" s="2232" t="s">
        <v>2471</v>
      </c>
      <c r="AB15" s="2232"/>
      <c r="AC15" s="2232"/>
      <c r="AD15" s="2232"/>
      <c r="AE15" s="2232"/>
      <c r="AF15" s="2232"/>
      <c r="AG15" s="2232"/>
      <c r="AH15" s="2232"/>
      <c r="AI15" s="2232"/>
      <c r="AJ15" s="2232"/>
      <c r="AK15" s="2232"/>
      <c r="AL15" s="2232"/>
      <c r="AM15" s="2232"/>
      <c r="AN15" s="2232"/>
      <c r="AO15" s="2236"/>
      <c r="AP15" s="2237"/>
      <c r="AQ15" s="2237"/>
      <c r="AR15" s="2237"/>
      <c r="AS15" s="2237"/>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49" t="s">
        <v>1797</v>
      </c>
      <c r="C17" s="2250"/>
      <c r="D17" s="2250"/>
      <c r="E17" s="2250"/>
      <c r="F17" s="2250"/>
      <c r="G17" s="2250"/>
      <c r="H17" s="2250"/>
      <c r="I17" s="2250"/>
      <c r="J17" s="2250"/>
      <c r="K17" s="2250"/>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2250"/>
      <c r="AM17" s="2250"/>
      <c r="AN17" s="2250"/>
      <c r="AO17" s="2250"/>
      <c r="AP17" s="2250"/>
      <c r="AQ17" s="2250"/>
      <c r="AR17" s="2250"/>
      <c r="AS17" s="2250"/>
      <c r="AT17" s="2250"/>
      <c r="AU17" s="2250"/>
      <c r="AV17" s="2250"/>
      <c r="AW17" s="2250"/>
      <c r="AX17" s="2250"/>
      <c r="AY17" s="2251"/>
      <c r="AZ17" s="1209"/>
      <c r="BA17" s="1209"/>
      <c r="BB17" s="1209"/>
      <c r="BC17" s="1209"/>
      <c r="BD17" s="1209"/>
      <c r="BE17" s="1205"/>
      <c r="BF17" s="1201"/>
    </row>
    <row r="18" spans="1:58" ht="15.75" customHeight="1">
      <c r="A18" s="1209"/>
      <c r="B18" s="2252" t="s">
        <v>1798</v>
      </c>
      <c r="C18" s="2253"/>
      <c r="D18" s="2253"/>
      <c r="E18" s="2253"/>
      <c r="F18" s="2253"/>
      <c r="G18" s="2253"/>
      <c r="H18" s="2253"/>
      <c r="I18" s="2254"/>
      <c r="J18" s="2255" t="s">
        <v>1699</v>
      </c>
      <c r="K18" s="2256"/>
      <c r="L18" s="2256"/>
      <c r="M18" s="2256"/>
      <c r="N18" s="2256"/>
      <c r="O18" s="2257"/>
      <c r="P18" s="2255" t="s">
        <v>325</v>
      </c>
      <c r="Q18" s="2256"/>
      <c r="R18" s="2256"/>
      <c r="S18" s="2256"/>
      <c r="T18" s="2256"/>
      <c r="U18" s="2257"/>
      <c r="V18" s="2255" t="s">
        <v>326</v>
      </c>
      <c r="W18" s="2256"/>
      <c r="X18" s="2256"/>
      <c r="Y18" s="2256"/>
      <c r="Z18" s="2256"/>
      <c r="AA18" s="2257"/>
      <c r="AB18" s="2255" t="s">
        <v>163</v>
      </c>
      <c r="AC18" s="2256"/>
      <c r="AD18" s="2256"/>
      <c r="AE18" s="2256"/>
      <c r="AF18" s="2256"/>
      <c r="AG18" s="2257"/>
      <c r="AH18" s="2255" t="s">
        <v>164</v>
      </c>
      <c r="AI18" s="2256"/>
      <c r="AJ18" s="2256"/>
      <c r="AK18" s="2256"/>
      <c r="AL18" s="2256"/>
      <c r="AM18" s="2257"/>
      <c r="AN18" s="2255" t="s">
        <v>165</v>
      </c>
      <c r="AO18" s="2256"/>
      <c r="AP18" s="2256"/>
      <c r="AQ18" s="2256"/>
      <c r="AR18" s="2256"/>
      <c r="AS18" s="2257"/>
      <c r="AT18" s="2255" t="s">
        <v>1799</v>
      </c>
      <c r="AU18" s="2256"/>
      <c r="AV18" s="2256"/>
      <c r="AW18" s="2256"/>
      <c r="AX18" s="2256"/>
      <c r="AY18" s="2258"/>
      <c r="AZ18" s="1209"/>
      <c r="BA18" s="1209"/>
      <c r="BB18" s="1209"/>
      <c r="BC18" s="1209"/>
      <c r="BD18" s="1209"/>
      <c r="BE18" s="1205"/>
    </row>
    <row r="19" spans="1:58" ht="15">
      <c r="A19" s="1209"/>
      <c r="B19" s="2259">
        <v>0.3</v>
      </c>
      <c r="C19" s="2260"/>
      <c r="D19" s="2260"/>
      <c r="E19" s="2260"/>
      <c r="F19" s="2260"/>
      <c r="G19" s="2260"/>
      <c r="H19" s="2260"/>
      <c r="I19" s="2261"/>
      <c r="J19" s="2262">
        <f t="shared" ref="J19:J28" si="0">SUM(P19:AS19)</f>
        <v>8</v>
      </c>
      <c r="K19" s="2263"/>
      <c r="L19" s="2263"/>
      <c r="M19" s="2263"/>
      <c r="N19" s="2263"/>
      <c r="O19" s="2264"/>
      <c r="P19" s="2262" cm="1">
        <f t="array" ref="P19">SUMPRODUCT((Application!$B$718:$B$752 = 'CalHFA Addendum'!P$18)*(Application!$AC$718:$AC$752 = 'CalHFA Addendum'!$B19),Application!$G$718:$G$752)</f>
        <v>0</v>
      </c>
      <c r="Q19" s="2263"/>
      <c r="R19" s="2263"/>
      <c r="S19" s="2263"/>
      <c r="T19" s="2263"/>
      <c r="U19" s="2264"/>
      <c r="V19" s="2262" cm="1">
        <f t="array" ref="V19">SUMPRODUCT((Application!$B$714:$B$738 = 'CalHFA Addendum'!V$18)*(Application!$AC$714:$AC$738 = 'CalHFA Addendum'!$B19),Application!$G$714:$G$738)</f>
        <v>4</v>
      </c>
      <c r="W19" s="2263"/>
      <c r="X19" s="2263"/>
      <c r="Y19" s="2263"/>
      <c r="Z19" s="2263"/>
      <c r="AA19" s="2264"/>
      <c r="AB19" s="2262" cm="1">
        <f t="array" ref="AB19">SUMPRODUCT((Application!$B$714:$B$738 = 'CalHFA Addendum'!AB$18)*(Application!$AC$714:$AC$738 = 'CalHFA Addendum'!$B19),Application!$G$714:$G$738)</f>
        <v>4</v>
      </c>
      <c r="AC19" s="2263"/>
      <c r="AD19" s="2263"/>
      <c r="AE19" s="2263"/>
      <c r="AF19" s="2263"/>
      <c r="AG19" s="2264"/>
      <c r="AH19" s="2262" cm="1">
        <f t="array" ref="AH19">SUMPRODUCT((Application!$B$714:$B$738 = 'CalHFA Addendum'!AH$18)*(Application!$AC$714:$AC$738 = 'CalHFA Addendum'!$B19),Application!$G$714:$G$738)</f>
        <v>0</v>
      </c>
      <c r="AI19" s="2263"/>
      <c r="AJ19" s="2263"/>
      <c r="AK19" s="2263"/>
      <c r="AL19" s="2263"/>
      <c r="AM19" s="2264"/>
      <c r="AN19" s="2262" cm="1">
        <f t="array" ref="AN19">SUMPRODUCT((Application!$B$714:$B$738 = 'CalHFA Addendum'!AN$18)*(Application!$AC$714:$AC$738 = 'CalHFA Addendum'!$B19),Application!$G$714:$G$738)</f>
        <v>0</v>
      </c>
      <c r="AO19" s="2263"/>
      <c r="AP19" s="2263"/>
      <c r="AQ19" s="2263"/>
      <c r="AR19" s="2263"/>
      <c r="AS19" s="2264"/>
      <c r="AT19" s="2265">
        <f t="shared" ref="AT19:AT29" si="1">J19/$J$29</f>
        <v>5.0314465408805034E-2</v>
      </c>
      <c r="AU19" s="2266"/>
      <c r="AV19" s="2266"/>
      <c r="AW19" s="2266"/>
      <c r="AX19" s="2266"/>
      <c r="AY19" s="2267"/>
      <c r="AZ19" s="1220"/>
      <c r="BA19" s="1209"/>
      <c r="BB19" s="1209"/>
      <c r="BC19" s="1209"/>
      <c r="BD19" s="1209"/>
      <c r="BE19" s="1205"/>
    </row>
    <row r="20" spans="1:58" ht="15" customHeight="1">
      <c r="A20" s="1209"/>
      <c r="B20" s="2259">
        <v>0.4</v>
      </c>
      <c r="C20" s="2260"/>
      <c r="D20" s="2260"/>
      <c r="E20" s="2260"/>
      <c r="F20" s="2260"/>
      <c r="G20" s="2260"/>
      <c r="H20" s="2260"/>
      <c r="I20" s="2261"/>
      <c r="J20" s="2262">
        <f t="shared" si="0"/>
        <v>0</v>
      </c>
      <c r="K20" s="2263"/>
      <c r="L20" s="2263"/>
      <c r="M20" s="2263"/>
      <c r="N20" s="2263"/>
      <c r="O20" s="2264"/>
      <c r="P20" s="2262" cm="1">
        <f t="array" ref="P20">SUMPRODUCT((Application!$B$718:$B$752 = 'CalHFA Addendum'!P$18)*(Application!$AC$718:$AC$752 = 'CalHFA Addendum'!$B20),Application!$G$718:$G$752)</f>
        <v>0</v>
      </c>
      <c r="Q20" s="2263"/>
      <c r="R20" s="2263"/>
      <c r="S20" s="2263"/>
      <c r="T20" s="2263"/>
      <c r="U20" s="2264"/>
      <c r="V20" s="2262" cm="1">
        <f t="array" ref="V20">SUMPRODUCT((Application!$B$714:$B$738 = 'CalHFA Addendum'!V$18)*(Application!$AC$714:$AC$738 = 'CalHFA Addendum'!$B20),Application!$G$714:$G$738)</f>
        <v>0</v>
      </c>
      <c r="W20" s="2263"/>
      <c r="X20" s="2263"/>
      <c r="Y20" s="2263"/>
      <c r="Z20" s="2263"/>
      <c r="AA20" s="2264"/>
      <c r="AB20" s="2262" cm="1">
        <f t="array" ref="AB20">SUMPRODUCT((Application!$B$714:$B$738 = 'CalHFA Addendum'!AB$18)*(Application!$AC$714:$AC$738 = 'CalHFA Addendum'!$B20),Application!$G$714:$G$738)</f>
        <v>0</v>
      </c>
      <c r="AC20" s="2263"/>
      <c r="AD20" s="2263"/>
      <c r="AE20" s="2263"/>
      <c r="AF20" s="2263"/>
      <c r="AG20" s="2264"/>
      <c r="AH20" s="2262" cm="1">
        <f t="array" ref="AH20">SUMPRODUCT((Application!$B$714:$B$738 = 'CalHFA Addendum'!AH$18)*(Application!$AC$714:$AC$738 = 'CalHFA Addendum'!$B20),Application!$G$714:$G$738)</f>
        <v>0</v>
      </c>
      <c r="AI20" s="2263"/>
      <c r="AJ20" s="2263"/>
      <c r="AK20" s="2263"/>
      <c r="AL20" s="2263"/>
      <c r="AM20" s="2264"/>
      <c r="AN20" s="2262" cm="1">
        <f t="array" ref="AN20">SUMPRODUCT((Application!$B$714:$B$738 = 'CalHFA Addendum'!AN$18)*(Application!$AC$714:$AC$738 = 'CalHFA Addendum'!$B20),Application!$G$714:$G$738)</f>
        <v>0</v>
      </c>
      <c r="AO20" s="2263"/>
      <c r="AP20" s="2263"/>
      <c r="AQ20" s="2263"/>
      <c r="AR20" s="2263"/>
      <c r="AS20" s="2264"/>
      <c r="AT20" s="2265">
        <f t="shared" si="1"/>
        <v>0</v>
      </c>
      <c r="AU20" s="2266"/>
      <c r="AV20" s="2266"/>
      <c r="AW20" s="2266"/>
      <c r="AX20" s="2266"/>
      <c r="AY20" s="2267"/>
      <c r="AZ20" s="1209"/>
      <c r="BA20" s="1209"/>
      <c r="BB20" s="1209"/>
      <c r="BC20" s="1209"/>
      <c r="BD20" s="1209"/>
      <c r="BE20" s="1205"/>
    </row>
    <row r="21" spans="1:58" ht="15">
      <c r="A21" s="1209"/>
      <c r="B21" s="2259">
        <v>0.5</v>
      </c>
      <c r="C21" s="2260"/>
      <c r="D21" s="2260"/>
      <c r="E21" s="2260"/>
      <c r="F21" s="2260"/>
      <c r="G21" s="2260"/>
      <c r="H21" s="2260"/>
      <c r="I21" s="2261"/>
      <c r="J21" s="2262">
        <f t="shared" si="0"/>
        <v>149</v>
      </c>
      <c r="K21" s="2263"/>
      <c r="L21" s="2263"/>
      <c r="M21" s="2263"/>
      <c r="N21" s="2263"/>
      <c r="O21" s="2264"/>
      <c r="P21" s="2262" cm="1">
        <f t="array" ref="P21">SUMPRODUCT((Application!$B$714:$B$738 = 'CalHFA Addendum'!P$18)*(Application!$AC$714:$AC$738 = 'CalHFA Addendum'!$B21),Application!$G$714:$G$738)</f>
        <v>0</v>
      </c>
      <c r="Q21" s="2263"/>
      <c r="R21" s="2263"/>
      <c r="S21" s="2263"/>
      <c r="T21" s="2263"/>
      <c r="U21" s="2264"/>
      <c r="V21" s="2262" cm="1">
        <f t="array" ref="V21">SUMPRODUCT((Application!$B$714:$B$738 = 'CalHFA Addendum'!V$18)*(Application!$AC$714:$AC$738 = 'CalHFA Addendum'!$B21),Application!$G$714:$G$738)</f>
        <v>76</v>
      </c>
      <c r="W21" s="2263"/>
      <c r="X21" s="2263"/>
      <c r="Y21" s="2263"/>
      <c r="Z21" s="2263"/>
      <c r="AA21" s="2264"/>
      <c r="AB21" s="2262" cm="1">
        <f t="array" ref="AB21">SUMPRODUCT((Application!$B$714:$B$738 = 'CalHFA Addendum'!AB$18)*(Application!$AC$714:$AC$738 = 'CalHFA Addendum'!$B21),Application!$G$714:$G$738)</f>
        <v>73</v>
      </c>
      <c r="AC21" s="2263"/>
      <c r="AD21" s="2263"/>
      <c r="AE21" s="2263"/>
      <c r="AF21" s="2263"/>
      <c r="AG21" s="2264"/>
      <c r="AH21" s="2262" cm="1">
        <f t="array" ref="AH21">SUMPRODUCT((Application!$B$714:$B$738 = 'CalHFA Addendum'!AH$18)*(Application!$AC$714:$AC$738 = 'CalHFA Addendum'!$B21),Application!$G$714:$G$738)</f>
        <v>0</v>
      </c>
      <c r="AI21" s="2263"/>
      <c r="AJ21" s="2263"/>
      <c r="AK21" s="2263"/>
      <c r="AL21" s="2263"/>
      <c r="AM21" s="2264"/>
      <c r="AN21" s="2262" cm="1">
        <f t="array" ref="AN21">SUMPRODUCT((Application!$B$714:$B$738 = 'CalHFA Addendum'!AN$18)*(Application!$AC$714:$AC$738 = 'CalHFA Addendum'!$B21),Application!$G$714:$G$738)</f>
        <v>0</v>
      </c>
      <c r="AO21" s="2263"/>
      <c r="AP21" s="2263"/>
      <c r="AQ21" s="2263"/>
      <c r="AR21" s="2263"/>
      <c r="AS21" s="2264"/>
      <c r="AT21" s="2265">
        <f t="shared" si="1"/>
        <v>0.93710691823899372</v>
      </c>
      <c r="AU21" s="2266"/>
      <c r="AV21" s="2266"/>
      <c r="AW21" s="2266"/>
      <c r="AX21" s="2266"/>
      <c r="AY21" s="2267"/>
      <c r="AZ21" s="1209"/>
      <c r="BA21" s="1209"/>
      <c r="BB21" s="1209"/>
      <c r="BC21" s="1209"/>
      <c r="BD21" s="1209"/>
      <c r="BE21" s="1205"/>
    </row>
    <row r="22" spans="1:58" ht="15">
      <c r="A22" s="1209"/>
      <c r="B22" s="2259">
        <v>0.6</v>
      </c>
      <c r="C22" s="2260"/>
      <c r="D22" s="2260"/>
      <c r="E22" s="2260"/>
      <c r="F22" s="2260"/>
      <c r="G22" s="2260"/>
      <c r="H22" s="2260"/>
      <c r="I22" s="2261"/>
      <c r="J22" s="2262">
        <f t="shared" si="0"/>
        <v>0</v>
      </c>
      <c r="K22" s="2263"/>
      <c r="L22" s="2263"/>
      <c r="M22" s="2263"/>
      <c r="N22" s="2263"/>
      <c r="O22" s="2264"/>
      <c r="P22" s="2262" cm="1">
        <f t="array" ref="P22">SUMPRODUCT((Application!$B$714:$B$738 = 'CalHFA Addendum'!P$18)*(Application!$AC$714:$AC$738 = 'CalHFA Addendum'!$B22),Application!$G$714:$G$738)</f>
        <v>0</v>
      </c>
      <c r="Q22" s="2263"/>
      <c r="R22" s="2263"/>
      <c r="S22" s="2263"/>
      <c r="T22" s="2263"/>
      <c r="U22" s="2264"/>
      <c r="V22" s="2262" cm="1">
        <f t="array" ref="V22">SUMPRODUCT((Application!$B$714:$B$738 = 'CalHFA Addendum'!V$18)*(Application!$AC$714:$AC$738 = 'CalHFA Addendum'!$B22),Application!$G$714:$G$738)</f>
        <v>0</v>
      </c>
      <c r="W22" s="2263"/>
      <c r="X22" s="2263"/>
      <c r="Y22" s="2263"/>
      <c r="Z22" s="2263"/>
      <c r="AA22" s="2264"/>
      <c r="AB22" s="2262" cm="1">
        <f t="array" ref="AB22">SUMPRODUCT((Application!$B$714:$B$738 = 'CalHFA Addendum'!AB$18)*(Application!$AC$714:$AC$738 = 'CalHFA Addendum'!$B22),Application!$G$714:$G$738)</f>
        <v>0</v>
      </c>
      <c r="AC22" s="2263"/>
      <c r="AD22" s="2263"/>
      <c r="AE22" s="2263"/>
      <c r="AF22" s="2263"/>
      <c r="AG22" s="2264"/>
      <c r="AH22" s="2262" cm="1">
        <f t="array" ref="AH22">SUMPRODUCT((Application!$B$714:$B$738 = 'CalHFA Addendum'!AH$18)*(Application!$AC$714:$AC$738 = 'CalHFA Addendum'!$B22),Application!$G$714:$G$738)</f>
        <v>0</v>
      </c>
      <c r="AI22" s="2263"/>
      <c r="AJ22" s="2263"/>
      <c r="AK22" s="2263"/>
      <c r="AL22" s="2263"/>
      <c r="AM22" s="2264"/>
      <c r="AN22" s="2262" cm="1">
        <f t="array" ref="AN22">SUMPRODUCT((Application!$B$714:$B$738 = 'CalHFA Addendum'!AN$18)*(Application!$AC$714:$AC$738 = 'CalHFA Addendum'!$B22),Application!$G$714:$G$738)</f>
        <v>0</v>
      </c>
      <c r="AO22" s="2263"/>
      <c r="AP22" s="2263"/>
      <c r="AQ22" s="2263"/>
      <c r="AR22" s="2263"/>
      <c r="AS22" s="2264"/>
      <c r="AT22" s="2265">
        <f t="shared" si="1"/>
        <v>0</v>
      </c>
      <c r="AU22" s="2266"/>
      <c r="AV22" s="2266"/>
      <c r="AW22" s="2266"/>
      <c r="AX22" s="2266"/>
      <c r="AY22" s="2267"/>
      <c r="AZ22" s="1209"/>
      <c r="BA22" s="1209"/>
      <c r="BB22" s="1209"/>
      <c r="BC22" s="1209"/>
      <c r="BD22" s="1209"/>
      <c r="BE22" s="1205"/>
    </row>
    <row r="23" spans="1:58" ht="15">
      <c r="A23" s="1209"/>
      <c r="B23" s="2259">
        <v>0.7</v>
      </c>
      <c r="C23" s="2260"/>
      <c r="D23" s="2260"/>
      <c r="E23" s="2260"/>
      <c r="F23" s="2260"/>
      <c r="G23" s="2260"/>
      <c r="H23" s="2260"/>
      <c r="I23" s="2261"/>
      <c r="J23" s="2262">
        <f t="shared" si="0"/>
        <v>0</v>
      </c>
      <c r="K23" s="2263"/>
      <c r="L23" s="2263"/>
      <c r="M23" s="2263"/>
      <c r="N23" s="2263"/>
      <c r="O23" s="2264"/>
      <c r="P23" s="2262" cm="1">
        <f t="array" ref="P23">SUMPRODUCT((Application!$B$714:$B$738 = 'CalHFA Addendum'!P$18)*(Application!$AC$714:$AC$738 = 'CalHFA Addendum'!$B23),Application!$G$714:$G$738)</f>
        <v>0</v>
      </c>
      <c r="Q23" s="2263"/>
      <c r="R23" s="2263"/>
      <c r="S23" s="2263"/>
      <c r="T23" s="2263"/>
      <c r="U23" s="2264"/>
      <c r="V23" s="2262" cm="1">
        <f t="array" ref="V23">SUMPRODUCT((Application!$B$714:$B$738 = 'CalHFA Addendum'!V$18)*(Application!$AC$714:$AC$738 = 'CalHFA Addendum'!$B23),Application!$G$714:$G$738)</f>
        <v>0</v>
      </c>
      <c r="W23" s="2263"/>
      <c r="X23" s="2263"/>
      <c r="Y23" s="2263"/>
      <c r="Z23" s="2263"/>
      <c r="AA23" s="2264"/>
      <c r="AB23" s="2262" cm="1">
        <f t="array" ref="AB23">SUMPRODUCT((Application!$B$714:$B$738 = 'CalHFA Addendum'!AB$18)*(Application!$AC$714:$AC$738 = 'CalHFA Addendum'!$B23),Application!$G$714:$G$738)</f>
        <v>0</v>
      </c>
      <c r="AC23" s="2263"/>
      <c r="AD23" s="2263"/>
      <c r="AE23" s="2263"/>
      <c r="AF23" s="2263"/>
      <c r="AG23" s="2264"/>
      <c r="AH23" s="2262" cm="1">
        <f t="array" ref="AH23">SUMPRODUCT((Application!$B$714:$B$738 = 'CalHFA Addendum'!AH$18)*(Application!$AC$714:$AC$738 = 'CalHFA Addendum'!$B23),Application!$G$714:$G$738)</f>
        <v>0</v>
      </c>
      <c r="AI23" s="2263"/>
      <c r="AJ23" s="2263"/>
      <c r="AK23" s="2263"/>
      <c r="AL23" s="2263"/>
      <c r="AM23" s="2264"/>
      <c r="AN23" s="2262" cm="1">
        <f t="array" ref="AN23">SUMPRODUCT((Application!$B$714:$B$738 = 'CalHFA Addendum'!AN$18)*(Application!$AC$714:$AC$738 = 'CalHFA Addendum'!$B23),Application!$G$714:$G$738)</f>
        <v>0</v>
      </c>
      <c r="AO23" s="2263"/>
      <c r="AP23" s="2263"/>
      <c r="AQ23" s="2263"/>
      <c r="AR23" s="2263"/>
      <c r="AS23" s="2264"/>
      <c r="AT23" s="2265">
        <f t="shared" si="1"/>
        <v>0</v>
      </c>
      <c r="AU23" s="2266"/>
      <c r="AV23" s="2266"/>
      <c r="AW23" s="2266"/>
      <c r="AX23" s="2266"/>
      <c r="AY23" s="2267"/>
      <c r="AZ23" s="1209"/>
      <c r="BA23" s="1209"/>
      <c r="BB23" s="1209"/>
      <c r="BC23" s="1209"/>
      <c r="BD23" s="1209"/>
      <c r="BE23" s="1205"/>
    </row>
    <row r="24" spans="1:58" ht="15">
      <c r="A24" s="1209"/>
      <c r="B24" s="2259">
        <v>0.8</v>
      </c>
      <c r="C24" s="2260"/>
      <c r="D24" s="2260"/>
      <c r="E24" s="2260"/>
      <c r="F24" s="2260"/>
      <c r="G24" s="2260"/>
      <c r="H24" s="2260"/>
      <c r="I24" s="2261"/>
      <c r="J24" s="2262">
        <f t="shared" si="0"/>
        <v>2</v>
      </c>
      <c r="K24" s="2263"/>
      <c r="L24" s="2263"/>
      <c r="M24" s="2263"/>
      <c r="N24" s="2263"/>
      <c r="O24" s="2264"/>
      <c r="P24" s="2262" cm="1">
        <f t="array" ref="P24">SUMPRODUCT((Application!$B$714:$B$738 = 'CalHFA Addendum'!P$18)*(Application!$AC$714:$AC$738 = 'CalHFA Addendum'!$B24),Application!$G$714:$G$738)</f>
        <v>0</v>
      </c>
      <c r="Q24" s="2263"/>
      <c r="R24" s="2263"/>
      <c r="S24" s="2263"/>
      <c r="T24" s="2263"/>
      <c r="U24" s="2264"/>
      <c r="V24" s="2262" cm="1">
        <f t="array" ref="V24">SUMPRODUCT((Application!$B$714:$B$738 = 'CalHFA Addendum'!V$18)*(Application!$AC$714:$AC$738 = 'CalHFA Addendum'!$B24),Application!$G$714:$G$738)</f>
        <v>0</v>
      </c>
      <c r="W24" s="2263"/>
      <c r="X24" s="2263"/>
      <c r="Y24" s="2263"/>
      <c r="Z24" s="2263"/>
      <c r="AA24" s="2264"/>
      <c r="AB24" s="2262" cm="1">
        <f t="array" ref="AB24">SUMPRODUCT((Application!$B$714:$B$738 = 'CalHFA Addendum'!AB$18)*(Application!$AC$714:$AC$738 = 'CalHFA Addendum'!$B24),Application!$G$714:$G$738)</f>
        <v>2</v>
      </c>
      <c r="AC24" s="2263"/>
      <c r="AD24" s="2263"/>
      <c r="AE24" s="2263"/>
      <c r="AF24" s="2263"/>
      <c r="AG24" s="2264"/>
      <c r="AH24" s="2262" cm="1">
        <f t="array" ref="AH24">SUMPRODUCT((Application!$B$714:$B$738 = 'CalHFA Addendum'!AH$18)*(Application!$AC$714:$AC$738 = 'CalHFA Addendum'!$B24),Application!$G$714:$G$738)</f>
        <v>0</v>
      </c>
      <c r="AI24" s="2263"/>
      <c r="AJ24" s="2263"/>
      <c r="AK24" s="2263"/>
      <c r="AL24" s="2263"/>
      <c r="AM24" s="2264"/>
      <c r="AN24" s="2262" cm="1">
        <f t="array" ref="AN24">SUMPRODUCT((Application!$B$714:$B$738 = 'CalHFA Addendum'!AN$18)*(Application!$AC$714:$AC$738 = 'CalHFA Addendum'!$B24),Application!$G$714:$G$738)</f>
        <v>0</v>
      </c>
      <c r="AO24" s="2263"/>
      <c r="AP24" s="2263"/>
      <c r="AQ24" s="2263"/>
      <c r="AR24" s="2263"/>
      <c r="AS24" s="2264"/>
      <c r="AT24" s="2265">
        <f t="shared" si="1"/>
        <v>1.2578616352201259E-2</v>
      </c>
      <c r="AU24" s="2266"/>
      <c r="AV24" s="2266"/>
      <c r="AW24" s="2266"/>
      <c r="AX24" s="2266"/>
      <c r="AY24" s="2267"/>
      <c r="AZ24" s="1209"/>
      <c r="BA24" s="1209"/>
      <c r="BB24" s="1209"/>
      <c r="BC24" s="1209"/>
      <c r="BD24" s="1209"/>
      <c r="BE24" s="1205"/>
    </row>
    <row r="25" spans="1:58" ht="15">
      <c r="A25" s="1209"/>
      <c r="B25" s="2259">
        <v>0.9</v>
      </c>
      <c r="C25" s="2260"/>
      <c r="D25" s="2260"/>
      <c r="E25" s="2260"/>
      <c r="F25" s="2260"/>
      <c r="G25" s="2260"/>
      <c r="H25" s="2260"/>
      <c r="I25" s="2261"/>
      <c r="J25" s="2262">
        <f t="shared" si="0"/>
        <v>0</v>
      </c>
      <c r="K25" s="2263"/>
      <c r="L25" s="2263"/>
      <c r="M25" s="2263"/>
      <c r="N25" s="2263"/>
      <c r="O25" s="2264"/>
      <c r="P25" s="2262" cm="1">
        <f t="array" ref="P25">SUMPRODUCT((Application!$B$714:$B$738 = 'CalHFA Addendum'!P$18)*(Application!$AC$714:$AC$738 = 'CalHFA Addendum'!$B25),Application!$G$714:$G$738)</f>
        <v>0</v>
      </c>
      <c r="Q25" s="2263"/>
      <c r="R25" s="2263"/>
      <c r="S25" s="2263"/>
      <c r="T25" s="2263"/>
      <c r="U25" s="2264"/>
      <c r="V25" s="2262" cm="1">
        <f t="array" ref="V25">SUMPRODUCT((Application!$B$714:$B$738 = 'CalHFA Addendum'!V$18)*(Application!$AC$714:$AC$738 = 'CalHFA Addendum'!$B25),Application!$G$714:$G$738)</f>
        <v>0</v>
      </c>
      <c r="W25" s="2263"/>
      <c r="X25" s="2263"/>
      <c r="Y25" s="2263"/>
      <c r="Z25" s="2263"/>
      <c r="AA25" s="2264"/>
      <c r="AB25" s="2262" cm="1">
        <f t="array" ref="AB25">SUMPRODUCT((Application!$B$714:$B$738 = 'CalHFA Addendum'!AB$18)*(Application!$AC$714:$AC$738 = 'CalHFA Addendum'!$B25),Application!$G$714:$G$738)</f>
        <v>0</v>
      </c>
      <c r="AC25" s="2263"/>
      <c r="AD25" s="2263"/>
      <c r="AE25" s="2263"/>
      <c r="AF25" s="2263"/>
      <c r="AG25" s="2264"/>
      <c r="AH25" s="2262" cm="1">
        <f t="array" ref="AH25">SUMPRODUCT((Application!$B$714:$B$738 = 'CalHFA Addendum'!AH$18)*(Application!$AC$714:$AC$738 = 'CalHFA Addendum'!$B25),Application!$G$714:$G$738)</f>
        <v>0</v>
      </c>
      <c r="AI25" s="2263"/>
      <c r="AJ25" s="2263"/>
      <c r="AK25" s="2263"/>
      <c r="AL25" s="2263"/>
      <c r="AM25" s="2264"/>
      <c r="AN25" s="2262" cm="1">
        <f t="array" ref="AN25">SUMPRODUCT((Application!$B$714:$B$738 = 'CalHFA Addendum'!AN$18)*(Application!$AC$714:$AC$738 = 'CalHFA Addendum'!$B25),Application!$G$714:$G$738)</f>
        <v>0</v>
      </c>
      <c r="AO25" s="2263"/>
      <c r="AP25" s="2263"/>
      <c r="AQ25" s="2263"/>
      <c r="AR25" s="2263"/>
      <c r="AS25" s="2264"/>
      <c r="AT25" s="2265">
        <f t="shared" si="1"/>
        <v>0</v>
      </c>
      <c r="AU25" s="2266"/>
      <c r="AV25" s="2266"/>
      <c r="AW25" s="2266"/>
      <c r="AX25" s="2266"/>
      <c r="AY25" s="2267"/>
      <c r="AZ25" s="1209"/>
      <c r="BA25" s="1209"/>
      <c r="BB25" s="1209"/>
      <c r="BC25" s="1209"/>
      <c r="BD25" s="1209"/>
      <c r="BE25" s="1205"/>
    </row>
    <row r="26" spans="1:58" ht="15">
      <c r="A26" s="1209"/>
      <c r="B26" s="2259">
        <v>1</v>
      </c>
      <c r="C26" s="2260"/>
      <c r="D26" s="2260"/>
      <c r="E26" s="2260"/>
      <c r="F26" s="2260"/>
      <c r="G26" s="2260"/>
      <c r="H26" s="2260"/>
      <c r="I26" s="2261"/>
      <c r="J26" s="2262">
        <f t="shared" si="0"/>
        <v>0</v>
      </c>
      <c r="K26" s="2263"/>
      <c r="L26" s="2263"/>
      <c r="M26" s="2263"/>
      <c r="N26" s="2263"/>
      <c r="O26" s="2264"/>
      <c r="P26" s="2262" cm="1">
        <f t="array" ref="P26">SUMPRODUCT((Application!$B$714:$B$738 = 'CalHFA Addendum'!P$18)*(Application!$AC$714:$AC$738 = 'CalHFA Addendum'!$B26),Application!$G$714:$G$738)</f>
        <v>0</v>
      </c>
      <c r="Q26" s="2263"/>
      <c r="R26" s="2263"/>
      <c r="S26" s="2263"/>
      <c r="T26" s="2263"/>
      <c r="U26" s="2264"/>
      <c r="V26" s="2262" cm="1">
        <f t="array" ref="V26">SUMPRODUCT((Application!$B$714:$B$738 = 'CalHFA Addendum'!V$18)*(Application!$AC$714:$AC$738 = 'CalHFA Addendum'!$B26),Application!$G$714:$G$738)</f>
        <v>0</v>
      </c>
      <c r="W26" s="2263"/>
      <c r="X26" s="2263"/>
      <c r="Y26" s="2263"/>
      <c r="Z26" s="2263"/>
      <c r="AA26" s="2264"/>
      <c r="AB26" s="2262" cm="1">
        <f t="array" ref="AB26">SUMPRODUCT((Application!$B$714:$B$738 = 'CalHFA Addendum'!AB$18)*(Application!$AC$714:$AC$738 = 'CalHFA Addendum'!$B26),Application!$G$714:$G$738)</f>
        <v>0</v>
      </c>
      <c r="AC26" s="2263"/>
      <c r="AD26" s="2263"/>
      <c r="AE26" s="2263"/>
      <c r="AF26" s="2263"/>
      <c r="AG26" s="2264"/>
      <c r="AH26" s="2262" cm="1">
        <f t="array" ref="AH26">SUMPRODUCT((Application!$B$714:$B$738 = 'CalHFA Addendum'!AH$18)*(Application!$AC$714:$AC$738 = 'CalHFA Addendum'!$B26),Application!$G$714:$G$738)</f>
        <v>0</v>
      </c>
      <c r="AI26" s="2263"/>
      <c r="AJ26" s="2263"/>
      <c r="AK26" s="2263"/>
      <c r="AL26" s="2263"/>
      <c r="AM26" s="2264"/>
      <c r="AN26" s="2262" cm="1">
        <f t="array" ref="AN26">SUMPRODUCT((Application!$B$714:$B$738 = 'CalHFA Addendum'!AN$18)*(Application!$AC$714:$AC$738 = 'CalHFA Addendum'!$B26),Application!$G$714:$G$738)</f>
        <v>0</v>
      </c>
      <c r="AO26" s="2263"/>
      <c r="AP26" s="2263"/>
      <c r="AQ26" s="2263"/>
      <c r="AR26" s="2263"/>
      <c r="AS26" s="2264"/>
      <c r="AT26" s="2265">
        <f t="shared" si="1"/>
        <v>0</v>
      </c>
      <c r="AU26" s="2266"/>
      <c r="AV26" s="2266"/>
      <c r="AW26" s="2266"/>
      <c r="AX26" s="2266"/>
      <c r="AY26" s="2267"/>
      <c r="AZ26" s="1209"/>
      <c r="BA26" s="1209"/>
      <c r="BB26" s="1209"/>
      <c r="BC26" s="1209"/>
      <c r="BD26" s="1209"/>
      <c r="BE26" s="1205"/>
    </row>
    <row r="27" spans="1:58" ht="15">
      <c r="A27" s="1209"/>
      <c r="B27" s="2259">
        <v>1.1000000000000001</v>
      </c>
      <c r="C27" s="2260"/>
      <c r="D27" s="2260"/>
      <c r="E27" s="2260"/>
      <c r="F27" s="2260"/>
      <c r="G27" s="2260"/>
      <c r="H27" s="2260"/>
      <c r="I27" s="2261"/>
      <c r="J27" s="2262">
        <f t="shared" si="0"/>
        <v>0</v>
      </c>
      <c r="K27" s="2263"/>
      <c r="L27" s="2263"/>
      <c r="M27" s="2263"/>
      <c r="N27" s="2263"/>
      <c r="O27" s="2264"/>
      <c r="P27" s="2262" cm="1">
        <f t="array" ref="P27">SUMPRODUCT((Application!$B$714:$B$738 = 'CalHFA Addendum'!P$18)*(Application!$AC$714:$AC$738 = 'CalHFA Addendum'!$B27),Application!$G$714:$G$738)</f>
        <v>0</v>
      </c>
      <c r="Q27" s="2263"/>
      <c r="R27" s="2263"/>
      <c r="S27" s="2263"/>
      <c r="T27" s="2263"/>
      <c r="U27" s="2264"/>
      <c r="V27" s="2262" cm="1">
        <f t="array" ref="V27">SUMPRODUCT((Application!$B$714:$B$738 = 'CalHFA Addendum'!V$18)*(Application!$AC$714:$AC$738 = 'CalHFA Addendum'!$B27),Application!$G$714:$G$738)</f>
        <v>0</v>
      </c>
      <c r="W27" s="2263"/>
      <c r="X27" s="2263"/>
      <c r="Y27" s="2263"/>
      <c r="Z27" s="2263"/>
      <c r="AA27" s="2264"/>
      <c r="AB27" s="2262" cm="1">
        <f t="array" ref="AB27">SUMPRODUCT((Application!$B$714:$B$738 = 'CalHFA Addendum'!AB$18)*(Application!$AC$714:$AC$738 = 'CalHFA Addendum'!$B27),Application!$G$714:$G$738)</f>
        <v>0</v>
      </c>
      <c r="AC27" s="2263"/>
      <c r="AD27" s="2263"/>
      <c r="AE27" s="2263"/>
      <c r="AF27" s="2263"/>
      <c r="AG27" s="2264"/>
      <c r="AH27" s="2262" cm="1">
        <f t="array" ref="AH27">SUMPRODUCT((Application!$B$714:$B$738 = 'CalHFA Addendum'!AH$18)*(Application!$AC$714:$AC$738 = 'CalHFA Addendum'!$B27),Application!$G$714:$G$738)</f>
        <v>0</v>
      </c>
      <c r="AI27" s="2263"/>
      <c r="AJ27" s="2263"/>
      <c r="AK27" s="2263"/>
      <c r="AL27" s="2263"/>
      <c r="AM27" s="2264"/>
      <c r="AN27" s="2262" cm="1">
        <f t="array" ref="AN27">SUMPRODUCT((Application!$B$714:$B$738 = 'CalHFA Addendum'!AN$18)*(Application!$AC$714:$AC$738 = 'CalHFA Addendum'!$B27),Application!$G$714:$G$738)</f>
        <v>0</v>
      </c>
      <c r="AO27" s="2263"/>
      <c r="AP27" s="2263"/>
      <c r="AQ27" s="2263"/>
      <c r="AR27" s="2263"/>
      <c r="AS27" s="2264"/>
      <c r="AT27" s="2265">
        <f t="shared" si="1"/>
        <v>0</v>
      </c>
      <c r="AU27" s="2266"/>
      <c r="AV27" s="2266"/>
      <c r="AW27" s="2266"/>
      <c r="AX27" s="2266"/>
      <c r="AY27" s="2267"/>
      <c r="AZ27" s="1209"/>
      <c r="BA27" s="1209"/>
      <c r="BB27" s="1209"/>
      <c r="BC27" s="1209"/>
      <c r="BD27" s="1209"/>
      <c r="BE27" s="1205"/>
    </row>
    <row r="28" spans="1:58" thickBot="1">
      <c r="A28" s="1209"/>
      <c r="B28" s="2278" t="s">
        <v>1800</v>
      </c>
      <c r="C28" s="2279"/>
      <c r="D28" s="2279"/>
      <c r="E28" s="2279"/>
      <c r="F28" s="2279"/>
      <c r="G28" s="2279"/>
      <c r="H28" s="2279"/>
      <c r="I28" s="2280"/>
      <c r="J28" s="2281">
        <f t="shared" si="0"/>
        <v>0</v>
      </c>
      <c r="K28" s="2282"/>
      <c r="L28" s="2282"/>
      <c r="M28" s="2282"/>
      <c r="N28" s="2282"/>
      <c r="O28" s="2283"/>
      <c r="P28" s="2281">
        <f>_xlfn.IFNA(VLOOKUP(P$18,Application!$J$758:$S$761,6,FALSE), 0)</f>
        <v>0</v>
      </c>
      <c r="Q28" s="2282"/>
      <c r="R28" s="2282"/>
      <c r="S28" s="2282"/>
      <c r="T28" s="2282"/>
      <c r="U28" s="2283"/>
      <c r="V28" s="2281">
        <f>_xlfn.IFNA(VLOOKUP(V$18,Application!$J$758:$S$761,6,FALSE), 0)</f>
        <v>0</v>
      </c>
      <c r="W28" s="2282"/>
      <c r="X28" s="2282"/>
      <c r="Y28" s="2282"/>
      <c r="Z28" s="2282"/>
      <c r="AA28" s="2283"/>
      <c r="AB28" s="2281">
        <f>_xlfn.IFNA(VLOOKUP(AB$18,Application!$J$758:$S$761,6,FALSE), 0)</f>
        <v>0</v>
      </c>
      <c r="AC28" s="2282"/>
      <c r="AD28" s="2282"/>
      <c r="AE28" s="2282"/>
      <c r="AF28" s="2282"/>
      <c r="AG28" s="2283"/>
      <c r="AH28" s="2281">
        <f>_xlfn.IFNA(VLOOKUP(AH$18,Application!$J$758:$S$761,6,FALSE), 0)</f>
        <v>0</v>
      </c>
      <c r="AI28" s="2282"/>
      <c r="AJ28" s="2282"/>
      <c r="AK28" s="2282"/>
      <c r="AL28" s="2282"/>
      <c r="AM28" s="2283"/>
      <c r="AN28" s="2281">
        <f>_xlfn.IFNA(VLOOKUP(AN$18,Application!$J$758:$S$761,6,FALSE), 0)</f>
        <v>0</v>
      </c>
      <c r="AO28" s="2282"/>
      <c r="AP28" s="2282"/>
      <c r="AQ28" s="2282"/>
      <c r="AR28" s="2282"/>
      <c r="AS28" s="2283"/>
      <c r="AT28" s="2284">
        <f t="shared" si="1"/>
        <v>0</v>
      </c>
      <c r="AU28" s="2285"/>
      <c r="AV28" s="2285"/>
      <c r="AW28" s="2285"/>
      <c r="AX28" s="2285"/>
      <c r="AY28" s="2286"/>
      <c r="AZ28" s="1209"/>
      <c r="BA28" s="1209"/>
      <c r="BB28" s="1209"/>
      <c r="BC28" s="1209"/>
      <c r="BD28" s="1209"/>
      <c r="BE28" s="1205"/>
    </row>
    <row r="29" spans="1:58" thickBot="1">
      <c r="A29" s="1209"/>
      <c r="B29" s="2293" t="s">
        <v>1699</v>
      </c>
      <c r="C29" s="2294"/>
      <c r="D29" s="2294"/>
      <c r="E29" s="2294"/>
      <c r="F29" s="2294"/>
      <c r="G29" s="2294"/>
      <c r="H29" s="2294"/>
      <c r="I29" s="2295"/>
      <c r="J29" s="2296">
        <f>SUM(J19:O28)</f>
        <v>159</v>
      </c>
      <c r="K29" s="2294"/>
      <c r="L29" s="2294"/>
      <c r="M29" s="2294"/>
      <c r="N29" s="2294"/>
      <c r="O29" s="2295"/>
      <c r="P29" s="2296">
        <f>SUM(P19:U28)</f>
        <v>0</v>
      </c>
      <c r="Q29" s="2294"/>
      <c r="R29" s="2294"/>
      <c r="S29" s="2294"/>
      <c r="T29" s="2294"/>
      <c r="U29" s="2295"/>
      <c r="V29" s="2296">
        <f>SUM(V19:AA28)</f>
        <v>80</v>
      </c>
      <c r="W29" s="2294"/>
      <c r="X29" s="2294"/>
      <c r="Y29" s="2294"/>
      <c r="Z29" s="2294"/>
      <c r="AA29" s="2295"/>
      <c r="AB29" s="2296">
        <f>SUM(AB19:AG28)</f>
        <v>79</v>
      </c>
      <c r="AC29" s="2294"/>
      <c r="AD29" s="2294"/>
      <c r="AE29" s="2294"/>
      <c r="AF29" s="2294"/>
      <c r="AG29" s="2295"/>
      <c r="AH29" s="2296">
        <f>SUM(AH19:AM28)</f>
        <v>0</v>
      </c>
      <c r="AI29" s="2294"/>
      <c r="AJ29" s="2294"/>
      <c r="AK29" s="2294"/>
      <c r="AL29" s="2294"/>
      <c r="AM29" s="2295"/>
      <c r="AN29" s="2296">
        <f>SUM(AN19:AS28)</f>
        <v>0</v>
      </c>
      <c r="AO29" s="2294"/>
      <c r="AP29" s="2294"/>
      <c r="AQ29" s="2294"/>
      <c r="AR29" s="2294"/>
      <c r="AS29" s="2295"/>
      <c r="AT29" s="2313">
        <f t="shared" si="1"/>
        <v>1</v>
      </c>
      <c r="AU29" s="2314"/>
      <c r="AV29" s="2314"/>
      <c r="AW29" s="2314"/>
      <c r="AX29" s="2314"/>
      <c r="AY29" s="2315"/>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01" t="s">
        <v>1801</v>
      </c>
      <c r="C31" s="2302"/>
      <c r="D31" s="2302"/>
      <c r="E31" s="2302"/>
      <c r="F31" s="2302"/>
      <c r="G31" s="2302"/>
      <c r="H31" s="2302"/>
      <c r="I31" s="2302"/>
      <c r="J31" s="2302"/>
      <c r="K31" s="2302"/>
      <c r="L31" s="2302"/>
      <c r="M31" s="2302"/>
      <c r="N31" s="2302"/>
      <c r="O31" s="2302"/>
      <c r="P31" s="2302"/>
      <c r="Q31" s="2302"/>
      <c r="R31" s="2302"/>
      <c r="S31" s="2302"/>
      <c r="T31" s="2302"/>
      <c r="U31" s="2302"/>
      <c r="V31" s="2302"/>
      <c r="W31" s="2302"/>
      <c r="X31" s="2302"/>
      <c r="Y31" s="2302"/>
      <c r="Z31" s="2302"/>
      <c r="AA31" s="2302"/>
      <c r="AB31" s="2302"/>
      <c r="AC31" s="2302"/>
      <c r="AD31" s="2302"/>
      <c r="AE31" s="2302"/>
      <c r="AF31" s="2302"/>
      <c r="AG31" s="2302"/>
      <c r="AH31" s="2302"/>
      <c r="AI31" s="2302"/>
      <c r="AJ31" s="2302"/>
      <c r="AK31" s="2302"/>
      <c r="AL31" s="2302"/>
      <c r="AM31" s="2302"/>
      <c r="AN31" s="2302"/>
      <c r="AO31" s="2302"/>
      <c r="AP31" s="2302"/>
      <c r="AQ31" s="2302"/>
      <c r="AR31" s="2302"/>
      <c r="AS31" s="2302"/>
      <c r="AT31" s="2302"/>
      <c r="AU31" s="2302"/>
      <c r="AV31" s="2302"/>
      <c r="AW31" s="2302"/>
      <c r="AX31" s="2302"/>
      <c r="AY31" s="2302"/>
      <c r="AZ31" s="2302"/>
      <c r="BA31" s="2302"/>
      <c r="BB31" s="2302"/>
      <c r="BC31" s="2302"/>
      <c r="BD31" s="2303"/>
      <c r="BE31" s="1205"/>
    </row>
    <row r="32" spans="1:58" thickBot="1">
      <c r="A32" s="1209"/>
      <c r="B32" s="2316" t="s">
        <v>2474</v>
      </c>
      <c r="C32" s="2317"/>
      <c r="D32" s="2317"/>
      <c r="E32" s="2317"/>
      <c r="F32" s="2317"/>
      <c r="G32" s="2317"/>
      <c r="H32" s="2317"/>
      <c r="I32" s="2317"/>
      <c r="J32" s="2287" t="s">
        <v>2475</v>
      </c>
      <c r="K32" s="2288"/>
      <c r="L32" s="2288"/>
      <c r="M32" s="2288"/>
      <c r="N32" s="2287" t="s">
        <v>1802</v>
      </c>
      <c r="O32" s="2288"/>
      <c r="P32" s="2288"/>
      <c r="Q32" s="2290"/>
      <c r="R32" s="2310" t="s">
        <v>1803</v>
      </c>
      <c r="S32" s="2311"/>
      <c r="T32" s="2311"/>
      <c r="U32" s="2311"/>
      <c r="V32" s="2311"/>
      <c r="W32" s="2311"/>
      <c r="X32" s="2311"/>
      <c r="Y32" s="2311"/>
      <c r="Z32" s="2311"/>
      <c r="AA32" s="2311"/>
      <c r="AB32" s="2311"/>
      <c r="AC32" s="2311"/>
      <c r="AD32" s="2311"/>
      <c r="AE32" s="2311"/>
      <c r="AF32" s="2311"/>
      <c r="AG32" s="2311"/>
      <c r="AH32" s="2311"/>
      <c r="AI32" s="2311"/>
      <c r="AJ32" s="2311"/>
      <c r="AK32" s="2311"/>
      <c r="AL32" s="2311"/>
      <c r="AM32" s="2311"/>
      <c r="AN32" s="2311"/>
      <c r="AO32" s="2311"/>
      <c r="AP32" s="2311"/>
      <c r="AQ32" s="2311"/>
      <c r="AR32" s="2311"/>
      <c r="AS32" s="2311"/>
      <c r="AT32" s="2311"/>
      <c r="AU32" s="2311"/>
      <c r="AV32" s="2311"/>
      <c r="AW32" s="2311"/>
      <c r="AX32" s="2311"/>
      <c r="AY32" s="2311"/>
      <c r="AZ32" s="2311"/>
      <c r="BA32" s="2311"/>
      <c r="BB32" s="2311"/>
      <c r="BC32" s="2311"/>
      <c r="BD32" s="2312"/>
      <c r="BE32" s="1205"/>
    </row>
    <row r="33" spans="1:58" ht="15" customHeight="1">
      <c r="A33" s="1209"/>
      <c r="B33" s="2318"/>
      <c r="C33" s="2319"/>
      <c r="D33" s="2319"/>
      <c r="E33" s="2319"/>
      <c r="F33" s="2319"/>
      <c r="G33" s="2319"/>
      <c r="H33" s="2319"/>
      <c r="I33" s="2319"/>
      <c r="J33" s="2289"/>
      <c r="K33" s="2289"/>
      <c r="L33" s="2289"/>
      <c r="M33" s="2289"/>
      <c r="N33" s="2289"/>
      <c r="O33" s="2289"/>
      <c r="P33" s="2289"/>
      <c r="Q33" s="2291"/>
      <c r="R33" s="2304" t="s">
        <v>1804</v>
      </c>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c r="AS33" s="2305"/>
      <c r="AT33" s="2305"/>
      <c r="AU33" s="2305"/>
      <c r="AV33" s="2305"/>
      <c r="AW33" s="2305"/>
      <c r="AX33" s="2305"/>
      <c r="AY33" s="2305"/>
      <c r="AZ33" s="2305"/>
      <c r="BA33" s="2305"/>
      <c r="BB33" s="2305"/>
      <c r="BC33" s="2305"/>
      <c r="BD33" s="2306"/>
      <c r="BE33" s="1205"/>
    </row>
    <row r="34" spans="1:58" ht="15.75" customHeight="1" thickBot="1">
      <c r="A34" s="1209"/>
      <c r="B34" s="2318"/>
      <c r="C34" s="2319"/>
      <c r="D34" s="2319"/>
      <c r="E34" s="2319"/>
      <c r="F34" s="2319"/>
      <c r="G34" s="2319"/>
      <c r="H34" s="2319"/>
      <c r="I34" s="2319"/>
      <c r="J34" s="2289"/>
      <c r="K34" s="2289"/>
      <c r="L34" s="2289"/>
      <c r="M34" s="2289"/>
      <c r="N34" s="2289"/>
      <c r="O34" s="2289"/>
      <c r="P34" s="2289"/>
      <c r="Q34" s="2291"/>
      <c r="R34" s="2307"/>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2308"/>
      <c r="AO34" s="2308"/>
      <c r="AP34" s="2308"/>
      <c r="AQ34" s="2308"/>
      <c r="AR34" s="2308"/>
      <c r="AS34" s="2308"/>
      <c r="AT34" s="2308"/>
      <c r="AU34" s="2308"/>
      <c r="AV34" s="2308"/>
      <c r="AW34" s="2308"/>
      <c r="AX34" s="2308"/>
      <c r="AY34" s="2308"/>
      <c r="AZ34" s="2308"/>
      <c r="BA34" s="2308"/>
      <c r="BB34" s="2308"/>
      <c r="BC34" s="2308"/>
      <c r="BD34" s="2309"/>
      <c r="BE34" s="1205"/>
    </row>
    <row r="35" spans="1:58" ht="15.75" customHeight="1">
      <c r="A35" s="1209"/>
      <c r="B35" s="2318"/>
      <c r="C35" s="2319"/>
      <c r="D35" s="2319"/>
      <c r="E35" s="2319"/>
      <c r="F35" s="2319"/>
      <c r="G35" s="2319"/>
      <c r="H35" s="2319"/>
      <c r="I35" s="2319"/>
      <c r="J35" s="2289"/>
      <c r="K35" s="2289"/>
      <c r="L35" s="2289"/>
      <c r="M35" s="2289"/>
      <c r="N35" s="2289"/>
      <c r="O35" s="2289"/>
      <c r="P35" s="2289"/>
      <c r="Q35" s="2289"/>
      <c r="R35" s="2292">
        <v>0.3</v>
      </c>
      <c r="S35" s="2292"/>
      <c r="T35" s="2292"/>
      <c r="U35" s="2292"/>
      <c r="V35" s="2292">
        <v>0.4</v>
      </c>
      <c r="W35" s="2292"/>
      <c r="X35" s="2292"/>
      <c r="Y35" s="2292"/>
      <c r="Z35" s="2292">
        <v>0.5</v>
      </c>
      <c r="AA35" s="2292"/>
      <c r="AB35" s="2292"/>
      <c r="AC35" s="2292"/>
      <c r="AD35" s="2292">
        <v>0.6</v>
      </c>
      <c r="AE35" s="2292"/>
      <c r="AF35" s="2292"/>
      <c r="AG35" s="2292"/>
      <c r="AH35" s="2292">
        <v>0.7</v>
      </c>
      <c r="AI35" s="2292"/>
      <c r="AJ35" s="2292"/>
      <c r="AK35" s="2292"/>
      <c r="AL35" s="2268">
        <v>0.8</v>
      </c>
      <c r="AM35" s="2269"/>
      <c r="AN35" s="2269"/>
      <c r="AO35" s="2270"/>
      <c r="AP35" s="2271">
        <v>1.2</v>
      </c>
      <c r="AQ35" s="2272"/>
      <c r="AR35" s="2273"/>
      <c r="AS35" s="2274" t="s">
        <v>1805</v>
      </c>
      <c r="AT35" s="2275"/>
      <c r="AU35" s="2275"/>
      <c r="AV35" s="2275"/>
      <c r="AW35" s="2275"/>
      <c r="AX35" s="2276"/>
      <c r="AY35" s="2274" t="s">
        <v>1806</v>
      </c>
      <c r="AZ35" s="2275"/>
      <c r="BA35" s="2275"/>
      <c r="BB35" s="2275"/>
      <c r="BC35" s="2275"/>
      <c r="BD35" s="2277"/>
      <c r="BE35" s="1205"/>
    </row>
    <row r="36" spans="1:58" ht="15.75" customHeight="1">
      <c r="A36" s="1209"/>
      <c r="B36" s="2297" t="s">
        <v>1807</v>
      </c>
      <c r="C36" s="2298"/>
      <c r="D36" s="2298"/>
      <c r="E36" s="2298"/>
      <c r="F36" s="2298"/>
      <c r="G36" s="2298"/>
      <c r="H36" s="2298"/>
      <c r="I36" s="2298"/>
      <c r="J36" s="2299" t="s">
        <v>1808</v>
      </c>
      <c r="K36" s="2299"/>
      <c r="L36" s="2299"/>
      <c r="M36" s="2299"/>
      <c r="N36" s="2299">
        <v>55</v>
      </c>
      <c r="O36" s="2299"/>
      <c r="P36" s="2299"/>
      <c r="Q36" s="2299"/>
      <c r="R36" s="2300">
        <v>0</v>
      </c>
      <c r="S36" s="2300"/>
      <c r="T36" s="2300"/>
      <c r="U36" s="2300"/>
      <c r="V36" s="2300">
        <v>0</v>
      </c>
      <c r="W36" s="2300"/>
      <c r="X36" s="2300"/>
      <c r="Y36" s="2300"/>
      <c r="Z36" s="2300">
        <v>10</v>
      </c>
      <c r="AA36" s="2300"/>
      <c r="AB36" s="2300"/>
      <c r="AC36" s="2300"/>
      <c r="AD36" s="2300">
        <v>10</v>
      </c>
      <c r="AE36" s="2300"/>
      <c r="AF36" s="2300"/>
      <c r="AG36" s="2300"/>
      <c r="AH36" s="2300">
        <v>30</v>
      </c>
      <c r="AI36" s="2300"/>
      <c r="AJ36" s="2300"/>
      <c r="AK36" s="2300"/>
      <c r="AL36" s="2320">
        <v>0</v>
      </c>
      <c r="AM36" s="2321"/>
      <c r="AN36" s="2321"/>
      <c r="AO36" s="2322"/>
      <c r="AP36" s="2320">
        <v>0</v>
      </c>
      <c r="AQ36" s="2321"/>
      <c r="AR36" s="2322"/>
      <c r="AS36" s="2323">
        <f t="shared" ref="AS36:AS47" si="2">SUM(R36:AR36)</f>
        <v>50</v>
      </c>
      <c r="AT36" s="2324"/>
      <c r="AU36" s="2324"/>
      <c r="AV36" s="2324"/>
      <c r="AW36" s="2324"/>
      <c r="AX36" s="2325"/>
      <c r="AY36" s="2326">
        <f t="shared" ref="AY36:AY47" si="3">AS36/$J$29</f>
        <v>0.31446540880503143</v>
      </c>
      <c r="AZ36" s="2327"/>
      <c r="BA36" s="2327"/>
      <c r="BB36" s="2327"/>
      <c r="BC36" s="2327"/>
      <c r="BD36" s="2328"/>
      <c r="BE36" s="1205"/>
    </row>
    <row r="37" spans="1:58" ht="15.75" customHeight="1">
      <c r="A37" s="1209"/>
      <c r="B37" s="2297" t="s">
        <v>2476</v>
      </c>
      <c r="C37" s="2298"/>
      <c r="D37" s="2298"/>
      <c r="E37" s="2298"/>
      <c r="F37" s="2298"/>
      <c r="G37" s="2298"/>
      <c r="H37" s="2298"/>
      <c r="I37" s="2298"/>
      <c r="J37" s="2299" t="s">
        <v>1809</v>
      </c>
      <c r="K37" s="2299"/>
      <c r="L37" s="2299"/>
      <c r="M37" s="2299"/>
      <c r="N37" s="2299">
        <v>55</v>
      </c>
      <c r="O37" s="2299"/>
      <c r="P37" s="2299"/>
      <c r="Q37" s="2299"/>
      <c r="R37" s="2300">
        <v>10</v>
      </c>
      <c r="S37" s="2300"/>
      <c r="T37" s="2300"/>
      <c r="U37" s="2300"/>
      <c r="V37" s="2300"/>
      <c r="W37" s="2300"/>
      <c r="X37" s="2300"/>
      <c r="Y37" s="2300"/>
      <c r="Z37" s="2300"/>
      <c r="AA37" s="2300"/>
      <c r="AB37" s="2300"/>
      <c r="AC37" s="2300"/>
      <c r="AD37" s="2300"/>
      <c r="AE37" s="2300"/>
      <c r="AF37" s="2300"/>
      <c r="AG37" s="2300"/>
      <c r="AH37" s="2300"/>
      <c r="AI37" s="2300"/>
      <c r="AJ37" s="2300"/>
      <c r="AK37" s="2300"/>
      <c r="AL37" s="2320"/>
      <c r="AM37" s="2321"/>
      <c r="AN37" s="2321"/>
      <c r="AO37" s="2322"/>
      <c r="AP37" s="2320"/>
      <c r="AQ37" s="2321"/>
      <c r="AR37" s="2322"/>
      <c r="AS37" s="2323">
        <f t="shared" si="2"/>
        <v>10</v>
      </c>
      <c r="AT37" s="2324"/>
      <c r="AU37" s="2324"/>
      <c r="AV37" s="2324"/>
      <c r="AW37" s="2324"/>
      <c r="AX37" s="2325"/>
      <c r="AY37" s="2326">
        <f t="shared" si="3"/>
        <v>6.2893081761006289E-2</v>
      </c>
      <c r="AZ37" s="2327"/>
      <c r="BA37" s="2327"/>
      <c r="BB37" s="2327"/>
      <c r="BC37" s="2327"/>
      <c r="BD37" s="2328"/>
      <c r="BE37" s="1205"/>
    </row>
    <row r="38" spans="1:58" ht="15.75" customHeight="1">
      <c r="A38" s="1209"/>
      <c r="B38" s="2297" t="s">
        <v>2415</v>
      </c>
      <c r="C38" s="2298"/>
      <c r="D38" s="2298"/>
      <c r="E38" s="2298"/>
      <c r="F38" s="2298"/>
      <c r="G38" s="2298"/>
      <c r="H38" s="2298"/>
      <c r="I38" s="2298"/>
      <c r="J38" s="2299" t="s">
        <v>1810</v>
      </c>
      <c r="K38" s="2299"/>
      <c r="L38" s="2299"/>
      <c r="M38" s="2299"/>
      <c r="N38" s="2299">
        <v>55</v>
      </c>
      <c r="O38" s="2299"/>
      <c r="P38" s="2299"/>
      <c r="Q38" s="2299"/>
      <c r="R38" s="2300"/>
      <c r="S38" s="2300"/>
      <c r="T38" s="2300"/>
      <c r="U38" s="2300"/>
      <c r="V38" s="2300"/>
      <c r="W38" s="2300"/>
      <c r="X38" s="2300"/>
      <c r="Y38" s="2300"/>
      <c r="Z38" s="2300"/>
      <c r="AA38" s="2300"/>
      <c r="AB38" s="2300"/>
      <c r="AC38" s="2300"/>
      <c r="AD38" s="2300"/>
      <c r="AE38" s="2300"/>
      <c r="AF38" s="2300"/>
      <c r="AG38" s="2300"/>
      <c r="AH38" s="2300"/>
      <c r="AI38" s="2300"/>
      <c r="AJ38" s="2300"/>
      <c r="AK38" s="2300"/>
      <c r="AL38" s="2320"/>
      <c r="AM38" s="2321"/>
      <c r="AN38" s="2321"/>
      <c r="AO38" s="2322"/>
      <c r="AP38" s="2320"/>
      <c r="AQ38" s="2321"/>
      <c r="AR38" s="2322"/>
      <c r="AS38" s="2323">
        <f t="shared" si="2"/>
        <v>0</v>
      </c>
      <c r="AT38" s="2324"/>
      <c r="AU38" s="2324"/>
      <c r="AV38" s="2324"/>
      <c r="AW38" s="2324"/>
      <c r="AX38" s="2325"/>
      <c r="AY38" s="2326">
        <f t="shared" si="3"/>
        <v>0</v>
      </c>
      <c r="AZ38" s="2327"/>
      <c r="BA38" s="2327"/>
      <c r="BB38" s="2327"/>
      <c r="BC38" s="2327"/>
      <c r="BD38" s="2328"/>
      <c r="BE38" s="1205"/>
    </row>
    <row r="39" spans="1:58" ht="15.75" customHeight="1">
      <c r="A39" s="1209"/>
      <c r="B39" s="2297" t="s">
        <v>1811</v>
      </c>
      <c r="C39" s="2298"/>
      <c r="D39" s="2298"/>
      <c r="E39" s="2298"/>
      <c r="F39" s="2298"/>
      <c r="G39" s="2298"/>
      <c r="H39" s="2298"/>
      <c r="I39" s="2298"/>
      <c r="J39" s="2299"/>
      <c r="K39" s="2299"/>
      <c r="L39" s="2299"/>
      <c r="M39" s="2299"/>
      <c r="N39" s="2299"/>
      <c r="O39" s="2299"/>
      <c r="P39" s="2299"/>
      <c r="Q39" s="2299"/>
      <c r="R39" s="2300"/>
      <c r="S39" s="2300"/>
      <c r="T39" s="2300"/>
      <c r="U39" s="2300"/>
      <c r="V39" s="2300"/>
      <c r="W39" s="2300"/>
      <c r="X39" s="2300"/>
      <c r="Y39" s="2300"/>
      <c r="Z39" s="2300"/>
      <c r="AA39" s="2300"/>
      <c r="AB39" s="2300"/>
      <c r="AC39" s="2300"/>
      <c r="AD39" s="2300"/>
      <c r="AE39" s="2300"/>
      <c r="AF39" s="2300"/>
      <c r="AG39" s="2300"/>
      <c r="AH39" s="2300"/>
      <c r="AI39" s="2300"/>
      <c r="AJ39" s="2300"/>
      <c r="AK39" s="2300"/>
      <c r="AL39" s="2320"/>
      <c r="AM39" s="2321"/>
      <c r="AN39" s="2321"/>
      <c r="AO39" s="2322"/>
      <c r="AP39" s="2320"/>
      <c r="AQ39" s="2321"/>
      <c r="AR39" s="2322"/>
      <c r="AS39" s="2323">
        <f t="shared" si="2"/>
        <v>0</v>
      </c>
      <c r="AT39" s="2324"/>
      <c r="AU39" s="2324"/>
      <c r="AV39" s="2324"/>
      <c r="AW39" s="2324"/>
      <c r="AX39" s="2325"/>
      <c r="AY39" s="2326">
        <f t="shared" si="3"/>
        <v>0</v>
      </c>
      <c r="AZ39" s="2327"/>
      <c r="BA39" s="2327"/>
      <c r="BB39" s="2327"/>
      <c r="BC39" s="2327"/>
      <c r="BD39" s="2328"/>
      <c r="BE39" s="1205"/>
    </row>
    <row r="40" spans="1:58" ht="15.75" customHeight="1">
      <c r="A40" s="1209"/>
      <c r="B40" s="2297" t="s">
        <v>1811</v>
      </c>
      <c r="C40" s="2298"/>
      <c r="D40" s="2298"/>
      <c r="E40" s="2298"/>
      <c r="F40" s="2298"/>
      <c r="G40" s="2298"/>
      <c r="H40" s="2298"/>
      <c r="I40" s="2298"/>
      <c r="J40" s="2299"/>
      <c r="K40" s="2299"/>
      <c r="L40" s="2299"/>
      <c r="M40" s="2299"/>
      <c r="N40" s="2299"/>
      <c r="O40" s="2299"/>
      <c r="P40" s="2299"/>
      <c r="Q40" s="2299"/>
      <c r="R40" s="2300"/>
      <c r="S40" s="2300"/>
      <c r="T40" s="2300"/>
      <c r="U40" s="2300"/>
      <c r="V40" s="2300"/>
      <c r="W40" s="2300"/>
      <c r="X40" s="2300"/>
      <c r="Y40" s="2300"/>
      <c r="Z40" s="2300"/>
      <c r="AA40" s="2300"/>
      <c r="AB40" s="2300"/>
      <c r="AC40" s="2300"/>
      <c r="AD40" s="2300"/>
      <c r="AE40" s="2300"/>
      <c r="AF40" s="2300"/>
      <c r="AG40" s="2300"/>
      <c r="AH40" s="2300"/>
      <c r="AI40" s="2300"/>
      <c r="AJ40" s="2300"/>
      <c r="AK40" s="2300"/>
      <c r="AL40" s="2320"/>
      <c r="AM40" s="2321"/>
      <c r="AN40" s="2321"/>
      <c r="AO40" s="2322"/>
      <c r="AP40" s="2320"/>
      <c r="AQ40" s="2321"/>
      <c r="AR40" s="2322"/>
      <c r="AS40" s="2323">
        <f t="shared" si="2"/>
        <v>0</v>
      </c>
      <c r="AT40" s="2324"/>
      <c r="AU40" s="2324"/>
      <c r="AV40" s="2324"/>
      <c r="AW40" s="2324"/>
      <c r="AX40" s="2325"/>
      <c r="AY40" s="2326">
        <f t="shared" si="3"/>
        <v>0</v>
      </c>
      <c r="AZ40" s="2327"/>
      <c r="BA40" s="2327"/>
      <c r="BB40" s="2327"/>
      <c r="BC40" s="2327"/>
      <c r="BD40" s="2328"/>
      <c r="BE40" s="1205"/>
    </row>
    <row r="41" spans="1:58" ht="15.75" customHeight="1">
      <c r="A41" s="1209"/>
      <c r="B41" s="2297" t="s">
        <v>1812</v>
      </c>
      <c r="C41" s="2298"/>
      <c r="D41" s="2298"/>
      <c r="E41" s="2298"/>
      <c r="F41" s="2298"/>
      <c r="G41" s="2298"/>
      <c r="H41" s="2298"/>
      <c r="I41" s="2298"/>
      <c r="J41" s="2299"/>
      <c r="K41" s="2299"/>
      <c r="L41" s="2299"/>
      <c r="M41" s="2299"/>
      <c r="N41" s="2299"/>
      <c r="O41" s="2299"/>
      <c r="P41" s="2299"/>
      <c r="Q41" s="2299"/>
      <c r="R41" s="2300"/>
      <c r="S41" s="2300"/>
      <c r="T41" s="2300"/>
      <c r="U41" s="2300"/>
      <c r="V41" s="2300"/>
      <c r="W41" s="2300"/>
      <c r="X41" s="2300"/>
      <c r="Y41" s="2300"/>
      <c r="Z41" s="2300"/>
      <c r="AA41" s="2300"/>
      <c r="AB41" s="2300"/>
      <c r="AC41" s="2300"/>
      <c r="AD41" s="2300"/>
      <c r="AE41" s="2300"/>
      <c r="AF41" s="2300"/>
      <c r="AG41" s="2300"/>
      <c r="AH41" s="2300"/>
      <c r="AI41" s="2300"/>
      <c r="AJ41" s="2300"/>
      <c r="AK41" s="2300"/>
      <c r="AL41" s="2320"/>
      <c r="AM41" s="2321"/>
      <c r="AN41" s="2321"/>
      <c r="AO41" s="2322"/>
      <c r="AP41" s="2320"/>
      <c r="AQ41" s="2321"/>
      <c r="AR41" s="2322"/>
      <c r="AS41" s="2323">
        <f t="shared" si="2"/>
        <v>0</v>
      </c>
      <c r="AT41" s="2324"/>
      <c r="AU41" s="2324"/>
      <c r="AV41" s="2324"/>
      <c r="AW41" s="2324"/>
      <c r="AX41" s="2325"/>
      <c r="AY41" s="2326">
        <f t="shared" si="3"/>
        <v>0</v>
      </c>
      <c r="AZ41" s="2327"/>
      <c r="BA41" s="2327"/>
      <c r="BB41" s="2327"/>
      <c r="BC41" s="2327"/>
      <c r="BD41" s="2328"/>
      <c r="BE41" s="1205"/>
    </row>
    <row r="42" spans="1:58" ht="15.75" customHeight="1">
      <c r="A42" s="1209"/>
      <c r="B42" s="2297" t="s">
        <v>1812</v>
      </c>
      <c r="C42" s="2298"/>
      <c r="D42" s="2298"/>
      <c r="E42" s="2298"/>
      <c r="F42" s="2298"/>
      <c r="G42" s="2298"/>
      <c r="H42" s="2298"/>
      <c r="I42" s="2298"/>
      <c r="J42" s="2299"/>
      <c r="K42" s="2299"/>
      <c r="L42" s="2299"/>
      <c r="M42" s="2299"/>
      <c r="N42" s="2299"/>
      <c r="O42" s="2299"/>
      <c r="P42" s="2299"/>
      <c r="Q42" s="2299"/>
      <c r="R42" s="2300"/>
      <c r="S42" s="2300"/>
      <c r="T42" s="2300"/>
      <c r="U42" s="2300"/>
      <c r="V42" s="2300"/>
      <c r="W42" s="2300"/>
      <c r="X42" s="2300"/>
      <c r="Y42" s="2300"/>
      <c r="Z42" s="2300"/>
      <c r="AA42" s="2300"/>
      <c r="AB42" s="2300"/>
      <c r="AC42" s="2300"/>
      <c r="AD42" s="2300"/>
      <c r="AE42" s="2300"/>
      <c r="AF42" s="2300"/>
      <c r="AG42" s="2300"/>
      <c r="AH42" s="2300"/>
      <c r="AI42" s="2300"/>
      <c r="AJ42" s="2300"/>
      <c r="AK42" s="2300"/>
      <c r="AL42" s="2320"/>
      <c r="AM42" s="2321"/>
      <c r="AN42" s="2321"/>
      <c r="AO42" s="2322"/>
      <c r="AP42" s="2320"/>
      <c r="AQ42" s="2321"/>
      <c r="AR42" s="2322"/>
      <c r="AS42" s="2323">
        <f t="shared" si="2"/>
        <v>0</v>
      </c>
      <c r="AT42" s="2324"/>
      <c r="AU42" s="2324"/>
      <c r="AV42" s="2324"/>
      <c r="AW42" s="2324"/>
      <c r="AX42" s="2325"/>
      <c r="AY42" s="2326">
        <f t="shared" si="3"/>
        <v>0</v>
      </c>
      <c r="AZ42" s="2327"/>
      <c r="BA42" s="2327"/>
      <c r="BB42" s="2327"/>
      <c r="BC42" s="2327"/>
      <c r="BD42" s="2328"/>
      <c r="BE42" s="1205"/>
    </row>
    <row r="43" spans="1:58" ht="15.75" customHeight="1">
      <c r="A43" s="1209"/>
      <c r="B43" s="2329" t="s">
        <v>1813</v>
      </c>
      <c r="C43" s="2330"/>
      <c r="D43" s="2330"/>
      <c r="E43" s="2330"/>
      <c r="F43" s="2330"/>
      <c r="G43" s="2330"/>
      <c r="H43" s="2330"/>
      <c r="I43" s="2330"/>
      <c r="J43" s="2299"/>
      <c r="K43" s="2299"/>
      <c r="L43" s="2299"/>
      <c r="M43" s="2299"/>
      <c r="N43" s="2299"/>
      <c r="O43" s="2299"/>
      <c r="P43" s="2299"/>
      <c r="Q43" s="2299"/>
      <c r="R43" s="2300"/>
      <c r="S43" s="2300"/>
      <c r="T43" s="2300"/>
      <c r="U43" s="2300"/>
      <c r="V43" s="2300"/>
      <c r="W43" s="2300"/>
      <c r="X43" s="2300"/>
      <c r="Y43" s="2300"/>
      <c r="Z43" s="2300"/>
      <c r="AA43" s="2300"/>
      <c r="AB43" s="2300"/>
      <c r="AC43" s="2300"/>
      <c r="AD43" s="2300"/>
      <c r="AE43" s="2300"/>
      <c r="AF43" s="2300"/>
      <c r="AG43" s="2300"/>
      <c r="AH43" s="2300"/>
      <c r="AI43" s="2300"/>
      <c r="AJ43" s="2300"/>
      <c r="AK43" s="2300"/>
      <c r="AL43" s="2320"/>
      <c r="AM43" s="2321"/>
      <c r="AN43" s="2321"/>
      <c r="AO43" s="2322"/>
      <c r="AP43" s="2320"/>
      <c r="AQ43" s="2321"/>
      <c r="AR43" s="2322"/>
      <c r="AS43" s="2323">
        <f t="shared" si="2"/>
        <v>0</v>
      </c>
      <c r="AT43" s="2324"/>
      <c r="AU43" s="2324"/>
      <c r="AV43" s="2324"/>
      <c r="AW43" s="2324"/>
      <c r="AX43" s="2325"/>
      <c r="AY43" s="2326">
        <f t="shared" si="3"/>
        <v>0</v>
      </c>
      <c r="AZ43" s="2327"/>
      <c r="BA43" s="2327"/>
      <c r="BB43" s="2327"/>
      <c r="BC43" s="2327"/>
      <c r="BD43" s="2328"/>
      <c r="BE43" s="1205"/>
    </row>
    <row r="44" spans="1:58" ht="15.75" customHeight="1">
      <c r="A44" s="1209"/>
      <c r="B44" s="2329" t="s">
        <v>1814</v>
      </c>
      <c r="C44" s="2330"/>
      <c r="D44" s="2330"/>
      <c r="E44" s="2330"/>
      <c r="F44" s="2330"/>
      <c r="G44" s="2330"/>
      <c r="H44" s="2330"/>
      <c r="I44" s="2330"/>
      <c r="J44" s="2299"/>
      <c r="K44" s="2299"/>
      <c r="L44" s="2299"/>
      <c r="M44" s="2299"/>
      <c r="N44" s="2299"/>
      <c r="O44" s="2299"/>
      <c r="P44" s="2299"/>
      <c r="Q44" s="2299"/>
      <c r="R44" s="2300"/>
      <c r="S44" s="2300"/>
      <c r="T44" s="2300"/>
      <c r="U44" s="2300"/>
      <c r="V44" s="2300"/>
      <c r="W44" s="2300"/>
      <c r="X44" s="2300"/>
      <c r="Y44" s="2300"/>
      <c r="Z44" s="2300"/>
      <c r="AA44" s="2300"/>
      <c r="AB44" s="2300"/>
      <c r="AC44" s="2300"/>
      <c r="AD44" s="2300"/>
      <c r="AE44" s="2300"/>
      <c r="AF44" s="2300"/>
      <c r="AG44" s="2300"/>
      <c r="AH44" s="2300"/>
      <c r="AI44" s="2300"/>
      <c r="AJ44" s="2300"/>
      <c r="AK44" s="2300"/>
      <c r="AL44" s="2320"/>
      <c r="AM44" s="2321"/>
      <c r="AN44" s="2321"/>
      <c r="AO44" s="2322"/>
      <c r="AP44" s="2320"/>
      <c r="AQ44" s="2321"/>
      <c r="AR44" s="2322"/>
      <c r="AS44" s="2323">
        <f t="shared" si="2"/>
        <v>0</v>
      </c>
      <c r="AT44" s="2324"/>
      <c r="AU44" s="2324"/>
      <c r="AV44" s="2324"/>
      <c r="AW44" s="2324"/>
      <c r="AX44" s="2325"/>
      <c r="AY44" s="2326">
        <f t="shared" si="3"/>
        <v>0</v>
      </c>
      <c r="AZ44" s="2327"/>
      <c r="BA44" s="2327"/>
      <c r="BB44" s="2327"/>
      <c r="BC44" s="2327"/>
      <c r="BD44" s="2328"/>
      <c r="BE44" s="1205"/>
    </row>
    <row r="45" spans="1:58" ht="15.75" customHeight="1">
      <c r="A45" s="1209"/>
      <c r="B45" s="2329" t="s">
        <v>1815</v>
      </c>
      <c r="C45" s="2330"/>
      <c r="D45" s="2330"/>
      <c r="E45" s="2330"/>
      <c r="F45" s="2330"/>
      <c r="G45" s="2330"/>
      <c r="H45" s="2330"/>
      <c r="I45" s="2330"/>
      <c r="J45" s="2299"/>
      <c r="K45" s="2299"/>
      <c r="L45" s="2299"/>
      <c r="M45" s="2299"/>
      <c r="N45" s="2299"/>
      <c r="O45" s="2299"/>
      <c r="P45" s="2299"/>
      <c r="Q45" s="2299"/>
      <c r="R45" s="2300"/>
      <c r="S45" s="2300"/>
      <c r="T45" s="2300"/>
      <c r="U45" s="2300"/>
      <c r="V45" s="2300"/>
      <c r="W45" s="2300"/>
      <c r="X45" s="2300"/>
      <c r="Y45" s="2300"/>
      <c r="Z45" s="2300"/>
      <c r="AA45" s="2300"/>
      <c r="AB45" s="2300"/>
      <c r="AC45" s="2300"/>
      <c r="AD45" s="2300"/>
      <c r="AE45" s="2300"/>
      <c r="AF45" s="2300"/>
      <c r="AG45" s="2300"/>
      <c r="AH45" s="2300"/>
      <c r="AI45" s="2300"/>
      <c r="AJ45" s="2300"/>
      <c r="AK45" s="2300"/>
      <c r="AL45" s="2320"/>
      <c r="AM45" s="2321"/>
      <c r="AN45" s="2321"/>
      <c r="AO45" s="2322"/>
      <c r="AP45" s="2320"/>
      <c r="AQ45" s="2321"/>
      <c r="AR45" s="2322"/>
      <c r="AS45" s="2323">
        <f t="shared" si="2"/>
        <v>0</v>
      </c>
      <c r="AT45" s="2324"/>
      <c r="AU45" s="2324"/>
      <c r="AV45" s="2324"/>
      <c r="AW45" s="2324"/>
      <c r="AX45" s="2325"/>
      <c r="AY45" s="2326">
        <f t="shared" si="3"/>
        <v>0</v>
      </c>
      <c r="AZ45" s="2327"/>
      <c r="BA45" s="2327"/>
      <c r="BB45" s="2327"/>
      <c r="BC45" s="2327"/>
      <c r="BD45" s="2328"/>
      <c r="BE45" s="1205"/>
    </row>
    <row r="46" spans="1:58" ht="15.75" customHeight="1">
      <c r="A46" s="1209"/>
      <c r="B46" s="2329" t="s">
        <v>1816</v>
      </c>
      <c r="C46" s="2330"/>
      <c r="D46" s="2330"/>
      <c r="E46" s="2330"/>
      <c r="F46" s="2330"/>
      <c r="G46" s="2330"/>
      <c r="H46" s="2330"/>
      <c r="I46" s="2330"/>
      <c r="J46" s="2299"/>
      <c r="K46" s="2299"/>
      <c r="L46" s="2299"/>
      <c r="M46" s="2299"/>
      <c r="N46" s="2299">
        <v>99</v>
      </c>
      <c r="O46" s="2299"/>
      <c r="P46" s="2299"/>
      <c r="Q46" s="2299"/>
      <c r="R46" s="2300"/>
      <c r="S46" s="2300"/>
      <c r="T46" s="2300"/>
      <c r="U46" s="2300"/>
      <c r="V46" s="2300"/>
      <c r="W46" s="2300"/>
      <c r="X46" s="2300"/>
      <c r="Y46" s="2300"/>
      <c r="Z46" s="2300"/>
      <c r="AA46" s="2300"/>
      <c r="AB46" s="2300"/>
      <c r="AC46" s="2300"/>
      <c r="AD46" s="2300"/>
      <c r="AE46" s="2300"/>
      <c r="AF46" s="2300"/>
      <c r="AG46" s="2300"/>
      <c r="AH46" s="2300"/>
      <c r="AI46" s="2300"/>
      <c r="AJ46" s="2300"/>
      <c r="AK46" s="2300"/>
      <c r="AL46" s="2320"/>
      <c r="AM46" s="2321"/>
      <c r="AN46" s="2321"/>
      <c r="AO46" s="2322"/>
      <c r="AP46" s="2320"/>
      <c r="AQ46" s="2321"/>
      <c r="AR46" s="2322"/>
      <c r="AS46" s="2323">
        <f t="shared" si="2"/>
        <v>0</v>
      </c>
      <c r="AT46" s="2324"/>
      <c r="AU46" s="2324"/>
      <c r="AV46" s="2324"/>
      <c r="AW46" s="2324"/>
      <c r="AX46" s="2325"/>
      <c r="AY46" s="2326">
        <f t="shared" si="3"/>
        <v>0</v>
      </c>
      <c r="AZ46" s="2327"/>
      <c r="BA46" s="2327"/>
      <c r="BB46" s="2327"/>
      <c r="BC46" s="2327"/>
      <c r="BD46" s="2328"/>
      <c r="BE46" s="1205"/>
    </row>
    <row r="47" spans="1:58" ht="15.75" customHeight="1" thickBot="1">
      <c r="A47" s="1209"/>
      <c r="B47" s="2343" t="s">
        <v>301</v>
      </c>
      <c r="C47" s="2344"/>
      <c r="D47" s="2344"/>
      <c r="E47" s="2344"/>
      <c r="F47" s="2344"/>
      <c r="G47" s="2344"/>
      <c r="H47" s="2344"/>
      <c r="I47" s="2344"/>
      <c r="J47" s="2345"/>
      <c r="K47" s="2345"/>
      <c r="L47" s="2345"/>
      <c r="M47" s="2345"/>
      <c r="N47" s="2345"/>
      <c r="O47" s="2345"/>
      <c r="P47" s="2345"/>
      <c r="Q47" s="2345"/>
      <c r="R47" s="2342"/>
      <c r="S47" s="2342"/>
      <c r="T47" s="2342"/>
      <c r="U47" s="2342"/>
      <c r="V47" s="2342"/>
      <c r="W47" s="2342"/>
      <c r="X47" s="2342"/>
      <c r="Y47" s="2342"/>
      <c r="Z47" s="2342"/>
      <c r="AA47" s="2342"/>
      <c r="AB47" s="2342"/>
      <c r="AC47" s="2342"/>
      <c r="AD47" s="2342"/>
      <c r="AE47" s="2342"/>
      <c r="AF47" s="2342"/>
      <c r="AG47" s="2342"/>
      <c r="AH47" s="2342"/>
      <c r="AI47" s="2342"/>
      <c r="AJ47" s="2342"/>
      <c r="AK47" s="2342"/>
      <c r="AL47" s="2331"/>
      <c r="AM47" s="2332"/>
      <c r="AN47" s="2332"/>
      <c r="AO47" s="2333"/>
      <c r="AP47" s="2331"/>
      <c r="AQ47" s="2332"/>
      <c r="AR47" s="2333"/>
      <c r="AS47" s="2323">
        <f t="shared" si="2"/>
        <v>0</v>
      </c>
      <c r="AT47" s="2324"/>
      <c r="AU47" s="2324"/>
      <c r="AV47" s="2324"/>
      <c r="AW47" s="2324"/>
      <c r="AX47" s="2325"/>
      <c r="AY47" s="2334">
        <f t="shared" si="3"/>
        <v>0</v>
      </c>
      <c r="AZ47" s="2335"/>
      <c r="BA47" s="2335"/>
      <c r="BB47" s="2335"/>
      <c r="BC47" s="2335"/>
      <c r="BD47" s="2336"/>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37" t="s">
        <v>1817</v>
      </c>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2338"/>
      <c r="AM50" s="2338"/>
      <c r="AN50" s="2338"/>
      <c r="AO50" s="233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82" t="s">
        <v>1818</v>
      </c>
      <c r="C51" s="2183"/>
      <c r="D51" s="2183"/>
      <c r="E51" s="2183"/>
      <c r="F51" s="2183"/>
      <c r="G51" s="2183"/>
      <c r="H51" s="2183"/>
      <c r="I51" s="2183"/>
      <c r="J51" s="2183" t="s">
        <v>2478</v>
      </c>
      <c r="K51" s="2183"/>
      <c r="L51" s="2183"/>
      <c r="M51" s="2183"/>
      <c r="N51" s="2183"/>
      <c r="O51" s="2183"/>
      <c r="P51" s="2183"/>
      <c r="Q51" s="2183"/>
      <c r="R51" s="2340" t="s">
        <v>2479</v>
      </c>
      <c r="S51" s="2340"/>
      <c r="T51" s="2340"/>
      <c r="U51" s="2340"/>
      <c r="V51" s="2340"/>
      <c r="W51" s="2340"/>
      <c r="X51" s="2340"/>
      <c r="Y51" s="2340"/>
      <c r="Z51" s="2340" t="s">
        <v>1819</v>
      </c>
      <c r="AA51" s="2340"/>
      <c r="AB51" s="2340"/>
      <c r="AC51" s="2340"/>
      <c r="AD51" s="2340"/>
      <c r="AE51" s="2340"/>
      <c r="AF51" s="2340"/>
      <c r="AG51" s="2340"/>
      <c r="AH51" s="2340" t="s">
        <v>1820</v>
      </c>
      <c r="AI51" s="2340"/>
      <c r="AJ51" s="2340"/>
      <c r="AK51" s="2340"/>
      <c r="AL51" s="2340"/>
      <c r="AM51" s="2340"/>
      <c r="AN51" s="2340"/>
      <c r="AO51" s="234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29" t="s">
        <v>2186</v>
      </c>
      <c r="C52" s="2330"/>
      <c r="D52" s="2330"/>
      <c r="E52" s="2330"/>
      <c r="F52" s="2330"/>
      <c r="G52" s="2330"/>
      <c r="H52" s="2330"/>
      <c r="I52" s="2330"/>
      <c r="J52" s="2346">
        <v>0</v>
      </c>
      <c r="K52" s="2346"/>
      <c r="L52" s="2346"/>
      <c r="M52" s="2346"/>
      <c r="N52" s="2346"/>
      <c r="O52" s="2346"/>
      <c r="P52" s="2346"/>
      <c r="Q52" s="2346"/>
      <c r="R52" s="2347">
        <v>0</v>
      </c>
      <c r="S52" s="2347"/>
      <c r="T52" s="2347"/>
      <c r="U52" s="2347"/>
      <c r="V52" s="2347"/>
      <c r="W52" s="2347"/>
      <c r="X52" s="2347"/>
      <c r="Y52" s="2347"/>
      <c r="Z52" s="2348">
        <v>0</v>
      </c>
      <c r="AA52" s="2348"/>
      <c r="AB52" s="2348"/>
      <c r="AC52" s="2348"/>
      <c r="AD52" s="2348"/>
      <c r="AE52" s="2348"/>
      <c r="AF52" s="2348"/>
      <c r="AG52" s="2348"/>
      <c r="AH52" s="2349"/>
      <c r="AI52" s="2349"/>
      <c r="AJ52" s="2349"/>
      <c r="AK52" s="2349"/>
      <c r="AL52" s="2349"/>
      <c r="AM52" s="2349"/>
      <c r="AN52" s="2349"/>
      <c r="AO52" s="235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29" t="s">
        <v>2187</v>
      </c>
      <c r="C53" s="2330"/>
      <c r="D53" s="2330"/>
      <c r="E53" s="2330"/>
      <c r="F53" s="2330"/>
      <c r="G53" s="2330"/>
      <c r="H53" s="2330"/>
      <c r="I53" s="2330"/>
      <c r="J53" s="2346">
        <v>0</v>
      </c>
      <c r="K53" s="2346"/>
      <c r="L53" s="2346"/>
      <c r="M53" s="2346"/>
      <c r="N53" s="2346"/>
      <c r="O53" s="2346"/>
      <c r="P53" s="2346"/>
      <c r="Q53" s="2346"/>
      <c r="R53" s="2347">
        <v>0</v>
      </c>
      <c r="S53" s="2347"/>
      <c r="T53" s="2347"/>
      <c r="U53" s="2347"/>
      <c r="V53" s="2347"/>
      <c r="W53" s="2347"/>
      <c r="X53" s="2347"/>
      <c r="Y53" s="2347"/>
      <c r="Z53" s="2348">
        <v>0</v>
      </c>
      <c r="AA53" s="2348"/>
      <c r="AB53" s="2348"/>
      <c r="AC53" s="2348"/>
      <c r="AD53" s="2348"/>
      <c r="AE53" s="2348"/>
      <c r="AF53" s="2348"/>
      <c r="AG53" s="2348"/>
      <c r="AH53" s="2349"/>
      <c r="AI53" s="2349"/>
      <c r="AJ53" s="2349"/>
      <c r="AK53" s="2349"/>
      <c r="AL53" s="2349"/>
      <c r="AM53" s="2349"/>
      <c r="AN53" s="2349"/>
      <c r="AO53" s="235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29"/>
      <c r="C54" s="2330"/>
      <c r="D54" s="2330"/>
      <c r="E54" s="2330"/>
      <c r="F54" s="2330"/>
      <c r="G54" s="2330"/>
      <c r="H54" s="2330"/>
      <c r="I54" s="2330"/>
      <c r="J54" s="2346"/>
      <c r="K54" s="2346"/>
      <c r="L54" s="2346"/>
      <c r="M54" s="2346"/>
      <c r="N54" s="2346"/>
      <c r="O54" s="2346"/>
      <c r="P54" s="2346"/>
      <c r="Q54" s="2346"/>
      <c r="R54" s="2347"/>
      <c r="S54" s="2347"/>
      <c r="T54" s="2347"/>
      <c r="U54" s="2347"/>
      <c r="V54" s="2347"/>
      <c r="W54" s="2347"/>
      <c r="X54" s="2347"/>
      <c r="Y54" s="2347"/>
      <c r="Z54" s="2348"/>
      <c r="AA54" s="2348"/>
      <c r="AB54" s="2348"/>
      <c r="AC54" s="2348"/>
      <c r="AD54" s="2348"/>
      <c r="AE54" s="2348"/>
      <c r="AF54" s="2348"/>
      <c r="AG54" s="2348"/>
      <c r="AH54" s="2349"/>
      <c r="AI54" s="2349"/>
      <c r="AJ54" s="2349"/>
      <c r="AK54" s="2349"/>
      <c r="AL54" s="2349"/>
      <c r="AM54" s="2349"/>
      <c r="AN54" s="2349"/>
      <c r="AO54" s="235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29"/>
      <c r="C55" s="2330"/>
      <c r="D55" s="2330"/>
      <c r="E55" s="2330"/>
      <c r="F55" s="2330"/>
      <c r="G55" s="2330"/>
      <c r="H55" s="2330"/>
      <c r="I55" s="2330"/>
      <c r="J55" s="2346"/>
      <c r="K55" s="2346"/>
      <c r="L55" s="2346"/>
      <c r="M55" s="2346"/>
      <c r="N55" s="2346"/>
      <c r="O55" s="2346"/>
      <c r="P55" s="2346"/>
      <c r="Q55" s="2346"/>
      <c r="R55" s="2347"/>
      <c r="S55" s="2347"/>
      <c r="T55" s="2347"/>
      <c r="U55" s="2347"/>
      <c r="V55" s="2347"/>
      <c r="W55" s="2347"/>
      <c r="X55" s="2347"/>
      <c r="Y55" s="2347"/>
      <c r="Z55" s="2348"/>
      <c r="AA55" s="2348"/>
      <c r="AB55" s="2348"/>
      <c r="AC55" s="2348"/>
      <c r="AD55" s="2348"/>
      <c r="AE55" s="2348"/>
      <c r="AF55" s="2348"/>
      <c r="AG55" s="2348"/>
      <c r="AH55" s="2349"/>
      <c r="AI55" s="2349"/>
      <c r="AJ55" s="2349"/>
      <c r="AK55" s="2349"/>
      <c r="AL55" s="2349"/>
      <c r="AM55" s="2349"/>
      <c r="AN55" s="2349"/>
      <c r="AO55" s="235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29"/>
      <c r="C56" s="2330"/>
      <c r="D56" s="2330"/>
      <c r="E56" s="2330"/>
      <c r="F56" s="2330"/>
      <c r="G56" s="2330"/>
      <c r="H56" s="2330"/>
      <c r="I56" s="2330"/>
      <c r="J56" s="2346"/>
      <c r="K56" s="2346"/>
      <c r="L56" s="2346"/>
      <c r="M56" s="2346"/>
      <c r="N56" s="2346"/>
      <c r="O56" s="2346"/>
      <c r="P56" s="2346"/>
      <c r="Q56" s="2346"/>
      <c r="R56" s="2347"/>
      <c r="S56" s="2347"/>
      <c r="T56" s="2347"/>
      <c r="U56" s="2347"/>
      <c r="V56" s="2347"/>
      <c r="W56" s="2347"/>
      <c r="X56" s="2347"/>
      <c r="Y56" s="2347"/>
      <c r="Z56" s="2348"/>
      <c r="AA56" s="2348"/>
      <c r="AB56" s="2348"/>
      <c r="AC56" s="2348"/>
      <c r="AD56" s="2348"/>
      <c r="AE56" s="2348"/>
      <c r="AF56" s="2348"/>
      <c r="AG56" s="2348"/>
      <c r="AH56" s="2349"/>
      <c r="AI56" s="2349"/>
      <c r="AJ56" s="2349"/>
      <c r="AK56" s="2349"/>
      <c r="AL56" s="2349"/>
      <c r="AM56" s="2349"/>
      <c r="AN56" s="2349"/>
      <c r="AO56" s="235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02" t="s">
        <v>1699</v>
      </c>
      <c r="C57" s="2203"/>
      <c r="D57" s="2203"/>
      <c r="E57" s="2203"/>
      <c r="F57" s="2203"/>
      <c r="G57" s="2203"/>
      <c r="H57" s="2203"/>
      <c r="I57" s="2203"/>
      <c r="J57" s="2203"/>
      <c r="K57" s="2203"/>
      <c r="L57" s="2203"/>
      <c r="M57" s="2203"/>
      <c r="N57" s="2203"/>
      <c r="O57" s="2203"/>
      <c r="P57" s="2203"/>
      <c r="Q57" s="2203"/>
      <c r="R57" s="2360">
        <f>SUM(R52:Y56)</f>
        <v>0</v>
      </c>
      <c r="S57" s="2360"/>
      <c r="T57" s="2360"/>
      <c r="U57" s="2360"/>
      <c r="V57" s="2360"/>
      <c r="W57" s="2360"/>
      <c r="X57" s="2360"/>
      <c r="Y57" s="2360"/>
      <c r="Z57" s="2361">
        <f>SUM(Z52:AG56)</f>
        <v>0</v>
      </c>
      <c r="AA57" s="2361"/>
      <c r="AB57" s="2361"/>
      <c r="AC57" s="2361"/>
      <c r="AD57" s="2361"/>
      <c r="AE57" s="2361"/>
      <c r="AF57" s="2361"/>
      <c r="AG57" s="2361"/>
      <c r="AH57" s="2362"/>
      <c r="AI57" s="2362"/>
      <c r="AJ57" s="2362"/>
      <c r="AK57" s="2362"/>
      <c r="AL57" s="2362"/>
      <c r="AM57" s="2362"/>
      <c r="AN57" s="2362"/>
      <c r="AO57" s="23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64" t="s">
        <v>1818</v>
      </c>
      <c r="C59" s="2365"/>
      <c r="D59" s="2365"/>
      <c r="E59" s="2365"/>
      <c r="F59" s="2365"/>
      <c r="G59" s="2365"/>
      <c r="H59" s="2365"/>
      <c r="I59" s="2366"/>
      <c r="J59" s="2250" t="s">
        <v>2480</v>
      </c>
      <c r="K59" s="2250"/>
      <c r="L59" s="2250"/>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c r="AS59" s="2250"/>
      <c r="AT59" s="2250"/>
      <c r="AU59" s="2250"/>
      <c r="AV59" s="2250"/>
      <c r="AW59" s="2251"/>
      <c r="AX59" s="1209"/>
      <c r="AY59" s="1209"/>
      <c r="AZ59" s="1209"/>
      <c r="BA59" s="1209"/>
      <c r="BB59" s="1209"/>
      <c r="BC59" s="1209"/>
      <c r="BD59" s="1209"/>
      <c r="BE59" s="1205"/>
    </row>
    <row r="60" spans="1:58" ht="15.75" customHeight="1">
      <c r="A60" s="1209"/>
      <c r="B60" s="2351" t="str">
        <f>IF(B52="", "", B52)</f>
        <v>Services Company 1</v>
      </c>
      <c r="C60" s="2352"/>
      <c r="D60" s="2352"/>
      <c r="E60" s="2352"/>
      <c r="F60" s="2352"/>
      <c r="G60" s="2352"/>
      <c r="H60" s="2352"/>
      <c r="I60" s="2353"/>
      <c r="J60" s="2354"/>
      <c r="K60" s="2355"/>
      <c r="L60" s="2355"/>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c r="AS60" s="2355"/>
      <c r="AT60" s="2355"/>
      <c r="AU60" s="2355"/>
      <c r="AV60" s="2355"/>
      <c r="AW60" s="2356"/>
      <c r="AX60" s="1209"/>
      <c r="AY60" s="1209"/>
      <c r="AZ60" s="1209"/>
      <c r="BA60" s="1209"/>
      <c r="BB60" s="1209"/>
      <c r="BC60" s="1209"/>
      <c r="BD60" s="1209"/>
      <c r="BE60" s="1205"/>
    </row>
    <row r="61" spans="1:58" ht="15.75" customHeight="1">
      <c r="A61" s="1209"/>
      <c r="B61" s="2351" t="str">
        <f>IF(B53="", "", B53)</f>
        <v>Services Company 2</v>
      </c>
      <c r="C61" s="2352"/>
      <c r="D61" s="2352"/>
      <c r="E61" s="2352"/>
      <c r="F61" s="2352"/>
      <c r="G61" s="2352"/>
      <c r="H61" s="2352"/>
      <c r="I61" s="2353"/>
      <c r="J61" s="2354"/>
      <c r="K61" s="2355"/>
      <c r="L61" s="2355"/>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c r="AS61" s="2355"/>
      <c r="AT61" s="2355"/>
      <c r="AU61" s="2355"/>
      <c r="AV61" s="2355"/>
      <c r="AW61" s="2356"/>
      <c r="AX61" s="1209"/>
      <c r="AY61" s="1209"/>
      <c r="AZ61" s="1209"/>
      <c r="BA61" s="1209"/>
      <c r="BB61" s="1209"/>
      <c r="BC61" s="1209"/>
      <c r="BD61" s="1209"/>
      <c r="BE61" s="1205"/>
    </row>
    <row r="62" spans="1:58" ht="15.75" customHeight="1">
      <c r="A62" s="1209"/>
      <c r="B62" s="2351" t="str">
        <f>IF(B54="", "", B54)</f>
        <v/>
      </c>
      <c r="C62" s="2352"/>
      <c r="D62" s="2352"/>
      <c r="E62" s="2352"/>
      <c r="F62" s="2352"/>
      <c r="G62" s="2352"/>
      <c r="H62" s="2352"/>
      <c r="I62" s="2353"/>
      <c r="J62" s="2354"/>
      <c r="K62" s="2355"/>
      <c r="L62" s="2355"/>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c r="AS62" s="2355"/>
      <c r="AT62" s="2355"/>
      <c r="AU62" s="2355"/>
      <c r="AV62" s="2355"/>
      <c r="AW62" s="2356"/>
      <c r="AX62" s="1209"/>
      <c r="AY62" s="1209"/>
      <c r="AZ62" s="1209"/>
      <c r="BA62" s="1209"/>
      <c r="BB62" s="1209"/>
      <c r="BC62" s="1209"/>
      <c r="BD62" s="1209"/>
      <c r="BE62" s="1205"/>
    </row>
    <row r="63" spans="1:58" ht="15.75" customHeight="1">
      <c r="A63" s="1209"/>
      <c r="B63" s="2351" t="str">
        <f>IF(B55="", "", B55)</f>
        <v/>
      </c>
      <c r="C63" s="2352"/>
      <c r="D63" s="2352"/>
      <c r="E63" s="2352"/>
      <c r="F63" s="2352"/>
      <c r="G63" s="2352"/>
      <c r="H63" s="2352"/>
      <c r="I63" s="2353"/>
      <c r="J63" s="2354"/>
      <c r="K63" s="2355"/>
      <c r="L63" s="2355"/>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c r="AS63" s="2355"/>
      <c r="AT63" s="2355"/>
      <c r="AU63" s="2355"/>
      <c r="AV63" s="2355"/>
      <c r="AW63" s="2356"/>
      <c r="AX63" s="1209"/>
      <c r="AY63" s="1209"/>
      <c r="AZ63" s="1209"/>
      <c r="BA63" s="1209"/>
      <c r="BB63" s="1209"/>
      <c r="BC63" s="1209"/>
      <c r="BD63" s="1209"/>
      <c r="BE63" s="1205"/>
    </row>
    <row r="64" spans="1:58" ht="15.75" customHeight="1" thickBot="1">
      <c r="A64" s="1209"/>
      <c r="B64" s="2357" t="str">
        <f>IF(B56="", "", B56)</f>
        <v/>
      </c>
      <c r="C64" s="2358"/>
      <c r="D64" s="2358"/>
      <c r="E64" s="2358"/>
      <c r="F64" s="2358"/>
      <c r="G64" s="2358"/>
      <c r="H64" s="2358"/>
      <c r="I64" s="2359"/>
      <c r="J64" s="2367"/>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c r="AS64" s="2368"/>
      <c r="AT64" s="2368"/>
      <c r="AU64" s="2368"/>
      <c r="AV64" s="2368"/>
      <c r="AW64" s="236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49" t="s">
        <v>1822</v>
      </c>
      <c r="C68" s="2250"/>
      <c r="D68" s="2250"/>
      <c r="E68" s="2250"/>
      <c r="F68" s="2250"/>
      <c r="G68" s="2250"/>
      <c r="H68" s="2250"/>
      <c r="I68" s="2250"/>
      <c r="J68" s="2250"/>
      <c r="K68" s="2250"/>
      <c r="L68" s="2250"/>
      <c r="M68" s="2250"/>
      <c r="N68" s="2250"/>
      <c r="O68" s="2250"/>
      <c r="P68" s="2250"/>
      <c r="Q68" s="2250"/>
      <c r="R68" s="2250"/>
      <c r="S68" s="2250"/>
      <c r="T68" s="2250"/>
      <c r="U68" s="2250"/>
      <c r="V68" s="2250"/>
      <c r="W68" s="2250"/>
      <c r="X68" s="2250"/>
      <c r="Y68" s="2250"/>
      <c r="Z68" s="2250"/>
      <c r="AA68" s="2251"/>
      <c r="AB68" s="1209"/>
      <c r="AC68" s="2442" t="s">
        <v>1823</v>
      </c>
      <c r="AD68" s="2443"/>
      <c r="AE68" s="2443"/>
      <c r="AF68" s="2443"/>
      <c r="AG68" s="2443"/>
      <c r="AH68" s="2443"/>
      <c r="AI68" s="2443"/>
      <c r="AJ68" s="2443"/>
      <c r="AK68" s="2443"/>
      <c r="AL68" s="2443"/>
      <c r="AM68" s="2443"/>
      <c r="AN68" s="2443"/>
      <c r="AO68" s="2443"/>
      <c r="AP68" s="2443"/>
      <c r="AQ68" s="2443"/>
      <c r="AR68" s="2443"/>
      <c r="AS68" s="2443"/>
      <c r="AT68" s="2443"/>
      <c r="AU68" s="2443"/>
      <c r="AV68" s="2569" t="s">
        <v>678</v>
      </c>
      <c r="AW68" s="2402"/>
      <c r="AX68" s="2402"/>
      <c r="AY68" s="2402"/>
      <c r="AZ68" s="2402"/>
      <c r="BA68" s="2402"/>
      <c r="BB68" s="2402"/>
      <c r="BC68" s="2403"/>
      <c r="BD68" s="1209"/>
      <c r="BE68" s="1205"/>
      <c r="BM68" s="1254" t="s">
        <v>2481</v>
      </c>
    </row>
    <row r="69" spans="1:65" ht="15.75" customHeight="1" thickTop="1" thickBot="1">
      <c r="A69" s="1209"/>
      <c r="B69" s="2570" t="s">
        <v>1824</v>
      </c>
      <c r="C69" s="2571"/>
      <c r="D69" s="2571"/>
      <c r="E69" s="2571"/>
      <c r="F69" s="2571"/>
      <c r="G69" s="2571"/>
      <c r="H69" s="2571"/>
      <c r="I69" s="2571"/>
      <c r="J69" s="2571"/>
      <c r="K69" s="2571"/>
      <c r="L69" s="2571"/>
      <c r="M69" s="2571"/>
      <c r="N69" s="2571"/>
      <c r="O69" s="2572" t="s">
        <v>1825</v>
      </c>
      <c r="P69" s="2573"/>
      <c r="Q69" s="2573"/>
      <c r="R69" s="2573"/>
      <c r="S69" s="2573"/>
      <c r="T69" s="2573"/>
      <c r="U69" s="2573"/>
      <c r="V69" s="2573"/>
      <c r="W69" s="2573"/>
      <c r="X69" s="2573"/>
      <c r="Y69" s="2573"/>
      <c r="Z69" s="2573"/>
      <c r="AA69" s="2574"/>
      <c r="AB69" s="1209"/>
      <c r="AC69" s="2575" t="s">
        <v>1826</v>
      </c>
      <c r="AD69" s="2576"/>
      <c r="AE69" s="2576"/>
      <c r="AF69" s="2576"/>
      <c r="AG69" s="2576"/>
      <c r="AH69" s="2576"/>
      <c r="AI69" s="2576"/>
      <c r="AJ69" s="2576"/>
      <c r="AK69" s="2576"/>
      <c r="AL69" s="2576"/>
      <c r="AM69" s="2576"/>
      <c r="AN69" s="2576"/>
      <c r="AO69" s="2576"/>
      <c r="AP69" s="2576"/>
      <c r="AQ69" s="2576"/>
      <c r="AR69" s="2576"/>
      <c r="AS69" s="2576"/>
      <c r="AT69" s="2576"/>
      <c r="AU69" s="2576"/>
      <c r="AV69" s="2577"/>
      <c r="AW69" s="2578"/>
      <c r="AX69" s="2578"/>
      <c r="AY69" s="2578"/>
      <c r="AZ69" s="2578"/>
      <c r="BA69" s="2578"/>
      <c r="BB69" s="2578"/>
      <c r="BC69" s="2579"/>
      <c r="BD69" s="1209"/>
      <c r="BE69" s="1205"/>
      <c r="BM69" s="1253" t="s">
        <v>554</v>
      </c>
    </row>
    <row r="70" spans="1:65" ht="15.75" customHeight="1">
      <c r="A70" s="1209"/>
      <c r="B70" s="2297" t="s">
        <v>2482</v>
      </c>
      <c r="C70" s="2298"/>
      <c r="D70" s="2298"/>
      <c r="E70" s="2298"/>
      <c r="F70" s="2298"/>
      <c r="G70" s="2298"/>
      <c r="H70" s="2298"/>
      <c r="I70" s="2298"/>
      <c r="J70" s="2298"/>
      <c r="K70" s="2298"/>
      <c r="L70" s="2298"/>
      <c r="M70" s="2298"/>
      <c r="N70" s="2298"/>
      <c r="O70" s="2377">
        <v>0</v>
      </c>
      <c r="P70" s="2377"/>
      <c r="Q70" s="2377"/>
      <c r="R70" s="2377"/>
      <c r="S70" s="2377"/>
      <c r="T70" s="2377"/>
      <c r="U70" s="2377"/>
      <c r="V70" s="2377"/>
      <c r="W70" s="2377"/>
      <c r="X70" s="2377"/>
      <c r="Y70" s="2377"/>
      <c r="Z70" s="2377"/>
      <c r="AA70" s="2378"/>
      <c r="AB70" s="1209"/>
      <c r="AC70" s="2337" t="s">
        <v>1827</v>
      </c>
      <c r="AD70" s="2338"/>
      <c r="AE70" s="2338"/>
      <c r="AF70" s="2381"/>
      <c r="AG70" s="2381"/>
      <c r="AH70" s="2381"/>
      <c r="AI70" s="2381"/>
      <c r="AJ70" s="2381"/>
      <c r="AK70" s="2381"/>
      <c r="AL70" s="2381"/>
      <c r="AM70" s="2381"/>
      <c r="AN70" s="2381"/>
      <c r="AO70" s="2381"/>
      <c r="AP70" s="2381"/>
      <c r="AQ70" s="2381"/>
      <c r="AR70" s="2381"/>
      <c r="AS70" s="2381"/>
      <c r="AT70" s="2381"/>
      <c r="AU70" s="2382"/>
      <c r="AV70" s="1209"/>
      <c r="AW70" s="1209"/>
      <c r="AX70" s="1209"/>
      <c r="AY70" s="1209"/>
      <c r="AZ70" s="1209"/>
      <c r="BA70" s="1209"/>
      <c r="BB70" s="1209"/>
      <c r="BC70" s="1209"/>
      <c r="BD70" s="1209"/>
      <c r="BE70" s="1205"/>
      <c r="BM70" s="1252" t="s">
        <v>678</v>
      </c>
    </row>
    <row r="71" spans="1:65" ht="15.75" customHeight="1" thickBot="1">
      <c r="A71" s="1209"/>
      <c r="B71" s="2297" t="s">
        <v>2483</v>
      </c>
      <c r="C71" s="2298"/>
      <c r="D71" s="2298"/>
      <c r="E71" s="2298"/>
      <c r="F71" s="2298"/>
      <c r="G71" s="2298"/>
      <c r="H71" s="2298"/>
      <c r="I71" s="2298"/>
      <c r="J71" s="2298"/>
      <c r="K71" s="2298"/>
      <c r="L71" s="2298"/>
      <c r="M71" s="2298"/>
      <c r="N71" s="2298"/>
      <c r="O71" s="2377">
        <v>0</v>
      </c>
      <c r="P71" s="2377"/>
      <c r="Q71" s="2377"/>
      <c r="R71" s="2377"/>
      <c r="S71" s="2377"/>
      <c r="T71" s="2377"/>
      <c r="U71" s="2377"/>
      <c r="V71" s="2377"/>
      <c r="W71" s="2377"/>
      <c r="X71" s="2377"/>
      <c r="Y71" s="2377"/>
      <c r="Z71" s="2377"/>
      <c r="AA71" s="2378"/>
      <c r="AB71" s="1209"/>
      <c r="AC71" s="2383" t="s">
        <v>1828</v>
      </c>
      <c r="AD71" s="2384"/>
      <c r="AE71" s="2384"/>
      <c r="AF71" s="2368"/>
      <c r="AG71" s="2368"/>
      <c r="AH71" s="2368"/>
      <c r="AI71" s="2368"/>
      <c r="AJ71" s="2368"/>
      <c r="AK71" s="2368"/>
      <c r="AL71" s="2368"/>
      <c r="AM71" s="2368"/>
      <c r="AN71" s="2368"/>
      <c r="AO71" s="2368"/>
      <c r="AP71" s="2368"/>
      <c r="AQ71" s="2368"/>
      <c r="AR71" s="2368"/>
      <c r="AS71" s="2368"/>
      <c r="AT71" s="2368"/>
      <c r="AU71" s="2369"/>
      <c r="AV71" s="1209"/>
      <c r="AW71" s="1209"/>
      <c r="AX71" s="1209"/>
      <c r="AY71" s="1209"/>
      <c r="AZ71" s="1209"/>
      <c r="BA71" s="1209"/>
      <c r="BB71" s="1209"/>
      <c r="BC71" s="1209"/>
      <c r="BD71" s="1209"/>
      <c r="BE71" s="1205"/>
      <c r="BM71" s="1200" t="s">
        <v>2484</v>
      </c>
    </row>
    <row r="72" spans="1:65" ht="15.75" customHeight="1">
      <c r="A72" s="1209"/>
      <c r="B72" s="2297" t="s">
        <v>2485</v>
      </c>
      <c r="C72" s="2298"/>
      <c r="D72" s="2298"/>
      <c r="E72" s="2298"/>
      <c r="F72" s="2298"/>
      <c r="G72" s="2298"/>
      <c r="H72" s="2298"/>
      <c r="I72" s="2298"/>
      <c r="J72" s="2298"/>
      <c r="K72" s="2298"/>
      <c r="L72" s="2298"/>
      <c r="M72" s="2298"/>
      <c r="N72" s="2298"/>
      <c r="O72" s="2377">
        <v>0</v>
      </c>
      <c r="P72" s="2377"/>
      <c r="Q72" s="2377"/>
      <c r="R72" s="2377"/>
      <c r="S72" s="2377"/>
      <c r="T72" s="2377"/>
      <c r="U72" s="2377"/>
      <c r="V72" s="2377"/>
      <c r="W72" s="2377"/>
      <c r="X72" s="2377"/>
      <c r="Y72" s="2377"/>
      <c r="Z72" s="2377"/>
      <c r="AA72" s="2378"/>
      <c r="AB72" s="1209"/>
      <c r="AC72" s="2584" t="s">
        <v>2486</v>
      </c>
      <c r="AD72" s="2585"/>
      <c r="AE72" s="2585"/>
      <c r="AF72" s="2585"/>
      <c r="AG72" s="2585"/>
      <c r="AH72" s="2585"/>
      <c r="AI72" s="2585"/>
      <c r="AJ72" s="2585"/>
      <c r="AK72" s="2585"/>
      <c r="AL72" s="2585"/>
      <c r="AM72" s="2585"/>
      <c r="AN72" s="2585"/>
      <c r="AO72" s="2585"/>
      <c r="AP72" s="2585"/>
      <c r="AQ72" s="2585"/>
      <c r="AR72" s="2585"/>
      <c r="AS72" s="2585"/>
      <c r="AT72" s="2585"/>
      <c r="AU72" s="2585"/>
      <c r="AV72" s="2338"/>
      <c r="AW72" s="2338"/>
      <c r="AX72" s="2338"/>
      <c r="AY72" s="2338"/>
      <c r="AZ72" s="2338"/>
      <c r="BA72" s="2338"/>
      <c r="BB72" s="2338"/>
      <c r="BC72" s="2339"/>
      <c r="BD72" s="1209"/>
      <c r="BE72" s="1205"/>
    </row>
    <row r="73" spans="1:65" ht="15.75" customHeight="1">
      <c r="A73" s="1209"/>
      <c r="B73" s="2329" t="s">
        <v>2487</v>
      </c>
      <c r="C73" s="2330"/>
      <c r="D73" s="2330"/>
      <c r="E73" s="2330"/>
      <c r="F73" s="2330"/>
      <c r="G73" s="2330"/>
      <c r="H73" s="2330"/>
      <c r="I73" s="2330"/>
      <c r="J73" s="2330"/>
      <c r="K73" s="2330"/>
      <c r="L73" s="2330"/>
      <c r="M73" s="2330"/>
      <c r="N73" s="2330"/>
      <c r="O73" s="2377">
        <v>0</v>
      </c>
      <c r="P73" s="2377"/>
      <c r="Q73" s="2377"/>
      <c r="R73" s="2377"/>
      <c r="S73" s="2377"/>
      <c r="T73" s="2377"/>
      <c r="U73" s="2377"/>
      <c r="V73" s="2377"/>
      <c r="W73" s="2377"/>
      <c r="X73" s="2377"/>
      <c r="Y73" s="2377"/>
      <c r="Z73" s="2377"/>
      <c r="AA73" s="2378"/>
      <c r="AB73" s="1209"/>
      <c r="AC73" s="2370" t="s">
        <v>2188</v>
      </c>
      <c r="AD73" s="2371"/>
      <c r="AE73" s="2371"/>
      <c r="AF73" s="2371"/>
      <c r="AG73" s="2371"/>
      <c r="AH73" s="2371"/>
      <c r="AI73" s="2371"/>
      <c r="AJ73" s="2371"/>
      <c r="AK73" s="2371"/>
      <c r="AL73" s="2371"/>
      <c r="AM73" s="2371"/>
      <c r="AN73" s="2371"/>
      <c r="AO73" s="2371"/>
      <c r="AP73" s="2371"/>
      <c r="AQ73" s="2371"/>
      <c r="AR73" s="2371"/>
      <c r="AS73" s="2371"/>
      <c r="AT73" s="2371"/>
      <c r="AU73" s="2371"/>
      <c r="AV73" s="2371"/>
      <c r="AW73" s="2371"/>
      <c r="AX73" s="2371"/>
      <c r="AY73" s="2371"/>
      <c r="AZ73" s="2371"/>
      <c r="BA73" s="2371"/>
      <c r="BB73" s="2371"/>
      <c r="BC73" s="2372"/>
      <c r="BD73" s="1209"/>
      <c r="BE73" s="1205"/>
    </row>
    <row r="74" spans="1:65" ht="15.75" customHeight="1">
      <c r="A74" s="1209"/>
      <c r="B74" s="2376"/>
      <c r="C74" s="2346"/>
      <c r="D74" s="2346"/>
      <c r="E74" s="2346"/>
      <c r="F74" s="2346"/>
      <c r="G74" s="2346"/>
      <c r="H74" s="2346"/>
      <c r="I74" s="2346"/>
      <c r="J74" s="2346"/>
      <c r="K74" s="2346"/>
      <c r="L74" s="2346"/>
      <c r="M74" s="2346"/>
      <c r="N74" s="2346"/>
      <c r="O74" s="2377"/>
      <c r="P74" s="2377"/>
      <c r="Q74" s="2377"/>
      <c r="R74" s="2377"/>
      <c r="S74" s="2377"/>
      <c r="T74" s="2377"/>
      <c r="U74" s="2377"/>
      <c r="V74" s="2377"/>
      <c r="W74" s="2377"/>
      <c r="X74" s="2377"/>
      <c r="Y74" s="2377"/>
      <c r="Z74" s="2377"/>
      <c r="AA74" s="2378"/>
      <c r="AB74" s="1209"/>
      <c r="AC74" s="2370"/>
      <c r="AD74" s="2371"/>
      <c r="AE74" s="2371"/>
      <c r="AF74" s="2371"/>
      <c r="AG74" s="2371"/>
      <c r="AH74" s="2371"/>
      <c r="AI74" s="2371"/>
      <c r="AJ74" s="2371"/>
      <c r="AK74" s="2371"/>
      <c r="AL74" s="2371"/>
      <c r="AM74" s="2371"/>
      <c r="AN74" s="2371"/>
      <c r="AO74" s="2371"/>
      <c r="AP74" s="2371"/>
      <c r="AQ74" s="2371"/>
      <c r="AR74" s="2371"/>
      <c r="AS74" s="2371"/>
      <c r="AT74" s="2371"/>
      <c r="AU74" s="2371"/>
      <c r="AV74" s="2371"/>
      <c r="AW74" s="2371"/>
      <c r="AX74" s="2371"/>
      <c r="AY74" s="2371"/>
      <c r="AZ74" s="2371"/>
      <c r="BA74" s="2371"/>
      <c r="BB74" s="2371"/>
      <c r="BC74" s="2372"/>
      <c r="BD74" s="1209"/>
      <c r="BE74" s="1205"/>
    </row>
    <row r="75" spans="1:65" ht="15.75" customHeight="1" thickBot="1">
      <c r="A75" s="1209"/>
      <c r="B75" s="2379" t="s">
        <v>124</v>
      </c>
      <c r="C75" s="2380"/>
      <c r="D75" s="2380"/>
      <c r="E75" s="2380"/>
      <c r="F75" s="2380"/>
      <c r="G75" s="2380"/>
      <c r="H75" s="2380"/>
      <c r="I75" s="2380"/>
      <c r="J75" s="2380"/>
      <c r="K75" s="2380"/>
      <c r="L75" s="2380"/>
      <c r="M75" s="2380"/>
      <c r="N75" s="2380"/>
      <c r="O75" s="2560">
        <f>SUM(O70:AA74)</f>
        <v>0</v>
      </c>
      <c r="P75" s="2560"/>
      <c r="Q75" s="2560"/>
      <c r="R75" s="2560"/>
      <c r="S75" s="2560"/>
      <c r="T75" s="2560"/>
      <c r="U75" s="2560"/>
      <c r="V75" s="2560"/>
      <c r="W75" s="2560"/>
      <c r="X75" s="2560"/>
      <c r="Y75" s="2560"/>
      <c r="Z75" s="2560"/>
      <c r="AA75" s="2561"/>
      <c r="AB75" s="1209"/>
      <c r="AC75" s="2370"/>
      <c r="AD75" s="2371"/>
      <c r="AE75" s="2371"/>
      <c r="AF75" s="2371"/>
      <c r="AG75" s="2371"/>
      <c r="AH75" s="2371"/>
      <c r="AI75" s="2371"/>
      <c r="AJ75" s="2371"/>
      <c r="AK75" s="2371"/>
      <c r="AL75" s="2371"/>
      <c r="AM75" s="2371"/>
      <c r="AN75" s="2371"/>
      <c r="AO75" s="2371"/>
      <c r="AP75" s="2371"/>
      <c r="AQ75" s="2371"/>
      <c r="AR75" s="2371"/>
      <c r="AS75" s="2371"/>
      <c r="AT75" s="2371"/>
      <c r="AU75" s="2371"/>
      <c r="AV75" s="2371"/>
      <c r="AW75" s="2371"/>
      <c r="AX75" s="2371"/>
      <c r="AY75" s="2371"/>
      <c r="AZ75" s="2371"/>
      <c r="BA75" s="2371"/>
      <c r="BB75" s="2371"/>
      <c r="BC75" s="237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70"/>
      <c r="AD76" s="2371"/>
      <c r="AE76" s="2371"/>
      <c r="AF76" s="2371"/>
      <c r="AG76" s="2371"/>
      <c r="AH76" s="2371"/>
      <c r="AI76" s="2371"/>
      <c r="AJ76" s="2371"/>
      <c r="AK76" s="2371"/>
      <c r="AL76" s="2371"/>
      <c r="AM76" s="2371"/>
      <c r="AN76" s="2371"/>
      <c r="AO76" s="2371"/>
      <c r="AP76" s="2371"/>
      <c r="AQ76" s="2371"/>
      <c r="AR76" s="2371"/>
      <c r="AS76" s="2371"/>
      <c r="AT76" s="2371"/>
      <c r="AU76" s="2371"/>
      <c r="AV76" s="2371"/>
      <c r="AW76" s="2371"/>
      <c r="AX76" s="2371"/>
      <c r="AY76" s="2371"/>
      <c r="AZ76" s="2371"/>
      <c r="BA76" s="2371"/>
      <c r="BB76" s="2371"/>
      <c r="BC76" s="237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73"/>
      <c r="AD77" s="2374"/>
      <c r="AE77" s="2374"/>
      <c r="AF77" s="2374"/>
      <c r="AG77" s="2374"/>
      <c r="AH77" s="2374"/>
      <c r="AI77" s="2374"/>
      <c r="AJ77" s="2374"/>
      <c r="AK77" s="2374"/>
      <c r="AL77" s="2374"/>
      <c r="AM77" s="2374"/>
      <c r="AN77" s="2374"/>
      <c r="AO77" s="2374"/>
      <c r="AP77" s="2374"/>
      <c r="AQ77" s="2374"/>
      <c r="AR77" s="2374"/>
      <c r="AS77" s="2374"/>
      <c r="AT77" s="2374"/>
      <c r="AU77" s="2374"/>
      <c r="AV77" s="2374"/>
      <c r="AW77" s="2374"/>
      <c r="AX77" s="2374"/>
      <c r="AY77" s="2374"/>
      <c r="AZ77" s="2374"/>
      <c r="BA77" s="2374"/>
      <c r="BB77" s="2374"/>
      <c r="BC77" s="2375"/>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62"/>
      <c r="G79" s="2563"/>
      <c r="H79" s="2563"/>
      <c r="I79" s="2563"/>
      <c r="J79" s="2563"/>
      <c r="K79" s="2563"/>
      <c r="L79" s="2563"/>
      <c r="M79" s="2564"/>
      <c r="N79" s="2564"/>
      <c r="O79" s="2564"/>
      <c r="P79" s="2564"/>
      <c r="Q79" s="256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66" t="e">
        <f>BR96/SUM($BR$96:$BR$98)</f>
        <v>#DIV/0!</v>
      </c>
      <c r="P80" s="2567"/>
      <c r="Q80" s="256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580" t="s">
        <v>2554</v>
      </c>
      <c r="P81" s="2581"/>
      <c r="Q81" s="258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187" t="s">
        <v>2171</v>
      </c>
      <c r="C83" s="2188"/>
      <c r="D83" s="2188"/>
      <c r="E83" s="2188"/>
      <c r="F83" s="2188"/>
      <c r="G83" s="2188"/>
      <c r="H83" s="2188"/>
      <c r="I83" s="2188"/>
      <c r="J83" s="2188"/>
      <c r="K83" s="2188"/>
      <c r="L83" s="2188"/>
      <c r="M83" s="2188"/>
      <c r="N83" s="2188"/>
      <c r="O83" s="2188"/>
      <c r="P83" s="2188"/>
      <c r="Q83" s="2188"/>
      <c r="R83" s="2188"/>
      <c r="S83" s="2188"/>
      <c r="T83" s="2188"/>
      <c r="U83" s="2188"/>
      <c r="V83" s="2188"/>
      <c r="W83" s="2188"/>
      <c r="X83" s="2188"/>
      <c r="Y83" s="2188"/>
      <c r="Z83" s="2188"/>
      <c r="AA83" s="2188"/>
      <c r="AB83" s="2188"/>
      <c r="AC83" s="2188"/>
      <c r="AD83" s="2188"/>
      <c r="AE83" s="2188"/>
      <c r="AF83" s="2188"/>
      <c r="AG83" s="2188"/>
      <c r="AH83" s="2189"/>
      <c r="AI83" s="1209"/>
      <c r="AJ83" s="2223" t="s">
        <v>2621</v>
      </c>
      <c r="AK83" s="2224"/>
      <c r="AL83" s="2224"/>
      <c r="AM83" s="2224"/>
      <c r="AN83" s="2224"/>
      <c r="AO83" s="2224"/>
      <c r="AP83" s="2224"/>
      <c r="AQ83" s="2224"/>
      <c r="AR83" s="2224"/>
      <c r="AS83" s="2224"/>
      <c r="AT83" s="2224"/>
      <c r="AU83" s="2224"/>
      <c r="AV83" s="2224"/>
      <c r="AW83" s="2224"/>
      <c r="AX83" s="2224"/>
      <c r="AY83" s="2227" t="s">
        <v>554</v>
      </c>
      <c r="AZ83" s="2227"/>
      <c r="BA83" s="2227"/>
      <c r="BB83" s="2228"/>
      <c r="BC83" s="1209"/>
      <c r="BD83" s="1209"/>
      <c r="BE83" s="1205"/>
    </row>
    <row r="84" spans="1:70" ht="15.75" customHeight="1">
      <c r="A84" s="1209"/>
      <c r="B84" s="2182"/>
      <c r="C84" s="2183"/>
      <c r="D84" s="2183"/>
      <c r="E84" s="2183"/>
      <c r="F84" s="2183"/>
      <c r="G84" s="2183"/>
      <c r="H84" s="2183"/>
      <c r="I84" s="2183" t="s">
        <v>1829</v>
      </c>
      <c r="J84" s="2183"/>
      <c r="K84" s="2183"/>
      <c r="L84" s="2183"/>
      <c r="M84" s="2183"/>
      <c r="N84" s="2183"/>
      <c r="O84" s="2183" t="s">
        <v>1830</v>
      </c>
      <c r="P84" s="2183"/>
      <c r="Q84" s="2183"/>
      <c r="R84" s="2183"/>
      <c r="S84" s="2183"/>
      <c r="T84" s="2183"/>
      <c r="U84" s="2183"/>
      <c r="V84" s="2179" t="s">
        <v>2189</v>
      </c>
      <c r="W84" s="2179"/>
      <c r="X84" s="2179"/>
      <c r="Y84" s="2179"/>
      <c r="Z84" s="2179"/>
      <c r="AA84" s="2179"/>
      <c r="AB84" s="2180" t="s">
        <v>1831</v>
      </c>
      <c r="AC84" s="2180"/>
      <c r="AD84" s="2180"/>
      <c r="AE84" s="2180"/>
      <c r="AF84" s="2180"/>
      <c r="AG84" s="2180"/>
      <c r="AH84" s="2181"/>
      <c r="AI84" s="1209"/>
      <c r="AJ84" s="2225"/>
      <c r="AK84" s="2226"/>
      <c r="AL84" s="2226"/>
      <c r="AM84" s="2226"/>
      <c r="AN84" s="2226"/>
      <c r="AO84" s="2226"/>
      <c r="AP84" s="2226"/>
      <c r="AQ84" s="2226"/>
      <c r="AR84" s="2226"/>
      <c r="AS84" s="2226"/>
      <c r="AT84" s="2226"/>
      <c r="AU84" s="2226"/>
      <c r="AV84" s="2226"/>
      <c r="AW84" s="2226"/>
      <c r="AX84" s="2226"/>
      <c r="AY84" s="2229"/>
      <c r="AZ84" s="2229"/>
      <c r="BA84" s="2229"/>
      <c r="BB84" s="2230"/>
      <c r="BC84" s="1209"/>
      <c r="BD84" s="1209"/>
      <c r="BE84" s="1205"/>
    </row>
    <row r="85" spans="1:70" ht="15.75" customHeight="1">
      <c r="A85" s="1209"/>
      <c r="B85" s="2182"/>
      <c r="C85" s="2183"/>
      <c r="D85" s="2183"/>
      <c r="E85" s="2183"/>
      <c r="F85" s="2183"/>
      <c r="G85" s="2183"/>
      <c r="H85" s="2183"/>
      <c r="I85" s="2183"/>
      <c r="J85" s="2183"/>
      <c r="K85" s="2183"/>
      <c r="L85" s="2183"/>
      <c r="M85" s="2183"/>
      <c r="N85" s="2183"/>
      <c r="O85" s="2183"/>
      <c r="P85" s="2183"/>
      <c r="Q85" s="2183"/>
      <c r="R85" s="2183"/>
      <c r="S85" s="2183"/>
      <c r="T85" s="2183"/>
      <c r="U85" s="2183"/>
      <c r="V85" s="2179"/>
      <c r="W85" s="2179"/>
      <c r="X85" s="2179"/>
      <c r="Y85" s="2179"/>
      <c r="Z85" s="2179"/>
      <c r="AA85" s="2179"/>
      <c r="AB85" s="2180"/>
      <c r="AC85" s="2180"/>
      <c r="AD85" s="2180"/>
      <c r="AE85" s="2180"/>
      <c r="AF85" s="2180"/>
      <c r="AG85" s="2180"/>
      <c r="AH85" s="2181"/>
      <c r="AI85" s="1209"/>
      <c r="AJ85" s="2225"/>
      <c r="AK85" s="2226"/>
      <c r="AL85" s="2226"/>
      <c r="AM85" s="2226"/>
      <c r="AN85" s="2226"/>
      <c r="AO85" s="2226"/>
      <c r="AP85" s="2226"/>
      <c r="AQ85" s="2226"/>
      <c r="AR85" s="2226"/>
      <c r="AS85" s="2226"/>
      <c r="AT85" s="2226"/>
      <c r="AU85" s="2226"/>
      <c r="AV85" s="2226"/>
      <c r="AW85" s="2226"/>
      <c r="AX85" s="2226"/>
      <c r="AY85" s="2229"/>
      <c r="AZ85" s="2229"/>
      <c r="BA85" s="2229"/>
      <c r="BB85" s="2230"/>
      <c r="BC85" s="1209"/>
      <c r="BD85" s="1209"/>
      <c r="BE85" s="1205"/>
    </row>
    <row r="86" spans="1:70" ht="15.75" customHeight="1">
      <c r="A86" s="1209"/>
      <c r="B86" s="2182" t="s">
        <v>2172</v>
      </c>
      <c r="C86" s="2183"/>
      <c r="D86" s="2183"/>
      <c r="E86" s="2183"/>
      <c r="F86" s="2183"/>
      <c r="G86" s="2183"/>
      <c r="H86" s="2183"/>
      <c r="I86" s="2184">
        <v>0</v>
      </c>
      <c r="J86" s="2184"/>
      <c r="K86" s="2184"/>
      <c r="L86" s="2184"/>
      <c r="M86" s="2184"/>
      <c r="N86" s="2184"/>
      <c r="O86" s="2184">
        <v>0</v>
      </c>
      <c r="P86" s="2184"/>
      <c r="Q86" s="2184"/>
      <c r="R86" s="2184"/>
      <c r="S86" s="2184"/>
      <c r="T86" s="2184"/>
      <c r="U86" s="2184"/>
      <c r="V86" s="2184">
        <v>0</v>
      </c>
      <c r="W86" s="2184"/>
      <c r="X86" s="2184"/>
      <c r="Y86" s="2184"/>
      <c r="Z86" s="2184"/>
      <c r="AA86" s="2184"/>
      <c r="AB86" s="2184">
        <v>0</v>
      </c>
      <c r="AC86" s="2184"/>
      <c r="AD86" s="2184"/>
      <c r="AE86" s="2184"/>
      <c r="AF86" s="2184"/>
      <c r="AG86" s="2184"/>
      <c r="AH86" s="2190"/>
      <c r="AI86" s="1209"/>
      <c r="AJ86" s="2225"/>
      <c r="AK86" s="2226"/>
      <c r="AL86" s="2226"/>
      <c r="AM86" s="2226"/>
      <c r="AN86" s="2226"/>
      <c r="AO86" s="2226"/>
      <c r="AP86" s="2226"/>
      <c r="AQ86" s="2226"/>
      <c r="AR86" s="2226"/>
      <c r="AS86" s="2226"/>
      <c r="AT86" s="2226"/>
      <c r="AU86" s="2226"/>
      <c r="AV86" s="2226"/>
      <c r="AW86" s="2226"/>
      <c r="AX86" s="2226"/>
      <c r="AY86" s="2229"/>
      <c r="AZ86" s="2229"/>
      <c r="BA86" s="2229"/>
      <c r="BB86" s="2230"/>
      <c r="BC86" s="1209"/>
      <c r="BD86" s="1209"/>
      <c r="BE86" s="1205"/>
    </row>
    <row r="87" spans="1:70" ht="15.75" customHeight="1">
      <c r="A87" s="1209"/>
      <c r="B87" s="2182" t="s">
        <v>2173</v>
      </c>
      <c r="C87" s="2183"/>
      <c r="D87" s="2183"/>
      <c r="E87" s="2183"/>
      <c r="F87" s="2183"/>
      <c r="G87" s="2183"/>
      <c r="H87" s="2183"/>
      <c r="I87" s="2184">
        <v>0</v>
      </c>
      <c r="J87" s="2184"/>
      <c r="K87" s="2184"/>
      <c r="L87" s="2184"/>
      <c r="M87" s="2184"/>
      <c r="N87" s="2184"/>
      <c r="O87" s="2184">
        <v>0</v>
      </c>
      <c r="P87" s="2184"/>
      <c r="Q87" s="2184"/>
      <c r="R87" s="2184"/>
      <c r="S87" s="2184"/>
      <c r="T87" s="2184"/>
      <c r="U87" s="2184"/>
      <c r="V87" s="2184">
        <v>0</v>
      </c>
      <c r="W87" s="2184"/>
      <c r="X87" s="2184"/>
      <c r="Y87" s="2184"/>
      <c r="Z87" s="2184"/>
      <c r="AA87" s="2184"/>
      <c r="AB87" s="2184">
        <v>0</v>
      </c>
      <c r="AC87" s="2184"/>
      <c r="AD87" s="2184"/>
      <c r="AE87" s="2184"/>
      <c r="AF87" s="2184"/>
      <c r="AG87" s="2184"/>
      <c r="AH87" s="2190"/>
      <c r="AI87" s="1209"/>
      <c r="AJ87" s="2196" t="s">
        <v>2488</v>
      </c>
      <c r="AK87" s="2197"/>
      <c r="AL87" s="2197"/>
      <c r="AM87" s="2197"/>
      <c r="AN87" s="2197"/>
      <c r="AO87" s="2197"/>
      <c r="AP87" s="2197"/>
      <c r="AQ87" s="2197"/>
      <c r="AR87" s="2197"/>
      <c r="AS87" s="2197"/>
      <c r="AT87" s="2197"/>
      <c r="AU87" s="2197"/>
      <c r="AV87" s="2197"/>
      <c r="AW87" s="2197"/>
      <c r="AX87" s="2197"/>
      <c r="AY87" s="2197"/>
      <c r="AZ87" s="2197"/>
      <c r="BA87" s="2197"/>
      <c r="BB87" s="2198"/>
      <c r="BC87" s="1209"/>
      <c r="BD87" s="1209"/>
      <c r="BE87" s="1205"/>
    </row>
    <row r="88" spans="1:70" ht="15.75" customHeight="1" thickBot="1">
      <c r="A88" s="1209"/>
      <c r="B88" s="2202" t="s">
        <v>1832</v>
      </c>
      <c r="C88" s="2203"/>
      <c r="D88" s="2203"/>
      <c r="E88" s="2203"/>
      <c r="F88" s="2203"/>
      <c r="G88" s="2203"/>
      <c r="H88" s="2203"/>
      <c r="I88" s="2204">
        <v>0</v>
      </c>
      <c r="J88" s="2204"/>
      <c r="K88" s="2204"/>
      <c r="L88" s="2204"/>
      <c r="M88" s="2204"/>
      <c r="N88" s="2204"/>
      <c r="O88" s="2204">
        <v>0</v>
      </c>
      <c r="P88" s="2204"/>
      <c r="Q88" s="2204"/>
      <c r="R88" s="2204"/>
      <c r="S88" s="2204"/>
      <c r="T88" s="2204"/>
      <c r="U88" s="2204"/>
      <c r="V88" s="2204">
        <v>0</v>
      </c>
      <c r="W88" s="2204"/>
      <c r="X88" s="2204"/>
      <c r="Y88" s="2204"/>
      <c r="Z88" s="2204"/>
      <c r="AA88" s="2204"/>
      <c r="AB88" s="2204">
        <v>0</v>
      </c>
      <c r="AC88" s="2204"/>
      <c r="AD88" s="2204"/>
      <c r="AE88" s="2204"/>
      <c r="AF88" s="2204"/>
      <c r="AG88" s="2204"/>
      <c r="AH88" s="2205"/>
      <c r="AI88" s="1209"/>
      <c r="AJ88" s="2199"/>
      <c r="AK88" s="2200"/>
      <c r="AL88" s="2200"/>
      <c r="AM88" s="2200"/>
      <c r="AN88" s="2200"/>
      <c r="AO88" s="2200"/>
      <c r="AP88" s="2200"/>
      <c r="AQ88" s="2200"/>
      <c r="AR88" s="2200"/>
      <c r="AS88" s="2200"/>
      <c r="AT88" s="2200"/>
      <c r="AU88" s="2200"/>
      <c r="AV88" s="2200"/>
      <c r="AW88" s="2200"/>
      <c r="AX88" s="2200"/>
      <c r="AY88" s="2200"/>
      <c r="AZ88" s="2200"/>
      <c r="BA88" s="2200"/>
      <c r="BB88" s="220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583"/>
      <c r="G92" s="2564"/>
      <c r="H92" s="2564"/>
      <c r="I92" s="2564"/>
      <c r="J92" s="2564"/>
      <c r="K92" s="2564"/>
      <c r="L92" s="2564"/>
      <c r="M92" s="2564"/>
      <c r="N92" s="2564"/>
      <c r="O92" s="2564"/>
      <c r="P92" s="2564"/>
      <c r="Q92" s="256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66" t="e">
        <f>BR97/SUM($BR$96:$BR$98)</f>
        <v>#DIV/0!</v>
      </c>
      <c r="P93" s="2567"/>
      <c r="Q93" s="256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580" t="s">
        <v>2554</v>
      </c>
      <c r="P94" s="2581"/>
      <c r="Q94" s="258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187" t="s">
        <v>2618</v>
      </c>
      <c r="C96" s="2188"/>
      <c r="D96" s="2188"/>
      <c r="E96" s="2188"/>
      <c r="F96" s="2188"/>
      <c r="G96" s="2188"/>
      <c r="H96" s="2188"/>
      <c r="I96" s="2188"/>
      <c r="J96" s="2188"/>
      <c r="K96" s="2188"/>
      <c r="L96" s="2188"/>
      <c r="M96" s="2188"/>
      <c r="N96" s="2188"/>
      <c r="O96" s="2188"/>
      <c r="P96" s="2188"/>
      <c r="Q96" s="2188"/>
      <c r="R96" s="2188"/>
      <c r="S96" s="2188"/>
      <c r="T96" s="2188"/>
      <c r="U96" s="2188"/>
      <c r="V96" s="2188"/>
      <c r="W96" s="2188"/>
      <c r="X96" s="2188"/>
      <c r="Y96" s="2188"/>
      <c r="Z96" s="2188"/>
      <c r="AA96" s="2188"/>
      <c r="AB96" s="2188"/>
      <c r="AC96" s="2188"/>
      <c r="AD96" s="2188"/>
      <c r="AE96" s="2188"/>
      <c r="AF96" s="2188"/>
      <c r="AG96" s="2188"/>
      <c r="AH96" s="2189"/>
      <c r="AI96" s="1209"/>
      <c r="AJ96" s="2223" t="s">
        <v>2617</v>
      </c>
      <c r="AK96" s="2224"/>
      <c r="AL96" s="2224"/>
      <c r="AM96" s="2224"/>
      <c r="AN96" s="2224"/>
      <c r="AO96" s="2224"/>
      <c r="AP96" s="2224"/>
      <c r="AQ96" s="2224"/>
      <c r="AR96" s="2224"/>
      <c r="AS96" s="2224"/>
      <c r="AT96" s="2224"/>
      <c r="AU96" s="2224"/>
      <c r="AV96" s="2224"/>
      <c r="AW96" s="2224"/>
      <c r="AX96" s="2224"/>
      <c r="AY96" s="2227" t="s">
        <v>554</v>
      </c>
      <c r="AZ96" s="2227"/>
      <c r="BA96" s="2227"/>
      <c r="BB96" s="2228"/>
      <c r="BC96" s="1209"/>
      <c r="BD96" s="1209"/>
      <c r="BE96" s="1205"/>
      <c r="BQ96" s="1248" t="str">
        <f>Application!M243</f>
        <v>Gung Ho - Moreland, LLC</v>
      </c>
      <c r="BR96" s="1248">
        <f>Application!AH245</f>
        <v>0</v>
      </c>
    </row>
    <row r="97" spans="1:70" ht="15.75" customHeight="1">
      <c r="A97" s="1209"/>
      <c r="B97" s="2182"/>
      <c r="C97" s="2183"/>
      <c r="D97" s="2183"/>
      <c r="E97" s="2183"/>
      <c r="F97" s="2183"/>
      <c r="G97" s="2183"/>
      <c r="H97" s="2183"/>
      <c r="I97" s="2183" t="s">
        <v>1829</v>
      </c>
      <c r="J97" s="2183"/>
      <c r="K97" s="2183"/>
      <c r="L97" s="2183"/>
      <c r="M97" s="2183"/>
      <c r="N97" s="2183"/>
      <c r="O97" s="2183" t="s">
        <v>1830</v>
      </c>
      <c r="P97" s="2183"/>
      <c r="Q97" s="2183"/>
      <c r="R97" s="2183"/>
      <c r="S97" s="2183"/>
      <c r="T97" s="2183"/>
      <c r="U97" s="2183"/>
      <c r="V97" s="2179" t="s">
        <v>2189</v>
      </c>
      <c r="W97" s="2179"/>
      <c r="X97" s="2179"/>
      <c r="Y97" s="2179"/>
      <c r="Z97" s="2179"/>
      <c r="AA97" s="2179"/>
      <c r="AB97" s="2180" t="s">
        <v>1831</v>
      </c>
      <c r="AC97" s="2180"/>
      <c r="AD97" s="2180"/>
      <c r="AE97" s="2180"/>
      <c r="AF97" s="2180"/>
      <c r="AG97" s="2180"/>
      <c r="AH97" s="2181"/>
      <c r="AI97" s="1209"/>
      <c r="AJ97" s="2225"/>
      <c r="AK97" s="2226"/>
      <c r="AL97" s="2226"/>
      <c r="AM97" s="2226"/>
      <c r="AN97" s="2226"/>
      <c r="AO97" s="2226"/>
      <c r="AP97" s="2226"/>
      <c r="AQ97" s="2226"/>
      <c r="AR97" s="2226"/>
      <c r="AS97" s="2226"/>
      <c r="AT97" s="2226"/>
      <c r="AU97" s="2226"/>
      <c r="AV97" s="2226"/>
      <c r="AW97" s="2226"/>
      <c r="AX97" s="2226"/>
      <c r="AY97" s="2229"/>
      <c r="AZ97" s="2229"/>
      <c r="BA97" s="2229"/>
      <c r="BB97" s="2230"/>
      <c r="BC97" s="1209"/>
      <c r="BD97" s="1209"/>
      <c r="BE97" s="1205"/>
      <c r="BQ97" s="1248" t="str">
        <f>Application!M251</f>
        <v>Rainbow - Moreland, LLC</v>
      </c>
      <c r="BR97" s="1248">
        <f>Application!AH253</f>
        <v>0</v>
      </c>
    </row>
    <row r="98" spans="1:70" ht="15.75" customHeight="1">
      <c r="A98" s="1209"/>
      <c r="B98" s="2182"/>
      <c r="C98" s="2183"/>
      <c r="D98" s="2183"/>
      <c r="E98" s="2183"/>
      <c r="F98" s="2183"/>
      <c r="G98" s="2183"/>
      <c r="H98" s="2183"/>
      <c r="I98" s="2183"/>
      <c r="J98" s="2183"/>
      <c r="K98" s="2183"/>
      <c r="L98" s="2183"/>
      <c r="M98" s="2183"/>
      <c r="N98" s="2183"/>
      <c r="O98" s="2183"/>
      <c r="P98" s="2183"/>
      <c r="Q98" s="2183"/>
      <c r="R98" s="2183"/>
      <c r="S98" s="2183"/>
      <c r="T98" s="2183"/>
      <c r="U98" s="2183"/>
      <c r="V98" s="2179"/>
      <c r="W98" s="2179"/>
      <c r="X98" s="2179"/>
      <c r="Y98" s="2179"/>
      <c r="Z98" s="2179"/>
      <c r="AA98" s="2179"/>
      <c r="AB98" s="2180"/>
      <c r="AC98" s="2180"/>
      <c r="AD98" s="2180"/>
      <c r="AE98" s="2180"/>
      <c r="AF98" s="2180"/>
      <c r="AG98" s="2180"/>
      <c r="AH98" s="2181"/>
      <c r="AI98" s="1209"/>
      <c r="AJ98" s="2225"/>
      <c r="AK98" s="2226"/>
      <c r="AL98" s="2226"/>
      <c r="AM98" s="2226"/>
      <c r="AN98" s="2226"/>
      <c r="AO98" s="2226"/>
      <c r="AP98" s="2226"/>
      <c r="AQ98" s="2226"/>
      <c r="AR98" s="2226"/>
      <c r="AS98" s="2226"/>
      <c r="AT98" s="2226"/>
      <c r="AU98" s="2226"/>
      <c r="AV98" s="2226"/>
      <c r="AW98" s="2226"/>
      <c r="AX98" s="2226"/>
      <c r="AY98" s="2229"/>
      <c r="AZ98" s="2229"/>
      <c r="BA98" s="2229"/>
      <c r="BB98" s="2230"/>
      <c r="BC98" s="1209"/>
      <c r="BD98" s="1209"/>
      <c r="BE98" s="1205"/>
      <c r="BQ98" s="1248">
        <f>Application!M259</f>
        <v>0</v>
      </c>
      <c r="BR98" s="1248">
        <f>Application!AH261</f>
        <v>0</v>
      </c>
    </row>
    <row r="99" spans="1:70" ht="15.75" customHeight="1">
      <c r="A99" s="1209"/>
      <c r="B99" s="2182" t="s">
        <v>2172</v>
      </c>
      <c r="C99" s="2183"/>
      <c r="D99" s="2183"/>
      <c r="E99" s="2183"/>
      <c r="F99" s="2183"/>
      <c r="G99" s="2183"/>
      <c r="H99" s="2183"/>
      <c r="I99" s="2184">
        <v>0</v>
      </c>
      <c r="J99" s="2184"/>
      <c r="K99" s="2184"/>
      <c r="L99" s="2184"/>
      <c r="M99" s="2184"/>
      <c r="N99" s="2184"/>
      <c r="O99" s="2184">
        <v>0</v>
      </c>
      <c r="P99" s="2184"/>
      <c r="Q99" s="2184"/>
      <c r="R99" s="2184"/>
      <c r="S99" s="2184"/>
      <c r="T99" s="2184"/>
      <c r="U99" s="2184"/>
      <c r="V99" s="2184">
        <v>0</v>
      </c>
      <c r="W99" s="2184"/>
      <c r="X99" s="2184"/>
      <c r="Y99" s="2184"/>
      <c r="Z99" s="2184"/>
      <c r="AA99" s="2184"/>
      <c r="AB99" s="2184">
        <v>0</v>
      </c>
      <c r="AC99" s="2184"/>
      <c r="AD99" s="2184"/>
      <c r="AE99" s="2184"/>
      <c r="AF99" s="2184"/>
      <c r="AG99" s="2184"/>
      <c r="AH99" s="2190"/>
      <c r="AI99" s="1209"/>
      <c r="AJ99" s="2225"/>
      <c r="AK99" s="2226"/>
      <c r="AL99" s="2226"/>
      <c r="AM99" s="2226"/>
      <c r="AN99" s="2226"/>
      <c r="AO99" s="2226"/>
      <c r="AP99" s="2226"/>
      <c r="AQ99" s="2226"/>
      <c r="AR99" s="2226"/>
      <c r="AS99" s="2226"/>
      <c r="AT99" s="2226"/>
      <c r="AU99" s="2226"/>
      <c r="AV99" s="2226"/>
      <c r="AW99" s="2226"/>
      <c r="AX99" s="2226"/>
      <c r="AY99" s="2229"/>
      <c r="AZ99" s="2229"/>
      <c r="BA99" s="2229"/>
      <c r="BB99" s="2230"/>
      <c r="BC99" s="1209"/>
      <c r="BD99" s="1209"/>
      <c r="BE99" s="1205"/>
    </row>
    <row r="100" spans="1:70" ht="15.75" customHeight="1">
      <c r="A100" s="1209"/>
      <c r="B100" s="2182" t="s">
        <v>2173</v>
      </c>
      <c r="C100" s="2183"/>
      <c r="D100" s="2183"/>
      <c r="E100" s="2183"/>
      <c r="F100" s="2183"/>
      <c r="G100" s="2183"/>
      <c r="H100" s="2183"/>
      <c r="I100" s="2184">
        <v>0</v>
      </c>
      <c r="J100" s="2184"/>
      <c r="K100" s="2184"/>
      <c r="L100" s="2184"/>
      <c r="M100" s="2184"/>
      <c r="N100" s="2184"/>
      <c r="O100" s="2184">
        <v>0</v>
      </c>
      <c r="P100" s="2184"/>
      <c r="Q100" s="2184"/>
      <c r="R100" s="2184"/>
      <c r="S100" s="2184"/>
      <c r="T100" s="2184"/>
      <c r="U100" s="2184"/>
      <c r="V100" s="2184">
        <v>0</v>
      </c>
      <c r="W100" s="2184"/>
      <c r="X100" s="2184"/>
      <c r="Y100" s="2184"/>
      <c r="Z100" s="2184"/>
      <c r="AA100" s="2184"/>
      <c r="AB100" s="2184">
        <v>0</v>
      </c>
      <c r="AC100" s="2184"/>
      <c r="AD100" s="2184"/>
      <c r="AE100" s="2184"/>
      <c r="AF100" s="2184"/>
      <c r="AG100" s="2184"/>
      <c r="AH100" s="2190"/>
      <c r="AI100" s="1209"/>
      <c r="AJ100" s="2196" t="s">
        <v>2488</v>
      </c>
      <c r="AK100" s="2197"/>
      <c r="AL100" s="2197"/>
      <c r="AM100" s="2197"/>
      <c r="AN100" s="2197"/>
      <c r="AO100" s="2197"/>
      <c r="AP100" s="2197"/>
      <c r="AQ100" s="2197"/>
      <c r="AR100" s="2197"/>
      <c r="AS100" s="2197"/>
      <c r="AT100" s="2197"/>
      <c r="AU100" s="2197"/>
      <c r="AV100" s="2197"/>
      <c r="AW100" s="2197"/>
      <c r="AX100" s="2197"/>
      <c r="AY100" s="2197"/>
      <c r="AZ100" s="2197"/>
      <c r="BA100" s="2197"/>
      <c r="BB100" s="2198"/>
      <c r="BC100" s="1209"/>
      <c r="BD100" s="1209"/>
      <c r="BE100" s="1205"/>
    </row>
    <row r="101" spans="1:70" ht="15.75" customHeight="1" thickBot="1">
      <c r="A101" s="1209"/>
      <c r="B101" s="2202" t="s">
        <v>1832</v>
      </c>
      <c r="C101" s="2203"/>
      <c r="D101" s="2203"/>
      <c r="E101" s="2203"/>
      <c r="F101" s="2203"/>
      <c r="G101" s="2203"/>
      <c r="H101" s="2203"/>
      <c r="I101" s="2204">
        <v>0</v>
      </c>
      <c r="J101" s="2204"/>
      <c r="K101" s="2204"/>
      <c r="L101" s="2204"/>
      <c r="M101" s="2204"/>
      <c r="N101" s="2204"/>
      <c r="O101" s="2204">
        <v>0</v>
      </c>
      <c r="P101" s="2204"/>
      <c r="Q101" s="2204"/>
      <c r="R101" s="2204"/>
      <c r="S101" s="2204"/>
      <c r="T101" s="2204"/>
      <c r="U101" s="2204"/>
      <c r="V101" s="2204">
        <v>0</v>
      </c>
      <c r="W101" s="2204"/>
      <c r="X101" s="2204"/>
      <c r="Y101" s="2204"/>
      <c r="Z101" s="2204"/>
      <c r="AA101" s="2204"/>
      <c r="AB101" s="2204">
        <v>0</v>
      </c>
      <c r="AC101" s="2204"/>
      <c r="AD101" s="2204"/>
      <c r="AE101" s="2204"/>
      <c r="AF101" s="2204"/>
      <c r="AG101" s="2204"/>
      <c r="AH101" s="2205"/>
      <c r="AI101" s="1209"/>
      <c r="AJ101" s="2199"/>
      <c r="AK101" s="2200"/>
      <c r="AL101" s="2200"/>
      <c r="AM101" s="2200"/>
      <c r="AN101" s="2200"/>
      <c r="AO101" s="2200"/>
      <c r="AP101" s="2200"/>
      <c r="AQ101" s="2200"/>
      <c r="AR101" s="2200"/>
      <c r="AS101" s="2200"/>
      <c r="AT101" s="2200"/>
      <c r="AU101" s="2200"/>
      <c r="AV101" s="2200"/>
      <c r="AW101" s="2200"/>
      <c r="AX101" s="2200"/>
      <c r="AY101" s="2200"/>
      <c r="AZ101" s="2200"/>
      <c r="BA101" s="2200"/>
      <c r="BB101" s="220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21"/>
      <c r="G104" s="2522"/>
      <c r="H104" s="2522"/>
      <c r="I104" s="2522"/>
      <c r="J104" s="2522"/>
      <c r="K104" s="2522"/>
      <c r="L104" s="2522"/>
      <c r="M104" s="2522"/>
      <c r="N104" s="2522"/>
      <c r="O104" s="2522"/>
      <c r="P104" s="2522"/>
      <c r="Q104" s="2522"/>
      <c r="R104" s="252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580" t="e">
        <f>BR98/SUM(BR96:BR98)</f>
        <v>#DIV/0!</v>
      </c>
      <c r="P105" s="2581"/>
      <c r="Q105" s="2581"/>
      <c r="R105" s="258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42" t="s">
        <v>2614</v>
      </c>
      <c r="C107" s="2443"/>
      <c r="D107" s="2443"/>
      <c r="E107" s="2443"/>
      <c r="F107" s="2443"/>
      <c r="G107" s="2443"/>
      <c r="H107" s="2443"/>
      <c r="I107" s="2443"/>
      <c r="J107" s="2443"/>
      <c r="K107" s="2443"/>
      <c r="L107" s="2443"/>
      <c r="M107" s="2443"/>
      <c r="N107" s="2443"/>
      <c r="O107" s="2443"/>
      <c r="P107" s="2443"/>
      <c r="Q107" s="2443"/>
      <c r="R107" s="2443"/>
      <c r="S107" s="2443"/>
      <c r="T107" s="2443"/>
      <c r="U107" s="2443"/>
      <c r="V107" s="2443"/>
      <c r="W107" s="2443"/>
      <c r="X107" s="2443"/>
      <c r="Y107" s="2443"/>
      <c r="Z107" s="2443"/>
      <c r="AA107" s="2443"/>
      <c r="AB107" s="2443"/>
      <c r="AC107" s="2443"/>
      <c r="AD107" s="2443"/>
      <c r="AE107" s="2443"/>
      <c r="AF107" s="2443"/>
      <c r="AG107" s="2443"/>
      <c r="AH107" s="244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82"/>
      <c r="C108" s="2183"/>
      <c r="D108" s="2183"/>
      <c r="E108" s="2183"/>
      <c r="F108" s="2183"/>
      <c r="G108" s="2183"/>
      <c r="H108" s="2183"/>
      <c r="I108" s="2183" t="s">
        <v>1829</v>
      </c>
      <c r="J108" s="2183"/>
      <c r="K108" s="2183"/>
      <c r="L108" s="2183"/>
      <c r="M108" s="2183"/>
      <c r="N108" s="2183"/>
      <c r="O108" s="2183" t="s">
        <v>1830</v>
      </c>
      <c r="P108" s="2183"/>
      <c r="Q108" s="2183"/>
      <c r="R108" s="2183"/>
      <c r="S108" s="2183"/>
      <c r="T108" s="2183"/>
      <c r="U108" s="2183"/>
      <c r="V108" s="2179" t="s">
        <v>2189</v>
      </c>
      <c r="W108" s="2179"/>
      <c r="X108" s="2179"/>
      <c r="Y108" s="2179"/>
      <c r="Z108" s="2179"/>
      <c r="AA108" s="2179"/>
      <c r="AB108" s="2180" t="s">
        <v>1831</v>
      </c>
      <c r="AC108" s="2180"/>
      <c r="AD108" s="2180"/>
      <c r="AE108" s="2180"/>
      <c r="AF108" s="2180"/>
      <c r="AG108" s="2180"/>
      <c r="AH108" s="21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82"/>
      <c r="C109" s="2183"/>
      <c r="D109" s="2183"/>
      <c r="E109" s="2183"/>
      <c r="F109" s="2183"/>
      <c r="G109" s="2183"/>
      <c r="H109" s="2183"/>
      <c r="I109" s="2183"/>
      <c r="J109" s="2183"/>
      <c r="K109" s="2183"/>
      <c r="L109" s="2183"/>
      <c r="M109" s="2183"/>
      <c r="N109" s="2183"/>
      <c r="O109" s="2183"/>
      <c r="P109" s="2183"/>
      <c r="Q109" s="2183"/>
      <c r="R109" s="2183"/>
      <c r="S109" s="2183"/>
      <c r="T109" s="2183"/>
      <c r="U109" s="2183"/>
      <c r="V109" s="2179"/>
      <c r="W109" s="2179"/>
      <c r="X109" s="2179"/>
      <c r="Y109" s="2179"/>
      <c r="Z109" s="2179"/>
      <c r="AA109" s="2179"/>
      <c r="AB109" s="2180"/>
      <c r="AC109" s="2180"/>
      <c r="AD109" s="2180"/>
      <c r="AE109" s="2180"/>
      <c r="AF109" s="2180"/>
      <c r="AG109" s="2180"/>
      <c r="AH109" s="21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82" t="s">
        <v>2172</v>
      </c>
      <c r="C110" s="2183"/>
      <c r="D110" s="2183"/>
      <c r="E110" s="2183"/>
      <c r="F110" s="2183"/>
      <c r="G110" s="2183"/>
      <c r="H110" s="2183"/>
      <c r="I110" s="2184">
        <v>0</v>
      </c>
      <c r="J110" s="2184"/>
      <c r="K110" s="2184"/>
      <c r="L110" s="2184"/>
      <c r="M110" s="2184"/>
      <c r="N110" s="2184"/>
      <c r="O110" s="2184">
        <v>0</v>
      </c>
      <c r="P110" s="2184"/>
      <c r="Q110" s="2184"/>
      <c r="R110" s="2184"/>
      <c r="S110" s="2184"/>
      <c r="T110" s="2184"/>
      <c r="U110" s="2184"/>
      <c r="V110" s="2184">
        <v>0</v>
      </c>
      <c r="W110" s="2184"/>
      <c r="X110" s="2184"/>
      <c r="Y110" s="2184"/>
      <c r="Z110" s="2184"/>
      <c r="AA110" s="2184"/>
      <c r="AB110" s="2184">
        <v>0</v>
      </c>
      <c r="AC110" s="2184"/>
      <c r="AD110" s="2184"/>
      <c r="AE110" s="2184"/>
      <c r="AF110" s="2184"/>
      <c r="AG110" s="2184"/>
      <c r="AH110" s="219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82" t="s">
        <v>2173</v>
      </c>
      <c r="C111" s="2183"/>
      <c r="D111" s="2183"/>
      <c r="E111" s="2183"/>
      <c r="F111" s="2183"/>
      <c r="G111" s="2183"/>
      <c r="H111" s="2183"/>
      <c r="I111" s="2184">
        <v>0</v>
      </c>
      <c r="J111" s="2184"/>
      <c r="K111" s="2184"/>
      <c r="L111" s="2184"/>
      <c r="M111" s="2184"/>
      <c r="N111" s="2184"/>
      <c r="O111" s="2184">
        <v>0</v>
      </c>
      <c r="P111" s="2184"/>
      <c r="Q111" s="2184"/>
      <c r="R111" s="2184"/>
      <c r="S111" s="2184"/>
      <c r="T111" s="2184"/>
      <c r="U111" s="2184"/>
      <c r="V111" s="2184">
        <v>0</v>
      </c>
      <c r="W111" s="2184"/>
      <c r="X111" s="2184"/>
      <c r="Y111" s="2184"/>
      <c r="Z111" s="2184"/>
      <c r="AA111" s="2184"/>
      <c r="AB111" s="2184">
        <v>0</v>
      </c>
      <c r="AC111" s="2184"/>
      <c r="AD111" s="2184"/>
      <c r="AE111" s="2184"/>
      <c r="AF111" s="2184"/>
      <c r="AG111" s="2184"/>
      <c r="AH111" s="219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02" t="s">
        <v>1832</v>
      </c>
      <c r="C112" s="2203"/>
      <c r="D112" s="2203"/>
      <c r="E112" s="2203"/>
      <c r="F112" s="2203"/>
      <c r="G112" s="2203"/>
      <c r="H112" s="2203"/>
      <c r="I112" s="2204">
        <v>0</v>
      </c>
      <c r="J112" s="2204"/>
      <c r="K112" s="2204"/>
      <c r="L112" s="2204"/>
      <c r="M112" s="2204"/>
      <c r="N112" s="2204"/>
      <c r="O112" s="2204">
        <v>0</v>
      </c>
      <c r="P112" s="2204"/>
      <c r="Q112" s="2204"/>
      <c r="R112" s="2204"/>
      <c r="S112" s="2204"/>
      <c r="T112" s="2204"/>
      <c r="U112" s="2204"/>
      <c r="V112" s="2204">
        <v>0</v>
      </c>
      <c r="W112" s="2204"/>
      <c r="X112" s="2204"/>
      <c r="Y112" s="2204"/>
      <c r="Z112" s="2204"/>
      <c r="AA112" s="2204"/>
      <c r="AB112" s="2204">
        <v>0</v>
      </c>
      <c r="AC112" s="2204"/>
      <c r="AD112" s="2204"/>
      <c r="AE112" s="2204"/>
      <c r="AF112" s="2204"/>
      <c r="AG112" s="2204"/>
      <c r="AH112" s="220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21"/>
      <c r="G115" s="2522"/>
      <c r="H115" s="2522"/>
      <c r="I115" s="2522"/>
      <c r="J115" s="2522"/>
      <c r="K115" s="2522"/>
      <c r="L115" s="2522"/>
      <c r="M115" s="2522"/>
      <c r="N115" s="2522"/>
      <c r="O115" s="2522"/>
      <c r="P115" s="2522"/>
      <c r="Q115" s="2522"/>
      <c r="R115" s="252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23" t="s">
        <v>2489</v>
      </c>
      <c r="C117" s="2224"/>
      <c r="D117" s="2224"/>
      <c r="E117" s="2224"/>
      <c r="F117" s="2224"/>
      <c r="G117" s="2224"/>
      <c r="H117" s="2224"/>
      <c r="I117" s="2224"/>
      <c r="J117" s="2224"/>
      <c r="K117" s="2224"/>
      <c r="L117" s="2224"/>
      <c r="M117" s="2224"/>
      <c r="N117" s="2224"/>
      <c r="O117" s="2224"/>
      <c r="P117" s="2224"/>
      <c r="Q117" s="2227" t="s">
        <v>554</v>
      </c>
      <c r="R117" s="2227"/>
      <c r="S117" s="2227"/>
      <c r="T117" s="222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25"/>
      <c r="C118" s="2226"/>
      <c r="D118" s="2226"/>
      <c r="E118" s="2226"/>
      <c r="F118" s="2226"/>
      <c r="G118" s="2226"/>
      <c r="H118" s="2226"/>
      <c r="I118" s="2226"/>
      <c r="J118" s="2226"/>
      <c r="K118" s="2226"/>
      <c r="L118" s="2226"/>
      <c r="M118" s="2226"/>
      <c r="N118" s="2226"/>
      <c r="O118" s="2226"/>
      <c r="P118" s="2226"/>
      <c r="Q118" s="2229"/>
      <c r="R118" s="2229"/>
      <c r="S118" s="2229"/>
      <c r="T118" s="223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25"/>
      <c r="C119" s="2226"/>
      <c r="D119" s="2226"/>
      <c r="E119" s="2226"/>
      <c r="F119" s="2226"/>
      <c r="G119" s="2226"/>
      <c r="H119" s="2226"/>
      <c r="I119" s="2226"/>
      <c r="J119" s="2226"/>
      <c r="K119" s="2226"/>
      <c r="L119" s="2226"/>
      <c r="M119" s="2226"/>
      <c r="N119" s="2226"/>
      <c r="O119" s="2226"/>
      <c r="P119" s="2226"/>
      <c r="Q119" s="2229"/>
      <c r="R119" s="2229"/>
      <c r="S119" s="2229"/>
      <c r="T119" s="223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25"/>
      <c r="C120" s="2226"/>
      <c r="D120" s="2226"/>
      <c r="E120" s="2226"/>
      <c r="F120" s="2226"/>
      <c r="G120" s="2226"/>
      <c r="H120" s="2226"/>
      <c r="I120" s="2226"/>
      <c r="J120" s="2226"/>
      <c r="K120" s="2226"/>
      <c r="L120" s="2226"/>
      <c r="M120" s="2226"/>
      <c r="N120" s="2226"/>
      <c r="O120" s="2226"/>
      <c r="P120" s="2226"/>
      <c r="Q120" s="2229"/>
      <c r="R120" s="2229"/>
      <c r="S120" s="2229"/>
      <c r="T120" s="223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96" t="s">
        <v>2190</v>
      </c>
      <c r="C121" s="2197"/>
      <c r="D121" s="2197"/>
      <c r="E121" s="2197"/>
      <c r="F121" s="2197"/>
      <c r="G121" s="2197"/>
      <c r="H121" s="2197"/>
      <c r="I121" s="2197"/>
      <c r="J121" s="2197"/>
      <c r="K121" s="2197"/>
      <c r="L121" s="2197"/>
      <c r="M121" s="2197"/>
      <c r="N121" s="2197"/>
      <c r="O121" s="2197"/>
      <c r="P121" s="2197"/>
      <c r="Q121" s="2197"/>
      <c r="R121" s="2197"/>
      <c r="S121" s="2197"/>
      <c r="T121" s="219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9"/>
      <c r="C122" s="2200"/>
      <c r="D122" s="2200"/>
      <c r="E122" s="2200"/>
      <c r="F122" s="2200"/>
      <c r="G122" s="2200"/>
      <c r="H122" s="2200"/>
      <c r="I122" s="2200"/>
      <c r="J122" s="2200"/>
      <c r="K122" s="2200"/>
      <c r="L122" s="2200"/>
      <c r="M122" s="2200"/>
      <c r="N122" s="2200"/>
      <c r="O122" s="2200"/>
      <c r="P122" s="2200"/>
      <c r="Q122" s="2200"/>
      <c r="R122" s="2200"/>
      <c r="S122" s="2200"/>
      <c r="T122" s="220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23" t="s">
        <v>2174</v>
      </c>
      <c r="Y125" s="2224"/>
      <c r="Z125" s="2224"/>
      <c r="AA125" s="2224"/>
      <c r="AB125" s="2224"/>
      <c r="AC125" s="2224"/>
      <c r="AD125" s="2224"/>
      <c r="AE125" s="2224"/>
      <c r="AF125" s="2224"/>
      <c r="AG125" s="2224"/>
      <c r="AH125" s="2224"/>
      <c r="AI125" s="2224"/>
      <c r="AJ125" s="2224"/>
      <c r="AK125" s="2224"/>
      <c r="AL125" s="2224"/>
      <c r="AM125" s="2224"/>
      <c r="AN125" s="2224"/>
      <c r="AO125" s="2224"/>
      <c r="AP125" s="2224"/>
      <c r="AQ125" s="2224"/>
      <c r="AR125" s="2224"/>
      <c r="AS125" s="2224"/>
      <c r="AT125" s="2224"/>
      <c r="AU125" s="2224"/>
      <c r="AV125" s="2224"/>
      <c r="AW125" s="2224"/>
      <c r="AX125" s="2224"/>
      <c r="AY125" s="2224"/>
      <c r="AZ125" s="2224"/>
      <c r="BA125" s="2224"/>
      <c r="BB125" s="2224"/>
      <c r="BC125" s="2224"/>
      <c r="BD125" s="2385"/>
      <c r="BE125" s="1205"/>
    </row>
    <row r="126" spans="1:57" ht="15.75" customHeight="1">
      <c r="A126" s="1209"/>
      <c r="B126" s="2387" t="s">
        <v>1689</v>
      </c>
      <c r="C126" s="2388"/>
      <c r="D126" s="2388"/>
      <c r="E126" s="2388"/>
      <c r="F126" s="2388"/>
      <c r="G126" s="2388"/>
      <c r="H126" s="2388"/>
      <c r="I126" s="2388"/>
      <c r="J126" s="2388"/>
      <c r="K126" s="2388"/>
      <c r="L126" s="2388"/>
      <c r="M126" s="2388"/>
      <c r="N126" s="2388"/>
      <c r="O126" s="2388"/>
      <c r="P126" s="2388"/>
      <c r="Q126" s="2388"/>
      <c r="R126" s="2388"/>
      <c r="S126" s="2388"/>
      <c r="T126" s="2388"/>
      <c r="U126" s="2389"/>
      <c r="V126" s="1209"/>
      <c r="W126" s="1209"/>
      <c r="X126" s="2225"/>
      <c r="Y126" s="2226"/>
      <c r="Z126" s="2226"/>
      <c r="AA126" s="2226"/>
      <c r="AB126" s="2226"/>
      <c r="AC126" s="2226"/>
      <c r="AD126" s="2226"/>
      <c r="AE126" s="2226"/>
      <c r="AF126" s="2226"/>
      <c r="AG126" s="2226"/>
      <c r="AH126" s="2226"/>
      <c r="AI126" s="2226"/>
      <c r="AJ126" s="2226"/>
      <c r="AK126" s="2226"/>
      <c r="AL126" s="2226"/>
      <c r="AM126" s="2226"/>
      <c r="AN126" s="2226"/>
      <c r="AO126" s="2226"/>
      <c r="AP126" s="2226"/>
      <c r="AQ126" s="2226"/>
      <c r="AR126" s="2226"/>
      <c r="AS126" s="2226"/>
      <c r="AT126" s="2226"/>
      <c r="AU126" s="2226"/>
      <c r="AV126" s="2226"/>
      <c r="AW126" s="2226"/>
      <c r="AX126" s="2226"/>
      <c r="AY126" s="2226"/>
      <c r="AZ126" s="2226"/>
      <c r="BA126" s="2226"/>
      <c r="BB126" s="2226"/>
      <c r="BC126" s="2226"/>
      <c r="BD126" s="2386"/>
      <c r="BE126" s="1205"/>
    </row>
    <row r="127" spans="1:57" ht="15.75" customHeight="1">
      <c r="A127" s="1209"/>
      <c r="B127" s="2390"/>
      <c r="C127" s="2391"/>
      <c r="D127" s="2391"/>
      <c r="E127" s="2391"/>
      <c r="F127" s="2391"/>
      <c r="G127" s="2391"/>
      <c r="H127" s="2391"/>
      <c r="I127" s="2183" t="s">
        <v>2175</v>
      </c>
      <c r="J127" s="2183"/>
      <c r="K127" s="2183"/>
      <c r="L127" s="2183"/>
      <c r="M127" s="2183"/>
      <c r="N127" s="2183"/>
      <c r="O127" s="2392" t="s">
        <v>2176</v>
      </c>
      <c r="P127" s="2392"/>
      <c r="Q127" s="2392"/>
      <c r="R127" s="2392"/>
      <c r="S127" s="2392"/>
      <c r="T127" s="2392"/>
      <c r="U127" s="2393"/>
      <c r="V127" s="1209"/>
      <c r="W127" s="1209"/>
      <c r="X127" s="2370" t="s">
        <v>2188</v>
      </c>
      <c r="Y127" s="2371"/>
      <c r="Z127" s="2371"/>
      <c r="AA127" s="2371"/>
      <c r="AB127" s="2371"/>
      <c r="AC127" s="2371"/>
      <c r="AD127" s="2371"/>
      <c r="AE127" s="2371"/>
      <c r="AF127" s="2371"/>
      <c r="AG127" s="2371"/>
      <c r="AH127" s="2371"/>
      <c r="AI127" s="2371"/>
      <c r="AJ127" s="2371"/>
      <c r="AK127" s="2371"/>
      <c r="AL127" s="2371"/>
      <c r="AM127" s="2371"/>
      <c r="AN127" s="2371"/>
      <c r="AO127" s="2371"/>
      <c r="AP127" s="2371"/>
      <c r="AQ127" s="2371"/>
      <c r="AR127" s="2371"/>
      <c r="AS127" s="2371"/>
      <c r="AT127" s="2371"/>
      <c r="AU127" s="2371"/>
      <c r="AV127" s="2371"/>
      <c r="AW127" s="2371"/>
      <c r="AX127" s="2371"/>
      <c r="AY127" s="2371"/>
      <c r="AZ127" s="2371"/>
      <c r="BA127" s="2371"/>
      <c r="BB127" s="2371"/>
      <c r="BC127" s="2371"/>
      <c r="BD127" s="2372"/>
      <c r="BE127" s="1205"/>
    </row>
    <row r="128" spans="1:57" ht="15.75" customHeight="1">
      <c r="A128" s="1209"/>
      <c r="B128" s="2396" t="s">
        <v>2177</v>
      </c>
      <c r="C128" s="2397"/>
      <c r="D128" s="2397"/>
      <c r="E128" s="2397"/>
      <c r="F128" s="2397"/>
      <c r="G128" s="2397"/>
      <c r="H128" s="2397"/>
      <c r="I128" s="2184">
        <v>0</v>
      </c>
      <c r="J128" s="2184"/>
      <c r="K128" s="2184"/>
      <c r="L128" s="2184"/>
      <c r="M128" s="2184"/>
      <c r="N128" s="2184"/>
      <c r="O128" s="2184">
        <v>0</v>
      </c>
      <c r="P128" s="2184"/>
      <c r="Q128" s="2184"/>
      <c r="R128" s="2184"/>
      <c r="S128" s="2184"/>
      <c r="T128" s="2184"/>
      <c r="U128" s="2190"/>
      <c r="V128" s="1209"/>
      <c r="W128" s="1209"/>
      <c r="X128" s="2370"/>
      <c r="Y128" s="2371"/>
      <c r="Z128" s="2371"/>
      <c r="AA128" s="2371"/>
      <c r="AB128" s="2371"/>
      <c r="AC128" s="2371"/>
      <c r="AD128" s="2371"/>
      <c r="AE128" s="2371"/>
      <c r="AF128" s="2371"/>
      <c r="AG128" s="2371"/>
      <c r="AH128" s="2371"/>
      <c r="AI128" s="2371"/>
      <c r="AJ128" s="2371"/>
      <c r="AK128" s="2371"/>
      <c r="AL128" s="2371"/>
      <c r="AM128" s="2371"/>
      <c r="AN128" s="2371"/>
      <c r="AO128" s="2371"/>
      <c r="AP128" s="2371"/>
      <c r="AQ128" s="2371"/>
      <c r="AR128" s="2371"/>
      <c r="AS128" s="2371"/>
      <c r="AT128" s="2371"/>
      <c r="AU128" s="2371"/>
      <c r="AV128" s="2371"/>
      <c r="AW128" s="2371"/>
      <c r="AX128" s="2371"/>
      <c r="AY128" s="2371"/>
      <c r="AZ128" s="2371"/>
      <c r="BA128" s="2371"/>
      <c r="BB128" s="2371"/>
      <c r="BC128" s="2371"/>
      <c r="BD128" s="2372"/>
      <c r="BE128" s="1205"/>
    </row>
    <row r="129" spans="1:57" ht="15.75" customHeight="1" thickBot="1">
      <c r="A129" s="1209"/>
      <c r="B129" s="2398" t="s">
        <v>2178</v>
      </c>
      <c r="C129" s="2399"/>
      <c r="D129" s="2399"/>
      <c r="E129" s="2399"/>
      <c r="F129" s="2399"/>
      <c r="G129" s="2399"/>
      <c r="H129" s="2399"/>
      <c r="I129" s="2204">
        <v>0</v>
      </c>
      <c r="J129" s="2204"/>
      <c r="K129" s="2204"/>
      <c r="L129" s="2204"/>
      <c r="M129" s="2204"/>
      <c r="N129" s="2204"/>
      <c r="O129" s="2394"/>
      <c r="P129" s="2394"/>
      <c r="Q129" s="2394"/>
      <c r="R129" s="2394"/>
      <c r="S129" s="2394"/>
      <c r="T129" s="2394"/>
      <c r="U129" s="2395"/>
      <c r="V129" s="1209"/>
      <c r="W129" s="1209"/>
      <c r="X129" s="2370"/>
      <c r="Y129" s="2371"/>
      <c r="Z129" s="2371"/>
      <c r="AA129" s="2371"/>
      <c r="AB129" s="2371"/>
      <c r="AC129" s="2371"/>
      <c r="AD129" s="2371"/>
      <c r="AE129" s="2371"/>
      <c r="AF129" s="2371"/>
      <c r="AG129" s="2371"/>
      <c r="AH129" s="2371"/>
      <c r="AI129" s="2371"/>
      <c r="AJ129" s="2371"/>
      <c r="AK129" s="2371"/>
      <c r="AL129" s="2371"/>
      <c r="AM129" s="2371"/>
      <c r="AN129" s="2371"/>
      <c r="AO129" s="2371"/>
      <c r="AP129" s="2371"/>
      <c r="AQ129" s="2371"/>
      <c r="AR129" s="2371"/>
      <c r="AS129" s="2371"/>
      <c r="AT129" s="2371"/>
      <c r="AU129" s="2371"/>
      <c r="AV129" s="2371"/>
      <c r="AW129" s="2371"/>
      <c r="AX129" s="2371"/>
      <c r="AY129" s="2371"/>
      <c r="AZ129" s="2371"/>
      <c r="BA129" s="2371"/>
      <c r="BB129" s="2371"/>
      <c r="BC129" s="2371"/>
      <c r="BD129" s="237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70"/>
      <c r="Y130" s="2371"/>
      <c r="Z130" s="2371"/>
      <c r="AA130" s="2371"/>
      <c r="AB130" s="2371"/>
      <c r="AC130" s="2371"/>
      <c r="AD130" s="2371"/>
      <c r="AE130" s="2371"/>
      <c r="AF130" s="2371"/>
      <c r="AG130" s="2371"/>
      <c r="AH130" s="2371"/>
      <c r="AI130" s="2371"/>
      <c r="AJ130" s="2371"/>
      <c r="AK130" s="2371"/>
      <c r="AL130" s="2371"/>
      <c r="AM130" s="2371"/>
      <c r="AN130" s="2371"/>
      <c r="AO130" s="2371"/>
      <c r="AP130" s="2371"/>
      <c r="AQ130" s="2371"/>
      <c r="AR130" s="2371"/>
      <c r="AS130" s="2371"/>
      <c r="AT130" s="2371"/>
      <c r="AU130" s="2371"/>
      <c r="AV130" s="2371"/>
      <c r="AW130" s="2371"/>
      <c r="AX130" s="2371"/>
      <c r="AY130" s="2371"/>
      <c r="AZ130" s="2371"/>
      <c r="BA130" s="2371"/>
      <c r="BB130" s="2371"/>
      <c r="BC130" s="2371"/>
      <c r="BD130" s="2372"/>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70"/>
      <c r="Y131" s="2371"/>
      <c r="Z131" s="2371"/>
      <c r="AA131" s="2371"/>
      <c r="AB131" s="2371"/>
      <c r="AC131" s="2371"/>
      <c r="AD131" s="2371"/>
      <c r="AE131" s="2371"/>
      <c r="AF131" s="2371"/>
      <c r="AG131" s="2371"/>
      <c r="AH131" s="2371"/>
      <c r="AI131" s="2371"/>
      <c r="AJ131" s="2371"/>
      <c r="AK131" s="2371"/>
      <c r="AL131" s="2371"/>
      <c r="AM131" s="2371"/>
      <c r="AN131" s="2371"/>
      <c r="AO131" s="2371"/>
      <c r="AP131" s="2371"/>
      <c r="AQ131" s="2371"/>
      <c r="AR131" s="2371"/>
      <c r="AS131" s="2371"/>
      <c r="AT131" s="2371"/>
      <c r="AU131" s="2371"/>
      <c r="AV131" s="2371"/>
      <c r="AW131" s="2371"/>
      <c r="AX131" s="2371"/>
      <c r="AY131" s="2371"/>
      <c r="AZ131" s="2371"/>
      <c r="BA131" s="2371"/>
      <c r="BB131" s="2371"/>
      <c r="BC131" s="2371"/>
      <c r="BD131" s="237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70"/>
      <c r="Y132" s="2371"/>
      <c r="Z132" s="2371"/>
      <c r="AA132" s="2371"/>
      <c r="AB132" s="2371"/>
      <c r="AC132" s="2371"/>
      <c r="AD132" s="2371"/>
      <c r="AE132" s="2371"/>
      <c r="AF132" s="2371"/>
      <c r="AG132" s="2371"/>
      <c r="AH132" s="2371"/>
      <c r="AI132" s="2371"/>
      <c r="AJ132" s="2371"/>
      <c r="AK132" s="2371"/>
      <c r="AL132" s="2371"/>
      <c r="AM132" s="2371"/>
      <c r="AN132" s="2371"/>
      <c r="AO132" s="2371"/>
      <c r="AP132" s="2371"/>
      <c r="AQ132" s="2371"/>
      <c r="AR132" s="2371"/>
      <c r="AS132" s="2371"/>
      <c r="AT132" s="2371"/>
      <c r="AU132" s="2371"/>
      <c r="AV132" s="2371"/>
      <c r="AW132" s="2371"/>
      <c r="AX132" s="2371"/>
      <c r="AY132" s="2371"/>
      <c r="AZ132" s="2371"/>
      <c r="BA132" s="2371"/>
      <c r="BB132" s="2371"/>
      <c r="BC132" s="2371"/>
      <c r="BD132" s="2372"/>
      <c r="BE132" s="1205"/>
    </row>
    <row r="133" spans="1:57" ht="15.75" customHeight="1">
      <c r="A133" s="1209"/>
      <c r="B133" s="2249" t="s">
        <v>1835</v>
      </c>
      <c r="C133" s="2250"/>
      <c r="D133" s="2250"/>
      <c r="E133" s="2250"/>
      <c r="F133" s="2250"/>
      <c r="G133" s="2250"/>
      <c r="H133" s="2250"/>
      <c r="I133" s="2250"/>
      <c r="J133" s="2250"/>
      <c r="K133" s="2250"/>
      <c r="L133" s="2250"/>
      <c r="M133" s="2250"/>
      <c r="N133" s="2250"/>
      <c r="O133" s="2250"/>
      <c r="P133" s="2250"/>
      <c r="Q133" s="2250"/>
      <c r="R133" s="2250"/>
      <c r="S133" s="2250"/>
      <c r="T133" s="2250"/>
      <c r="U133" s="2251"/>
      <c r="V133" s="1209"/>
      <c r="W133" s="1209"/>
      <c r="X133" s="2370"/>
      <c r="Y133" s="2371"/>
      <c r="Z133" s="2371"/>
      <c r="AA133" s="2371"/>
      <c r="AB133" s="2371"/>
      <c r="AC133" s="2371"/>
      <c r="AD133" s="2371"/>
      <c r="AE133" s="2371"/>
      <c r="AF133" s="2371"/>
      <c r="AG133" s="2371"/>
      <c r="AH133" s="2371"/>
      <c r="AI133" s="2371"/>
      <c r="AJ133" s="2371"/>
      <c r="AK133" s="2371"/>
      <c r="AL133" s="2371"/>
      <c r="AM133" s="2371"/>
      <c r="AN133" s="2371"/>
      <c r="AO133" s="2371"/>
      <c r="AP133" s="2371"/>
      <c r="AQ133" s="2371"/>
      <c r="AR133" s="2371"/>
      <c r="AS133" s="2371"/>
      <c r="AT133" s="2371"/>
      <c r="AU133" s="2371"/>
      <c r="AV133" s="2371"/>
      <c r="AW133" s="2371"/>
      <c r="AX133" s="2371"/>
      <c r="AY133" s="2371"/>
      <c r="AZ133" s="2371"/>
      <c r="BA133" s="2371"/>
      <c r="BB133" s="2371"/>
      <c r="BC133" s="2371"/>
      <c r="BD133" s="2372"/>
      <c r="BE133" s="1205"/>
    </row>
    <row r="134" spans="1:57" ht="15.75" customHeight="1">
      <c r="A134" s="1209"/>
      <c r="B134" s="2390"/>
      <c r="C134" s="2391"/>
      <c r="D134" s="2391"/>
      <c r="E134" s="2391"/>
      <c r="F134" s="2391"/>
      <c r="G134" s="2391"/>
      <c r="H134" s="2391"/>
      <c r="I134" s="2414" t="s">
        <v>1830</v>
      </c>
      <c r="J134" s="2414"/>
      <c r="K134" s="2414"/>
      <c r="L134" s="2414"/>
      <c r="M134" s="2414"/>
      <c r="N134" s="2414"/>
      <c r="O134" s="2414"/>
      <c r="P134" s="2414" t="s">
        <v>2189</v>
      </c>
      <c r="Q134" s="2414"/>
      <c r="R134" s="2414"/>
      <c r="S134" s="2414"/>
      <c r="T134" s="2414"/>
      <c r="U134" s="2415"/>
      <c r="V134" s="1209"/>
      <c r="W134" s="1209"/>
      <c r="X134" s="2370"/>
      <c r="Y134" s="2371"/>
      <c r="Z134" s="2371"/>
      <c r="AA134" s="2371"/>
      <c r="AB134" s="2371"/>
      <c r="AC134" s="2371"/>
      <c r="AD134" s="2371"/>
      <c r="AE134" s="2371"/>
      <c r="AF134" s="2371"/>
      <c r="AG134" s="2371"/>
      <c r="AH134" s="2371"/>
      <c r="AI134" s="2371"/>
      <c r="AJ134" s="2371"/>
      <c r="AK134" s="2371"/>
      <c r="AL134" s="2371"/>
      <c r="AM134" s="2371"/>
      <c r="AN134" s="2371"/>
      <c r="AO134" s="2371"/>
      <c r="AP134" s="2371"/>
      <c r="AQ134" s="2371"/>
      <c r="AR134" s="2371"/>
      <c r="AS134" s="2371"/>
      <c r="AT134" s="2371"/>
      <c r="AU134" s="2371"/>
      <c r="AV134" s="2371"/>
      <c r="AW134" s="2371"/>
      <c r="AX134" s="2371"/>
      <c r="AY134" s="2371"/>
      <c r="AZ134" s="2371"/>
      <c r="BA134" s="2371"/>
      <c r="BB134" s="2371"/>
      <c r="BC134" s="2371"/>
      <c r="BD134" s="2372"/>
      <c r="BE134" s="1205"/>
    </row>
    <row r="135" spans="1:57" ht="15.75" customHeight="1">
      <c r="A135" s="1209"/>
      <c r="B135" s="2390"/>
      <c r="C135" s="2391"/>
      <c r="D135" s="2391"/>
      <c r="E135" s="2391"/>
      <c r="F135" s="2391"/>
      <c r="G135" s="2391"/>
      <c r="H135" s="2391"/>
      <c r="I135" s="2414"/>
      <c r="J135" s="2414"/>
      <c r="K135" s="2414"/>
      <c r="L135" s="2414"/>
      <c r="M135" s="2414"/>
      <c r="N135" s="2414"/>
      <c r="O135" s="2414"/>
      <c r="P135" s="2414"/>
      <c r="Q135" s="2414"/>
      <c r="R135" s="2414"/>
      <c r="S135" s="2414"/>
      <c r="T135" s="2414"/>
      <c r="U135" s="2415"/>
      <c r="V135" s="1209"/>
      <c r="W135" s="1209"/>
      <c r="X135" s="2370"/>
      <c r="Y135" s="2371"/>
      <c r="Z135" s="2371"/>
      <c r="AA135" s="2371"/>
      <c r="AB135" s="2371"/>
      <c r="AC135" s="2371"/>
      <c r="AD135" s="2371"/>
      <c r="AE135" s="2371"/>
      <c r="AF135" s="2371"/>
      <c r="AG135" s="2371"/>
      <c r="AH135" s="2371"/>
      <c r="AI135" s="2371"/>
      <c r="AJ135" s="2371"/>
      <c r="AK135" s="2371"/>
      <c r="AL135" s="2371"/>
      <c r="AM135" s="2371"/>
      <c r="AN135" s="2371"/>
      <c r="AO135" s="2371"/>
      <c r="AP135" s="2371"/>
      <c r="AQ135" s="2371"/>
      <c r="AR135" s="2371"/>
      <c r="AS135" s="2371"/>
      <c r="AT135" s="2371"/>
      <c r="AU135" s="2371"/>
      <c r="AV135" s="2371"/>
      <c r="AW135" s="2371"/>
      <c r="AX135" s="2371"/>
      <c r="AY135" s="2371"/>
      <c r="AZ135" s="2371"/>
      <c r="BA135" s="2371"/>
      <c r="BB135" s="2371"/>
      <c r="BC135" s="2371"/>
      <c r="BD135" s="2372"/>
      <c r="BE135" s="1205"/>
    </row>
    <row r="136" spans="1:57" ht="15.75" customHeight="1">
      <c r="A136" s="1209"/>
      <c r="B136" s="2396" t="s">
        <v>2177</v>
      </c>
      <c r="C136" s="2397"/>
      <c r="D136" s="2397"/>
      <c r="E136" s="2397"/>
      <c r="F136" s="2397"/>
      <c r="G136" s="2397"/>
      <c r="H136" s="2397"/>
      <c r="I136" s="2184">
        <v>0</v>
      </c>
      <c r="J136" s="2184"/>
      <c r="K136" s="2184"/>
      <c r="L136" s="2184"/>
      <c r="M136" s="2184"/>
      <c r="N136" s="2184"/>
      <c r="O136" s="2184"/>
      <c r="P136" s="2184">
        <v>0</v>
      </c>
      <c r="Q136" s="2184"/>
      <c r="R136" s="2184"/>
      <c r="S136" s="2184"/>
      <c r="T136" s="2184"/>
      <c r="U136" s="2190"/>
      <c r="V136" s="1209"/>
      <c r="W136" s="1209"/>
      <c r="X136" s="2370"/>
      <c r="Y136" s="2371"/>
      <c r="Z136" s="2371"/>
      <c r="AA136" s="2371"/>
      <c r="AB136" s="2371"/>
      <c r="AC136" s="2371"/>
      <c r="AD136" s="2371"/>
      <c r="AE136" s="2371"/>
      <c r="AF136" s="2371"/>
      <c r="AG136" s="2371"/>
      <c r="AH136" s="2371"/>
      <c r="AI136" s="2371"/>
      <c r="AJ136" s="2371"/>
      <c r="AK136" s="2371"/>
      <c r="AL136" s="2371"/>
      <c r="AM136" s="2371"/>
      <c r="AN136" s="2371"/>
      <c r="AO136" s="2371"/>
      <c r="AP136" s="2371"/>
      <c r="AQ136" s="2371"/>
      <c r="AR136" s="2371"/>
      <c r="AS136" s="2371"/>
      <c r="AT136" s="2371"/>
      <c r="AU136" s="2371"/>
      <c r="AV136" s="2371"/>
      <c r="AW136" s="2371"/>
      <c r="AX136" s="2371"/>
      <c r="AY136" s="2371"/>
      <c r="AZ136" s="2371"/>
      <c r="BA136" s="2371"/>
      <c r="BB136" s="2371"/>
      <c r="BC136" s="2371"/>
      <c r="BD136" s="2372"/>
      <c r="BE136" s="1205"/>
    </row>
    <row r="137" spans="1:57" ht="15.75" customHeight="1" thickBot="1">
      <c r="A137" s="1209"/>
      <c r="B137" s="2398" t="s">
        <v>2178</v>
      </c>
      <c r="C137" s="2399"/>
      <c r="D137" s="2399"/>
      <c r="E137" s="2399"/>
      <c r="F137" s="2399"/>
      <c r="G137" s="2399"/>
      <c r="H137" s="2399"/>
      <c r="I137" s="2204">
        <v>0</v>
      </c>
      <c r="J137" s="2204"/>
      <c r="K137" s="2204"/>
      <c r="L137" s="2204"/>
      <c r="M137" s="2204"/>
      <c r="N137" s="2204"/>
      <c r="O137" s="2204"/>
      <c r="P137" s="2204">
        <v>0</v>
      </c>
      <c r="Q137" s="2204"/>
      <c r="R137" s="2204"/>
      <c r="S137" s="2204"/>
      <c r="T137" s="2204"/>
      <c r="U137" s="2205"/>
      <c r="V137" s="1209"/>
      <c r="W137" s="1209"/>
      <c r="X137" s="2373"/>
      <c r="Y137" s="2374"/>
      <c r="Z137" s="2374"/>
      <c r="AA137" s="2374"/>
      <c r="AB137" s="2374"/>
      <c r="AC137" s="2374"/>
      <c r="AD137" s="2374"/>
      <c r="AE137" s="2374"/>
      <c r="AF137" s="2374"/>
      <c r="AG137" s="2374"/>
      <c r="AH137" s="2374"/>
      <c r="AI137" s="2374"/>
      <c r="AJ137" s="2374"/>
      <c r="AK137" s="2374"/>
      <c r="AL137" s="2374"/>
      <c r="AM137" s="2374"/>
      <c r="AN137" s="2374"/>
      <c r="AO137" s="2374"/>
      <c r="AP137" s="2374"/>
      <c r="AQ137" s="2374"/>
      <c r="AR137" s="2374"/>
      <c r="AS137" s="2374"/>
      <c r="AT137" s="2374"/>
      <c r="AU137" s="2374"/>
      <c r="AV137" s="2374"/>
      <c r="AW137" s="2374"/>
      <c r="AX137" s="2374"/>
      <c r="AY137" s="2374"/>
      <c r="AZ137" s="2374"/>
      <c r="BA137" s="2374"/>
      <c r="BB137" s="2374"/>
      <c r="BC137" s="2374"/>
      <c r="BD137" s="237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00" t="s">
        <v>1836</v>
      </c>
      <c r="C139" s="2401"/>
      <c r="D139" s="2401"/>
      <c r="E139" s="2401"/>
      <c r="F139" s="2401"/>
      <c r="G139" s="2401"/>
      <c r="H139" s="2401"/>
      <c r="I139" s="2401"/>
      <c r="J139" s="2401"/>
      <c r="K139" s="2401"/>
      <c r="L139" s="2401"/>
      <c r="M139" s="2401"/>
      <c r="N139" s="2401"/>
      <c r="O139" s="2401"/>
      <c r="P139" s="2401"/>
      <c r="Q139" s="2401"/>
      <c r="R139" s="2401"/>
      <c r="S139" s="2401"/>
      <c r="T139" s="2401"/>
      <c r="U139" s="2401"/>
      <c r="V139" s="2401"/>
      <c r="W139" s="2401"/>
      <c r="X139" s="2401"/>
      <c r="Y139" s="2401"/>
      <c r="Z139" s="2401"/>
      <c r="AA139" s="2401"/>
      <c r="AB139" s="2401"/>
      <c r="AC139" s="2401"/>
      <c r="AD139" s="2401"/>
      <c r="AE139" s="2401"/>
      <c r="AF139" s="2401"/>
      <c r="AG139" s="2401"/>
      <c r="AH139" s="2402" t="s">
        <v>554</v>
      </c>
      <c r="AI139" s="2402"/>
      <c r="AJ139" s="2402"/>
      <c r="AK139" s="2402"/>
      <c r="AL139" s="2402"/>
      <c r="AM139" s="2402"/>
      <c r="AN139" s="2402"/>
      <c r="AO139" s="2402"/>
      <c r="AP139" s="2402"/>
      <c r="AQ139" s="2402"/>
      <c r="AR139" s="2402"/>
      <c r="AS139" s="2402"/>
      <c r="AT139" s="2402"/>
      <c r="AU139" s="2402"/>
      <c r="AV139" s="2402"/>
      <c r="AW139" s="2402"/>
      <c r="AX139" s="2403"/>
      <c r="AY139" s="1209"/>
      <c r="AZ139" s="1209"/>
      <c r="BA139" s="1209"/>
      <c r="BB139" s="1209"/>
      <c r="BC139" s="1209"/>
      <c r="BD139" s="1209"/>
      <c r="BE139" s="1205"/>
    </row>
    <row r="140" spans="1:57" ht="15.75" customHeight="1">
      <c r="A140" s="1209"/>
      <c r="B140" s="2404" t="s">
        <v>1837</v>
      </c>
      <c r="C140" s="2405"/>
      <c r="D140" s="2405"/>
      <c r="E140" s="2405"/>
      <c r="F140" s="2405"/>
      <c r="G140" s="2405"/>
      <c r="H140" s="2405"/>
      <c r="I140" s="2405"/>
      <c r="J140" s="2405"/>
      <c r="K140" s="2405"/>
      <c r="L140" s="2405"/>
      <c r="M140" s="2405"/>
      <c r="N140" s="2405"/>
      <c r="O140" s="2405"/>
      <c r="P140" s="2405"/>
      <c r="Q140" s="2405"/>
      <c r="R140" s="2406" t="s">
        <v>2191</v>
      </c>
      <c r="S140" s="2406"/>
      <c r="T140" s="2406"/>
      <c r="U140" s="2406"/>
      <c r="V140" s="2406"/>
      <c r="W140" s="2406"/>
      <c r="X140" s="2406"/>
      <c r="Y140" s="2406"/>
      <c r="Z140" s="2406"/>
      <c r="AA140" s="2406"/>
      <c r="AB140" s="2406"/>
      <c r="AC140" s="2406"/>
      <c r="AD140" s="2406"/>
      <c r="AE140" s="2406"/>
      <c r="AF140" s="2406"/>
      <c r="AG140" s="2406"/>
      <c r="AH140" s="2406"/>
      <c r="AI140" s="2406"/>
      <c r="AJ140" s="2406"/>
      <c r="AK140" s="2406"/>
      <c r="AL140" s="2406"/>
      <c r="AM140" s="2406"/>
      <c r="AN140" s="2406"/>
      <c r="AO140" s="2406"/>
      <c r="AP140" s="2406"/>
      <c r="AQ140" s="2406"/>
      <c r="AR140" s="2406"/>
      <c r="AS140" s="2406"/>
      <c r="AT140" s="2406"/>
      <c r="AU140" s="2406"/>
      <c r="AV140" s="2406"/>
      <c r="AW140" s="2406"/>
      <c r="AX140" s="2407"/>
      <c r="AY140" s="1209"/>
      <c r="AZ140" s="1209"/>
      <c r="BA140" s="1209"/>
      <c r="BB140" s="1209"/>
      <c r="BC140" s="1209" t="s">
        <v>251</v>
      </c>
      <c r="BD140" s="1209"/>
      <c r="BE140" s="1205"/>
    </row>
    <row r="141" spans="1:57" ht="15.75" customHeight="1">
      <c r="A141" s="1209"/>
      <c r="B141" s="2408" t="s">
        <v>2192</v>
      </c>
      <c r="C141" s="2409"/>
      <c r="D141" s="2409"/>
      <c r="E141" s="2409"/>
      <c r="F141" s="2409"/>
      <c r="G141" s="2409"/>
      <c r="H141" s="2409"/>
      <c r="I141" s="2409"/>
      <c r="J141" s="2409"/>
      <c r="K141" s="2409"/>
      <c r="L141" s="2409"/>
      <c r="M141" s="2409"/>
      <c r="N141" s="2409"/>
      <c r="O141" s="2409"/>
      <c r="P141" s="2409"/>
      <c r="Q141" s="2409"/>
      <c r="R141" s="2409"/>
      <c r="S141" s="2409"/>
      <c r="T141" s="2409"/>
      <c r="U141" s="2409"/>
      <c r="V141" s="2409"/>
      <c r="W141" s="2409"/>
      <c r="X141" s="2409"/>
      <c r="Y141" s="2409"/>
      <c r="Z141" s="2409"/>
      <c r="AA141" s="2409"/>
      <c r="AB141" s="2409"/>
      <c r="AC141" s="2409"/>
      <c r="AD141" s="2409"/>
      <c r="AE141" s="2409"/>
      <c r="AF141" s="2409"/>
      <c r="AG141" s="2409"/>
      <c r="AH141" s="2409"/>
      <c r="AI141" s="2409"/>
      <c r="AJ141" s="2409"/>
      <c r="AK141" s="2409"/>
      <c r="AL141" s="2409"/>
      <c r="AM141" s="2409"/>
      <c r="AN141" s="2409"/>
      <c r="AO141" s="2409"/>
      <c r="AP141" s="2409"/>
      <c r="AQ141" s="2409"/>
      <c r="AR141" s="2409"/>
      <c r="AS141" s="2409"/>
      <c r="AT141" s="2409"/>
      <c r="AU141" s="2409"/>
      <c r="AV141" s="2409"/>
      <c r="AW141" s="2409"/>
      <c r="AX141" s="2410"/>
      <c r="AY141" s="1209"/>
      <c r="AZ141" s="1209"/>
      <c r="BA141" s="1209"/>
      <c r="BB141" s="1209"/>
      <c r="BC141" s="1209"/>
      <c r="BD141" s="1209"/>
      <c r="BE141" s="1205"/>
    </row>
    <row r="142" spans="1:57" ht="15.75" customHeight="1">
      <c r="A142" s="1209"/>
      <c r="B142" s="2408"/>
      <c r="C142" s="2409"/>
      <c r="D142" s="2409"/>
      <c r="E142" s="2409"/>
      <c r="F142" s="2409"/>
      <c r="G142" s="2409"/>
      <c r="H142" s="2409"/>
      <c r="I142" s="2409"/>
      <c r="J142" s="2409"/>
      <c r="K142" s="2409"/>
      <c r="L142" s="2409"/>
      <c r="M142" s="2409"/>
      <c r="N142" s="2409"/>
      <c r="O142" s="2409"/>
      <c r="P142" s="2409"/>
      <c r="Q142" s="2409"/>
      <c r="R142" s="2409"/>
      <c r="S142" s="2409"/>
      <c r="T142" s="2409"/>
      <c r="U142" s="2409"/>
      <c r="V142" s="2409"/>
      <c r="W142" s="2409"/>
      <c r="X142" s="2409"/>
      <c r="Y142" s="2409"/>
      <c r="Z142" s="2409"/>
      <c r="AA142" s="2409"/>
      <c r="AB142" s="2409"/>
      <c r="AC142" s="2409"/>
      <c r="AD142" s="2409"/>
      <c r="AE142" s="2409"/>
      <c r="AF142" s="2409"/>
      <c r="AG142" s="2409"/>
      <c r="AH142" s="2409"/>
      <c r="AI142" s="2409"/>
      <c r="AJ142" s="2409"/>
      <c r="AK142" s="2409"/>
      <c r="AL142" s="2409"/>
      <c r="AM142" s="2409"/>
      <c r="AN142" s="2409"/>
      <c r="AO142" s="2409"/>
      <c r="AP142" s="2409"/>
      <c r="AQ142" s="2409"/>
      <c r="AR142" s="2409"/>
      <c r="AS142" s="2409"/>
      <c r="AT142" s="2409"/>
      <c r="AU142" s="2409"/>
      <c r="AV142" s="2409"/>
      <c r="AW142" s="2409"/>
      <c r="AX142" s="2410"/>
      <c r="AY142" s="1209"/>
      <c r="AZ142" s="1209"/>
      <c r="BA142" s="1209"/>
      <c r="BB142" s="1209"/>
      <c r="BC142" s="1209"/>
      <c r="BD142" s="1209"/>
      <c r="BE142" s="1205"/>
    </row>
    <row r="143" spans="1:57" ht="15.75" customHeight="1">
      <c r="A143" s="1209"/>
      <c r="B143" s="2408"/>
      <c r="C143" s="2409"/>
      <c r="D143" s="2409"/>
      <c r="E143" s="2409"/>
      <c r="F143" s="2409"/>
      <c r="G143" s="2409"/>
      <c r="H143" s="2409"/>
      <c r="I143" s="2409"/>
      <c r="J143" s="2409"/>
      <c r="K143" s="2409"/>
      <c r="L143" s="2409"/>
      <c r="M143" s="2409"/>
      <c r="N143" s="2409"/>
      <c r="O143" s="2409"/>
      <c r="P143" s="2409"/>
      <c r="Q143" s="2409"/>
      <c r="R143" s="2409"/>
      <c r="S143" s="2409"/>
      <c r="T143" s="2409"/>
      <c r="U143" s="2409"/>
      <c r="V143" s="2409"/>
      <c r="W143" s="2409"/>
      <c r="X143" s="2409"/>
      <c r="Y143" s="2409"/>
      <c r="Z143" s="2409"/>
      <c r="AA143" s="2409"/>
      <c r="AB143" s="2409"/>
      <c r="AC143" s="2409"/>
      <c r="AD143" s="2409"/>
      <c r="AE143" s="2409"/>
      <c r="AF143" s="2409"/>
      <c r="AG143" s="2409"/>
      <c r="AH143" s="2409"/>
      <c r="AI143" s="2409"/>
      <c r="AJ143" s="2409"/>
      <c r="AK143" s="2409"/>
      <c r="AL143" s="2409"/>
      <c r="AM143" s="2409"/>
      <c r="AN143" s="2409"/>
      <c r="AO143" s="2409"/>
      <c r="AP143" s="2409"/>
      <c r="AQ143" s="2409"/>
      <c r="AR143" s="2409"/>
      <c r="AS143" s="2409"/>
      <c r="AT143" s="2409"/>
      <c r="AU143" s="2409"/>
      <c r="AV143" s="2409"/>
      <c r="AW143" s="2409"/>
      <c r="AX143" s="2410"/>
      <c r="AY143" s="1209"/>
      <c r="AZ143" s="1209"/>
      <c r="BA143" s="1209"/>
      <c r="BB143" s="1209"/>
      <c r="BC143" s="1209"/>
      <c r="BD143" s="1209"/>
      <c r="BE143" s="1205"/>
    </row>
    <row r="144" spans="1:57" ht="15.75" customHeight="1">
      <c r="A144" s="1209"/>
      <c r="B144" s="2408"/>
      <c r="C144" s="2409"/>
      <c r="D144" s="2409"/>
      <c r="E144" s="2409"/>
      <c r="F144" s="2409"/>
      <c r="G144" s="2409"/>
      <c r="H144" s="2409"/>
      <c r="I144" s="2409"/>
      <c r="J144" s="2409"/>
      <c r="K144" s="2409"/>
      <c r="L144" s="2409"/>
      <c r="M144" s="2409"/>
      <c r="N144" s="2409"/>
      <c r="O144" s="2409"/>
      <c r="P144" s="2409"/>
      <c r="Q144" s="2409"/>
      <c r="R144" s="2409"/>
      <c r="S144" s="2409"/>
      <c r="T144" s="2409"/>
      <c r="U144" s="2409"/>
      <c r="V144" s="2409"/>
      <c r="W144" s="2409"/>
      <c r="X144" s="2409"/>
      <c r="Y144" s="2409"/>
      <c r="Z144" s="2409"/>
      <c r="AA144" s="2409"/>
      <c r="AB144" s="2409"/>
      <c r="AC144" s="2409"/>
      <c r="AD144" s="2409"/>
      <c r="AE144" s="2409"/>
      <c r="AF144" s="2409"/>
      <c r="AG144" s="2409"/>
      <c r="AH144" s="2409"/>
      <c r="AI144" s="2409"/>
      <c r="AJ144" s="2409"/>
      <c r="AK144" s="2409"/>
      <c r="AL144" s="2409"/>
      <c r="AM144" s="2409"/>
      <c r="AN144" s="2409"/>
      <c r="AO144" s="2409"/>
      <c r="AP144" s="2409"/>
      <c r="AQ144" s="2409"/>
      <c r="AR144" s="2409"/>
      <c r="AS144" s="2409"/>
      <c r="AT144" s="2409"/>
      <c r="AU144" s="2409"/>
      <c r="AV144" s="2409"/>
      <c r="AW144" s="2409"/>
      <c r="AX144" s="2410"/>
      <c r="AY144" s="1209"/>
      <c r="AZ144" s="1209"/>
      <c r="BA144" s="1209"/>
      <c r="BB144" s="1209"/>
      <c r="BC144" s="1209"/>
      <c r="BD144" s="1209"/>
      <c r="BE144" s="1205"/>
    </row>
    <row r="145" spans="1:57" ht="15.75" customHeight="1">
      <c r="A145" s="1209"/>
      <c r="B145" s="2408"/>
      <c r="C145" s="2409"/>
      <c r="D145" s="2409"/>
      <c r="E145" s="2409"/>
      <c r="F145" s="2409"/>
      <c r="G145" s="2409"/>
      <c r="H145" s="2409"/>
      <c r="I145" s="2409"/>
      <c r="J145" s="2409"/>
      <c r="K145" s="2409"/>
      <c r="L145" s="2409"/>
      <c r="M145" s="2409"/>
      <c r="N145" s="2409"/>
      <c r="O145" s="2409"/>
      <c r="P145" s="2409"/>
      <c r="Q145" s="2409"/>
      <c r="R145" s="2409"/>
      <c r="S145" s="2409"/>
      <c r="T145" s="2409"/>
      <c r="U145" s="2409"/>
      <c r="V145" s="2409"/>
      <c r="W145" s="2409"/>
      <c r="X145" s="2409"/>
      <c r="Y145" s="2409"/>
      <c r="Z145" s="2409"/>
      <c r="AA145" s="2409"/>
      <c r="AB145" s="2409"/>
      <c r="AC145" s="2409"/>
      <c r="AD145" s="2409"/>
      <c r="AE145" s="2409"/>
      <c r="AF145" s="2409"/>
      <c r="AG145" s="2409"/>
      <c r="AH145" s="2409"/>
      <c r="AI145" s="2409"/>
      <c r="AJ145" s="2409"/>
      <c r="AK145" s="2409"/>
      <c r="AL145" s="2409"/>
      <c r="AM145" s="2409"/>
      <c r="AN145" s="2409"/>
      <c r="AO145" s="2409"/>
      <c r="AP145" s="2409"/>
      <c r="AQ145" s="2409"/>
      <c r="AR145" s="2409"/>
      <c r="AS145" s="2409"/>
      <c r="AT145" s="2409"/>
      <c r="AU145" s="2409"/>
      <c r="AV145" s="2409"/>
      <c r="AW145" s="2409"/>
      <c r="AX145" s="2410"/>
      <c r="AY145" s="1209"/>
      <c r="AZ145" s="1209"/>
      <c r="BA145" s="1209"/>
      <c r="BB145" s="1209"/>
      <c r="BC145" s="1209"/>
      <c r="BD145" s="1209"/>
      <c r="BE145" s="1205"/>
    </row>
    <row r="146" spans="1:57" ht="15.75" customHeight="1">
      <c r="A146" s="1209"/>
      <c r="B146" s="2408"/>
      <c r="C146" s="2409"/>
      <c r="D146" s="2409"/>
      <c r="E146" s="2409"/>
      <c r="F146" s="2409"/>
      <c r="G146" s="2409"/>
      <c r="H146" s="2409"/>
      <c r="I146" s="2409"/>
      <c r="J146" s="2409"/>
      <c r="K146" s="2409"/>
      <c r="L146" s="2409"/>
      <c r="M146" s="2409"/>
      <c r="N146" s="2409"/>
      <c r="O146" s="2409"/>
      <c r="P146" s="2409"/>
      <c r="Q146" s="2409"/>
      <c r="R146" s="2409"/>
      <c r="S146" s="2409"/>
      <c r="T146" s="2409"/>
      <c r="U146" s="2409"/>
      <c r="V146" s="2409"/>
      <c r="W146" s="2409"/>
      <c r="X146" s="2409"/>
      <c r="Y146" s="2409"/>
      <c r="Z146" s="2409"/>
      <c r="AA146" s="2409"/>
      <c r="AB146" s="2409"/>
      <c r="AC146" s="2409"/>
      <c r="AD146" s="2409"/>
      <c r="AE146" s="2409"/>
      <c r="AF146" s="2409"/>
      <c r="AG146" s="2409"/>
      <c r="AH146" s="2409"/>
      <c r="AI146" s="2409"/>
      <c r="AJ146" s="2409"/>
      <c r="AK146" s="2409"/>
      <c r="AL146" s="2409"/>
      <c r="AM146" s="2409"/>
      <c r="AN146" s="2409"/>
      <c r="AO146" s="2409"/>
      <c r="AP146" s="2409"/>
      <c r="AQ146" s="2409"/>
      <c r="AR146" s="2409"/>
      <c r="AS146" s="2409"/>
      <c r="AT146" s="2409"/>
      <c r="AU146" s="2409"/>
      <c r="AV146" s="2409"/>
      <c r="AW146" s="2409"/>
      <c r="AX146" s="2410"/>
      <c r="AY146" s="1209"/>
      <c r="AZ146" s="1209"/>
      <c r="BA146" s="1209"/>
      <c r="BB146" s="1209"/>
      <c r="BC146" s="1209"/>
      <c r="BD146" s="1209"/>
      <c r="BE146" s="1205"/>
    </row>
    <row r="147" spans="1:57" ht="15.75" customHeight="1">
      <c r="A147" s="1209"/>
      <c r="B147" s="2408"/>
      <c r="C147" s="2409"/>
      <c r="D147" s="2409"/>
      <c r="E147" s="2409"/>
      <c r="F147" s="2409"/>
      <c r="G147" s="2409"/>
      <c r="H147" s="2409"/>
      <c r="I147" s="2409"/>
      <c r="J147" s="2409"/>
      <c r="K147" s="2409"/>
      <c r="L147" s="2409"/>
      <c r="M147" s="2409"/>
      <c r="N147" s="2409"/>
      <c r="O147" s="2409"/>
      <c r="P147" s="2409"/>
      <c r="Q147" s="2409"/>
      <c r="R147" s="2409"/>
      <c r="S147" s="2409"/>
      <c r="T147" s="2409"/>
      <c r="U147" s="2409"/>
      <c r="V147" s="2409"/>
      <c r="W147" s="2409"/>
      <c r="X147" s="2409"/>
      <c r="Y147" s="2409"/>
      <c r="Z147" s="2409"/>
      <c r="AA147" s="2409"/>
      <c r="AB147" s="2409"/>
      <c r="AC147" s="2409"/>
      <c r="AD147" s="2409"/>
      <c r="AE147" s="2409"/>
      <c r="AF147" s="2409"/>
      <c r="AG147" s="2409"/>
      <c r="AH147" s="2409"/>
      <c r="AI147" s="2409"/>
      <c r="AJ147" s="2409"/>
      <c r="AK147" s="2409"/>
      <c r="AL147" s="2409"/>
      <c r="AM147" s="2409"/>
      <c r="AN147" s="2409"/>
      <c r="AO147" s="2409"/>
      <c r="AP147" s="2409"/>
      <c r="AQ147" s="2409"/>
      <c r="AR147" s="2409"/>
      <c r="AS147" s="2409"/>
      <c r="AT147" s="2409"/>
      <c r="AU147" s="2409"/>
      <c r="AV147" s="2409"/>
      <c r="AW147" s="2409"/>
      <c r="AX147" s="2410"/>
      <c r="AY147" s="1209"/>
      <c r="AZ147" s="1209"/>
      <c r="BA147" s="1209"/>
      <c r="BB147" s="1209"/>
      <c r="BC147" s="1209"/>
      <c r="BD147" s="1209"/>
      <c r="BE147" s="1205"/>
    </row>
    <row r="148" spans="1:57" ht="15.75" customHeight="1">
      <c r="A148" s="1209"/>
      <c r="B148" s="2408"/>
      <c r="C148" s="2409"/>
      <c r="D148" s="2409"/>
      <c r="E148" s="2409"/>
      <c r="F148" s="2409"/>
      <c r="G148" s="2409"/>
      <c r="H148" s="2409"/>
      <c r="I148" s="2409"/>
      <c r="J148" s="2409"/>
      <c r="K148" s="2409"/>
      <c r="L148" s="2409"/>
      <c r="M148" s="2409"/>
      <c r="N148" s="2409"/>
      <c r="O148" s="2409"/>
      <c r="P148" s="2409"/>
      <c r="Q148" s="2409"/>
      <c r="R148" s="2409"/>
      <c r="S148" s="2409"/>
      <c r="T148" s="2409"/>
      <c r="U148" s="2409"/>
      <c r="V148" s="2409"/>
      <c r="W148" s="2409"/>
      <c r="X148" s="2409"/>
      <c r="Y148" s="2409"/>
      <c r="Z148" s="2409"/>
      <c r="AA148" s="2409"/>
      <c r="AB148" s="2409"/>
      <c r="AC148" s="2409"/>
      <c r="AD148" s="2409"/>
      <c r="AE148" s="2409"/>
      <c r="AF148" s="2409"/>
      <c r="AG148" s="2409"/>
      <c r="AH148" s="2409"/>
      <c r="AI148" s="2409"/>
      <c r="AJ148" s="2409"/>
      <c r="AK148" s="2409"/>
      <c r="AL148" s="2409"/>
      <c r="AM148" s="2409"/>
      <c r="AN148" s="2409"/>
      <c r="AO148" s="2409"/>
      <c r="AP148" s="2409"/>
      <c r="AQ148" s="2409"/>
      <c r="AR148" s="2409"/>
      <c r="AS148" s="2409"/>
      <c r="AT148" s="2409"/>
      <c r="AU148" s="2409"/>
      <c r="AV148" s="2409"/>
      <c r="AW148" s="2409"/>
      <c r="AX148" s="2410"/>
      <c r="AY148" s="1209"/>
      <c r="AZ148" s="1209"/>
      <c r="BA148" s="1209"/>
      <c r="BB148" s="1209"/>
      <c r="BC148" s="1209"/>
      <c r="BD148" s="1209"/>
      <c r="BE148" s="1205"/>
    </row>
    <row r="149" spans="1:57" ht="15.75" customHeight="1">
      <c r="A149" s="1209"/>
      <c r="B149" s="2408"/>
      <c r="C149" s="2409"/>
      <c r="D149" s="2409"/>
      <c r="E149" s="2409"/>
      <c r="F149" s="2409"/>
      <c r="G149" s="2409"/>
      <c r="H149" s="2409"/>
      <c r="I149" s="2409"/>
      <c r="J149" s="2409"/>
      <c r="K149" s="2409"/>
      <c r="L149" s="2409"/>
      <c r="M149" s="2409"/>
      <c r="N149" s="2409"/>
      <c r="O149" s="2409"/>
      <c r="P149" s="2409"/>
      <c r="Q149" s="2409"/>
      <c r="R149" s="2409"/>
      <c r="S149" s="2409"/>
      <c r="T149" s="2409"/>
      <c r="U149" s="2409"/>
      <c r="V149" s="2409"/>
      <c r="W149" s="2409"/>
      <c r="X149" s="2409"/>
      <c r="Y149" s="2409"/>
      <c r="Z149" s="2409"/>
      <c r="AA149" s="2409"/>
      <c r="AB149" s="2409"/>
      <c r="AC149" s="2409"/>
      <c r="AD149" s="2409"/>
      <c r="AE149" s="2409"/>
      <c r="AF149" s="2409"/>
      <c r="AG149" s="2409"/>
      <c r="AH149" s="2409"/>
      <c r="AI149" s="2409"/>
      <c r="AJ149" s="2409"/>
      <c r="AK149" s="2409"/>
      <c r="AL149" s="2409"/>
      <c r="AM149" s="2409"/>
      <c r="AN149" s="2409"/>
      <c r="AO149" s="2409"/>
      <c r="AP149" s="2409"/>
      <c r="AQ149" s="2409"/>
      <c r="AR149" s="2409"/>
      <c r="AS149" s="2409"/>
      <c r="AT149" s="2409"/>
      <c r="AU149" s="2409"/>
      <c r="AV149" s="2409"/>
      <c r="AW149" s="2409"/>
      <c r="AX149" s="2410"/>
      <c r="AY149" s="1209"/>
      <c r="AZ149" s="1209"/>
      <c r="BA149" s="1209"/>
      <c r="BB149" s="1209"/>
      <c r="BC149" s="1209"/>
      <c r="BD149" s="1209"/>
      <c r="BE149" s="1205"/>
    </row>
    <row r="150" spans="1:57" ht="15.75" customHeight="1" thickBot="1">
      <c r="A150" s="1209"/>
      <c r="B150" s="2411"/>
      <c r="C150" s="2412"/>
      <c r="D150" s="2412"/>
      <c r="E150" s="2412"/>
      <c r="F150" s="2412"/>
      <c r="G150" s="2412"/>
      <c r="H150" s="2412"/>
      <c r="I150" s="2412"/>
      <c r="J150" s="2412"/>
      <c r="K150" s="2412"/>
      <c r="L150" s="2412"/>
      <c r="M150" s="2412"/>
      <c r="N150" s="2412"/>
      <c r="O150" s="2412"/>
      <c r="P150" s="2412"/>
      <c r="Q150" s="2412"/>
      <c r="R150" s="2412"/>
      <c r="S150" s="2412"/>
      <c r="T150" s="2412"/>
      <c r="U150" s="2412"/>
      <c r="V150" s="2412"/>
      <c r="W150" s="2412"/>
      <c r="X150" s="2412"/>
      <c r="Y150" s="2412"/>
      <c r="Z150" s="2412"/>
      <c r="AA150" s="2412"/>
      <c r="AB150" s="2412"/>
      <c r="AC150" s="2412"/>
      <c r="AD150" s="2412"/>
      <c r="AE150" s="2412"/>
      <c r="AF150" s="2412"/>
      <c r="AG150" s="2412"/>
      <c r="AH150" s="2412"/>
      <c r="AI150" s="2412"/>
      <c r="AJ150" s="2412"/>
      <c r="AK150" s="2412"/>
      <c r="AL150" s="2412"/>
      <c r="AM150" s="2412"/>
      <c r="AN150" s="2412"/>
      <c r="AO150" s="2412"/>
      <c r="AP150" s="2412"/>
      <c r="AQ150" s="2412"/>
      <c r="AR150" s="2412"/>
      <c r="AS150" s="2412"/>
      <c r="AT150" s="2412"/>
      <c r="AU150" s="2412"/>
      <c r="AV150" s="2412"/>
      <c r="AW150" s="2412"/>
      <c r="AX150" s="241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37" t="s">
        <v>1839</v>
      </c>
      <c r="C154" s="2338"/>
      <c r="D154" s="2338"/>
      <c r="E154" s="2338"/>
      <c r="F154" s="2338"/>
      <c r="G154" s="2338"/>
      <c r="H154" s="2338"/>
      <c r="I154" s="2338"/>
      <c r="J154" s="2338"/>
      <c r="K154" s="2338"/>
      <c r="L154" s="2338"/>
      <c r="M154" s="2338"/>
      <c r="N154" s="2338"/>
      <c r="O154" s="2338"/>
      <c r="P154" s="2338"/>
      <c r="Q154" s="2338"/>
      <c r="R154" s="2338"/>
      <c r="S154" s="2338"/>
      <c r="T154" s="2338"/>
      <c r="U154" s="2339"/>
      <c r="V154" s="1209"/>
      <c r="W154" s="1217"/>
      <c r="X154" s="2337" t="s">
        <v>2194</v>
      </c>
      <c r="Y154" s="2338"/>
      <c r="Z154" s="2338"/>
      <c r="AA154" s="2338"/>
      <c r="AB154" s="2338"/>
      <c r="AC154" s="2338"/>
      <c r="AD154" s="2338"/>
      <c r="AE154" s="2338"/>
      <c r="AF154" s="2338"/>
      <c r="AG154" s="2338"/>
      <c r="AH154" s="2338"/>
      <c r="AI154" s="2338"/>
      <c r="AJ154" s="2338"/>
      <c r="AK154" s="2338"/>
      <c r="AL154" s="2338"/>
      <c r="AM154" s="2338"/>
      <c r="AN154" s="2338"/>
      <c r="AO154" s="2338"/>
      <c r="AP154" s="2338"/>
      <c r="AQ154" s="2339"/>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0"/>
      <c r="C155" s="2391"/>
      <c r="D155" s="2391"/>
      <c r="E155" s="2391"/>
      <c r="F155" s="2391"/>
      <c r="G155" s="2391"/>
      <c r="H155" s="2391"/>
      <c r="I155" s="2414" t="s">
        <v>1830</v>
      </c>
      <c r="J155" s="2414"/>
      <c r="K155" s="2414"/>
      <c r="L155" s="2414"/>
      <c r="M155" s="2414"/>
      <c r="N155" s="2414"/>
      <c r="O155" s="2414"/>
      <c r="P155" s="2414" t="s">
        <v>2195</v>
      </c>
      <c r="Q155" s="2414"/>
      <c r="R155" s="2414"/>
      <c r="S155" s="2414"/>
      <c r="T155" s="2414"/>
      <c r="U155" s="2415"/>
      <c r="V155" s="1209"/>
      <c r="W155" s="1209"/>
      <c r="X155" s="2390"/>
      <c r="Y155" s="2391"/>
      <c r="Z155" s="2391"/>
      <c r="AA155" s="2391"/>
      <c r="AB155" s="2391"/>
      <c r="AC155" s="2391"/>
      <c r="AD155" s="2391"/>
      <c r="AE155" s="2414" t="s">
        <v>1830</v>
      </c>
      <c r="AF155" s="2414"/>
      <c r="AG155" s="2414"/>
      <c r="AH155" s="2414"/>
      <c r="AI155" s="2414"/>
      <c r="AJ155" s="2414"/>
      <c r="AK155" s="2414"/>
      <c r="AL155" s="2414" t="s">
        <v>2189</v>
      </c>
      <c r="AM155" s="2414"/>
      <c r="AN155" s="2414"/>
      <c r="AO155" s="2414"/>
      <c r="AP155" s="2414"/>
      <c r="AQ155" s="2415"/>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0"/>
      <c r="C156" s="2391"/>
      <c r="D156" s="2391"/>
      <c r="E156" s="2391"/>
      <c r="F156" s="2391"/>
      <c r="G156" s="2391"/>
      <c r="H156" s="2391"/>
      <c r="I156" s="2414"/>
      <c r="J156" s="2414"/>
      <c r="K156" s="2414"/>
      <c r="L156" s="2414"/>
      <c r="M156" s="2414"/>
      <c r="N156" s="2414"/>
      <c r="O156" s="2414"/>
      <c r="P156" s="2414"/>
      <c r="Q156" s="2414"/>
      <c r="R156" s="2414"/>
      <c r="S156" s="2414"/>
      <c r="T156" s="2414"/>
      <c r="U156" s="2415"/>
      <c r="V156" s="1209"/>
      <c r="W156" s="1209"/>
      <c r="X156" s="2390"/>
      <c r="Y156" s="2391"/>
      <c r="Z156" s="2391"/>
      <c r="AA156" s="2391"/>
      <c r="AB156" s="2391"/>
      <c r="AC156" s="2391"/>
      <c r="AD156" s="2391"/>
      <c r="AE156" s="2414"/>
      <c r="AF156" s="2414"/>
      <c r="AG156" s="2414"/>
      <c r="AH156" s="2414"/>
      <c r="AI156" s="2414"/>
      <c r="AJ156" s="2414"/>
      <c r="AK156" s="2414"/>
      <c r="AL156" s="2414"/>
      <c r="AM156" s="2414"/>
      <c r="AN156" s="2414"/>
      <c r="AO156" s="2414"/>
      <c r="AP156" s="2414"/>
      <c r="AQ156" s="241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396" t="s">
        <v>2177</v>
      </c>
      <c r="C157" s="2397"/>
      <c r="D157" s="2397"/>
      <c r="E157" s="2397"/>
      <c r="F157" s="2397"/>
      <c r="G157" s="2397"/>
      <c r="H157" s="2397"/>
      <c r="I157" s="2184">
        <v>0</v>
      </c>
      <c r="J157" s="2184"/>
      <c r="K157" s="2184"/>
      <c r="L157" s="2184"/>
      <c r="M157" s="2184"/>
      <c r="N157" s="2184"/>
      <c r="O157" s="2184"/>
      <c r="P157" s="2184">
        <v>0</v>
      </c>
      <c r="Q157" s="2184"/>
      <c r="R157" s="2184"/>
      <c r="S157" s="2184"/>
      <c r="T157" s="2184"/>
      <c r="U157" s="2190"/>
      <c r="V157" s="1209"/>
      <c r="W157" s="1209"/>
      <c r="X157" s="2398" t="s">
        <v>2177</v>
      </c>
      <c r="Y157" s="2399"/>
      <c r="Z157" s="2399"/>
      <c r="AA157" s="2399"/>
      <c r="AB157" s="2399"/>
      <c r="AC157" s="2399"/>
      <c r="AD157" s="2399"/>
      <c r="AE157" s="2204">
        <v>0</v>
      </c>
      <c r="AF157" s="2204"/>
      <c r="AG157" s="2204"/>
      <c r="AH157" s="2204"/>
      <c r="AI157" s="2204"/>
      <c r="AJ157" s="2204"/>
      <c r="AK157" s="2204"/>
      <c r="AL157" s="2204">
        <v>0</v>
      </c>
      <c r="AM157" s="2204"/>
      <c r="AN157" s="2204"/>
      <c r="AO157" s="2204"/>
      <c r="AP157" s="2204"/>
      <c r="AQ157" s="220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398" t="s">
        <v>2178</v>
      </c>
      <c r="C158" s="2399"/>
      <c r="D158" s="2399"/>
      <c r="E158" s="2399"/>
      <c r="F158" s="2399"/>
      <c r="G158" s="2399"/>
      <c r="H158" s="2399"/>
      <c r="I158" s="2204">
        <v>0</v>
      </c>
      <c r="J158" s="2204"/>
      <c r="K158" s="2204"/>
      <c r="L158" s="2204"/>
      <c r="M158" s="2204"/>
      <c r="N158" s="2204"/>
      <c r="O158" s="2204"/>
      <c r="P158" s="2204">
        <v>0</v>
      </c>
      <c r="Q158" s="2204"/>
      <c r="R158" s="2204"/>
      <c r="S158" s="2204"/>
      <c r="T158" s="2204"/>
      <c r="U158" s="220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37" t="s">
        <v>2179</v>
      </c>
      <c r="D160" s="2338"/>
      <c r="E160" s="2338"/>
      <c r="F160" s="2338"/>
      <c r="G160" s="2338"/>
      <c r="H160" s="2338"/>
      <c r="I160" s="2338"/>
      <c r="J160" s="2338"/>
      <c r="K160" s="2338"/>
      <c r="L160" s="2338"/>
      <c r="M160" s="2338"/>
      <c r="N160" s="2338"/>
      <c r="O160" s="2338"/>
      <c r="P160" s="2338"/>
      <c r="Q160" s="2338"/>
      <c r="R160" s="2338"/>
      <c r="S160" s="2338"/>
      <c r="T160" s="2338"/>
      <c r="U160" s="2338"/>
      <c r="V160" s="2338"/>
      <c r="W160" s="2338"/>
      <c r="X160" s="2338"/>
      <c r="Y160" s="2338"/>
      <c r="Z160" s="2338"/>
      <c r="AA160" s="2338"/>
      <c r="AB160" s="2338"/>
      <c r="AC160" s="2338"/>
      <c r="AD160" s="2338"/>
      <c r="AE160" s="2338"/>
      <c r="AF160" s="2338"/>
      <c r="AG160" s="233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0" t="s">
        <v>1840</v>
      </c>
      <c r="D161" s="2391"/>
      <c r="E161" s="2391"/>
      <c r="F161" s="2391"/>
      <c r="G161" s="2391"/>
      <c r="H161" s="2391"/>
      <c r="I161" s="2391"/>
      <c r="J161" s="2391"/>
      <c r="K161" s="2391"/>
      <c r="L161" s="2391"/>
      <c r="M161" s="2391"/>
      <c r="N161" s="2391"/>
      <c r="O161" s="2391"/>
      <c r="P161" s="2391"/>
      <c r="Q161" s="2391" t="s">
        <v>1841</v>
      </c>
      <c r="R161" s="2391"/>
      <c r="S161" s="2391"/>
      <c r="T161" s="2180" t="s">
        <v>2180</v>
      </c>
      <c r="U161" s="2180"/>
      <c r="V161" s="2180"/>
      <c r="W161" s="2180"/>
      <c r="X161" s="2180"/>
      <c r="Y161" s="2180"/>
      <c r="Z161" s="2180"/>
      <c r="AA161" s="2180"/>
      <c r="AB161" s="2391" t="s">
        <v>1842</v>
      </c>
      <c r="AC161" s="2391"/>
      <c r="AD161" s="2391"/>
      <c r="AE161" s="2391"/>
      <c r="AF161" s="2391"/>
      <c r="AG161" s="241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17" t="s">
        <v>1843</v>
      </c>
      <c r="D162" s="2418"/>
      <c r="E162" s="2418"/>
      <c r="F162" s="2418"/>
      <c r="G162" s="2418"/>
      <c r="H162" s="2418"/>
      <c r="I162" s="2418"/>
      <c r="J162" s="2418"/>
      <c r="K162" s="2418"/>
      <c r="L162" s="2418"/>
      <c r="M162" s="2418"/>
      <c r="N162" s="2418"/>
      <c r="O162" s="2418"/>
      <c r="P162" s="2418"/>
      <c r="Q162" s="2419">
        <v>55</v>
      </c>
      <c r="R162" s="2419"/>
      <c r="S162" s="2419"/>
      <c r="T162" s="2420"/>
      <c r="U162" s="2420"/>
      <c r="V162" s="2420"/>
      <c r="W162" s="2420"/>
      <c r="X162" s="2420"/>
      <c r="Y162" s="2420"/>
      <c r="Z162" s="2420"/>
      <c r="AA162" s="242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17" t="s">
        <v>1844</v>
      </c>
      <c r="D163" s="2418"/>
      <c r="E163" s="2418"/>
      <c r="F163" s="2418"/>
      <c r="G163" s="2418"/>
      <c r="H163" s="2418"/>
      <c r="I163" s="2418"/>
      <c r="J163" s="2418"/>
      <c r="K163" s="2418"/>
      <c r="L163" s="2418"/>
      <c r="M163" s="2418"/>
      <c r="N163" s="2418"/>
      <c r="O163" s="2418"/>
      <c r="P163" s="2418"/>
      <c r="Q163" s="2419">
        <v>55</v>
      </c>
      <c r="R163" s="2419"/>
      <c r="S163" s="2419"/>
      <c r="T163" s="2423"/>
      <c r="U163" s="2423"/>
      <c r="V163" s="2423"/>
      <c r="W163" s="2423"/>
      <c r="X163" s="2423"/>
      <c r="Y163" s="2423"/>
      <c r="Z163" s="2423"/>
      <c r="AA163" s="242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17" t="s">
        <v>1845</v>
      </c>
      <c r="D164" s="2418"/>
      <c r="E164" s="2418"/>
      <c r="F164" s="2418"/>
      <c r="G164" s="2418"/>
      <c r="H164" s="2418"/>
      <c r="I164" s="2418"/>
      <c r="J164" s="2418"/>
      <c r="K164" s="2418"/>
      <c r="L164" s="2418"/>
      <c r="M164" s="2418"/>
      <c r="N164" s="2418"/>
      <c r="O164" s="2418"/>
      <c r="P164" s="2418"/>
      <c r="Q164" s="2419">
        <v>55</v>
      </c>
      <c r="R164" s="2419"/>
      <c r="S164" s="2419"/>
      <c r="T164" s="2420"/>
      <c r="U164" s="2420"/>
      <c r="V164" s="2420"/>
      <c r="W164" s="2420"/>
      <c r="X164" s="2420"/>
      <c r="Y164" s="2420"/>
      <c r="Z164" s="2420"/>
      <c r="AA164" s="242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17" t="s">
        <v>1816</v>
      </c>
      <c r="D165" s="2418"/>
      <c r="E165" s="2418"/>
      <c r="F165" s="2418"/>
      <c r="G165" s="2418"/>
      <c r="H165" s="2418"/>
      <c r="I165" s="2418"/>
      <c r="J165" s="2418"/>
      <c r="K165" s="2418"/>
      <c r="L165" s="2418"/>
      <c r="M165" s="2418"/>
      <c r="N165" s="2418"/>
      <c r="O165" s="2418"/>
      <c r="P165" s="2418"/>
      <c r="Q165" s="2419">
        <v>55</v>
      </c>
      <c r="R165" s="2419"/>
      <c r="S165" s="2419"/>
      <c r="T165" s="2420"/>
      <c r="U165" s="2420"/>
      <c r="V165" s="2420"/>
      <c r="W165" s="2420"/>
      <c r="X165" s="2420"/>
      <c r="Y165" s="2420"/>
      <c r="Z165" s="2420"/>
      <c r="AA165" s="2420"/>
      <c r="AB165" s="2421">
        <v>0</v>
      </c>
      <c r="AC165" s="2421"/>
      <c r="AD165" s="2421"/>
      <c r="AE165" s="2421"/>
      <c r="AF165" s="2421"/>
      <c r="AG165" s="242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17" t="s">
        <v>170</v>
      </c>
      <c r="D166" s="2418"/>
      <c r="E166" s="2418"/>
      <c r="F166" s="2424" t="s">
        <v>1846</v>
      </c>
      <c r="G166" s="2424"/>
      <c r="H166" s="2424"/>
      <c r="I166" s="2424"/>
      <c r="J166" s="2424"/>
      <c r="K166" s="2424"/>
      <c r="L166" s="2424"/>
      <c r="M166" s="2424"/>
      <c r="N166" s="2424"/>
      <c r="O166" s="2424"/>
      <c r="P166" s="2424"/>
      <c r="Q166" s="2419">
        <v>55</v>
      </c>
      <c r="R166" s="2419"/>
      <c r="S166" s="2419"/>
      <c r="T166" s="2423"/>
      <c r="U166" s="2423"/>
      <c r="V166" s="2423"/>
      <c r="W166" s="2423"/>
      <c r="X166" s="2423"/>
      <c r="Y166" s="2423"/>
      <c r="Z166" s="2423"/>
      <c r="AA166" s="2423"/>
      <c r="AB166" s="2421">
        <v>0</v>
      </c>
      <c r="AC166" s="2421"/>
      <c r="AD166" s="2421"/>
      <c r="AE166" s="2421"/>
      <c r="AF166" s="2421"/>
      <c r="AG166" s="242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17" t="s">
        <v>170</v>
      </c>
      <c r="D167" s="2418"/>
      <c r="E167" s="2418"/>
      <c r="F167" s="2424" t="s">
        <v>1846</v>
      </c>
      <c r="G167" s="2424"/>
      <c r="H167" s="2424"/>
      <c r="I167" s="2424"/>
      <c r="J167" s="2424"/>
      <c r="K167" s="2424"/>
      <c r="L167" s="2424"/>
      <c r="M167" s="2424"/>
      <c r="N167" s="2424"/>
      <c r="O167" s="2424"/>
      <c r="P167" s="2424"/>
      <c r="Q167" s="2419">
        <v>55</v>
      </c>
      <c r="R167" s="2419"/>
      <c r="S167" s="2419"/>
      <c r="T167" s="2423"/>
      <c r="U167" s="2423"/>
      <c r="V167" s="2423"/>
      <c r="W167" s="2423"/>
      <c r="X167" s="2423"/>
      <c r="Y167" s="2423"/>
      <c r="Z167" s="2423"/>
      <c r="AA167" s="2423"/>
      <c r="AB167" s="2421">
        <v>0</v>
      </c>
      <c r="AC167" s="2421"/>
      <c r="AD167" s="2421"/>
      <c r="AE167" s="2421"/>
      <c r="AF167" s="2421"/>
      <c r="AG167" s="242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25" t="s">
        <v>170</v>
      </c>
      <c r="D168" s="2426"/>
      <c r="E168" s="2426"/>
      <c r="F168" s="2427" t="s">
        <v>1846</v>
      </c>
      <c r="G168" s="2427"/>
      <c r="H168" s="2427"/>
      <c r="I168" s="2427"/>
      <c r="J168" s="2427"/>
      <c r="K168" s="2427"/>
      <c r="L168" s="2427"/>
      <c r="M168" s="2427"/>
      <c r="N168" s="2427"/>
      <c r="O168" s="2427"/>
      <c r="P168" s="2427"/>
      <c r="Q168" s="2428">
        <v>55</v>
      </c>
      <c r="R168" s="2428"/>
      <c r="S168" s="2428"/>
      <c r="T168" s="2429"/>
      <c r="U168" s="2429"/>
      <c r="V168" s="2429"/>
      <c r="W168" s="2429"/>
      <c r="X168" s="2429"/>
      <c r="Y168" s="2429"/>
      <c r="Z168" s="2429"/>
      <c r="AA168" s="2429"/>
      <c r="AB168" s="2430">
        <v>0</v>
      </c>
      <c r="AC168" s="2430"/>
      <c r="AD168" s="2430"/>
      <c r="AE168" s="2430"/>
      <c r="AF168" s="2430"/>
      <c r="AG168" s="243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42" t="s">
        <v>1847</v>
      </c>
      <c r="D170" s="2443"/>
      <c r="E170" s="2443"/>
      <c r="F170" s="2443"/>
      <c r="G170" s="2443"/>
      <c r="H170" s="2443"/>
      <c r="I170" s="2443"/>
      <c r="J170" s="2443"/>
      <c r="K170" s="2443"/>
      <c r="L170" s="2443"/>
      <c r="M170" s="2443"/>
      <c r="N170" s="2444"/>
      <c r="O170" s="1209"/>
      <c r="P170" s="2400" t="s">
        <v>1848</v>
      </c>
      <c r="Q170" s="2401"/>
      <c r="R170" s="2401"/>
      <c r="S170" s="2401"/>
      <c r="T170" s="2401"/>
      <c r="U170" s="2401"/>
      <c r="V170" s="2401"/>
      <c r="W170" s="2401"/>
      <c r="X170" s="2401"/>
      <c r="Y170" s="2401"/>
      <c r="Z170" s="2401"/>
      <c r="AA170" s="2401"/>
      <c r="AB170" s="2401"/>
      <c r="AC170" s="2401"/>
      <c r="AD170" s="2401"/>
      <c r="AE170" s="2401"/>
      <c r="AF170" s="2401"/>
      <c r="AG170" s="2401"/>
      <c r="AH170" s="2401"/>
      <c r="AI170" s="2401"/>
      <c r="AJ170" s="2401"/>
      <c r="AK170" s="2401"/>
      <c r="AL170" s="2401"/>
      <c r="AM170" s="2401"/>
      <c r="AN170" s="2401"/>
      <c r="AO170" s="244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0" t="s">
        <v>1849</v>
      </c>
      <c r="D171" s="2391"/>
      <c r="E171" s="2391"/>
      <c r="F171" s="2391"/>
      <c r="G171" s="2391"/>
      <c r="H171" s="2391"/>
      <c r="I171" s="2391" t="s">
        <v>1850</v>
      </c>
      <c r="J171" s="2391"/>
      <c r="K171" s="2391"/>
      <c r="L171" s="2391"/>
      <c r="M171" s="2391"/>
      <c r="N171" s="2416"/>
      <c r="O171" s="1209"/>
      <c r="P171" s="2370" t="s">
        <v>2188</v>
      </c>
      <c r="Q171" s="2371"/>
      <c r="R171" s="2371"/>
      <c r="S171" s="2371"/>
      <c r="T171" s="2371"/>
      <c r="U171" s="2371"/>
      <c r="V171" s="2371"/>
      <c r="W171" s="2371"/>
      <c r="X171" s="2371"/>
      <c r="Y171" s="2371"/>
      <c r="Z171" s="2371"/>
      <c r="AA171" s="2371"/>
      <c r="AB171" s="2371"/>
      <c r="AC171" s="2371"/>
      <c r="AD171" s="2371"/>
      <c r="AE171" s="2371"/>
      <c r="AF171" s="2371"/>
      <c r="AG171" s="2371"/>
      <c r="AH171" s="2371"/>
      <c r="AI171" s="2371"/>
      <c r="AJ171" s="2371"/>
      <c r="AK171" s="2371"/>
      <c r="AL171" s="2371"/>
      <c r="AM171" s="2371"/>
      <c r="AN171" s="2371"/>
      <c r="AO171" s="237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76"/>
      <c r="D172" s="2346"/>
      <c r="E172" s="2346"/>
      <c r="F172" s="2346"/>
      <c r="G172" s="2346"/>
      <c r="H172" s="2346"/>
      <c r="I172" s="2420"/>
      <c r="J172" s="2420"/>
      <c r="K172" s="2420"/>
      <c r="L172" s="2420"/>
      <c r="M172" s="2420"/>
      <c r="N172" s="2446"/>
      <c r="O172" s="1209"/>
      <c r="P172" s="2370"/>
      <c r="Q172" s="2371"/>
      <c r="R172" s="2371"/>
      <c r="S172" s="2371"/>
      <c r="T172" s="2371"/>
      <c r="U172" s="2371"/>
      <c r="V172" s="2371"/>
      <c r="W172" s="2371"/>
      <c r="X172" s="2371"/>
      <c r="Y172" s="2371"/>
      <c r="Z172" s="2371"/>
      <c r="AA172" s="2371"/>
      <c r="AB172" s="2371"/>
      <c r="AC172" s="2371"/>
      <c r="AD172" s="2371"/>
      <c r="AE172" s="2371"/>
      <c r="AF172" s="2371"/>
      <c r="AG172" s="2371"/>
      <c r="AH172" s="2371"/>
      <c r="AI172" s="2371"/>
      <c r="AJ172" s="2371"/>
      <c r="AK172" s="2371"/>
      <c r="AL172" s="2371"/>
      <c r="AM172" s="2371"/>
      <c r="AN172" s="2371"/>
      <c r="AO172" s="237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76"/>
      <c r="D173" s="2346"/>
      <c r="E173" s="2346"/>
      <c r="F173" s="2346"/>
      <c r="G173" s="2346"/>
      <c r="H173" s="2346"/>
      <c r="I173" s="2420"/>
      <c r="J173" s="2420"/>
      <c r="K173" s="2420"/>
      <c r="L173" s="2420"/>
      <c r="M173" s="2420"/>
      <c r="N173" s="2446"/>
      <c r="O173" s="1209"/>
      <c r="P173" s="2370"/>
      <c r="Q173" s="2371"/>
      <c r="R173" s="2371"/>
      <c r="S173" s="2371"/>
      <c r="T173" s="2371"/>
      <c r="U173" s="2371"/>
      <c r="V173" s="2371"/>
      <c r="W173" s="2371"/>
      <c r="X173" s="2371"/>
      <c r="Y173" s="2371"/>
      <c r="Z173" s="2371"/>
      <c r="AA173" s="2371"/>
      <c r="AB173" s="2371"/>
      <c r="AC173" s="2371"/>
      <c r="AD173" s="2371"/>
      <c r="AE173" s="2371"/>
      <c r="AF173" s="2371"/>
      <c r="AG173" s="2371"/>
      <c r="AH173" s="2371"/>
      <c r="AI173" s="2371"/>
      <c r="AJ173" s="2371"/>
      <c r="AK173" s="2371"/>
      <c r="AL173" s="2371"/>
      <c r="AM173" s="2371"/>
      <c r="AN173" s="2371"/>
      <c r="AO173" s="237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76"/>
      <c r="D174" s="2346"/>
      <c r="E174" s="2346"/>
      <c r="F174" s="2346"/>
      <c r="G174" s="2346"/>
      <c r="H174" s="2346"/>
      <c r="I174" s="2420"/>
      <c r="J174" s="2420"/>
      <c r="K174" s="2420"/>
      <c r="L174" s="2420"/>
      <c r="M174" s="2420"/>
      <c r="N174" s="2446"/>
      <c r="O174" s="1209"/>
      <c r="P174" s="2370"/>
      <c r="Q174" s="2371"/>
      <c r="R174" s="2371"/>
      <c r="S174" s="2371"/>
      <c r="T174" s="2371"/>
      <c r="U174" s="2371"/>
      <c r="V174" s="2371"/>
      <c r="W174" s="2371"/>
      <c r="X174" s="2371"/>
      <c r="Y174" s="2371"/>
      <c r="Z174" s="2371"/>
      <c r="AA174" s="2371"/>
      <c r="AB174" s="2371"/>
      <c r="AC174" s="2371"/>
      <c r="AD174" s="2371"/>
      <c r="AE174" s="2371"/>
      <c r="AF174" s="2371"/>
      <c r="AG174" s="2371"/>
      <c r="AH174" s="2371"/>
      <c r="AI174" s="2371"/>
      <c r="AJ174" s="2371"/>
      <c r="AK174" s="2371"/>
      <c r="AL174" s="2371"/>
      <c r="AM174" s="2371"/>
      <c r="AN174" s="2371"/>
      <c r="AO174" s="237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76"/>
      <c r="D175" s="2346"/>
      <c r="E175" s="2346"/>
      <c r="F175" s="2346"/>
      <c r="G175" s="2346"/>
      <c r="H175" s="2346"/>
      <c r="I175" s="2420"/>
      <c r="J175" s="2420"/>
      <c r="K175" s="2420"/>
      <c r="L175" s="2420"/>
      <c r="M175" s="2420"/>
      <c r="N175" s="2446"/>
      <c r="O175" s="1209"/>
      <c r="P175" s="2370"/>
      <c r="Q175" s="2371"/>
      <c r="R175" s="2371"/>
      <c r="S175" s="2371"/>
      <c r="T175" s="2371"/>
      <c r="U175" s="2371"/>
      <c r="V175" s="2371"/>
      <c r="W175" s="2371"/>
      <c r="X175" s="2371"/>
      <c r="Y175" s="2371"/>
      <c r="Z175" s="2371"/>
      <c r="AA175" s="2371"/>
      <c r="AB175" s="2371"/>
      <c r="AC175" s="2371"/>
      <c r="AD175" s="2371"/>
      <c r="AE175" s="2371"/>
      <c r="AF175" s="2371"/>
      <c r="AG175" s="2371"/>
      <c r="AH175" s="2371"/>
      <c r="AI175" s="2371"/>
      <c r="AJ175" s="2371"/>
      <c r="AK175" s="2371"/>
      <c r="AL175" s="2371"/>
      <c r="AM175" s="2371"/>
      <c r="AN175" s="2371"/>
      <c r="AO175" s="237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76"/>
      <c r="D176" s="2346"/>
      <c r="E176" s="2346"/>
      <c r="F176" s="2346"/>
      <c r="G176" s="2346"/>
      <c r="H176" s="2346"/>
      <c r="I176" s="2420"/>
      <c r="J176" s="2420"/>
      <c r="K176" s="2420"/>
      <c r="L176" s="2420"/>
      <c r="M176" s="2420"/>
      <c r="N176" s="2446"/>
      <c r="O176" s="1209"/>
      <c r="P176" s="2370"/>
      <c r="Q176" s="2371"/>
      <c r="R176" s="2371"/>
      <c r="S176" s="2371"/>
      <c r="T176" s="2371"/>
      <c r="U176" s="2371"/>
      <c r="V176" s="2371"/>
      <c r="W176" s="2371"/>
      <c r="X176" s="2371"/>
      <c r="Y176" s="2371"/>
      <c r="Z176" s="2371"/>
      <c r="AA176" s="2371"/>
      <c r="AB176" s="2371"/>
      <c r="AC176" s="2371"/>
      <c r="AD176" s="2371"/>
      <c r="AE176" s="2371"/>
      <c r="AF176" s="2371"/>
      <c r="AG176" s="2371"/>
      <c r="AH176" s="2371"/>
      <c r="AI176" s="2371"/>
      <c r="AJ176" s="2371"/>
      <c r="AK176" s="2371"/>
      <c r="AL176" s="2371"/>
      <c r="AM176" s="2371"/>
      <c r="AN176" s="2371"/>
      <c r="AO176" s="237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76"/>
      <c r="D177" s="2346"/>
      <c r="E177" s="2346"/>
      <c r="F177" s="2346"/>
      <c r="G177" s="2346"/>
      <c r="H177" s="2346"/>
      <c r="I177" s="2420"/>
      <c r="J177" s="2420"/>
      <c r="K177" s="2420"/>
      <c r="L177" s="2420"/>
      <c r="M177" s="2420"/>
      <c r="N177" s="2446"/>
      <c r="O177" s="1209"/>
      <c r="P177" s="2370"/>
      <c r="Q177" s="2371"/>
      <c r="R177" s="2371"/>
      <c r="S177" s="2371"/>
      <c r="T177" s="2371"/>
      <c r="U177" s="2371"/>
      <c r="V177" s="2371"/>
      <c r="W177" s="2371"/>
      <c r="X177" s="2371"/>
      <c r="Y177" s="2371"/>
      <c r="Z177" s="2371"/>
      <c r="AA177" s="2371"/>
      <c r="AB177" s="2371"/>
      <c r="AC177" s="2371"/>
      <c r="AD177" s="2371"/>
      <c r="AE177" s="2371"/>
      <c r="AF177" s="2371"/>
      <c r="AG177" s="2371"/>
      <c r="AH177" s="2371"/>
      <c r="AI177" s="2371"/>
      <c r="AJ177" s="2371"/>
      <c r="AK177" s="2371"/>
      <c r="AL177" s="2371"/>
      <c r="AM177" s="2371"/>
      <c r="AN177" s="2371"/>
      <c r="AO177" s="237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32"/>
      <c r="D178" s="2433"/>
      <c r="E178" s="2433"/>
      <c r="F178" s="2433"/>
      <c r="G178" s="2433"/>
      <c r="H178" s="2433"/>
      <c r="I178" s="2434"/>
      <c r="J178" s="2434"/>
      <c r="K178" s="2434"/>
      <c r="L178" s="2434"/>
      <c r="M178" s="2434"/>
      <c r="N178" s="2435"/>
      <c r="O178" s="1209"/>
      <c r="P178" s="2373"/>
      <c r="Q178" s="2374"/>
      <c r="R178" s="2374"/>
      <c r="S178" s="2374"/>
      <c r="T178" s="2374"/>
      <c r="U178" s="2374"/>
      <c r="V178" s="2374"/>
      <c r="W178" s="2374"/>
      <c r="X178" s="2374"/>
      <c r="Y178" s="2374"/>
      <c r="Z178" s="2374"/>
      <c r="AA178" s="2374"/>
      <c r="AB178" s="2374"/>
      <c r="AC178" s="2374"/>
      <c r="AD178" s="2374"/>
      <c r="AE178" s="2374"/>
      <c r="AF178" s="2374"/>
      <c r="AG178" s="2374"/>
      <c r="AH178" s="2374"/>
      <c r="AI178" s="2374"/>
      <c r="AJ178" s="2374"/>
      <c r="AK178" s="2374"/>
      <c r="AL178" s="2374"/>
      <c r="AM178" s="2374"/>
      <c r="AN178" s="2374"/>
      <c r="AO178" s="237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36" t="s">
        <v>2490</v>
      </c>
      <c r="D180" s="2437"/>
      <c r="E180" s="2437"/>
      <c r="F180" s="2437"/>
      <c r="G180" s="2437"/>
      <c r="H180" s="2437"/>
      <c r="I180" s="2437"/>
      <c r="J180" s="2437"/>
      <c r="K180" s="2437"/>
      <c r="L180" s="2437"/>
      <c r="M180" s="2437"/>
      <c r="N180" s="2437"/>
      <c r="O180" s="2437"/>
      <c r="P180" s="2437"/>
      <c r="Q180" s="2437"/>
      <c r="R180" s="2437"/>
      <c r="S180" s="2437"/>
      <c r="T180" s="2437"/>
      <c r="U180" s="2437"/>
      <c r="V180" s="2437"/>
      <c r="W180" s="2437"/>
      <c r="X180" s="2437"/>
      <c r="Y180" s="2437"/>
      <c r="Z180" s="2437"/>
      <c r="AA180" s="2437"/>
      <c r="AB180" s="2437"/>
      <c r="AC180" s="2437"/>
      <c r="AD180" s="2437"/>
      <c r="AE180" s="2438"/>
      <c r="AF180" s="1209"/>
      <c r="AG180" s="1209"/>
      <c r="AH180" s="2191" t="s">
        <v>2607</v>
      </c>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3"/>
    </row>
    <row r="181" spans="1:57" ht="15.75" customHeight="1" thickBot="1">
      <c r="A181" s="1209"/>
      <c r="B181" s="1209"/>
      <c r="C181" s="2439"/>
      <c r="D181" s="2440"/>
      <c r="E181" s="2440"/>
      <c r="F181" s="2440"/>
      <c r="G181" s="2440"/>
      <c r="H181" s="2440"/>
      <c r="I181" s="2440"/>
      <c r="J181" s="2440"/>
      <c r="K181" s="2440"/>
      <c r="L181" s="2440"/>
      <c r="M181" s="2440"/>
      <c r="N181" s="2440"/>
      <c r="O181" s="2440"/>
      <c r="P181" s="2440"/>
      <c r="Q181" s="2440"/>
      <c r="R181" s="2440"/>
      <c r="S181" s="2440"/>
      <c r="T181" s="2440"/>
      <c r="U181" s="2440"/>
      <c r="V181" s="2440"/>
      <c r="W181" s="2440"/>
      <c r="X181" s="2440"/>
      <c r="Y181" s="2440"/>
      <c r="Z181" s="2440"/>
      <c r="AA181" s="2440"/>
      <c r="AB181" s="2440"/>
      <c r="AC181" s="2440"/>
      <c r="AD181" s="2440"/>
      <c r="AE181" s="2441"/>
      <c r="AF181" s="1209"/>
      <c r="AG181" s="1209"/>
      <c r="AH181" s="2194" t="s">
        <v>2628</v>
      </c>
      <c r="AI181" s="2194"/>
      <c r="AJ181" s="2194"/>
      <c r="AK181" s="2194"/>
      <c r="AL181" s="2194"/>
      <c r="AM181" s="2194"/>
      <c r="AN181" s="2194"/>
      <c r="AO181" s="2194"/>
      <c r="AP181" s="2194"/>
      <c r="AQ181" s="2194"/>
      <c r="AR181" s="2194"/>
      <c r="AS181" s="2194"/>
      <c r="AT181" s="2194"/>
      <c r="AU181" s="2194"/>
      <c r="AV181" s="2194"/>
      <c r="AW181" s="2194"/>
      <c r="AX181" s="2194"/>
      <c r="AY181" s="2194"/>
      <c r="AZ181" s="2194"/>
      <c r="BA181" s="2194"/>
      <c r="BB181" s="2194"/>
      <c r="BC181" s="2194"/>
      <c r="BD181" s="2194"/>
      <c r="BE181" s="2194"/>
    </row>
    <row r="182" spans="1:57" ht="15.75" customHeight="1">
      <c r="A182" s="1209"/>
      <c r="B182" s="1209"/>
      <c r="C182" s="2442" t="s">
        <v>1840</v>
      </c>
      <c r="D182" s="2443"/>
      <c r="E182" s="2443"/>
      <c r="F182" s="2443"/>
      <c r="G182" s="2443"/>
      <c r="H182" s="2443"/>
      <c r="I182" s="2443"/>
      <c r="J182" s="2443"/>
      <c r="K182" s="2443"/>
      <c r="L182" s="2443"/>
      <c r="M182" s="2443"/>
      <c r="N182" s="2443" t="s">
        <v>1851</v>
      </c>
      <c r="O182" s="2443"/>
      <c r="P182" s="2443"/>
      <c r="Q182" s="2443"/>
      <c r="R182" s="2443"/>
      <c r="S182" s="2443"/>
      <c r="T182" s="2443"/>
      <c r="U182" s="2338" t="s">
        <v>1840</v>
      </c>
      <c r="V182" s="2338"/>
      <c r="W182" s="2338"/>
      <c r="X182" s="2338"/>
      <c r="Y182" s="2338"/>
      <c r="Z182" s="2338"/>
      <c r="AA182" s="2338"/>
      <c r="AB182" s="2338"/>
      <c r="AC182" s="2338"/>
      <c r="AD182" s="2338"/>
      <c r="AE182" s="2339"/>
      <c r="AF182" s="1209"/>
      <c r="AG182" s="1209"/>
      <c r="AH182" s="2195" t="s">
        <v>2612</v>
      </c>
      <c r="AI182" s="2195"/>
      <c r="AJ182" s="2195"/>
      <c r="AK182" s="2195"/>
      <c r="AL182" s="2195"/>
      <c r="AM182" s="2195"/>
      <c r="AN182" s="2195"/>
      <c r="AO182" s="2195"/>
      <c r="AP182" s="2195"/>
      <c r="AQ182" s="2195"/>
      <c r="AR182" s="2195"/>
      <c r="AS182" s="2195"/>
      <c r="AT182" s="2195"/>
      <c r="AU182" s="2161">
        <v>2500000</v>
      </c>
      <c r="AV182" s="2161"/>
      <c r="AW182" s="2161"/>
      <c r="AX182" s="2161"/>
      <c r="AY182" s="2161"/>
      <c r="AZ182" s="2161"/>
      <c r="BA182" s="2161"/>
      <c r="BB182" s="2161"/>
      <c r="BC182" s="2169"/>
      <c r="BD182" s="2170"/>
      <c r="BE182" s="2171"/>
    </row>
    <row r="183" spans="1:57" ht="15.75" customHeight="1">
      <c r="A183" s="1209"/>
      <c r="B183" s="1209"/>
      <c r="C183" s="2185" t="s">
        <v>2491</v>
      </c>
      <c r="D183" s="2186"/>
      <c r="E183" s="2186"/>
      <c r="F183" s="2186"/>
      <c r="G183" s="2186"/>
      <c r="H183" s="2186"/>
      <c r="I183" s="2186"/>
      <c r="J183" s="2186"/>
      <c r="K183" s="2186"/>
      <c r="L183" s="2186"/>
      <c r="M183" s="2186"/>
      <c r="N183" s="2448">
        <f>'Sources and Uses Budget'!B105</f>
        <v>118630126</v>
      </c>
      <c r="O183" s="2448"/>
      <c r="P183" s="2448"/>
      <c r="Q183" s="2448"/>
      <c r="R183" s="2448"/>
      <c r="S183" s="2448"/>
      <c r="T183" s="2448"/>
      <c r="U183" s="2449"/>
      <c r="V183" s="2449"/>
      <c r="W183" s="2449"/>
      <c r="X183" s="2449"/>
      <c r="Y183" s="2449"/>
      <c r="Z183" s="2449"/>
      <c r="AA183" s="2449"/>
      <c r="AB183" s="2449"/>
      <c r="AC183" s="2449"/>
      <c r="AD183" s="2449"/>
      <c r="AE183" s="2450"/>
      <c r="AF183" s="1209"/>
      <c r="AG183" s="1209"/>
      <c r="AH183" s="2195" t="s">
        <v>2611</v>
      </c>
      <c r="AI183" s="2195"/>
      <c r="AJ183" s="2195"/>
      <c r="AK183" s="2195"/>
      <c r="AL183" s="2195"/>
      <c r="AM183" s="2195"/>
      <c r="AN183" s="2195"/>
      <c r="AO183" s="2195"/>
      <c r="AP183" s="2195"/>
      <c r="AQ183" s="2195"/>
      <c r="AR183" s="2195"/>
      <c r="AS183" s="2195"/>
      <c r="AT183" s="2195"/>
      <c r="AU183" s="2162">
        <f>MAX(0,Application!AG439-100)*20000</f>
        <v>1180000</v>
      </c>
      <c r="AV183" s="2162"/>
      <c r="AW183" s="2162"/>
      <c r="AX183" s="2162"/>
      <c r="AY183" s="2162"/>
      <c r="AZ183" s="2162"/>
      <c r="BA183" s="2162"/>
      <c r="BB183" s="2162"/>
      <c r="BC183" s="2166"/>
      <c r="BD183" s="2167"/>
      <c r="BE183" s="2168"/>
    </row>
    <row r="184" spans="1:57" ht="15.75" customHeight="1">
      <c r="A184" s="1209"/>
      <c r="B184" s="1209"/>
      <c r="C184" s="2185" t="s">
        <v>2492</v>
      </c>
      <c r="D184" s="2186"/>
      <c r="E184" s="2186"/>
      <c r="F184" s="2186"/>
      <c r="G184" s="2186"/>
      <c r="H184" s="2186"/>
      <c r="I184" s="2186"/>
      <c r="J184" s="2186"/>
      <c r="K184" s="2186"/>
      <c r="L184" s="2186"/>
      <c r="M184" s="2186"/>
      <c r="N184" s="2448">
        <f>N183/J29</f>
        <v>746101.42138364783</v>
      </c>
      <c r="O184" s="2448"/>
      <c r="P184" s="2448"/>
      <c r="Q184" s="2448"/>
      <c r="R184" s="2448"/>
      <c r="S184" s="2448"/>
      <c r="T184" s="2448"/>
      <c r="U184" s="1225"/>
      <c r="V184" s="1225"/>
      <c r="W184" s="1225"/>
      <c r="X184" s="1225"/>
      <c r="Y184" s="1225"/>
      <c r="Z184" s="1225"/>
      <c r="AA184" s="1225"/>
      <c r="AB184" s="1225"/>
      <c r="AC184" s="1225"/>
      <c r="AD184" s="1225"/>
      <c r="AE184" s="1224"/>
      <c r="AF184" s="1209"/>
      <c r="AG184" s="1209"/>
      <c r="AH184" s="2172" t="s">
        <v>2610</v>
      </c>
      <c r="AI184" s="2172"/>
      <c r="AJ184" s="2172"/>
      <c r="AK184" s="2172"/>
      <c r="AL184" s="2172"/>
      <c r="AM184" s="2172"/>
      <c r="AN184" s="2172"/>
      <c r="AO184" s="2172"/>
      <c r="AP184" s="2172"/>
      <c r="AQ184" s="2172"/>
      <c r="AR184" s="2172"/>
      <c r="AS184" s="2172"/>
      <c r="AT184" s="2172"/>
      <c r="AU184" s="2163">
        <f>AU182+AU183</f>
        <v>3680000</v>
      </c>
      <c r="AV184" s="2163"/>
      <c r="AW184" s="2163"/>
      <c r="AX184" s="2163"/>
      <c r="AY184" s="2163"/>
      <c r="AZ184" s="2163"/>
      <c r="BA184" s="2163"/>
      <c r="BB184" s="2163"/>
      <c r="BC184" s="2166"/>
      <c r="BD184" s="2167"/>
      <c r="BE184" s="2168"/>
    </row>
    <row r="185" spans="1:57" ht="15.75" customHeight="1">
      <c r="A185" s="1209"/>
      <c r="B185" s="1209"/>
      <c r="C185" s="2451" t="s">
        <v>2493</v>
      </c>
      <c r="D185" s="2452"/>
      <c r="E185" s="2452"/>
      <c r="F185" s="2452"/>
      <c r="G185" s="2452"/>
      <c r="H185" s="2452"/>
      <c r="I185" s="2452"/>
      <c r="J185" s="2452"/>
      <c r="K185" s="2452"/>
      <c r="L185" s="2452"/>
      <c r="M185" s="2452"/>
      <c r="N185" s="2377">
        <v>0</v>
      </c>
      <c r="O185" s="2377"/>
      <c r="P185" s="2377"/>
      <c r="Q185" s="2377"/>
      <c r="R185" s="2377"/>
      <c r="S185" s="2377"/>
      <c r="T185" s="2377"/>
      <c r="U185" s="2355"/>
      <c r="V185" s="2355"/>
      <c r="W185" s="2355"/>
      <c r="X185" s="2355"/>
      <c r="Y185" s="2355"/>
      <c r="Z185" s="2355"/>
      <c r="AA185" s="2355"/>
      <c r="AB185" s="2355"/>
      <c r="AC185" s="2355"/>
      <c r="AD185" s="2355"/>
      <c r="AE185" s="2356"/>
      <c r="AF185" s="1209"/>
      <c r="AG185" s="1209"/>
      <c r="AH185" s="2165" t="s">
        <v>2609</v>
      </c>
      <c r="AI185" s="2165"/>
      <c r="AJ185" s="2165"/>
      <c r="AK185" s="2165"/>
      <c r="AL185" s="2165"/>
      <c r="AM185" s="2165"/>
      <c r="AN185" s="2165"/>
      <c r="AO185" s="2165"/>
      <c r="AP185" s="2165"/>
      <c r="AQ185" s="2165"/>
      <c r="AR185" s="2165"/>
      <c r="AS185" s="2165"/>
      <c r="AT185" s="2165"/>
      <c r="AU185" s="2164" t="str">
        <f>IF(AU189-AU192&lt;=AU184,"Y","N")</f>
        <v>Y</v>
      </c>
      <c r="AV185" s="2164"/>
      <c r="AW185" s="2164"/>
      <c r="AX185" s="2164"/>
      <c r="AY185" s="2164"/>
      <c r="AZ185" s="2164"/>
      <c r="BA185" s="2164"/>
      <c r="BB185" s="2164"/>
      <c r="BC185" s="2166"/>
      <c r="BD185" s="2167"/>
      <c r="BE185" s="2168"/>
    </row>
    <row r="186" spans="1:57" ht="15.75" customHeight="1" thickBot="1">
      <c r="A186" s="1209"/>
      <c r="B186" s="1209"/>
      <c r="C186" s="2185" t="s">
        <v>2494</v>
      </c>
      <c r="D186" s="2186"/>
      <c r="E186" s="2186"/>
      <c r="F186" s="2186"/>
      <c r="G186" s="2186"/>
      <c r="H186" s="2186"/>
      <c r="I186" s="2186"/>
      <c r="J186" s="2186"/>
      <c r="K186" s="2186"/>
      <c r="L186" s="2186"/>
      <c r="M186" s="2186"/>
      <c r="N186" s="2447">
        <f>SUM('Sources and Uses Budget'!B85:B86)</f>
        <v>80000</v>
      </c>
      <c r="O186" s="2447"/>
      <c r="P186" s="2447"/>
      <c r="Q186" s="2447"/>
      <c r="R186" s="2447"/>
      <c r="S186" s="2447"/>
      <c r="T186" s="2447"/>
      <c r="U186" s="2355"/>
      <c r="V186" s="2355"/>
      <c r="W186" s="2355"/>
      <c r="X186" s="2355"/>
      <c r="Y186" s="2355"/>
      <c r="Z186" s="2355"/>
      <c r="AA186" s="2355"/>
      <c r="AB186" s="2355"/>
      <c r="AC186" s="2355"/>
      <c r="AD186" s="2355"/>
      <c r="AE186" s="23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185" t="s">
        <v>2495</v>
      </c>
      <c r="D187" s="2186"/>
      <c r="E187" s="2186"/>
      <c r="F187" s="2186"/>
      <c r="G187" s="2186"/>
      <c r="H187" s="2186"/>
      <c r="I187" s="2186"/>
      <c r="J187" s="2186"/>
      <c r="K187" s="2186"/>
      <c r="L187" s="2186"/>
      <c r="M187" s="2186"/>
      <c r="N187" s="2447">
        <f>'Sources and Uses Budget'!B8</f>
        <v>9741425</v>
      </c>
      <c r="O187" s="2447"/>
      <c r="P187" s="2447"/>
      <c r="Q187" s="2447"/>
      <c r="R187" s="2447"/>
      <c r="S187" s="2447"/>
      <c r="T187" s="2447"/>
      <c r="U187" s="2355"/>
      <c r="V187" s="2355"/>
      <c r="W187" s="2355"/>
      <c r="X187" s="2355"/>
      <c r="Y187" s="2355"/>
      <c r="Z187" s="2355"/>
      <c r="AA187" s="2355"/>
      <c r="AB187" s="2355"/>
      <c r="AC187" s="2355"/>
      <c r="AD187" s="2355"/>
      <c r="AE187" s="2356"/>
      <c r="AF187" s="1209"/>
      <c r="AG187" s="1209"/>
      <c r="AH187" s="2454" t="s">
        <v>1852</v>
      </c>
      <c r="AI187" s="2455"/>
      <c r="AJ187" s="2455"/>
      <c r="AK187" s="2455"/>
      <c r="AL187" s="2455"/>
      <c r="AM187" s="2455"/>
      <c r="AN187" s="2455"/>
      <c r="AO187" s="2455"/>
      <c r="AP187" s="2455"/>
      <c r="AQ187" s="2455"/>
      <c r="AR187" s="2455"/>
      <c r="AS187" s="2455"/>
      <c r="AT187" s="2455"/>
      <c r="AU187" s="2455"/>
      <c r="AV187" s="2455"/>
      <c r="AW187" s="2455"/>
      <c r="AX187" s="2455"/>
      <c r="AY187" s="2455"/>
      <c r="AZ187" s="2455"/>
      <c r="BA187" s="2455"/>
      <c r="BB187" s="2455"/>
      <c r="BC187" s="2455"/>
      <c r="BD187" s="2455"/>
      <c r="BE187" s="2456"/>
    </row>
    <row r="188" spans="1:57" ht="15.75" customHeight="1">
      <c r="A188" s="1209"/>
      <c r="B188" s="1209"/>
      <c r="C188" s="2185" t="s">
        <v>2496</v>
      </c>
      <c r="D188" s="2186"/>
      <c r="E188" s="2186"/>
      <c r="F188" s="2186"/>
      <c r="G188" s="2186"/>
      <c r="H188" s="2186"/>
      <c r="I188" s="2186"/>
      <c r="J188" s="2186"/>
      <c r="K188" s="2186"/>
      <c r="L188" s="2186"/>
      <c r="M188" s="2186"/>
      <c r="N188" s="2462">
        <v>0</v>
      </c>
      <c r="O188" s="2462"/>
      <c r="P188" s="2462"/>
      <c r="Q188" s="2462"/>
      <c r="R188" s="2462"/>
      <c r="S188" s="2462"/>
      <c r="T188" s="2462"/>
      <c r="U188" s="2355"/>
      <c r="V188" s="2355"/>
      <c r="W188" s="2355"/>
      <c r="X188" s="2355"/>
      <c r="Y188" s="2355"/>
      <c r="Z188" s="2355"/>
      <c r="AA188" s="2355"/>
      <c r="AB188" s="2355"/>
      <c r="AC188" s="2355"/>
      <c r="AD188" s="2355"/>
      <c r="AE188" s="2356"/>
      <c r="AF188" s="1209"/>
      <c r="AG188" s="1209"/>
      <c r="AH188" s="2457" t="s">
        <v>1852</v>
      </c>
      <c r="AI188" s="2457"/>
      <c r="AJ188" s="2457"/>
      <c r="AK188" s="2457"/>
      <c r="AL188" s="2457"/>
      <c r="AM188" s="2457"/>
      <c r="AN188" s="2457"/>
      <c r="AO188" s="2457"/>
      <c r="AP188" s="2457"/>
      <c r="AQ188" s="2457"/>
      <c r="AR188" s="2457"/>
      <c r="AS188" s="2457"/>
      <c r="AT188" s="2457"/>
      <c r="AU188" s="2458">
        <v>0</v>
      </c>
      <c r="AV188" s="2458"/>
      <c r="AW188" s="2458"/>
      <c r="AX188" s="2458"/>
      <c r="AY188" s="2458"/>
      <c r="AZ188" s="2458"/>
      <c r="BA188" s="2458"/>
      <c r="BB188" s="2458"/>
      <c r="BC188" s="2459"/>
      <c r="BD188" s="2460"/>
      <c r="BE188" s="2461"/>
    </row>
    <row r="189" spans="1:57" ht="15.75" customHeight="1">
      <c r="A189" s="1209"/>
      <c r="B189" s="1209"/>
      <c r="C189" s="2185" t="s">
        <v>2497</v>
      </c>
      <c r="D189" s="2186"/>
      <c r="E189" s="2186"/>
      <c r="F189" s="2186"/>
      <c r="G189" s="2186"/>
      <c r="H189" s="2186"/>
      <c r="I189" s="2186"/>
      <c r="J189" s="2186"/>
      <c r="K189" s="2186"/>
      <c r="L189" s="2186"/>
      <c r="M189" s="2186"/>
      <c r="N189" s="2462">
        <v>0</v>
      </c>
      <c r="O189" s="2462"/>
      <c r="P189" s="2462"/>
      <c r="Q189" s="2462"/>
      <c r="R189" s="2462"/>
      <c r="S189" s="2462"/>
      <c r="T189" s="2462"/>
      <c r="U189" s="2355"/>
      <c r="V189" s="2355"/>
      <c r="W189" s="2355"/>
      <c r="X189" s="2355"/>
      <c r="Y189" s="2355"/>
      <c r="Z189" s="2355"/>
      <c r="AA189" s="2355"/>
      <c r="AB189" s="2355"/>
      <c r="AC189" s="2355"/>
      <c r="AD189" s="2355"/>
      <c r="AE189" s="2356"/>
      <c r="AF189" s="1209"/>
      <c r="AG189" s="1209"/>
      <c r="AH189" s="2195" t="s">
        <v>2608</v>
      </c>
      <c r="AI189" s="2195"/>
      <c r="AJ189" s="2195"/>
      <c r="AK189" s="2195"/>
      <c r="AL189" s="2195"/>
      <c r="AM189" s="2195"/>
      <c r="AN189" s="2195"/>
      <c r="AO189" s="2195"/>
      <c r="AP189" s="2195"/>
      <c r="AQ189" s="2195"/>
      <c r="AR189" s="2195"/>
      <c r="AS189" s="2195"/>
      <c r="AT189" s="2195"/>
      <c r="AU189" s="2453"/>
      <c r="AV189" s="2453"/>
      <c r="AW189" s="2453"/>
      <c r="AX189" s="2453"/>
      <c r="AY189" s="2453"/>
      <c r="AZ189" s="2453"/>
      <c r="BA189" s="2453"/>
      <c r="BB189" s="2453"/>
      <c r="BC189" s="2166"/>
      <c r="BD189" s="2167"/>
      <c r="BE189" s="2168"/>
    </row>
    <row r="190" spans="1:57" ht="15.75" customHeight="1">
      <c r="A190" s="1209"/>
      <c r="B190" s="1209"/>
      <c r="C190" s="2488" t="s">
        <v>301</v>
      </c>
      <c r="D190" s="2419"/>
      <c r="E190" s="2487" t="s">
        <v>1846</v>
      </c>
      <c r="F190" s="2487"/>
      <c r="G190" s="2487"/>
      <c r="H190" s="2487"/>
      <c r="I190" s="2487"/>
      <c r="J190" s="2487"/>
      <c r="K190" s="2487"/>
      <c r="L190" s="2487"/>
      <c r="M190" s="2487"/>
      <c r="N190" s="2462">
        <v>0</v>
      </c>
      <c r="O190" s="2462"/>
      <c r="P190" s="2462"/>
      <c r="Q190" s="2462"/>
      <c r="R190" s="2462"/>
      <c r="S190" s="2462"/>
      <c r="T190" s="2462"/>
      <c r="U190" s="2355"/>
      <c r="V190" s="2355"/>
      <c r="W190" s="2355"/>
      <c r="X190" s="2355"/>
      <c r="Y190" s="2355"/>
      <c r="Z190" s="2355"/>
      <c r="AA190" s="2355"/>
      <c r="AB190" s="2355"/>
      <c r="AC190" s="2355"/>
      <c r="AD190" s="2355"/>
      <c r="AE190" s="2356"/>
      <c r="AF190" s="1209"/>
      <c r="AG190" s="1209"/>
      <c r="AH190" s="2172" t="s">
        <v>2607</v>
      </c>
      <c r="AI190" s="2172"/>
      <c r="AJ190" s="2172"/>
      <c r="AK190" s="2172"/>
      <c r="AL190" s="2172"/>
      <c r="AM190" s="2172"/>
      <c r="AN190" s="2172"/>
      <c r="AO190" s="2172"/>
      <c r="AP190" s="2172"/>
      <c r="AQ190" s="2172"/>
      <c r="AR190" s="2172"/>
      <c r="AS190" s="2172"/>
      <c r="AT190" s="2172"/>
      <c r="AU190" s="2163">
        <f>SUM(AU188:BB189)</f>
        <v>0</v>
      </c>
      <c r="AV190" s="2163"/>
      <c r="AW190" s="2163"/>
      <c r="AX190" s="2163"/>
      <c r="AY190" s="2163"/>
      <c r="AZ190" s="2163"/>
      <c r="BA190" s="2163"/>
      <c r="BB190" s="2163"/>
      <c r="BC190" s="2166"/>
      <c r="BD190" s="2167"/>
      <c r="BE190" s="2168"/>
    </row>
    <row r="191" spans="1:57" ht="15.75" customHeight="1" thickBot="1">
      <c r="A191" s="1209"/>
      <c r="B191" s="1209"/>
      <c r="C191" s="2376" t="s">
        <v>301</v>
      </c>
      <c r="D191" s="2346"/>
      <c r="E191" s="2487" t="s">
        <v>1846</v>
      </c>
      <c r="F191" s="2487"/>
      <c r="G191" s="2487"/>
      <c r="H191" s="2487"/>
      <c r="I191" s="2487"/>
      <c r="J191" s="2487"/>
      <c r="K191" s="2487"/>
      <c r="L191" s="2487"/>
      <c r="M191" s="2487"/>
      <c r="N191" s="2462">
        <v>0</v>
      </c>
      <c r="O191" s="2462"/>
      <c r="P191" s="2462"/>
      <c r="Q191" s="2462"/>
      <c r="R191" s="2462"/>
      <c r="S191" s="2462"/>
      <c r="T191" s="2462"/>
      <c r="U191" s="2355"/>
      <c r="V191" s="2355"/>
      <c r="W191" s="2355"/>
      <c r="X191" s="2355"/>
      <c r="Y191" s="2355"/>
      <c r="Z191" s="2355"/>
      <c r="AA191" s="2355"/>
      <c r="AB191" s="2355"/>
      <c r="AC191" s="2355"/>
      <c r="AD191" s="2355"/>
      <c r="AE191" s="23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69"/>
      <c r="BD191" s="2470"/>
      <c r="BE191" s="2471"/>
    </row>
    <row r="192" spans="1:57" ht="15.75" customHeight="1" thickBot="1">
      <c r="A192" s="1209"/>
      <c r="B192" s="1209"/>
      <c r="C192" s="2476" t="s">
        <v>301</v>
      </c>
      <c r="D192" s="2477"/>
      <c r="E192" s="2478" t="s">
        <v>1846</v>
      </c>
      <c r="F192" s="2478"/>
      <c r="G192" s="2478"/>
      <c r="H192" s="2478"/>
      <c r="I192" s="2478"/>
      <c r="J192" s="2478"/>
      <c r="K192" s="2478"/>
      <c r="L192" s="2478"/>
      <c r="M192" s="2479"/>
      <c r="N192" s="2480">
        <v>0</v>
      </c>
      <c r="O192" s="2480"/>
      <c r="P192" s="2480"/>
      <c r="Q192" s="2480"/>
      <c r="R192" s="2480"/>
      <c r="S192" s="2480"/>
      <c r="T192" s="2481"/>
      <c r="U192" s="2482"/>
      <c r="V192" s="2483"/>
      <c r="W192" s="2483"/>
      <c r="X192" s="2483"/>
      <c r="Y192" s="2483"/>
      <c r="Z192" s="2483"/>
      <c r="AA192" s="2483"/>
      <c r="AB192" s="2483"/>
      <c r="AC192" s="2483"/>
      <c r="AD192" s="2483"/>
      <c r="AE192" s="2484"/>
      <c r="AF192" s="1209"/>
      <c r="AG192" s="1209"/>
      <c r="AH192" s="2513" t="s">
        <v>1853</v>
      </c>
      <c r="AI192" s="2514"/>
      <c r="AJ192" s="2514"/>
      <c r="AK192" s="2514"/>
      <c r="AL192" s="2514"/>
      <c r="AM192" s="2514"/>
      <c r="AN192" s="2514"/>
      <c r="AO192" s="2514"/>
      <c r="AP192" s="2514"/>
      <c r="AQ192" s="2514"/>
      <c r="AR192" s="2514"/>
      <c r="AS192" s="2514"/>
      <c r="AT192" s="2514"/>
      <c r="AU192" s="2463"/>
      <c r="AV192" s="2463"/>
      <c r="AW192" s="2463"/>
      <c r="AX192" s="2463"/>
      <c r="AY192" s="2463"/>
      <c r="AZ192" s="2463"/>
      <c r="BA192" s="2463"/>
      <c r="BB192" s="2463"/>
      <c r="BC192" s="1222"/>
      <c r="BD192" s="1222"/>
      <c r="BE192" s="1221"/>
    </row>
    <row r="193" spans="1:57" ht="15.75" customHeight="1">
      <c r="A193" s="1209"/>
      <c r="B193" s="1209"/>
      <c r="C193" s="2472" t="s">
        <v>1854</v>
      </c>
      <c r="D193" s="2473"/>
      <c r="E193" s="2473"/>
      <c r="F193" s="2473"/>
      <c r="G193" s="2473"/>
      <c r="H193" s="2473"/>
      <c r="I193" s="2473"/>
      <c r="J193" s="2473"/>
      <c r="K193" s="2473"/>
      <c r="L193" s="2473"/>
      <c r="M193" s="2473"/>
      <c r="N193" s="2474">
        <f>SUM(N185:T192)</f>
        <v>9821425</v>
      </c>
      <c r="O193" s="2474"/>
      <c r="P193" s="2474"/>
      <c r="Q193" s="2474"/>
      <c r="R193" s="2474"/>
      <c r="S193" s="2474"/>
      <c r="T193" s="2475"/>
      <c r="U193" s="1209"/>
      <c r="V193" s="1209"/>
      <c r="W193" s="1209"/>
      <c r="X193" s="1209"/>
      <c r="Y193" s="1209"/>
      <c r="Z193" s="1209"/>
      <c r="AA193" s="1209"/>
      <c r="AB193" s="1209"/>
      <c r="AC193" s="1209"/>
      <c r="AD193" s="1209"/>
      <c r="AE193" s="1209"/>
      <c r="AF193" s="1209"/>
      <c r="AG193" s="1209"/>
      <c r="AH193" s="2485" t="s">
        <v>2606</v>
      </c>
      <c r="AI193" s="2485"/>
      <c r="AJ193" s="2485"/>
      <c r="AK193" s="2485"/>
      <c r="AL193" s="2485"/>
      <c r="AM193" s="2485"/>
      <c r="AN193" s="2485"/>
      <c r="AO193" s="2485"/>
      <c r="AP193" s="2485"/>
      <c r="AQ193" s="2485"/>
      <c r="AR193" s="2485"/>
      <c r="AS193" s="2485"/>
      <c r="AT193" s="2485"/>
      <c r="AU193" s="2485"/>
      <c r="AV193" s="2485"/>
      <c r="AW193" s="2485"/>
      <c r="AX193" s="2485"/>
      <c r="AY193" s="2485"/>
      <c r="AZ193" s="2485"/>
      <c r="BA193" s="2485"/>
      <c r="BB193" s="2485"/>
      <c r="BC193" s="2485"/>
      <c r="BD193" s="2485"/>
      <c r="BE193" s="2486"/>
    </row>
    <row r="194" spans="1:57" ht="15.75" customHeight="1" thickBot="1">
      <c r="A194" s="1209"/>
      <c r="B194" s="1209"/>
      <c r="C194" s="2515" t="s">
        <v>2498</v>
      </c>
      <c r="D194" s="2516"/>
      <c r="E194" s="2516"/>
      <c r="F194" s="2516"/>
      <c r="G194" s="2516"/>
      <c r="H194" s="2516"/>
      <c r="I194" s="2516"/>
      <c r="J194" s="2516"/>
      <c r="K194" s="2516"/>
      <c r="L194" s="2516"/>
      <c r="M194" s="2516"/>
      <c r="N194" s="2517">
        <f>(N183-N193)/J29</f>
        <v>684331.45283018867</v>
      </c>
      <c r="O194" s="2518"/>
      <c r="P194" s="2518"/>
      <c r="Q194" s="2518"/>
      <c r="R194" s="2518"/>
      <c r="S194" s="2518"/>
      <c r="T194" s="2519"/>
      <c r="U194" s="1220"/>
      <c r="V194" s="1209"/>
      <c r="W194" s="1209"/>
      <c r="X194" s="1209"/>
      <c r="Y194" s="1209"/>
      <c r="Z194" s="1209"/>
      <c r="AA194" s="1209"/>
      <c r="AB194" s="1209"/>
      <c r="AC194" s="1209"/>
      <c r="AD194" s="1209"/>
      <c r="AE194" s="1209"/>
      <c r="AF194" s="1209"/>
      <c r="AG194" s="1209"/>
      <c r="AH194" s="2485"/>
      <c r="AI194" s="2485"/>
      <c r="AJ194" s="2485"/>
      <c r="AK194" s="2485"/>
      <c r="AL194" s="2485"/>
      <c r="AM194" s="2485"/>
      <c r="AN194" s="2485"/>
      <c r="AO194" s="2485"/>
      <c r="AP194" s="2485"/>
      <c r="AQ194" s="2485"/>
      <c r="AR194" s="2485"/>
      <c r="AS194" s="2485"/>
      <c r="AT194" s="2485"/>
      <c r="AU194" s="2485"/>
      <c r="AV194" s="2485"/>
      <c r="AW194" s="2485"/>
      <c r="AX194" s="2485"/>
      <c r="AY194" s="2485"/>
      <c r="AZ194" s="2485"/>
      <c r="BA194" s="2485"/>
      <c r="BB194" s="2485"/>
      <c r="BC194" s="2485"/>
      <c r="BD194" s="2485"/>
      <c r="BE194" s="248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20"/>
      <c r="AI195" s="2520"/>
      <c r="AJ195" s="2520"/>
      <c r="AK195" s="2520"/>
      <c r="AL195" s="2520"/>
      <c r="AM195" s="2520"/>
      <c r="AN195" s="2520"/>
      <c r="AO195" s="2520"/>
      <c r="AP195" s="2520"/>
      <c r="AQ195" s="2520"/>
      <c r="AR195" s="2520"/>
      <c r="AS195" s="2464"/>
      <c r="AT195" s="2464"/>
      <c r="AU195" s="2464"/>
      <c r="AV195" s="2464"/>
      <c r="AW195" s="2464"/>
      <c r="AX195" s="2464"/>
      <c r="AY195" s="2464"/>
      <c r="AZ195" s="2464"/>
      <c r="BA195" s="2464"/>
      <c r="BB195" s="2464"/>
      <c r="BC195" s="2464"/>
      <c r="BD195" s="246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65" t="s">
        <v>2605</v>
      </c>
      <c r="D197" s="2466"/>
      <c r="E197" s="2466"/>
      <c r="F197" s="2466"/>
      <c r="G197" s="2466"/>
      <c r="H197" s="2466"/>
      <c r="I197" s="2466"/>
      <c r="J197" s="2466"/>
      <c r="K197" s="2466"/>
      <c r="L197" s="2466"/>
      <c r="M197" s="2466"/>
      <c r="N197" s="2466"/>
      <c r="O197" s="2466"/>
      <c r="P197" s="2466"/>
      <c r="Q197" s="2466"/>
      <c r="R197" s="2466"/>
      <c r="S197" s="2466"/>
      <c r="T197" s="2466"/>
      <c r="U197" s="2466"/>
      <c r="V197" s="2466"/>
      <c r="W197" s="2466"/>
      <c r="X197" s="2466"/>
      <c r="Y197" s="2466"/>
      <c r="Z197" s="2466"/>
      <c r="AA197" s="2466"/>
      <c r="AB197" s="2466"/>
      <c r="AC197" s="2466"/>
      <c r="AD197" s="2466"/>
      <c r="AE197" s="246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75" t="s">
        <v>2604</v>
      </c>
      <c r="D198" s="2175"/>
      <c r="E198" s="2175"/>
      <c r="F198" s="2175"/>
      <c r="G198" s="2175"/>
      <c r="H198" s="2175"/>
      <c r="I198" s="2175"/>
      <c r="J198" s="2175"/>
      <c r="K198" s="2175"/>
      <c r="L198" s="2175"/>
      <c r="M198" s="2175"/>
      <c r="N198" s="2175"/>
      <c r="O198" s="2176" t="s">
        <v>2603</v>
      </c>
      <c r="P198" s="2176"/>
      <c r="Q198" s="2176"/>
      <c r="R198" s="2176"/>
      <c r="S198" s="2176"/>
      <c r="T198" s="2176"/>
      <c r="U198" s="2176"/>
      <c r="V198" s="2176"/>
      <c r="W198" s="2176"/>
      <c r="X198" s="2176" t="s">
        <v>2602</v>
      </c>
      <c r="Y198" s="2176"/>
      <c r="Z198" s="2176"/>
      <c r="AA198" s="2176"/>
      <c r="AB198" s="2176"/>
      <c r="AC198" s="2176"/>
      <c r="AD198" s="2176"/>
      <c r="AE198" s="217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73" t="s">
        <v>2601</v>
      </c>
      <c r="D199" s="2173"/>
      <c r="E199" s="2173"/>
      <c r="F199" s="2173"/>
      <c r="G199" s="2173"/>
      <c r="H199" s="2173"/>
      <c r="I199" s="2173"/>
      <c r="J199" s="2173"/>
      <c r="K199" s="2173"/>
      <c r="L199" s="2173"/>
      <c r="M199" s="2173"/>
      <c r="N199" s="2173"/>
      <c r="O199" s="2468" t="s">
        <v>2600</v>
      </c>
      <c r="P199" s="2468"/>
      <c r="Q199" s="2468"/>
      <c r="R199" s="2468"/>
      <c r="S199" s="2468"/>
      <c r="T199" s="2468"/>
      <c r="U199" s="2468"/>
      <c r="V199" s="2468"/>
      <c r="W199" s="2468"/>
      <c r="X199" s="2489">
        <v>0.03</v>
      </c>
      <c r="Y199" s="2489"/>
      <c r="Z199" s="2489"/>
      <c r="AA199" s="2489"/>
      <c r="AB199" s="2489"/>
      <c r="AC199" s="2489"/>
      <c r="AD199" s="2489"/>
      <c r="AE199" s="248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73" t="s">
        <v>866</v>
      </c>
      <c r="D200" s="2173"/>
      <c r="E200" s="2173"/>
      <c r="F200" s="2173"/>
      <c r="G200" s="2173"/>
      <c r="H200" s="2173"/>
      <c r="I200" s="2173"/>
      <c r="J200" s="2173"/>
      <c r="K200" s="2173"/>
      <c r="L200" s="2173"/>
      <c r="M200" s="2173"/>
      <c r="N200" s="2173"/>
      <c r="O200" s="2468" t="s">
        <v>2600</v>
      </c>
      <c r="P200" s="2468"/>
      <c r="Q200" s="2468"/>
      <c r="R200" s="2468"/>
      <c r="S200" s="2468"/>
      <c r="T200" s="2468"/>
      <c r="U200" s="2468"/>
      <c r="V200" s="2468"/>
      <c r="W200" s="2468"/>
      <c r="X200" s="2489">
        <v>0.03</v>
      </c>
      <c r="Y200" s="2489"/>
      <c r="Z200" s="2489"/>
      <c r="AA200" s="2489"/>
      <c r="AB200" s="2489"/>
      <c r="AC200" s="2489"/>
      <c r="AD200" s="2489"/>
      <c r="AE200" s="248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73" t="s">
        <v>2599</v>
      </c>
      <c r="D201" s="2173"/>
      <c r="E201" s="2173"/>
      <c r="F201" s="2173"/>
      <c r="G201" s="2173"/>
      <c r="H201" s="2173"/>
      <c r="I201" s="2173"/>
      <c r="J201" s="2173"/>
      <c r="K201" s="2173"/>
      <c r="L201" s="2173"/>
      <c r="M201" s="2173"/>
      <c r="N201" s="2173"/>
      <c r="O201" s="2177">
        <f>SUM(O199:W200)</f>
        <v>0</v>
      </c>
      <c r="P201" s="2178"/>
      <c r="Q201" s="2178"/>
      <c r="R201" s="2178"/>
      <c r="S201" s="2178"/>
      <c r="T201" s="2178"/>
      <c r="U201" s="2178"/>
      <c r="V201" s="2178"/>
      <c r="W201" s="2178"/>
      <c r="X201" s="2178" t="s">
        <v>2598</v>
      </c>
      <c r="Y201" s="2178"/>
      <c r="Z201" s="2178"/>
      <c r="AA201" s="2178"/>
      <c r="AB201" s="2178"/>
      <c r="AC201" s="2178"/>
      <c r="AD201" s="2178"/>
      <c r="AE201" s="217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74" t="s">
        <v>2597</v>
      </c>
      <c r="D202" s="2174"/>
      <c r="E202" s="2174"/>
      <c r="F202" s="2174"/>
      <c r="G202" s="2174"/>
      <c r="H202" s="2174"/>
      <c r="I202" s="2174"/>
      <c r="J202" s="2174"/>
      <c r="K202" s="2174"/>
      <c r="L202" s="2174"/>
      <c r="M202" s="2174"/>
      <c r="N202" s="2174"/>
      <c r="O202" s="2174"/>
      <c r="P202" s="2174"/>
      <c r="Q202" s="2174"/>
      <c r="R202" s="2174"/>
      <c r="S202" s="2174"/>
      <c r="T202" s="2174"/>
      <c r="U202" s="2174"/>
      <c r="V202" s="2174"/>
      <c r="W202" s="2174"/>
      <c r="X202" s="2174"/>
      <c r="Y202" s="2174"/>
      <c r="Z202" s="2174"/>
      <c r="AA202" s="2174"/>
      <c r="AB202" s="2174"/>
      <c r="AC202" s="2174"/>
      <c r="AD202" s="2174"/>
      <c r="AE202" s="217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490" t="s">
        <v>2596</v>
      </c>
      <c r="D204" s="2491"/>
      <c r="E204" s="2491"/>
      <c r="F204" s="2491"/>
      <c r="G204" s="2491"/>
      <c r="H204" s="2491"/>
      <c r="I204" s="2491"/>
      <c r="J204" s="2491"/>
      <c r="K204" s="2491"/>
      <c r="L204" s="2491"/>
      <c r="M204" s="2491"/>
      <c r="N204" s="2491"/>
      <c r="O204" s="2491"/>
      <c r="P204" s="2491"/>
      <c r="Q204" s="2491"/>
      <c r="R204" s="2491"/>
      <c r="S204" s="2491"/>
      <c r="T204" s="2491"/>
      <c r="U204" s="2491"/>
      <c r="V204" s="2491"/>
      <c r="W204" s="2491"/>
      <c r="X204" s="2491"/>
      <c r="Y204" s="2491"/>
      <c r="Z204" s="2491"/>
      <c r="AA204" s="2491"/>
      <c r="AB204" s="2491"/>
      <c r="AC204" s="2491"/>
      <c r="AD204" s="2491"/>
      <c r="AE204" s="2491"/>
      <c r="AF204" s="2491"/>
      <c r="AG204" s="2491"/>
      <c r="AH204" s="2491"/>
      <c r="AI204" s="2491"/>
      <c r="AJ204" s="2491"/>
      <c r="AK204" s="249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493" t="s">
        <v>2595</v>
      </c>
      <c r="D205" s="2494"/>
      <c r="E205" s="2494"/>
      <c r="F205" s="2495"/>
      <c r="G205" s="2499" t="s">
        <v>2594</v>
      </c>
      <c r="H205" s="2494"/>
      <c r="I205" s="2494"/>
      <c r="J205" s="2494"/>
      <c r="K205" s="2494"/>
      <c r="L205" s="2494"/>
      <c r="M205" s="2494"/>
      <c r="N205" s="2494"/>
      <c r="O205" s="2495"/>
      <c r="P205" s="2501" t="s">
        <v>2593</v>
      </c>
      <c r="Q205" s="2502"/>
      <c r="R205" s="2502"/>
      <c r="S205" s="2502"/>
      <c r="T205" s="2503"/>
      <c r="U205" s="2507" t="s">
        <v>2592</v>
      </c>
      <c r="V205" s="2508"/>
      <c r="W205" s="2508"/>
      <c r="X205" s="2509"/>
      <c r="Y205" s="2507" t="s">
        <v>2591</v>
      </c>
      <c r="Z205" s="2508"/>
      <c r="AA205" s="2508"/>
      <c r="AB205" s="2509"/>
      <c r="AC205" s="2507" t="s">
        <v>2590</v>
      </c>
      <c r="AD205" s="2508"/>
      <c r="AE205" s="2508"/>
      <c r="AF205" s="2509"/>
      <c r="AG205" s="2499" t="s">
        <v>2589</v>
      </c>
      <c r="AH205" s="2494"/>
      <c r="AI205" s="2494"/>
      <c r="AJ205" s="2494"/>
      <c r="AK205" s="255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496"/>
      <c r="D206" s="2497"/>
      <c r="E206" s="2497"/>
      <c r="F206" s="2498"/>
      <c r="G206" s="2500"/>
      <c r="H206" s="2497"/>
      <c r="I206" s="2497"/>
      <c r="J206" s="2497"/>
      <c r="K206" s="2497"/>
      <c r="L206" s="2497"/>
      <c r="M206" s="2497"/>
      <c r="N206" s="2497"/>
      <c r="O206" s="2498"/>
      <c r="P206" s="2504"/>
      <c r="Q206" s="2505"/>
      <c r="R206" s="2505"/>
      <c r="S206" s="2505"/>
      <c r="T206" s="2506"/>
      <c r="U206" s="2510"/>
      <c r="V206" s="2511"/>
      <c r="W206" s="2511"/>
      <c r="X206" s="2512"/>
      <c r="Y206" s="2510"/>
      <c r="Z206" s="2511"/>
      <c r="AA206" s="2511"/>
      <c r="AB206" s="2512"/>
      <c r="AC206" s="2510"/>
      <c r="AD206" s="2511"/>
      <c r="AE206" s="2511"/>
      <c r="AF206" s="2512"/>
      <c r="AG206" s="2500"/>
      <c r="AH206" s="2497"/>
      <c r="AI206" s="2497"/>
      <c r="AJ206" s="2497"/>
      <c r="AK206" s="255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52">
        <v>1</v>
      </c>
      <c r="D207" s="2153"/>
      <c r="E207" s="2153"/>
      <c r="F207" s="2153"/>
      <c r="G207" s="2154" t="s">
        <v>2155</v>
      </c>
      <c r="H207" s="2154"/>
      <c r="I207" s="2154"/>
      <c r="J207" s="2154"/>
      <c r="K207" s="2154"/>
      <c r="L207" s="2154"/>
      <c r="M207" s="2154"/>
      <c r="N207" s="2154"/>
      <c r="O207" s="2154"/>
      <c r="P207" s="2155"/>
      <c r="Q207" s="2559"/>
      <c r="R207" s="2559"/>
      <c r="S207" s="2559"/>
      <c r="T207" s="2559"/>
      <c r="U207" s="2156" t="s">
        <v>2155</v>
      </c>
      <c r="V207" s="2156"/>
      <c r="W207" s="2156"/>
      <c r="X207" s="2156"/>
      <c r="Y207" s="2156" t="s">
        <v>2155</v>
      </c>
      <c r="Z207" s="2156"/>
      <c r="AA207" s="2156"/>
      <c r="AB207" s="2156"/>
      <c r="AC207" s="2157" t="s">
        <v>2155</v>
      </c>
      <c r="AD207" s="2157"/>
      <c r="AE207" s="2157"/>
      <c r="AF207" s="2157"/>
      <c r="AG207" s="2551"/>
      <c r="AH207" s="2552"/>
      <c r="AI207" s="2552"/>
      <c r="AJ207" s="2552"/>
      <c r="AK207" s="25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52">
        <v>2</v>
      </c>
      <c r="D208" s="2153"/>
      <c r="E208" s="2153"/>
      <c r="F208" s="2153"/>
      <c r="G208" s="2154" t="s">
        <v>2155</v>
      </c>
      <c r="H208" s="2154"/>
      <c r="I208" s="2154"/>
      <c r="J208" s="2154"/>
      <c r="K208" s="2154"/>
      <c r="L208" s="2154"/>
      <c r="M208" s="2154"/>
      <c r="N208" s="2154"/>
      <c r="O208" s="2154"/>
      <c r="P208" s="2155"/>
      <c r="Q208" s="2155"/>
      <c r="R208" s="2155"/>
      <c r="S208" s="2155"/>
      <c r="T208" s="2155"/>
      <c r="U208" s="2156" t="s">
        <v>2155</v>
      </c>
      <c r="V208" s="2156"/>
      <c r="W208" s="2156"/>
      <c r="X208" s="2156"/>
      <c r="Y208" s="2156" t="s">
        <v>2155</v>
      </c>
      <c r="Z208" s="2156"/>
      <c r="AA208" s="2156"/>
      <c r="AB208" s="2156"/>
      <c r="AC208" s="2157" t="s">
        <v>2155</v>
      </c>
      <c r="AD208" s="2157"/>
      <c r="AE208" s="2157"/>
      <c r="AF208" s="2157"/>
      <c r="AG208" s="2551"/>
      <c r="AH208" s="2552"/>
      <c r="AI208" s="2552"/>
      <c r="AJ208" s="2552"/>
      <c r="AK208" s="25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52">
        <v>3</v>
      </c>
      <c r="D209" s="2153"/>
      <c r="E209" s="2153"/>
      <c r="F209" s="2153"/>
      <c r="G209" s="2154" t="s">
        <v>2155</v>
      </c>
      <c r="H209" s="2154"/>
      <c r="I209" s="2154"/>
      <c r="J209" s="2154"/>
      <c r="K209" s="2154"/>
      <c r="L209" s="2154"/>
      <c r="M209" s="2154"/>
      <c r="N209" s="2154"/>
      <c r="O209" s="2154"/>
      <c r="P209" s="2155"/>
      <c r="Q209" s="2155"/>
      <c r="R209" s="2155"/>
      <c r="S209" s="2155"/>
      <c r="T209" s="2155"/>
      <c r="U209" s="2156" t="s">
        <v>2155</v>
      </c>
      <c r="V209" s="2156"/>
      <c r="W209" s="2156"/>
      <c r="X209" s="2156"/>
      <c r="Y209" s="2156" t="s">
        <v>2155</v>
      </c>
      <c r="Z209" s="2156"/>
      <c r="AA209" s="2156"/>
      <c r="AB209" s="2156"/>
      <c r="AC209" s="2157" t="s">
        <v>2155</v>
      </c>
      <c r="AD209" s="2157"/>
      <c r="AE209" s="2157"/>
      <c r="AF209" s="2157"/>
      <c r="AG209" s="2551"/>
      <c r="AH209" s="2552"/>
      <c r="AI209" s="2552"/>
      <c r="AJ209" s="2552"/>
      <c r="AK209" s="25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52">
        <v>4</v>
      </c>
      <c r="D210" s="2153"/>
      <c r="E210" s="2153"/>
      <c r="F210" s="2153"/>
      <c r="G210" s="2154" t="s">
        <v>2155</v>
      </c>
      <c r="H210" s="2154"/>
      <c r="I210" s="2154"/>
      <c r="J210" s="2154"/>
      <c r="K210" s="2154"/>
      <c r="L210" s="2154"/>
      <c r="M210" s="2154"/>
      <c r="N210" s="2154"/>
      <c r="O210" s="2154"/>
      <c r="P210" s="2155"/>
      <c r="Q210" s="2155"/>
      <c r="R210" s="2155"/>
      <c r="S210" s="2155"/>
      <c r="T210" s="2155"/>
      <c r="U210" s="2156" t="s">
        <v>2155</v>
      </c>
      <c r="V210" s="2156"/>
      <c r="W210" s="2156"/>
      <c r="X210" s="2156"/>
      <c r="Y210" s="2156" t="s">
        <v>2155</v>
      </c>
      <c r="Z210" s="2156"/>
      <c r="AA210" s="2156"/>
      <c r="AB210" s="2156"/>
      <c r="AC210" s="2157" t="s">
        <v>2155</v>
      </c>
      <c r="AD210" s="2157"/>
      <c r="AE210" s="2157"/>
      <c r="AF210" s="2157"/>
      <c r="AG210" s="2551"/>
      <c r="AH210" s="2552"/>
      <c r="AI210" s="2552"/>
      <c r="AJ210" s="2552"/>
      <c r="AK210" s="25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52">
        <v>5</v>
      </c>
      <c r="D211" s="2153"/>
      <c r="E211" s="2153"/>
      <c r="F211" s="2153"/>
      <c r="G211" s="2154"/>
      <c r="H211" s="2154"/>
      <c r="I211" s="2154"/>
      <c r="J211" s="2154"/>
      <c r="K211" s="2154"/>
      <c r="L211" s="2154"/>
      <c r="M211" s="2154"/>
      <c r="N211" s="2154"/>
      <c r="O211" s="2154"/>
      <c r="P211" s="2155"/>
      <c r="Q211" s="2155"/>
      <c r="R211" s="2155"/>
      <c r="S211" s="2155"/>
      <c r="T211" s="2155"/>
      <c r="U211" s="2156" t="s">
        <v>2155</v>
      </c>
      <c r="V211" s="2156"/>
      <c r="W211" s="2156"/>
      <c r="X211" s="2156"/>
      <c r="Y211" s="2156" t="s">
        <v>2155</v>
      </c>
      <c r="Z211" s="2156"/>
      <c r="AA211" s="2156"/>
      <c r="AB211" s="2156"/>
      <c r="AC211" s="2157" t="s">
        <v>2155</v>
      </c>
      <c r="AD211" s="2157"/>
      <c r="AE211" s="2157"/>
      <c r="AF211" s="2157"/>
      <c r="AG211" s="2551"/>
      <c r="AH211" s="2552"/>
      <c r="AI211" s="2552"/>
      <c r="AJ211" s="2552"/>
      <c r="AK211" s="25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52">
        <v>6</v>
      </c>
      <c r="D212" s="2153"/>
      <c r="E212" s="2153"/>
      <c r="F212" s="2153"/>
      <c r="G212" s="2154" t="s">
        <v>2155</v>
      </c>
      <c r="H212" s="2154"/>
      <c r="I212" s="2154"/>
      <c r="J212" s="2154"/>
      <c r="K212" s="2154"/>
      <c r="L212" s="2154"/>
      <c r="M212" s="2154"/>
      <c r="N212" s="2154"/>
      <c r="O212" s="2154"/>
      <c r="P212" s="2155"/>
      <c r="Q212" s="2155"/>
      <c r="R212" s="2155"/>
      <c r="S212" s="2155"/>
      <c r="T212" s="2155"/>
      <c r="U212" s="2156"/>
      <c r="V212" s="2156"/>
      <c r="W212" s="2156"/>
      <c r="X212" s="2156"/>
      <c r="Y212" s="2156"/>
      <c r="Z212" s="2156"/>
      <c r="AA212" s="2156"/>
      <c r="AB212" s="2156"/>
      <c r="AC212" s="2157" t="s">
        <v>2155</v>
      </c>
      <c r="AD212" s="2157"/>
      <c r="AE212" s="2157"/>
      <c r="AF212" s="2157"/>
      <c r="AG212" s="2551"/>
      <c r="AH212" s="2552"/>
      <c r="AI212" s="2552"/>
      <c r="AJ212" s="2552"/>
      <c r="AK212" s="25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52">
        <v>7</v>
      </c>
      <c r="D213" s="2153"/>
      <c r="E213" s="2153"/>
      <c r="F213" s="2153"/>
      <c r="G213" s="2158"/>
      <c r="H213" s="2159"/>
      <c r="I213" s="2159"/>
      <c r="J213" s="2159"/>
      <c r="K213" s="2159"/>
      <c r="L213" s="2159"/>
      <c r="M213" s="2159"/>
      <c r="N213" s="2159"/>
      <c r="O213" s="2160"/>
      <c r="P213" s="2155"/>
      <c r="Q213" s="2155"/>
      <c r="R213" s="2155"/>
      <c r="S213" s="2155"/>
      <c r="T213" s="2155"/>
      <c r="U213" s="2156"/>
      <c r="V213" s="2156"/>
      <c r="W213" s="2156"/>
      <c r="X213" s="2156"/>
      <c r="Y213" s="2156"/>
      <c r="Z213" s="2156"/>
      <c r="AA213" s="2156"/>
      <c r="AB213" s="2156"/>
      <c r="AC213" s="2157" t="s">
        <v>2155</v>
      </c>
      <c r="AD213" s="2157"/>
      <c r="AE213" s="2157"/>
      <c r="AF213" s="2157"/>
      <c r="AG213" s="2551"/>
      <c r="AH213" s="2552"/>
      <c r="AI213" s="2552"/>
      <c r="AJ213" s="2552"/>
      <c r="AK213" s="25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47" t="s">
        <v>2588</v>
      </c>
      <c r="D214" s="2148"/>
      <c r="E214" s="2148"/>
      <c r="F214" s="2148"/>
      <c r="G214" s="2148"/>
      <c r="H214" s="2148"/>
      <c r="I214" s="2148"/>
      <c r="J214" s="2148"/>
      <c r="K214" s="2148"/>
      <c r="L214" s="2148"/>
      <c r="M214" s="2148"/>
      <c r="N214" s="2148"/>
      <c r="O214" s="2148"/>
      <c r="P214" s="2149"/>
      <c r="Q214" s="2149"/>
      <c r="R214" s="2149"/>
      <c r="S214" s="2149"/>
      <c r="T214" s="2149"/>
      <c r="U214" s="2150">
        <v>0</v>
      </c>
      <c r="V214" s="2150"/>
      <c r="W214" s="2150"/>
      <c r="X214" s="2150"/>
      <c r="Y214" s="2150">
        <v>0</v>
      </c>
      <c r="Z214" s="2150"/>
      <c r="AA214" s="2150"/>
      <c r="AB214" s="2150"/>
      <c r="AC214" s="2151">
        <v>0</v>
      </c>
      <c r="AD214" s="2151"/>
      <c r="AE214" s="2151"/>
      <c r="AF214" s="2151"/>
      <c r="AG214" s="2554"/>
      <c r="AH214" s="2555"/>
      <c r="AI214" s="2555"/>
      <c r="AJ214" s="2555"/>
      <c r="AK214" s="255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27" t="s">
        <v>1855</v>
      </c>
      <c r="C219" s="2528"/>
      <c r="D219" s="2528"/>
      <c r="E219" s="2528"/>
      <c r="F219" s="2528"/>
      <c r="G219" s="2528"/>
      <c r="H219" s="2528"/>
      <c r="I219" s="2528"/>
      <c r="J219" s="2528"/>
      <c r="K219" s="2528"/>
      <c r="L219" s="2528"/>
      <c r="M219" s="2528"/>
      <c r="N219" s="2528"/>
      <c r="O219" s="2528"/>
      <c r="P219" s="2528"/>
      <c r="Q219" s="2528"/>
      <c r="R219" s="2528"/>
      <c r="S219" s="2528"/>
      <c r="T219" s="2528"/>
      <c r="U219" s="2528"/>
      <c r="V219" s="2528"/>
      <c r="W219" s="2528"/>
      <c r="X219" s="2528"/>
      <c r="Y219" s="2528"/>
      <c r="Z219" s="2528"/>
      <c r="AA219" s="2528"/>
      <c r="AB219" s="2528"/>
      <c r="AC219" s="2528"/>
      <c r="AD219" s="2528"/>
      <c r="AE219" s="2528"/>
      <c r="AF219" s="2528"/>
      <c r="AG219" s="2528"/>
      <c r="AH219" s="2528"/>
      <c r="AI219" s="2528"/>
      <c r="AJ219" s="2528"/>
      <c r="AK219" s="2528"/>
      <c r="AL219" s="2528"/>
      <c r="AM219" s="2528"/>
      <c r="AN219" s="2528"/>
      <c r="AO219" s="2528"/>
      <c r="AP219" s="2528"/>
      <c r="AQ219" s="2528"/>
      <c r="AR219" s="2528"/>
      <c r="AS219" s="2528"/>
      <c r="AT219" s="2528"/>
      <c r="AU219" s="2528"/>
      <c r="AV219" s="2528"/>
      <c r="AW219" s="2528"/>
      <c r="AX219" s="2528"/>
      <c r="AY219" s="2528"/>
      <c r="AZ219" s="2528"/>
      <c r="BA219" s="2528"/>
      <c r="BB219" s="2528"/>
      <c r="BC219" s="2528"/>
      <c r="BD219" s="2529"/>
      <c r="BE219" s="1205"/>
    </row>
    <row r="220" spans="1:57" ht="15.75" customHeight="1">
      <c r="A220" s="1209"/>
      <c r="B220" s="2530"/>
      <c r="C220" s="2531"/>
      <c r="D220" s="2531"/>
      <c r="E220" s="2531"/>
      <c r="F220" s="2531"/>
      <c r="G220" s="2531"/>
      <c r="H220" s="2531"/>
      <c r="I220" s="2531"/>
      <c r="J220" s="2531"/>
      <c r="K220" s="2531"/>
      <c r="L220" s="2531"/>
      <c r="M220" s="2531"/>
      <c r="N220" s="2531"/>
      <c r="O220" s="2531"/>
      <c r="P220" s="2531"/>
      <c r="Q220" s="2531"/>
      <c r="R220" s="2531"/>
      <c r="S220" s="2531"/>
      <c r="T220" s="2531"/>
      <c r="U220" s="2531"/>
      <c r="V220" s="2531"/>
      <c r="W220" s="2531"/>
      <c r="X220" s="2531"/>
      <c r="Y220" s="2531"/>
      <c r="Z220" s="2531"/>
      <c r="AA220" s="2531"/>
      <c r="AB220" s="2531"/>
      <c r="AC220" s="2531"/>
      <c r="AD220" s="2531"/>
      <c r="AE220" s="2531"/>
      <c r="AF220" s="2531"/>
      <c r="AG220" s="2531"/>
      <c r="AH220" s="2531"/>
      <c r="AI220" s="2531"/>
      <c r="AJ220" s="2531"/>
      <c r="AK220" s="2531"/>
      <c r="AL220" s="2531"/>
      <c r="AM220" s="2531"/>
      <c r="AN220" s="2531"/>
      <c r="AO220" s="2531"/>
      <c r="AP220" s="2531"/>
      <c r="AQ220" s="2531"/>
      <c r="AR220" s="2531"/>
      <c r="AS220" s="2531"/>
      <c r="AT220" s="2531"/>
      <c r="AU220" s="2531"/>
      <c r="AV220" s="2531"/>
      <c r="AW220" s="2531"/>
      <c r="AX220" s="2531"/>
      <c r="AY220" s="2531"/>
      <c r="AZ220" s="2531"/>
      <c r="BA220" s="2531"/>
      <c r="BB220" s="2531"/>
      <c r="BC220" s="2531"/>
      <c r="BD220" s="2532"/>
      <c r="BE220" s="1205"/>
    </row>
    <row r="221" spans="1:57" ht="15.75" customHeight="1">
      <c r="A221" s="1209"/>
      <c r="B221" s="2533" t="s">
        <v>1856</v>
      </c>
      <c r="C221" s="2534"/>
      <c r="D221" s="2534"/>
      <c r="E221" s="2534"/>
      <c r="F221" s="2534"/>
      <c r="G221" s="2534"/>
      <c r="H221" s="2534"/>
      <c r="I221" s="2534"/>
      <c r="J221" s="2534"/>
      <c r="K221" s="2534"/>
      <c r="L221" s="2534"/>
      <c r="M221" s="2534"/>
      <c r="N221" s="2534"/>
      <c r="O221" s="2534"/>
      <c r="P221" s="2534"/>
      <c r="Q221" s="2534"/>
      <c r="R221" s="2534"/>
      <c r="S221" s="2534"/>
      <c r="T221" s="2534"/>
      <c r="U221" s="2534"/>
      <c r="V221" s="2534"/>
      <c r="W221" s="2534"/>
      <c r="X221" s="2534"/>
      <c r="Y221" s="2534"/>
      <c r="Z221" s="2534"/>
      <c r="AA221" s="2534"/>
      <c r="AB221" s="2534"/>
      <c r="AC221" s="2534"/>
      <c r="AD221" s="2534"/>
      <c r="AE221" s="2534"/>
      <c r="AF221" s="2534"/>
      <c r="AG221" s="2534"/>
      <c r="AH221" s="2534"/>
      <c r="AI221" s="2534"/>
      <c r="AJ221" s="2534"/>
      <c r="AK221" s="2534"/>
      <c r="AL221" s="2534"/>
      <c r="AM221" s="2534"/>
      <c r="AN221" s="2534"/>
      <c r="AO221" s="2534"/>
      <c r="AP221" s="2534"/>
      <c r="AQ221" s="2534"/>
      <c r="AR221" s="2534"/>
      <c r="AS221" s="2534"/>
      <c r="AT221" s="2534"/>
      <c r="AU221" s="2534"/>
      <c r="AV221" s="2534"/>
      <c r="AW221" s="2534"/>
      <c r="AX221" s="2534"/>
      <c r="AY221" s="2534"/>
      <c r="AZ221" s="2534"/>
      <c r="BA221" s="2534"/>
      <c r="BB221" s="2534"/>
      <c r="BC221" s="2534"/>
      <c r="BD221" s="2535"/>
      <c r="BE221" s="1205"/>
    </row>
    <row r="222" spans="1:57" ht="15.75" customHeight="1">
      <c r="A222" s="1209"/>
      <c r="B222" s="2533" t="s">
        <v>1857</v>
      </c>
      <c r="C222" s="2534"/>
      <c r="D222" s="2534"/>
      <c r="E222" s="2534"/>
      <c r="F222" s="2534"/>
      <c r="G222" s="2534"/>
      <c r="H222" s="2534"/>
      <c r="I222" s="2534"/>
      <c r="J222" s="2534"/>
      <c r="K222" s="2534"/>
      <c r="L222" s="2534"/>
      <c r="M222" s="2534"/>
      <c r="N222" s="2534"/>
      <c r="O222" s="2534"/>
      <c r="P222" s="2534"/>
      <c r="Q222" s="2534"/>
      <c r="R222" s="2534"/>
      <c r="S222" s="2534"/>
      <c r="T222" s="2534"/>
      <c r="U222" s="2534"/>
      <c r="V222" s="2534"/>
      <c r="W222" s="2534"/>
      <c r="X222" s="2534"/>
      <c r="Y222" s="2534"/>
      <c r="Z222" s="2534"/>
      <c r="AA222" s="2534"/>
      <c r="AB222" s="2534"/>
      <c r="AC222" s="2534"/>
      <c r="AD222" s="2534"/>
      <c r="AE222" s="2534"/>
      <c r="AF222" s="2534"/>
      <c r="AG222" s="2534"/>
      <c r="AH222" s="2534"/>
      <c r="AI222" s="2534"/>
      <c r="AJ222" s="2534"/>
      <c r="AK222" s="2534"/>
      <c r="AL222" s="2534"/>
      <c r="AM222" s="2534"/>
      <c r="AN222" s="2534"/>
      <c r="AO222" s="2534"/>
      <c r="AP222" s="2534"/>
      <c r="AQ222" s="2534"/>
      <c r="AR222" s="2534"/>
      <c r="AS222" s="2534"/>
      <c r="AT222" s="2534"/>
      <c r="AU222" s="2534"/>
      <c r="AV222" s="2534"/>
      <c r="AW222" s="2534"/>
      <c r="AX222" s="2534"/>
      <c r="AY222" s="2534"/>
      <c r="AZ222" s="2534"/>
      <c r="BA222" s="2534"/>
      <c r="BB222" s="2534"/>
      <c r="BC222" s="2534"/>
      <c r="BD222" s="253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36" t="s">
        <v>1858</v>
      </c>
      <c r="C224" s="2537"/>
      <c r="D224" s="2537"/>
      <c r="E224" s="2537"/>
      <c r="F224" s="2537"/>
      <c r="G224" s="2537"/>
      <c r="H224" s="2537"/>
      <c r="I224" s="2537"/>
      <c r="J224" s="2537"/>
      <c r="K224" s="2537"/>
      <c r="L224" s="2537"/>
      <c r="M224" s="2537"/>
      <c r="N224" s="2537"/>
      <c r="O224" s="2537"/>
      <c r="P224" s="2537"/>
      <c r="Q224" s="2537"/>
      <c r="R224" s="2537"/>
      <c r="S224" s="2537"/>
      <c r="T224" s="2537"/>
      <c r="U224" s="2537"/>
      <c r="V224" s="2537"/>
      <c r="W224" s="2537"/>
      <c r="X224" s="2537"/>
      <c r="Y224" s="2537"/>
      <c r="Z224" s="2537"/>
      <c r="AA224" s="2537"/>
      <c r="AB224" s="2537"/>
      <c r="AC224" s="2537"/>
      <c r="AD224" s="2537"/>
      <c r="AE224" s="2537"/>
      <c r="AF224" s="2537"/>
      <c r="AG224" s="2537"/>
      <c r="AH224" s="2537"/>
      <c r="AI224" s="2537"/>
      <c r="AJ224" s="2537"/>
      <c r="AK224" s="2537"/>
      <c r="AL224" s="2537"/>
      <c r="AM224" s="2537"/>
      <c r="AN224" s="2537"/>
      <c r="AO224" s="2537"/>
      <c r="AP224" s="2537"/>
      <c r="AQ224" s="2537"/>
      <c r="AR224" s="2537"/>
      <c r="AS224" s="2537"/>
      <c r="AT224" s="2537"/>
      <c r="AU224" s="2537"/>
      <c r="AV224" s="2537"/>
      <c r="AW224" s="2537"/>
      <c r="AX224" s="2537"/>
      <c r="AY224" s="2537"/>
      <c r="AZ224" s="2537"/>
      <c r="BA224" s="2537"/>
      <c r="BB224" s="2537"/>
      <c r="BC224" s="2537"/>
      <c r="BD224" s="253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50" t="s">
        <v>1860</v>
      </c>
      <c r="I228" s="2550"/>
      <c r="J228" s="2550"/>
      <c r="K228" s="2550"/>
      <c r="L228" s="2550"/>
      <c r="M228" s="2550"/>
      <c r="N228" s="2550"/>
      <c r="O228" s="2550"/>
      <c r="P228" s="2550"/>
      <c r="Q228" s="2550"/>
      <c r="R228" s="2550"/>
      <c r="S228" s="2550"/>
      <c r="T228" s="2550"/>
      <c r="U228" s="2550"/>
      <c r="V228" s="2550"/>
      <c r="W228" s="2550"/>
      <c r="X228" s="2550"/>
      <c r="Y228" s="2550"/>
      <c r="Z228" s="2550"/>
      <c r="AA228" s="2550"/>
      <c r="AB228" s="2550"/>
      <c r="AC228" s="2550"/>
      <c r="AD228" s="2550"/>
      <c r="AE228" s="2550"/>
      <c r="AF228" s="2550"/>
      <c r="AG228" s="2550"/>
      <c r="AH228" s="2550"/>
      <c r="AI228" s="2550"/>
      <c r="AJ228" s="2550"/>
      <c r="AK228" s="2550"/>
      <c r="AL228" s="2550"/>
      <c r="AM228" s="2550"/>
      <c r="AN228" s="2550"/>
      <c r="AO228" s="2550"/>
      <c r="AP228" s="2550"/>
      <c r="AQ228" s="2550"/>
      <c r="AR228" s="2550"/>
      <c r="AS228" s="2550"/>
      <c r="AT228" s="2550"/>
      <c r="AU228" s="2550"/>
      <c r="AV228" s="2550"/>
      <c r="AW228" s="2550"/>
      <c r="AX228" s="2550"/>
      <c r="AY228" s="255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49" t="s">
        <v>2499</v>
      </c>
      <c r="I230" s="2549"/>
      <c r="J230" s="2549"/>
      <c r="K230" s="2549"/>
      <c r="L230" s="2549"/>
      <c r="M230" s="2549"/>
      <c r="N230" s="2549"/>
      <c r="O230" s="2549"/>
      <c r="P230" s="2549"/>
      <c r="Q230" s="2549"/>
      <c r="R230" s="2549"/>
      <c r="S230" s="2549"/>
      <c r="T230" s="2549"/>
      <c r="U230" s="2549"/>
      <c r="V230" s="2549"/>
      <c r="W230" s="2549"/>
      <c r="X230" s="2549"/>
      <c r="Y230" s="2549"/>
      <c r="Z230" s="2549"/>
      <c r="AA230" s="2549"/>
      <c r="AB230" s="2549"/>
      <c r="AC230" s="2549"/>
      <c r="AD230" s="2549"/>
      <c r="AE230" s="2549"/>
      <c r="AF230" s="2549"/>
      <c r="AG230" s="2549"/>
      <c r="AH230" s="2549"/>
      <c r="AI230" s="2549"/>
      <c r="AJ230" s="2549"/>
      <c r="AK230" s="2549"/>
      <c r="AL230" s="2549"/>
      <c r="AM230" s="2549"/>
      <c r="AN230" s="2549"/>
      <c r="AO230" s="2549"/>
      <c r="AP230" s="2549"/>
      <c r="AQ230" s="2549"/>
      <c r="AR230" s="2549"/>
      <c r="AS230" s="2549"/>
      <c r="AT230" s="2549"/>
      <c r="AU230" s="2549"/>
      <c r="AV230" s="2549"/>
      <c r="AW230" s="2549"/>
      <c r="AX230" s="2549"/>
      <c r="AY230" s="2549"/>
      <c r="AZ230" s="2549"/>
      <c r="BA230" s="1209"/>
      <c r="BB230" s="1209"/>
      <c r="BC230" s="1209"/>
      <c r="BD230" s="1205"/>
      <c r="BE230" s="1205"/>
    </row>
    <row r="231" spans="1:57" ht="15.75" customHeight="1">
      <c r="A231" s="1209"/>
      <c r="B231" s="1215"/>
      <c r="C231" s="1209"/>
      <c r="D231" s="1209"/>
      <c r="E231" s="1209"/>
      <c r="F231" s="1209"/>
      <c r="G231" s="1209"/>
      <c r="H231" s="2549"/>
      <c r="I231" s="2549"/>
      <c r="J231" s="2549"/>
      <c r="K231" s="2549"/>
      <c r="L231" s="2549"/>
      <c r="M231" s="2549"/>
      <c r="N231" s="2549"/>
      <c r="O231" s="2549"/>
      <c r="P231" s="2549"/>
      <c r="Q231" s="2549"/>
      <c r="R231" s="2549"/>
      <c r="S231" s="2549"/>
      <c r="T231" s="2549"/>
      <c r="U231" s="2549"/>
      <c r="V231" s="2549"/>
      <c r="W231" s="2549"/>
      <c r="X231" s="2549"/>
      <c r="Y231" s="2549"/>
      <c r="Z231" s="2549"/>
      <c r="AA231" s="2549"/>
      <c r="AB231" s="2549"/>
      <c r="AC231" s="2549"/>
      <c r="AD231" s="2549"/>
      <c r="AE231" s="2549"/>
      <c r="AF231" s="2549"/>
      <c r="AG231" s="2549"/>
      <c r="AH231" s="2549"/>
      <c r="AI231" s="2549"/>
      <c r="AJ231" s="2549"/>
      <c r="AK231" s="2549"/>
      <c r="AL231" s="2549"/>
      <c r="AM231" s="2549"/>
      <c r="AN231" s="2549"/>
      <c r="AO231" s="2549"/>
      <c r="AP231" s="2549"/>
      <c r="AQ231" s="2549"/>
      <c r="AR231" s="2549"/>
      <c r="AS231" s="2549"/>
      <c r="AT231" s="2549"/>
      <c r="AU231" s="2549"/>
      <c r="AV231" s="2549"/>
      <c r="AW231" s="2549"/>
      <c r="AX231" s="2549"/>
      <c r="AY231" s="2549"/>
      <c r="AZ231" s="2549"/>
      <c r="BA231" s="1209"/>
      <c r="BB231" s="1209"/>
      <c r="BC231" s="1209"/>
      <c r="BD231" s="1205"/>
      <c r="BE231" s="1205"/>
    </row>
    <row r="232" spans="1:57" ht="15.75" customHeight="1">
      <c r="A232" s="1209"/>
      <c r="B232" s="1215"/>
      <c r="C232" s="1209"/>
      <c r="D232" s="1209"/>
      <c r="E232" s="1209"/>
      <c r="F232" s="1209"/>
      <c r="G232" s="1209"/>
      <c r="H232" s="2549"/>
      <c r="I232" s="2549"/>
      <c r="J232" s="2549"/>
      <c r="K232" s="2549"/>
      <c r="L232" s="2549"/>
      <c r="M232" s="2549"/>
      <c r="N232" s="2549"/>
      <c r="O232" s="2549"/>
      <c r="P232" s="2549"/>
      <c r="Q232" s="2549"/>
      <c r="R232" s="2549"/>
      <c r="S232" s="2549"/>
      <c r="T232" s="2549"/>
      <c r="U232" s="2549"/>
      <c r="V232" s="2549"/>
      <c r="W232" s="2549"/>
      <c r="X232" s="2549"/>
      <c r="Y232" s="2549"/>
      <c r="Z232" s="2549"/>
      <c r="AA232" s="2549"/>
      <c r="AB232" s="2549"/>
      <c r="AC232" s="2549"/>
      <c r="AD232" s="2549"/>
      <c r="AE232" s="2549"/>
      <c r="AF232" s="2549"/>
      <c r="AG232" s="2549"/>
      <c r="AH232" s="2549"/>
      <c r="AI232" s="2549"/>
      <c r="AJ232" s="2549"/>
      <c r="AK232" s="2549"/>
      <c r="AL232" s="2549"/>
      <c r="AM232" s="2549"/>
      <c r="AN232" s="2549"/>
      <c r="AO232" s="2549"/>
      <c r="AP232" s="2549"/>
      <c r="AQ232" s="2549"/>
      <c r="AR232" s="2549"/>
      <c r="AS232" s="2549"/>
      <c r="AT232" s="2549"/>
      <c r="AU232" s="2549"/>
      <c r="AV232" s="2549"/>
      <c r="AW232" s="2549"/>
      <c r="AX232" s="2549"/>
      <c r="AY232" s="2549"/>
      <c r="AZ232" s="2549"/>
      <c r="BA232" s="1209"/>
      <c r="BB232" s="1209"/>
      <c r="BC232" s="1209"/>
      <c r="BD232" s="1205"/>
      <c r="BE232" s="1205"/>
    </row>
    <row r="233" spans="1:57" ht="15.75" customHeight="1">
      <c r="A233" s="1209"/>
      <c r="B233" s="1215"/>
      <c r="C233" s="1209"/>
      <c r="D233" s="1209"/>
      <c r="E233" s="1209"/>
      <c r="F233" s="1209"/>
      <c r="G233" s="1209"/>
      <c r="H233" s="2549"/>
      <c r="I233" s="2549"/>
      <c r="J233" s="2549"/>
      <c r="K233" s="2549"/>
      <c r="L233" s="2549"/>
      <c r="M233" s="2549"/>
      <c r="N233" s="2549"/>
      <c r="O233" s="2549"/>
      <c r="P233" s="2549"/>
      <c r="Q233" s="2549"/>
      <c r="R233" s="2549"/>
      <c r="S233" s="2549"/>
      <c r="T233" s="2549"/>
      <c r="U233" s="2549"/>
      <c r="V233" s="2549"/>
      <c r="W233" s="2549"/>
      <c r="X233" s="2549"/>
      <c r="Y233" s="2549"/>
      <c r="Z233" s="2549"/>
      <c r="AA233" s="2549"/>
      <c r="AB233" s="2549"/>
      <c r="AC233" s="2549"/>
      <c r="AD233" s="2549"/>
      <c r="AE233" s="2549"/>
      <c r="AF233" s="2549"/>
      <c r="AG233" s="2549"/>
      <c r="AH233" s="2549"/>
      <c r="AI233" s="2549"/>
      <c r="AJ233" s="2549"/>
      <c r="AK233" s="2549"/>
      <c r="AL233" s="2549"/>
      <c r="AM233" s="2549"/>
      <c r="AN233" s="2549"/>
      <c r="AO233" s="2549"/>
      <c r="AP233" s="2549"/>
      <c r="AQ233" s="2549"/>
      <c r="AR233" s="2549"/>
      <c r="AS233" s="2549"/>
      <c r="AT233" s="2549"/>
      <c r="AU233" s="2549"/>
      <c r="AV233" s="2549"/>
      <c r="AW233" s="2549"/>
      <c r="AX233" s="2549"/>
      <c r="AY233" s="2549"/>
      <c r="AZ233" s="254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48" t="s">
        <v>1861</v>
      </c>
      <c r="I235" s="2548"/>
      <c r="J235" s="2548"/>
      <c r="K235" s="2548"/>
      <c r="L235" s="2548"/>
      <c r="M235" s="2548"/>
      <c r="N235" s="2548"/>
      <c r="O235" s="2548"/>
      <c r="P235" s="2548"/>
      <c r="Q235" s="2548"/>
      <c r="R235" s="2548"/>
      <c r="S235" s="2548"/>
      <c r="T235" s="2548"/>
      <c r="U235" s="2548"/>
      <c r="V235" s="2548"/>
      <c r="W235" s="2548"/>
      <c r="X235" s="2548"/>
      <c r="Y235" s="2548"/>
      <c r="Z235" s="2548"/>
      <c r="AA235" s="2548"/>
      <c r="AB235" s="2548"/>
      <c r="AC235" s="2548"/>
      <c r="AD235" s="2548"/>
      <c r="AE235" s="2548"/>
      <c r="AF235" s="2548"/>
      <c r="AG235" s="2548"/>
      <c r="AH235" s="2548"/>
      <c r="AI235" s="2548"/>
      <c r="AJ235" s="2548"/>
      <c r="AK235" s="2548"/>
      <c r="AL235" s="2548"/>
      <c r="AM235" s="2548"/>
      <c r="AN235" s="2548"/>
      <c r="AO235" s="2548"/>
      <c r="AP235" s="2548"/>
      <c r="AQ235" s="2548"/>
      <c r="AR235" s="2548"/>
      <c r="AS235" s="2548"/>
      <c r="AT235" s="2548"/>
      <c r="AU235" s="2548"/>
      <c r="AV235" s="254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24" t="s">
        <v>1862</v>
      </c>
      <c r="I237" s="2524"/>
      <c r="J237" s="2524"/>
      <c r="K237" s="2524"/>
      <c r="L237" s="1211"/>
      <c r="M237" s="1211"/>
      <c r="N237" s="1211"/>
      <c r="O237" s="1211"/>
      <c r="P237" s="1211"/>
      <c r="Q237" s="1211"/>
      <c r="R237" s="1211"/>
      <c r="S237" s="2545"/>
      <c r="T237" s="2546"/>
      <c r="U237" s="2546"/>
      <c r="V237" s="2546"/>
      <c r="W237" s="2546"/>
      <c r="X237" s="2546"/>
      <c r="Y237" s="2546"/>
      <c r="Z237" s="2546"/>
      <c r="AA237" s="2546"/>
      <c r="AB237" s="2546"/>
      <c r="AC237" s="2546"/>
      <c r="AD237" s="2546"/>
      <c r="AE237" s="2546"/>
      <c r="AF237" s="2546"/>
      <c r="AG237" s="2546"/>
      <c r="AH237" s="2546"/>
      <c r="AI237" s="2546"/>
      <c r="AJ237" s="254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24" t="s">
        <v>1863</v>
      </c>
      <c r="I239" s="2524"/>
      <c r="J239" s="2524"/>
      <c r="K239" s="1213"/>
      <c r="L239" s="1211"/>
      <c r="M239" s="1211"/>
      <c r="N239" s="1211"/>
      <c r="O239" s="1211"/>
      <c r="P239" s="1211"/>
      <c r="Q239" s="1211"/>
      <c r="R239" s="1211"/>
      <c r="S239" s="2542"/>
      <c r="T239" s="2543"/>
      <c r="U239" s="2543"/>
      <c r="V239" s="2543"/>
      <c r="W239" s="2543"/>
      <c r="X239" s="2543"/>
      <c r="Y239" s="2543"/>
      <c r="Z239" s="2543"/>
      <c r="AA239" s="2543"/>
      <c r="AB239" s="2543"/>
      <c r="AC239" s="2543"/>
      <c r="AD239" s="2543"/>
      <c r="AE239" s="2543"/>
      <c r="AF239" s="2543"/>
      <c r="AG239" s="2543"/>
      <c r="AH239" s="2543"/>
      <c r="AI239" s="2543"/>
      <c r="AJ239" s="254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24" t="s">
        <v>444</v>
      </c>
      <c r="I241" s="2524"/>
      <c r="J241" s="1213"/>
      <c r="K241" s="1213"/>
      <c r="L241" s="1211"/>
      <c r="M241" s="1211"/>
      <c r="N241" s="1211"/>
      <c r="O241" s="1211"/>
      <c r="P241" s="1211"/>
      <c r="Q241" s="1211"/>
      <c r="R241" s="1211"/>
      <c r="S241" s="2542"/>
      <c r="T241" s="2543"/>
      <c r="U241" s="2543"/>
      <c r="V241" s="2543"/>
      <c r="W241" s="2543"/>
      <c r="X241" s="2543"/>
      <c r="Y241" s="2543"/>
      <c r="Z241" s="2543"/>
      <c r="AA241" s="2543"/>
      <c r="AB241" s="2543"/>
      <c r="AC241" s="2543"/>
      <c r="AD241" s="2543"/>
      <c r="AE241" s="2543"/>
      <c r="AF241" s="2543"/>
      <c r="AG241" s="2543"/>
      <c r="AH241" s="2543"/>
      <c r="AI241" s="2543"/>
      <c r="AJ241" s="254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25" t="s">
        <v>1864</v>
      </c>
      <c r="I243" s="2525"/>
      <c r="J243" s="2525"/>
      <c r="K243" s="2525"/>
      <c r="L243" s="2525"/>
      <c r="M243" s="2525"/>
      <c r="N243" s="2525"/>
      <c r="O243" s="2525"/>
      <c r="P243" s="1211"/>
      <c r="Q243" s="1211"/>
      <c r="R243" s="1211"/>
      <c r="S243" s="2542"/>
      <c r="T243" s="2543"/>
      <c r="U243" s="2543"/>
      <c r="V243" s="2543"/>
      <c r="W243" s="2543"/>
      <c r="X243" s="2543"/>
      <c r="Y243" s="2543"/>
      <c r="Z243" s="2543"/>
      <c r="AA243" s="2543"/>
      <c r="AB243" s="2543"/>
      <c r="AC243" s="2543"/>
      <c r="AD243" s="2543"/>
      <c r="AE243" s="2543"/>
      <c r="AF243" s="2543"/>
      <c r="AG243" s="2543"/>
      <c r="AH243" s="2543"/>
      <c r="AI243" s="2543"/>
      <c r="AJ243" s="254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26" t="s">
        <v>1865</v>
      </c>
      <c r="I245" s="2526"/>
      <c r="J245" s="1211"/>
      <c r="K245" s="1211"/>
      <c r="L245" s="1211"/>
      <c r="M245" s="1211"/>
      <c r="N245" s="1211"/>
      <c r="O245" s="1211"/>
      <c r="P245" s="1211"/>
      <c r="Q245" s="1211"/>
      <c r="R245" s="1211"/>
      <c r="S245" s="2539"/>
      <c r="T245" s="2540"/>
      <c r="U245" s="2540"/>
      <c r="V245" s="2540"/>
      <c r="W245" s="2540"/>
      <c r="X245" s="2540"/>
      <c r="Y245" s="2540"/>
      <c r="Z245" s="2540"/>
      <c r="AA245" s="2540"/>
      <c r="AB245" s="2540"/>
      <c r="AC245" s="2540"/>
      <c r="AD245" s="2540"/>
      <c r="AE245" s="2540"/>
      <c r="AF245" s="2540"/>
      <c r="AG245" s="2540"/>
      <c r="AH245" s="2540"/>
      <c r="AI245" s="2540"/>
      <c r="AJ245" s="254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Tie Breaker</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Dat Ksor</cp:lastModifiedBy>
  <cp:lastPrinted>2024-04-22T17:44:06Z</cp:lastPrinted>
  <dcterms:created xsi:type="dcterms:W3CDTF">2007-12-27T18:26:28Z</dcterms:created>
  <dcterms:modified xsi:type="dcterms:W3CDTF">2024-04-23T18:19:44Z</dcterms:modified>
</cp:coreProperties>
</file>