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showInkAnnotation="0" codeName="ThisWorkbook" defaultThemeVersion="124226"/>
  <mc:AlternateContent xmlns:mc="http://schemas.openxmlformats.org/markup-compatibility/2006">
    <mc:Choice Requires="x15">
      <x15ac:absPath xmlns:x15ac="http://schemas.microsoft.com/office/spreadsheetml/2010/11/ac" url="https://afhusa.sharepoint.com/sites/AFHSP/Shared Documents/RealEstateDev1/1 Active Projects/Alhambra (Mariposa)/3 Finance/e. Tax Credits/2024 TCAC/"/>
    </mc:Choice>
  </mc:AlternateContent>
  <xr:revisionPtr revIDLastSave="24" documentId="13_ncr:1_{38CC78B4-BF1C-4F63-96E8-97E9D13798CB}" xr6:coauthVersionLast="47" xr6:coauthVersionMax="47" xr10:uidLastSave="{12816B56-B578-42F9-9F5B-8C7E2A6CCC0E}"/>
  <bookViews>
    <workbookView xWindow="-90" yWindow="-90" windowWidth="19380" windowHeight="11460" firstSheet="3" activeTab="5"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Sources and Uses Budget" sheetId="4" r:id="rId5"/>
    <sheet name="Application" sheetId="3"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5"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5">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4">'Sources and Uses Budget'!$A$1:$T$139</definedName>
    <definedName name="_xlnm.Print_Area" localSheetId="8">'Tie Breaker'!$A$1:$I$114</definedName>
    <definedName name="_xlnm.Print_Titles" localSheetId="6">'Sources and Basis Breakdown'!$1:$2</definedName>
    <definedName name="_xlnm.Print_Titles" localSheetId="4">'Sources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5"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4" hidden="1">'Sources and Uses Budget'!$V:$IV</definedName>
    <definedName name="Z_ACB87C9A_02C3_4C83_BBE4_E2C44A4D81CD_.wvu.FilterData" localSheetId="5" hidden="1">Application!$842:$964</definedName>
    <definedName name="Z_ACB87C9A_02C3_4C83_BBE4_E2C44A4D81CD_.wvu.PrintArea" localSheetId="12" hidden="1">'15 Year Pro Forma'!$A$1:$AH$77</definedName>
    <definedName name="Z_ACB87C9A_02C3_4C83_BBE4_E2C44A4D81CD_.wvu.PrintArea" localSheetId="5"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561" i="3" l="1"/>
  <c r="Q555" i="3" l="1"/>
  <c r="Q558" i="3"/>
  <c r="Q556" i="3"/>
  <c r="C9" i="7" l="1"/>
  <c r="C7" i="7"/>
  <c r="C5" i="7"/>
  <c r="O718" i="3"/>
  <c r="T721" i="3"/>
  <c r="O721" i="3" s="1"/>
  <c r="T720" i="3"/>
  <c r="O720" i="3" s="1"/>
  <c r="T719" i="3"/>
  <c r="O719" i="3" s="1"/>
  <c r="T718" i="3"/>
  <c r="C61" i="7"/>
  <c r="AC890" i="3"/>
  <c r="AA949" i="3"/>
  <c r="AA948" i="3"/>
  <c r="AA947" i="3"/>
  <c r="I949" i="3"/>
  <c r="I948" i="3"/>
  <c r="I947" i="3"/>
  <c r="AA917" i="3"/>
  <c r="AG448" i="3" l="1"/>
  <c r="AG443" i="3"/>
  <c r="S92" i="4"/>
  <c r="S43" i="4"/>
  <c r="C80" i="4"/>
  <c r="C45" i="4"/>
  <c r="C30" i="4"/>
  <c r="E99" i="4"/>
  <c r="E84" i="4"/>
  <c r="E86" i="4"/>
  <c r="E87" i="4"/>
  <c r="E88" i="4"/>
  <c r="E89" i="4"/>
  <c r="E90" i="4"/>
  <c r="E92" i="4"/>
  <c r="E94" i="4"/>
  <c r="E95" i="4"/>
  <c r="E79" i="4"/>
  <c r="E75" i="4"/>
  <c r="E65" i="4"/>
  <c r="E66" i="4"/>
  <c r="E67" i="4"/>
  <c r="E68" i="4"/>
  <c r="E56" i="4"/>
  <c r="E57" i="4"/>
  <c r="E58" i="4"/>
  <c r="E59" i="4"/>
  <c r="E60" i="4"/>
  <c r="E46" i="4"/>
  <c r="E47" i="4"/>
  <c r="E49" i="4"/>
  <c r="E50" i="4"/>
  <c r="E51" i="4"/>
  <c r="E52" i="4"/>
  <c r="E29" i="4"/>
  <c r="E31" i="4"/>
  <c r="E32" i="4"/>
  <c r="E33" i="4"/>
  <c r="E34" i="4"/>
  <c r="E5" i="4"/>
  <c r="E4" i="4"/>
  <c r="H85" i="4"/>
  <c r="E85" i="4" s="1"/>
  <c r="C66" i="7"/>
  <c r="C68" i="7"/>
  <c r="C67" i="7"/>
  <c r="G45" i="13" l="1"/>
  <c r="S30" i="4"/>
  <c r="G99" i="13" l="1"/>
  <c r="G92" i="13"/>
  <c r="G91" i="13"/>
  <c r="G90" i="13"/>
  <c r="G89" i="13"/>
  <c r="G86" i="13"/>
  <c r="G85" i="13"/>
  <c r="G80" i="13"/>
  <c r="G79" i="13"/>
  <c r="G66" i="13"/>
  <c r="G65" i="13"/>
  <c r="G53" i="13"/>
  <c r="G52" i="13"/>
  <c r="G51" i="13"/>
  <c r="G50" i="13"/>
  <c r="G49" i="13"/>
  <c r="G48" i="13"/>
  <c r="G47" i="13"/>
  <c r="G46" i="13"/>
  <c r="G41" i="13"/>
  <c r="G40" i="13"/>
  <c r="G35" i="13"/>
  <c r="G33" i="13"/>
  <c r="G32" i="13"/>
  <c r="G31" i="13"/>
  <c r="G30" i="13"/>
  <c r="S99" i="4"/>
  <c r="S89" i="4"/>
  <c r="S86" i="4"/>
  <c r="S85" i="4"/>
  <c r="S80" i="4"/>
  <c r="S79" i="4"/>
  <c r="S53" i="4"/>
  <c r="S52" i="4"/>
  <c r="S51" i="4"/>
  <c r="S50" i="4"/>
  <c r="S49" i="4"/>
  <c r="S48" i="4"/>
  <c r="S47" i="4"/>
  <c r="S46" i="4"/>
  <c r="S41" i="4"/>
  <c r="S40" i="4"/>
  <c r="S37" i="4"/>
  <c r="S36" i="4"/>
  <c r="S35" i="4"/>
  <c r="S34" i="4"/>
  <c r="S33" i="4"/>
  <c r="S32" i="4"/>
  <c r="S31" i="4"/>
  <c r="C65" i="4"/>
  <c r="C56" i="4"/>
  <c r="Q627" i="3"/>
  <c r="C86" i="4"/>
  <c r="C85" i="4"/>
  <c r="C40" i="4"/>
  <c r="D33" i="4"/>
  <c r="D32" i="4"/>
  <c r="C33" i="4"/>
  <c r="C32" i="4"/>
  <c r="I10" i="7"/>
  <c r="K10" i="7" s="1"/>
  <c r="M10" i="7" s="1"/>
  <c r="O10" i="7" s="1"/>
  <c r="Q10" i="7" s="1"/>
  <c r="S10" i="7" s="1"/>
  <c r="U10" i="7" s="1"/>
  <c r="W10" i="7" s="1"/>
  <c r="Y10" i="7" s="1"/>
  <c r="AA10" i="7" s="1"/>
  <c r="AC10" i="7" s="1"/>
  <c r="AE10" i="7" s="1"/>
  <c r="AG10" i="7" s="1"/>
  <c r="G10" i="7"/>
  <c r="M960" i="3" l="1"/>
  <c r="L65" i="21" l="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00"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5" i="3"/>
  <c r="AH724" i="3"/>
  <c r="AH723" i="3"/>
  <c r="AH722"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R26" i="21" s="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66" i="4"/>
  <c r="B67" i="4"/>
  <c r="B68" i="4"/>
  <c r="B69" i="4"/>
  <c r="E69" i="4" s="1"/>
  <c r="R66" i="4"/>
  <c r="R67" i="4"/>
  <c r="R68" i="4"/>
  <c r="A104" i="11"/>
  <c r="C101" i="11"/>
  <c r="C102" i="11"/>
  <c r="C103" i="11"/>
  <c r="C104" i="11"/>
  <c r="B101" i="11"/>
  <c r="B102" i="11"/>
  <c r="B103" i="11"/>
  <c r="B104" i="11"/>
  <c r="D104" i="11" s="1"/>
  <c r="C85" i="11"/>
  <c r="C86" i="11"/>
  <c r="D86" i="11" s="1"/>
  <c r="C87" i="11"/>
  <c r="C88" i="11"/>
  <c r="C89" i="11"/>
  <c r="C90" i="11"/>
  <c r="C91" i="11"/>
  <c r="D91" i="11" s="1"/>
  <c r="C92" i="11"/>
  <c r="D92" i="11" s="1"/>
  <c r="C93" i="11"/>
  <c r="D93" i="11" s="1"/>
  <c r="C94" i="11"/>
  <c r="C95" i="11"/>
  <c r="C96" i="11"/>
  <c r="B85" i="11"/>
  <c r="B86" i="11"/>
  <c r="B87" i="11"/>
  <c r="D87" i="11" s="1"/>
  <c r="B88" i="11"/>
  <c r="B89" i="11"/>
  <c r="B90" i="11"/>
  <c r="B91" i="11"/>
  <c r="B92" i="11"/>
  <c r="B93" i="11"/>
  <c r="B94" i="11"/>
  <c r="B95" i="11"/>
  <c r="B96" i="11"/>
  <c r="A70" i="11"/>
  <c r="C67" i="11"/>
  <c r="C68" i="11"/>
  <c r="C69" i="11"/>
  <c r="C70" i="11"/>
  <c r="D70" i="11" s="1"/>
  <c r="B67" i="11"/>
  <c r="B68" i="11"/>
  <c r="B69" i="11"/>
  <c r="B70" i="11"/>
  <c r="B71" i="11" s="1"/>
  <c r="A62" i="11"/>
  <c r="A54" i="11"/>
  <c r="A38" i="11"/>
  <c r="A26" i="11"/>
  <c r="C31" i="11"/>
  <c r="D31" i="11" s="1"/>
  <c r="C32" i="11"/>
  <c r="C33" i="11"/>
  <c r="C34" i="11"/>
  <c r="D34" i="11" s="1"/>
  <c r="C35" i="11"/>
  <c r="C36" i="11"/>
  <c r="D36" i="11" s="1"/>
  <c r="C37" i="11"/>
  <c r="C38" i="11"/>
  <c r="B31" i="11"/>
  <c r="B32" i="11"/>
  <c r="B33" i="11"/>
  <c r="B34" i="11"/>
  <c r="B35" i="11"/>
  <c r="B36" i="11"/>
  <c r="B37" i="11"/>
  <c r="B38" i="11"/>
  <c r="C24" i="11"/>
  <c r="C25" i="11"/>
  <c r="C26" i="11"/>
  <c r="C27" i="11" s="1"/>
  <c r="B25" i="11"/>
  <c r="B26" i="11"/>
  <c r="D70" i="4"/>
  <c r="C70" i="4"/>
  <c r="B70" i="13" s="1"/>
  <c r="C54" i="11"/>
  <c r="B54" i="11"/>
  <c r="D54" i="11" s="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9" i="7"/>
  <c r="I69" i="7"/>
  <c r="K69" i="7" s="1"/>
  <c r="M69" i="7" s="1"/>
  <c r="O69" i="7" s="1"/>
  <c r="Q69" i="7" s="1"/>
  <c r="S69" i="7" s="1"/>
  <c r="U69" i="7" s="1"/>
  <c r="W69" i="7" s="1"/>
  <c r="Y69" i="7" s="1"/>
  <c r="AA69" i="7" s="1"/>
  <c r="AC69" i="7" s="1"/>
  <c r="AE69" i="7" s="1"/>
  <c r="AG69" i="7" s="1"/>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D80" i="11" s="1"/>
  <c r="C81" i="11"/>
  <c r="B80" i="11"/>
  <c r="B81" i="11"/>
  <c r="B82" i="11" s="1"/>
  <c r="I96" i="13"/>
  <c r="J96" i="13"/>
  <c r="J81" i="13"/>
  <c r="I81" i="13"/>
  <c r="G81" i="13"/>
  <c r="F81" i="13"/>
  <c r="D81" i="13"/>
  <c r="C81" i="13"/>
  <c r="H80" i="13"/>
  <c r="E80" i="13"/>
  <c r="B80" i="13"/>
  <c r="R79" i="4"/>
  <c r="S70" i="4"/>
  <c r="E70" i="13"/>
  <c r="D81" i="4"/>
  <c r="F81" i="4"/>
  <c r="G81" i="4"/>
  <c r="H81" i="4"/>
  <c r="I81" i="4"/>
  <c r="J81" i="4"/>
  <c r="K81" i="4"/>
  <c r="L81" i="4"/>
  <c r="M81" i="4"/>
  <c r="N81" i="4"/>
  <c r="O81" i="4"/>
  <c r="P81" i="4"/>
  <c r="Q81" i="4"/>
  <c r="S81" i="4"/>
  <c r="E81" i="13"/>
  <c r="T81" i="4"/>
  <c r="H81" i="13"/>
  <c r="C81" i="4"/>
  <c r="B80" i="4"/>
  <c r="E80" i="4" s="1"/>
  <c r="R80" i="4"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4" s="1"/>
  <c r="B42" i="13"/>
  <c r="B41" i="13"/>
  <c r="B40" i="13"/>
  <c r="B37" i="13"/>
  <c r="B35" i="13"/>
  <c r="B34" i="13"/>
  <c r="B33" i="13"/>
  <c r="B32" i="13"/>
  <c r="B31" i="13"/>
  <c r="B30" i="13"/>
  <c r="B29" i="13"/>
  <c r="B27" i="13"/>
  <c r="B25" i="13"/>
  <c r="B23" i="13"/>
  <c r="B22" i="13"/>
  <c r="B21" i="13"/>
  <c r="B20" i="13"/>
  <c r="B19" i="13"/>
  <c r="B18" i="13"/>
  <c r="B17" i="13"/>
  <c r="B5" i="13"/>
  <c r="B6" i="13"/>
  <c r="B7" i="13"/>
  <c r="C8" i="4"/>
  <c r="B8" i="4" s="1"/>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95" i="4"/>
  <c r="R94" i="4"/>
  <c r="R92" i="4"/>
  <c r="R90" i="4"/>
  <c r="R89" i="4"/>
  <c r="R88" i="4"/>
  <c r="R87" i="4"/>
  <c r="R86" i="4"/>
  <c r="R85" i="4"/>
  <c r="R76" i="4"/>
  <c r="R75" i="4"/>
  <c r="R77" i="4" s="1"/>
  <c r="R72" i="4"/>
  <c r="R73" i="4"/>
  <c r="R74" i="4"/>
  <c r="R69" i="4"/>
  <c r="R65" i="4"/>
  <c r="R60" i="4"/>
  <c r="R59" i="4"/>
  <c r="R58" i="4"/>
  <c r="R57" i="4"/>
  <c r="R56" i="4"/>
  <c r="R53" i="4"/>
  <c r="R52" i="4"/>
  <c r="R51" i="4"/>
  <c r="R50" i="4"/>
  <c r="R49" i="4"/>
  <c r="R48" i="4"/>
  <c r="R47" i="4"/>
  <c r="R46" i="4"/>
  <c r="R45" i="4"/>
  <c r="R37" i="4"/>
  <c r="R34" i="4"/>
  <c r="R33" i="4"/>
  <c r="R32" i="4"/>
  <c r="R31" i="4"/>
  <c r="R29" i="4"/>
  <c r="R27" i="4"/>
  <c r="R25" i="4"/>
  <c r="R23" i="4"/>
  <c r="R22" i="4"/>
  <c r="R21" i="4"/>
  <c r="R20" i="4"/>
  <c r="R19" i="4"/>
  <c r="R18" i="4"/>
  <c r="R17" i="4"/>
  <c r="R15" i="4"/>
  <c r="R14" i="4"/>
  <c r="R9" i="4"/>
  <c r="R11" i="4"/>
  <c r="R7" i="4"/>
  <c r="R6" i="4"/>
  <c r="R5" i="4"/>
  <c r="R4" i="4"/>
  <c r="R8" i="4" s="1"/>
  <c r="B5" i="11"/>
  <c r="C5" i="11"/>
  <c r="B6" i="11"/>
  <c r="C6" i="11"/>
  <c r="C9" i="11" s="1"/>
  <c r="B7" i="11"/>
  <c r="C7" i="11"/>
  <c r="C8" i="11"/>
  <c r="B8" i="11"/>
  <c r="B10" i="11"/>
  <c r="B11" i="11"/>
  <c r="C10" i="11"/>
  <c r="C11" i="11"/>
  <c r="B14" i="11"/>
  <c r="C14" i="11"/>
  <c r="D14" i="11" s="1"/>
  <c r="B15" i="11"/>
  <c r="C15" i="11"/>
  <c r="B16" i="11"/>
  <c r="C16" i="11"/>
  <c r="B18" i="11"/>
  <c r="C18" i="11"/>
  <c r="B19" i="11"/>
  <c r="C19" i="11"/>
  <c r="B20" i="11"/>
  <c r="C20" i="11"/>
  <c r="B21" i="11"/>
  <c r="C21" i="11"/>
  <c r="B22" i="11"/>
  <c r="C22" i="11"/>
  <c r="B23" i="11"/>
  <c r="C23" i="11"/>
  <c r="B24" i="11"/>
  <c r="B28" i="11"/>
  <c r="C28" i="11"/>
  <c r="B30" i="11"/>
  <c r="C30" i="11"/>
  <c r="D30" i="11"/>
  <c r="D33" i="11"/>
  <c r="B41" i="11"/>
  <c r="C41" i="11"/>
  <c r="D41" i="11" s="1"/>
  <c r="C42" i="11"/>
  <c r="B42" i="11"/>
  <c r="B44" i="11"/>
  <c r="C44" i="11"/>
  <c r="B46" i="11"/>
  <c r="C46" i="11"/>
  <c r="B47" i="11"/>
  <c r="C47" i="11"/>
  <c r="D47" i="11" s="1"/>
  <c r="B48" i="11"/>
  <c r="B49" i="11"/>
  <c r="B50" i="11"/>
  <c r="B51" i="11"/>
  <c r="D51" i="11"/>
  <c r="B52" i="11"/>
  <c r="B53" i="11"/>
  <c r="C48" i="11"/>
  <c r="C49" i="11"/>
  <c r="D49" i="11" s="1"/>
  <c r="C50" i="11"/>
  <c r="C51" i="11"/>
  <c r="C52" i="11"/>
  <c r="D52" i="11" s="1"/>
  <c r="C53" i="11"/>
  <c r="D53" i="11" s="1"/>
  <c r="B57" i="11"/>
  <c r="C57" i="11"/>
  <c r="D57" i="11" s="1"/>
  <c r="B58" i="11"/>
  <c r="C58" i="11"/>
  <c r="B59" i="11"/>
  <c r="C59" i="11"/>
  <c r="B60" i="11"/>
  <c r="C60" i="11"/>
  <c r="B61" i="11"/>
  <c r="C61" i="11"/>
  <c r="D61" i="11" s="1"/>
  <c r="B62" i="11"/>
  <c r="C62" i="11"/>
  <c r="D62" i="11" s="1"/>
  <c r="B66" i="11"/>
  <c r="C66" i="11"/>
  <c r="B73" i="11"/>
  <c r="C73" i="11"/>
  <c r="B74" i="11"/>
  <c r="C74" i="11"/>
  <c r="B75" i="11"/>
  <c r="C75" i="11"/>
  <c r="B76" i="11"/>
  <c r="C76" i="11"/>
  <c r="B77" i="11"/>
  <c r="C77" i="11"/>
  <c r="B84" i="11"/>
  <c r="C84" i="11"/>
  <c r="D84" i="11" s="1"/>
  <c r="B100" i="11"/>
  <c r="C100" i="11"/>
  <c r="D100" i="11" s="1"/>
  <c r="A4" i="8"/>
  <c r="D4" i="8"/>
  <c r="I4" i="8" s="1"/>
  <c r="J4" i="8" s="1"/>
  <c r="A5" i="8"/>
  <c r="D5" i="8"/>
  <c r="I5" i="8" s="1"/>
  <c r="J5" i="8" s="1"/>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s="1"/>
  <c r="T42" i="4"/>
  <c r="H42" i="13"/>
  <c r="T54" i="4"/>
  <c r="H54" i="13"/>
  <c r="T70" i="4"/>
  <c r="H70" i="13"/>
  <c r="T96" i="4"/>
  <c r="H96" i="13"/>
  <c r="C11" i="4"/>
  <c r="B11" i="4" s="1"/>
  <c r="B26" i="13"/>
  <c r="C38" i="4"/>
  <c r="B38" i="13" s="1"/>
  <c r="C54" i="4"/>
  <c r="C62" i="4"/>
  <c r="B62" i="13" s="1"/>
  <c r="C77" i="4"/>
  <c r="B77" i="13" s="1"/>
  <c r="C96" i="4"/>
  <c r="B96" i="13" s="1"/>
  <c r="D8" i="4"/>
  <c r="D11" i="4"/>
  <c r="D26" i="4"/>
  <c r="D42" i="4"/>
  <c r="D54" i="4"/>
  <c r="D62" i="4"/>
  <c r="D77" i="4"/>
  <c r="D96" i="4"/>
  <c r="D104" i="4"/>
  <c r="E26" i="13"/>
  <c r="S38" i="4"/>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2" i="4" s="1"/>
  <c r="I11" i="4"/>
  <c r="J8" i="4"/>
  <c r="J11" i="4"/>
  <c r="J26" i="4"/>
  <c r="J38" i="4"/>
  <c r="J42" i="4"/>
  <c r="J54" i="4"/>
  <c r="J62" i="4"/>
  <c r="J70" i="4"/>
  <c r="J77" i="4"/>
  <c r="J96" i="4"/>
  <c r="J104" i="4"/>
  <c r="K8" i="4"/>
  <c r="K11" i="4"/>
  <c r="L8" i="4"/>
  <c r="L11" i="4"/>
  <c r="M8" i="4"/>
  <c r="M11" i="4"/>
  <c r="N8" i="4"/>
  <c r="O8" i="4"/>
  <c r="Q8" i="4"/>
  <c r="Q11" i="4"/>
  <c r="B9" i="4"/>
  <c r="B10" i="4"/>
  <c r="E11" i="4"/>
  <c r="F11" i="4"/>
  <c r="F26" i="4"/>
  <c r="F38" i="4"/>
  <c r="F63" i="4" s="1"/>
  <c r="F97" i="4" s="1"/>
  <c r="F105" i="4" s="1"/>
  <c r="F42" i="4"/>
  <c r="F54" i="4"/>
  <c r="F62" i="4"/>
  <c r="N11" i="4"/>
  <c r="O11" i="4"/>
  <c r="B13" i="4"/>
  <c r="B14" i="4"/>
  <c r="B15" i="4"/>
  <c r="B17" i="4"/>
  <c r="B18" i="4"/>
  <c r="B19" i="4"/>
  <c r="B20" i="4"/>
  <c r="B21" i="4"/>
  <c r="B22" i="4"/>
  <c r="B23" i="4"/>
  <c r="B25" i="4"/>
  <c r="E26" i="4"/>
  <c r="G26" i="4"/>
  <c r="H26" i="4"/>
  <c r="I26" i="4"/>
  <c r="I38" i="4"/>
  <c r="I42" i="4"/>
  <c r="I63" i="4" s="1"/>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E30" i="4" s="1"/>
  <c r="R30" i="4" s="1"/>
  <c r="B31" i="4"/>
  <c r="B32" i="4"/>
  <c r="B33" i="4"/>
  <c r="B34" i="4"/>
  <c r="B35" i="4"/>
  <c r="E35" i="4" s="1"/>
  <c r="R35" i="4" s="1"/>
  <c r="B37" i="4"/>
  <c r="G38" i="4"/>
  <c r="H38" i="4"/>
  <c r="H63" i="4" s="1"/>
  <c r="K38" i="4"/>
  <c r="L38" i="4"/>
  <c r="O38" i="4"/>
  <c r="P38" i="4"/>
  <c r="P42" i="4"/>
  <c r="P54" i="4"/>
  <c r="P62" i="4"/>
  <c r="P70" i="4"/>
  <c r="P77" i="4"/>
  <c r="P96" i="4"/>
  <c r="P104" i="4"/>
  <c r="Q38" i="4"/>
  <c r="B40" i="4"/>
  <c r="E40" i="4" s="1"/>
  <c r="R40" i="4" s="1"/>
  <c r="R42" i="4" s="1"/>
  <c r="B41" i="4"/>
  <c r="E41" i="4" s="1"/>
  <c r="R41" i="4" s="1"/>
  <c r="G42" i="4"/>
  <c r="H42" i="4"/>
  <c r="K42" i="4"/>
  <c r="L42" i="4"/>
  <c r="O42" i="4"/>
  <c r="Q42" i="4"/>
  <c r="B43" i="4"/>
  <c r="E43" i="4" s="1"/>
  <c r="R43" i="4" s="1"/>
  <c r="B45" i="4"/>
  <c r="E45" i="4" s="1"/>
  <c r="B46" i="4"/>
  <c r="B47" i="4"/>
  <c r="B48" i="4"/>
  <c r="E48" i="4" s="1"/>
  <c r="B49" i="4"/>
  <c r="B50" i="4"/>
  <c r="B51" i="4"/>
  <c r="B52" i="4"/>
  <c r="B53" i="4"/>
  <c r="E53" i="4" s="1"/>
  <c r="E54" i="4"/>
  <c r="G54" i="4"/>
  <c r="H54" i="4"/>
  <c r="K54" i="4"/>
  <c r="L54" i="4"/>
  <c r="O54" i="4"/>
  <c r="Q54" i="4"/>
  <c r="B56" i="4"/>
  <c r="B57" i="4"/>
  <c r="B58" i="4"/>
  <c r="B60" i="4"/>
  <c r="B61" i="4"/>
  <c r="E61" i="4" s="1"/>
  <c r="R61" i="4" s="1"/>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G83" i="4" s="1"/>
  <c r="E83" i="4" s="1"/>
  <c r="E96" i="4" s="1"/>
  <c r="B84" i="4"/>
  <c r="B85" i="4"/>
  <c r="B86" i="4"/>
  <c r="B87" i="4"/>
  <c r="B88" i="4"/>
  <c r="B89" i="4"/>
  <c r="B90" i="4"/>
  <c r="B91" i="4"/>
  <c r="E91" i="4" s="1"/>
  <c r="B92" i="4"/>
  <c r="B93" i="4"/>
  <c r="E93" i="4" s="1"/>
  <c r="R93" i="4" s="1"/>
  <c r="B94" i="4"/>
  <c r="B95" i="4"/>
  <c r="F96" i="4"/>
  <c r="G96" i="4"/>
  <c r="H96" i="4"/>
  <c r="I96" i="4"/>
  <c r="K96" i="4"/>
  <c r="L96" i="4"/>
  <c r="Q96" i="4"/>
  <c r="B101" i="4"/>
  <c r="B102" i="4"/>
  <c r="B103" i="4"/>
  <c r="E104" i="4"/>
  <c r="F104" i="4"/>
  <c r="G104" i="4"/>
  <c r="H104" i="4"/>
  <c r="I104" i="4"/>
  <c r="K104" i="4"/>
  <c r="L104" i="4"/>
  <c r="Q104" i="4"/>
  <c r="F108" i="4"/>
  <c r="G108" i="4"/>
  <c r="H108" i="4"/>
  <c r="I108" i="4"/>
  <c r="J108" i="4"/>
  <c r="K108" i="4"/>
  <c r="L108" i="4"/>
  <c r="M108" i="4"/>
  <c r="N108" i="4"/>
  <c r="O108" i="4"/>
  <c r="P108" i="4"/>
  <c r="Q108" i="4"/>
  <c r="B131" i="4"/>
  <c r="AO640" i="3" s="1"/>
  <c r="E108" i="4" s="1"/>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AH718" i="3" s="1"/>
  <c r="X719" i="3"/>
  <c r="AH719" i="3" s="1"/>
  <c r="X720" i="3"/>
  <c r="AH720" i="3" s="1"/>
  <c r="X721" i="3"/>
  <c r="AH721" i="3" s="1"/>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B77" i="4"/>
  <c r="D50" i="11"/>
  <c r="I63" i="13"/>
  <c r="I97" i="13"/>
  <c r="I105" i="13"/>
  <c r="I107" i="13"/>
  <c r="B81" i="13"/>
  <c r="J63" i="13"/>
  <c r="J97" i="13" s="1"/>
  <c r="J105" i="13" s="1"/>
  <c r="J107" i="13" s="1"/>
  <c r="L12" i="4"/>
  <c r="D5" i="11"/>
  <c r="G12" i="4"/>
  <c r="L63" i="4"/>
  <c r="L97" i="4"/>
  <c r="L105" i="4"/>
  <c r="Q12" i="4"/>
  <c r="O63" i="4"/>
  <c r="O97" i="4"/>
  <c r="O105" i="4"/>
  <c r="D18" i="11"/>
  <c r="D20" i="11"/>
  <c r="D8" i="11"/>
  <c r="D85" i="11"/>
  <c r="B43" i="11"/>
  <c r="D102" i="11"/>
  <c r="K12" i="4"/>
  <c r="C12" i="13"/>
  <c r="B78" i="11"/>
  <c r="D7" i="11"/>
  <c r="J12" i="4"/>
  <c r="D22" i="11"/>
  <c r="O12" i="4"/>
  <c r="D95" i="11"/>
  <c r="D25" i="11"/>
  <c r="B11" i="13"/>
  <c r="D12" i="4"/>
  <c r="H12" i="4"/>
  <c r="D23" i="11"/>
  <c r="D19" i="11"/>
  <c r="D89" i="11"/>
  <c r="D73" i="11"/>
  <c r="D44" i="11"/>
  <c r="D35" i="11"/>
  <c r="D76" i="11"/>
  <c r="D32" i="11"/>
  <c r="D15" i="11"/>
  <c r="Q63" i="4"/>
  <c r="Q97" i="4"/>
  <c r="Q105" i="4"/>
  <c r="C105" i="11"/>
  <c r="N63" i="4"/>
  <c r="N97" i="4"/>
  <c r="N105" i="4"/>
  <c r="N12" i="4"/>
  <c r="F12" i="4"/>
  <c r="D60" i="11"/>
  <c r="M12" i="4"/>
  <c r="D74" i="11"/>
  <c r="D59" i="11"/>
  <c r="D38" i="11"/>
  <c r="P63" i="4"/>
  <c r="P97" i="4"/>
  <c r="P105" i="4"/>
  <c r="D12" i="13"/>
  <c r="D58" i="11"/>
  <c r="D24" i="11"/>
  <c r="D101" i="11"/>
  <c r="D66" i="11"/>
  <c r="C63" i="13"/>
  <c r="C97" i="13"/>
  <c r="C105" i="13"/>
  <c r="D75" i="11"/>
  <c r="D28" i="11"/>
  <c r="D103" i="11"/>
  <c r="D88" i="11"/>
  <c r="C78" i="11"/>
  <c r="D42" i="11"/>
  <c r="D21" i="11"/>
  <c r="D16" i="11"/>
  <c r="B12" i="11"/>
  <c r="R26" i="4"/>
  <c r="F63" i="13"/>
  <c r="F97" i="13"/>
  <c r="F105" i="13"/>
  <c r="F107" i="13"/>
  <c r="AD199" i="20"/>
  <c r="D77" i="11"/>
  <c r="M63" i="4"/>
  <c r="M97" i="4"/>
  <c r="M105" i="4"/>
  <c r="R104" i="4"/>
  <c r="J63" i="4"/>
  <c r="C12" i="11"/>
  <c r="D11" i="11"/>
  <c r="D78" i="11"/>
  <c r="D96" i="11"/>
  <c r="AZ846" i="3"/>
  <c r="R83" i="4" l="1"/>
  <c r="R96" i="4" s="1"/>
  <c r="E12" i="4"/>
  <c r="D81" i="11"/>
  <c r="E81" i="4"/>
  <c r="R62" i="4"/>
  <c r="B105" i="11"/>
  <c r="E42" i="4"/>
  <c r="J97" i="4"/>
  <c r="J105" i="4" s="1"/>
  <c r="H97" i="4"/>
  <c r="H105" i="4" s="1"/>
  <c r="E38" i="4"/>
  <c r="G13" i="4"/>
  <c r="E13" i="4" s="1"/>
  <c r="R54" i="4"/>
  <c r="R70" i="4"/>
  <c r="C71" i="11"/>
  <c r="D71" i="11" s="1"/>
  <c r="D94" i="11"/>
  <c r="G63" i="13"/>
  <c r="G97" i="13" s="1"/>
  <c r="G105" i="13" s="1"/>
  <c r="G107" i="13" s="1"/>
  <c r="S63" i="4"/>
  <c r="S97" i="4" s="1"/>
  <c r="S105" i="4" s="1"/>
  <c r="E105" i="13" s="1"/>
  <c r="T63" i="4"/>
  <c r="E38" i="13"/>
  <c r="D63" i="13"/>
  <c r="D97" i="13" s="1"/>
  <c r="D105" i="13" s="1"/>
  <c r="B104" i="4"/>
  <c r="I97" i="4"/>
  <c r="I105" i="4" s="1"/>
  <c r="R81" i="4"/>
  <c r="K63" i="4"/>
  <c r="K97" i="4" s="1"/>
  <c r="K105" i="4" s="1"/>
  <c r="R38" i="4"/>
  <c r="R12" i="4"/>
  <c r="C82" i="11"/>
  <c r="D82" i="11" s="1"/>
  <c r="B63" i="11"/>
  <c r="B62" i="4"/>
  <c r="B97" i="11"/>
  <c r="D90" i="11"/>
  <c r="B96" i="4"/>
  <c r="D12" i="11"/>
  <c r="D10" i="11"/>
  <c r="D48" i="11"/>
  <c r="C55" i="11"/>
  <c r="N186" i="27"/>
  <c r="B55" i="11"/>
  <c r="C43" i="11"/>
  <c r="D43" i="11" s="1"/>
  <c r="C97" i="11"/>
  <c r="D97" i="11" s="1"/>
  <c r="C63" i="11"/>
  <c r="B81" i="4"/>
  <c r="B54" i="4"/>
  <c r="D46" i="11"/>
  <c r="B54" i="13"/>
  <c r="B39" i="11"/>
  <c r="C39" i="11"/>
  <c r="D105" i="11"/>
  <c r="D6" i="11"/>
  <c r="B9" i="11"/>
  <c r="B13" i="11" s="1"/>
  <c r="N187" i="27"/>
  <c r="B12" i="4"/>
  <c r="C13" i="11"/>
  <c r="D13" i="11" s="1"/>
  <c r="C12" i="4"/>
  <c r="B12" i="13" s="1"/>
  <c r="G67" i="2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I13" i="21"/>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O30" i="21"/>
  <c r="S40" i="7"/>
  <c r="S43" i="7" s="1"/>
  <c r="AK172" i="20"/>
  <c r="AP355" i="20"/>
  <c r="AQ355" i="20" s="1"/>
  <c r="T805" i="20"/>
  <c r="AO17" i="20"/>
  <c r="AO36" i="20" s="1"/>
  <c r="AK56" i="20" s="1"/>
  <c r="T797" i="20"/>
  <c r="AF797" i="20" s="1"/>
  <c r="AK783" i="20"/>
  <c r="T808" i="20" s="1"/>
  <c r="AF808"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5" i="3"/>
  <c r="AD27" i="15" s="1"/>
  <c r="P30" i="21" a="1"/>
  <c r="P30" i="21" s="1"/>
  <c r="DR632" i="3"/>
  <c r="S24" i="21"/>
  <c r="O27" i="21"/>
  <c r="P24" i="21" a="1"/>
  <c r="P24" i="21" s="1"/>
  <c r="O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P28" i="21" a="1"/>
  <c r="P28"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AC886" i="3" s="1"/>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O26" i="21"/>
  <c r="P26" i="21" a="1"/>
  <c r="P26" i="21" s="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R27" i="21"/>
  <c r="R25" i="21"/>
  <c r="T39" i="21"/>
  <c r="Q22" i="21" a="1"/>
  <c r="Q22" i="21" s="1"/>
  <c r="R29" i="21"/>
  <c r="S38" i="21"/>
  <c r="S29" i="21"/>
  <c r="S20" i="21"/>
  <c r="P38" i="21" a="1"/>
  <c r="P38" i="21" s="1"/>
  <c r="P29" i="21" a="1"/>
  <c r="P29" i="21" s="1"/>
  <c r="T29" i="21"/>
  <c r="Q38" i="21" a="1"/>
  <c r="Q38" i="21" s="1"/>
  <c r="Q20" i="21" a="1"/>
  <c r="Q20" i="21" s="1"/>
  <c r="R43" i="21"/>
  <c r="P25" i="21" a="1"/>
  <c r="P25" i="21" s="1"/>
  <c r="T43" i="21"/>
  <c r="P33" i="21" a="1"/>
  <c r="P33" i="21" s="1"/>
  <c r="P42" i="21" a="1"/>
  <c r="P42" i="21" s="1"/>
  <c r="R42" i="21"/>
  <c r="R34" i="21"/>
  <c r="O25" i="21"/>
  <c r="T42" i="21"/>
  <c r="T34" i="21"/>
  <c r="G19" i="7"/>
  <c r="I19" i="7" s="1"/>
  <c r="K19" i="7" s="1"/>
  <c r="M19" i="7" s="1"/>
  <c r="O19" i="7" s="1"/>
  <c r="Q19" i="7" s="1"/>
  <c r="S19" i="7" s="1"/>
  <c r="U19" i="7" s="1"/>
  <c r="W19" i="7" s="1"/>
  <c r="Y19" i="7" s="1"/>
  <c r="AA19" i="7" s="1"/>
  <c r="AC19" i="7" s="1"/>
  <c r="AE19" i="7" s="1"/>
  <c r="AG19" i="7" s="1"/>
  <c r="Q33" i="21" a="1"/>
  <c r="Q33" i="21" s="1"/>
  <c r="R33" i="21"/>
  <c r="R24" i="21"/>
  <c r="T25" i="21"/>
  <c r="O43" i="21"/>
  <c r="Q24" i="21" a="1"/>
  <c r="Q24" i="21" s="1"/>
  <c r="E25" i="21"/>
  <c r="J40" i="8"/>
  <c r="Z809" i="3" s="1"/>
  <c r="G53" i="21"/>
  <c r="E24" i="21"/>
  <c r="E22" i="21"/>
  <c r="F22" i="21" s="1"/>
  <c r="G40" i="8"/>
  <c r="I15" i="7"/>
  <c r="E26" i="21"/>
  <c r="E23" i="21"/>
  <c r="F23" i="21" s="1"/>
  <c r="G23" i="21" s="1"/>
  <c r="G63" i="4" l="1"/>
  <c r="G97" i="4" s="1"/>
  <c r="G105" i="4" s="1"/>
  <c r="R13" i="4"/>
  <c r="R63" i="4" s="1"/>
  <c r="E63" i="4"/>
  <c r="E97" i="4" s="1"/>
  <c r="E105" i="4" s="1"/>
  <c r="D63" i="11"/>
  <c r="E97" i="13"/>
  <c r="S107" i="4"/>
  <c r="E107" i="13" s="1"/>
  <c r="T11" i="15" s="1"/>
  <c r="T23" i="15" s="1"/>
  <c r="T26" i="15" s="1"/>
  <c r="E63" i="13"/>
  <c r="T97" i="4"/>
  <c r="H63" i="13"/>
  <c r="R97" i="4"/>
  <c r="R105" i="4" s="1"/>
  <c r="D55" i="11"/>
  <c r="C64" i="11"/>
  <c r="C98" i="11" s="1"/>
  <c r="B64" i="11"/>
  <c r="B98" i="11" s="1"/>
  <c r="B106" i="11" s="1"/>
  <c r="N193" i="27"/>
  <c r="D39" i="11"/>
  <c r="D9" i="11"/>
  <c r="C97" i="4"/>
  <c r="C105" i="4" s="1"/>
  <c r="AC455" i="3" s="1"/>
  <c r="AS349" i="20"/>
  <c r="DX635" i="3"/>
  <c r="AY1004" i="3"/>
  <c r="BH702" i="3"/>
  <c r="BH701" i="3"/>
  <c r="BI701" i="3" s="1"/>
  <c r="BU669" i="3"/>
  <c r="BV669" i="3" s="1"/>
  <c r="BU677" i="3"/>
  <c r="BV677" i="3" s="1"/>
  <c r="BU685" i="3"/>
  <c r="BV685" i="3" s="1"/>
  <c r="BU693" i="3"/>
  <c r="BV693" i="3" s="1"/>
  <c r="BU702" i="3"/>
  <c r="BU670" i="3"/>
  <c r="BV670" i="3" s="1"/>
  <c r="BU678" i="3"/>
  <c r="BV678" i="3" s="1"/>
  <c r="BU686" i="3"/>
  <c r="BV686" i="3" s="1"/>
  <c r="BU694" i="3"/>
  <c r="BV694" i="3" s="1"/>
  <c r="BU668" i="3"/>
  <c r="BU671" i="3"/>
  <c r="BV671" i="3" s="1"/>
  <c r="BU679" i="3"/>
  <c r="BV679" i="3" s="1"/>
  <c r="BU687" i="3"/>
  <c r="BU695" i="3"/>
  <c r="BV695" i="3" s="1"/>
  <c r="BU681" i="3"/>
  <c r="BV681" i="3" s="1"/>
  <c r="BU689" i="3"/>
  <c r="BU698" i="3"/>
  <c r="BV698" i="3" s="1"/>
  <c r="BU684" i="3"/>
  <c r="BU700" i="3"/>
  <c r="BV700" i="3" s="1"/>
  <c r="BU672" i="3"/>
  <c r="BV672" i="3" s="1"/>
  <c r="BU680" i="3"/>
  <c r="BU688" i="3"/>
  <c r="BV688" i="3" s="1"/>
  <c r="BU696" i="3"/>
  <c r="BV696" i="3" s="1"/>
  <c r="BU673" i="3"/>
  <c r="BU697" i="3"/>
  <c r="BU674" i="3"/>
  <c r="BV674" i="3" s="1"/>
  <c r="BU682" i="3"/>
  <c r="BV682" i="3" s="1"/>
  <c r="BU690" i="3"/>
  <c r="BU676" i="3"/>
  <c r="BU692" i="3"/>
  <c r="BV692" i="3" s="1"/>
  <c r="BU675" i="3"/>
  <c r="BV675" i="3" s="1"/>
  <c r="BU683" i="3"/>
  <c r="BU691" i="3"/>
  <c r="BU699" i="3"/>
  <c r="BH674" i="3"/>
  <c r="BH675" i="3"/>
  <c r="BI675" i="3" s="1"/>
  <c r="BH683" i="3"/>
  <c r="BI683" i="3" s="1"/>
  <c r="BH691" i="3"/>
  <c r="BI691" i="3" s="1"/>
  <c r="BH699" i="3"/>
  <c r="BI699" i="3" s="1"/>
  <c r="BH676" i="3"/>
  <c r="BH684" i="3"/>
  <c r="BH692" i="3"/>
  <c r="BH700" i="3"/>
  <c r="BI700" i="3" s="1"/>
  <c r="BH672" i="3"/>
  <c r="BI672" i="3" s="1"/>
  <c r="BH688" i="3"/>
  <c r="BH669" i="3"/>
  <c r="BI669" i="3" s="1"/>
  <c r="BH677" i="3"/>
  <c r="BI677" i="3" s="1"/>
  <c r="BH685" i="3"/>
  <c r="BI685" i="3" s="1"/>
  <c r="BH693" i="3"/>
  <c r="BH671" i="3"/>
  <c r="BI671" i="3" s="1"/>
  <c r="BH687" i="3"/>
  <c r="BI687" i="3" s="1"/>
  <c r="BH696" i="3"/>
  <c r="BI696" i="3" s="1"/>
  <c r="BH690" i="3"/>
  <c r="BI690" i="3" s="1"/>
  <c r="BH670" i="3"/>
  <c r="BI670" i="3" s="1"/>
  <c r="BH678" i="3"/>
  <c r="BI678" i="3" s="1"/>
  <c r="BH686" i="3"/>
  <c r="BH694" i="3"/>
  <c r="BI694" i="3" s="1"/>
  <c r="BH668" i="3"/>
  <c r="BH679" i="3"/>
  <c r="BI679" i="3" s="1"/>
  <c r="BH695" i="3"/>
  <c r="BI695" i="3" s="1"/>
  <c r="BH680" i="3"/>
  <c r="BI680" i="3" s="1"/>
  <c r="BH682" i="3"/>
  <c r="BI682" i="3" s="1"/>
  <c r="BH698" i="3"/>
  <c r="BI698" i="3" s="1"/>
  <c r="BH673" i="3"/>
  <c r="BH681" i="3"/>
  <c r="BH689" i="3"/>
  <c r="BI689" i="3" s="1"/>
  <c r="BH697" i="3"/>
  <c r="BI697" i="3" s="1"/>
  <c r="E22" i="7"/>
  <c r="BI702" i="3"/>
  <c r="BI692" i="3"/>
  <c r="BV691" i="3"/>
  <c r="AX683" i="20"/>
  <c r="AY684" i="20" s="1"/>
  <c r="I14" i="21"/>
  <c r="BV699" i="3"/>
  <c r="BV702" i="3"/>
  <c r="BV697"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BI684"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BV668" i="3"/>
  <c r="BV680" i="3"/>
  <c r="BV684" i="3"/>
  <c r="BV676" i="3"/>
  <c r="BV673" i="3"/>
  <c r="BV689" i="3"/>
  <c r="BV690" i="3"/>
  <c r="BV683"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3" i="3"/>
  <c r="BI688" i="3"/>
  <c r="BI681" i="3"/>
  <c r="BI674" i="3"/>
  <c r="BI686" i="3"/>
  <c r="EH637" i="3"/>
  <c r="DR657" i="3"/>
  <c r="EM632" i="3"/>
  <c r="EM635" i="3"/>
  <c r="BI676" i="3"/>
  <c r="EM643" i="3"/>
  <c r="E6" i="7"/>
  <c r="K15" i="7"/>
  <c r="I22" i="7"/>
  <c r="I35" i="7" s="1"/>
  <c r="E27" i="21"/>
  <c r="G22" i="21"/>
  <c r="T105" i="4" l="1"/>
  <c r="H97" i="13"/>
  <c r="T28" i="15"/>
  <c r="D64" i="11"/>
  <c r="B105" i="13"/>
  <c r="B97" i="13"/>
  <c r="AG258" i="20"/>
  <c r="BH703" i="3"/>
  <c r="BV703" i="3"/>
  <c r="AH753" i="3" s="1"/>
  <c r="E35" i="7"/>
  <c r="Y23" i="15"/>
  <c r="Y26" i="15" s="1"/>
  <c r="Y28" i="15" s="1"/>
  <c r="Y64" i="15" s="1"/>
  <c r="Y68" i="15" s="1"/>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T107" i="4" l="1"/>
  <c r="H105" i="13"/>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H107" i="13" l="1"/>
  <c r="AD11" i="15" s="1"/>
  <c r="AD23" i="15" s="1"/>
  <c r="AD26" i="15" s="1"/>
  <c r="AD28" i="15" s="1"/>
  <c r="T29" i="15" s="1"/>
  <c r="AC456" i="3"/>
  <c r="AF540" i="20"/>
  <c r="B1059" i="3"/>
  <c r="AJ1044" i="3"/>
  <c r="AP541" i="20" s="1"/>
  <c r="AJ1048" i="3"/>
  <c r="AP542" i="20" s="1"/>
  <c r="AP539" i="20"/>
  <c r="K4" i="7"/>
  <c r="M4" i="7" s="1"/>
  <c r="E45" i="7"/>
  <c r="E48" i="7" s="1"/>
  <c r="AJ1052" i="3"/>
  <c r="G45" i="7"/>
  <c r="G49" i="7"/>
  <c r="K6" i="7"/>
  <c r="I7" i="7"/>
  <c r="I11" i="7" s="1"/>
  <c r="I37" i="7" s="1"/>
  <c r="G24" i="21"/>
  <c r="F27" i="21"/>
  <c r="G27" i="21"/>
  <c r="O22" i="7"/>
  <c r="O35" i="7" s="1"/>
  <c r="Q15" i="7"/>
  <c r="O9" i="7"/>
  <c r="Q8" i="7"/>
  <c r="AP543" i="20" l="1"/>
  <c r="T24" i="15"/>
  <c r="Y38" i="15" s="1"/>
  <c r="AP546" i="20"/>
  <c r="AP545" i="20" s="1"/>
  <c r="AP548" i="20" s="1"/>
  <c r="AF541" i="20" s="1"/>
  <c r="AF542" i="20" s="1"/>
  <c r="AK548" i="20" s="1"/>
  <c r="T807" i="20" s="1"/>
  <c r="AF807" i="20" s="1"/>
  <c r="K5" i="7"/>
  <c r="E47" i="7"/>
  <c r="E60" i="7"/>
  <c r="O4" i="7"/>
  <c r="M5" i="7"/>
  <c r="I45" i="7"/>
  <c r="I49" i="7"/>
  <c r="M6" i="7"/>
  <c r="K7" i="7"/>
  <c r="G60" i="7"/>
  <c r="G47" i="7"/>
  <c r="G48" i="7"/>
  <c r="Q22" i="7"/>
  <c r="Q35" i="7" s="1"/>
  <c r="S15" i="7"/>
  <c r="G95" i="21"/>
  <c r="G96" i="21" s="1"/>
  <c r="G29" i="21"/>
  <c r="G31" i="21" s="1"/>
  <c r="E9" i="21" s="1"/>
  <c r="G104" i="21"/>
  <c r="G106" i="21" s="1"/>
  <c r="G79" i="21"/>
  <c r="G64" i="21"/>
  <c r="Q9" i="7"/>
  <c r="S8" i="7"/>
  <c r="E62" i="7" l="1"/>
  <c r="E68" i="7" s="1"/>
  <c r="K11" i="7"/>
  <c r="K37" i="7" s="1"/>
  <c r="K45" i="7" s="1"/>
  <c r="O5" i="7"/>
  <c r="Q4" i="7"/>
  <c r="AD38" i="15"/>
  <c r="AD40" i="15" s="1"/>
  <c r="Y40" i="15"/>
  <c r="M7" i="7"/>
  <c r="M11" i="7" s="1"/>
  <c r="M37" i="7" s="1"/>
  <c r="O6" i="7"/>
  <c r="I48" i="7"/>
  <c r="I60" i="7"/>
  <c r="I47" i="7"/>
  <c r="G69" i="21"/>
  <c r="G81" i="21"/>
  <c r="G65" i="21"/>
  <c r="S22" i="7"/>
  <c r="S35" i="7" s="1"/>
  <c r="U15" i="7"/>
  <c r="E14" i="21"/>
  <c r="E15" i="21" s="1"/>
  <c r="U8" i="7"/>
  <c r="S9" i="7"/>
  <c r="I67" i="7" l="1"/>
  <c r="I66" i="7"/>
  <c r="E66" i="7"/>
  <c r="E67" i="7"/>
  <c r="G62" i="7"/>
  <c r="I62" i="7"/>
  <c r="I68" i="7" s="1"/>
  <c r="K49" i="7"/>
  <c r="Y41" i="15"/>
  <c r="E70" i="7"/>
  <c r="E72" i="7" s="1"/>
  <c r="S4" i="7"/>
  <c r="Q5" i="7"/>
  <c r="O7" i="7"/>
  <c r="O11" i="7" s="1"/>
  <c r="O37" i="7" s="1"/>
  <c r="Q6" i="7"/>
  <c r="M45" i="7"/>
  <c r="M49" i="7"/>
  <c r="K47" i="7"/>
  <c r="K60" i="7"/>
  <c r="K48" i="7"/>
  <c r="U22" i="7"/>
  <c r="U35" i="7" s="1"/>
  <c r="W15" i="7"/>
  <c r="G83" i="21"/>
  <c r="E13" i="21" s="1"/>
  <c r="E16" i="21" s="1"/>
  <c r="H3" i="21" s="1"/>
  <c r="U9" i="7"/>
  <c r="W8" i="7"/>
  <c r="G66" i="7" l="1"/>
  <c r="G67" i="7"/>
  <c r="G68" i="7"/>
  <c r="K66" i="7"/>
  <c r="K67" i="7"/>
  <c r="K62" i="7"/>
  <c r="M62" i="7"/>
  <c r="I70" i="7"/>
  <c r="I72" i="7" s="1"/>
  <c r="U4" i="7"/>
  <c r="S5" i="7"/>
  <c r="M48" i="7"/>
  <c r="M47" i="7"/>
  <c r="M60" i="7"/>
  <c r="O45" i="7"/>
  <c r="O49" i="7"/>
  <c r="Q7" i="7"/>
  <c r="Q11" i="7" s="1"/>
  <c r="Q37" i="7" s="1"/>
  <c r="S6" i="7"/>
  <c r="W22" i="7"/>
  <c r="W35" i="7" s="1"/>
  <c r="Y15" i="7"/>
  <c r="W9" i="7"/>
  <c r="Y8" i="7"/>
  <c r="G70" i="7" l="1"/>
  <c r="G72" i="7" s="1"/>
  <c r="M67" i="7"/>
  <c r="M68" i="7"/>
  <c r="M66" i="7"/>
  <c r="K68" i="7"/>
  <c r="K70" i="7"/>
  <c r="K72" i="7" s="1"/>
  <c r="U5" i="7"/>
  <c r="W4" i="7"/>
  <c r="Q49" i="7"/>
  <c r="Q45" i="7"/>
  <c r="O47" i="7"/>
  <c r="O48" i="7"/>
  <c r="O60" i="7"/>
  <c r="O62" i="7" s="1"/>
  <c r="S7" i="7"/>
  <c r="S11" i="7" s="1"/>
  <c r="S37" i="7" s="1"/>
  <c r="U6" i="7"/>
  <c r="Y22" i="7"/>
  <c r="Y35" i="7" s="1"/>
  <c r="AA15" i="7"/>
  <c r="Y9" i="7"/>
  <c r="AA8" i="7"/>
  <c r="O66" i="7" l="1"/>
  <c r="O67" i="7"/>
  <c r="O68" i="7"/>
  <c r="M70" i="7"/>
  <c r="M72" i="7" s="1"/>
  <c r="W5" i="7"/>
  <c r="Y4" i="7"/>
  <c r="U7" i="7"/>
  <c r="U11" i="7" s="1"/>
  <c r="U37" i="7" s="1"/>
  <c r="W6" i="7"/>
  <c r="Q60" i="7"/>
  <c r="Q62" i="7" s="1"/>
  <c r="Q48" i="7"/>
  <c r="Q47" i="7"/>
  <c r="S49" i="7"/>
  <c r="S45" i="7"/>
  <c r="AC15" i="7"/>
  <c r="AA22" i="7"/>
  <c r="AA35" i="7" s="1"/>
  <c r="AC8" i="7"/>
  <c r="AA9" i="7"/>
  <c r="Q66" i="7" l="1"/>
  <c r="Q67" i="7"/>
  <c r="Q68" i="7"/>
  <c r="AA4" i="7"/>
  <c r="Y5" i="7"/>
  <c r="Y6" i="7"/>
  <c r="W7" i="7"/>
  <c r="W11" i="7" s="1"/>
  <c r="W37" i="7" s="1"/>
  <c r="U45" i="7"/>
  <c r="U49" i="7"/>
  <c r="S48" i="7"/>
  <c r="S47" i="7"/>
  <c r="S60" i="7"/>
  <c r="S62" i="7" s="1"/>
  <c r="AE15" i="7"/>
  <c r="AC22" i="7"/>
  <c r="AC35" i="7" s="1"/>
  <c r="AC9" i="7"/>
  <c r="AE8" i="7"/>
  <c r="S68" i="7" l="1"/>
  <c r="S66" i="7"/>
  <c r="S67" i="7"/>
  <c r="O70" i="7"/>
  <c r="O72" i="7" s="1"/>
  <c r="AA5" i="7"/>
  <c r="AC4" i="7"/>
  <c r="U48" i="7"/>
  <c r="U60" i="7"/>
  <c r="U47" i="7"/>
  <c r="W49" i="7"/>
  <c r="W45" i="7"/>
  <c r="Y7" i="7"/>
  <c r="Y11" i="7" s="1"/>
  <c r="Y37" i="7" s="1"/>
  <c r="AA6" i="7"/>
  <c r="AE22" i="7"/>
  <c r="AE35" i="7" s="1"/>
  <c r="AG15" i="7"/>
  <c r="AG22" i="7" s="1"/>
  <c r="AG35" i="7" s="1"/>
  <c r="AE9" i="7"/>
  <c r="AG8" i="7"/>
  <c r="AG9" i="7" s="1"/>
  <c r="U66" i="7" l="1"/>
  <c r="U62" i="7"/>
  <c r="U68" i="7" s="1"/>
  <c r="Q70" i="7"/>
  <c r="Q72" i="7" s="1"/>
  <c r="AC5" i="7"/>
  <c r="AE4" i="7"/>
  <c r="AC6" i="7"/>
  <c r="AA7" i="7"/>
  <c r="AA11" i="7" s="1"/>
  <c r="AA37" i="7" s="1"/>
  <c r="Y49" i="7"/>
  <c r="Y45" i="7"/>
  <c r="W60" i="7"/>
  <c r="W47" i="7"/>
  <c r="W48" i="7"/>
  <c r="W62" i="7" l="1"/>
  <c r="Y62" i="7" s="1"/>
  <c r="U67" i="7"/>
  <c r="S70" i="7"/>
  <c r="S72" i="7" s="1"/>
  <c r="AE5" i="7"/>
  <c r="AG4" i="7"/>
  <c r="AG5" i="7" s="1"/>
  <c r="AA45" i="7"/>
  <c r="AA49" i="7"/>
  <c r="Y47" i="7"/>
  <c r="Y48" i="7"/>
  <c r="Y60" i="7"/>
  <c r="AE6" i="7"/>
  <c r="AC7" i="7"/>
  <c r="AC11" i="7" s="1"/>
  <c r="AC37" i="7" s="1"/>
  <c r="W67" i="7" l="1"/>
  <c r="AA62" i="7"/>
  <c r="W68" i="7"/>
  <c r="W66" i="7"/>
  <c r="Y66" i="7"/>
  <c r="Y68" i="7"/>
  <c r="Y67" i="7"/>
  <c r="U70" i="7"/>
  <c r="U72" i="7" s="1"/>
  <c r="AA60" i="7"/>
  <c r="AA47" i="7"/>
  <c r="AA48" i="7"/>
  <c r="AC45" i="7"/>
  <c r="AC49" i="7"/>
  <c r="AE7" i="7"/>
  <c r="AE11" i="7" s="1"/>
  <c r="AE37" i="7" s="1"/>
  <c r="AG6" i="7"/>
  <c r="AA66" i="7" l="1"/>
  <c r="AA67" i="7"/>
  <c r="AA68" i="7"/>
  <c r="W70" i="7"/>
  <c r="W72" i="7" s="1"/>
  <c r="AG7" i="7"/>
  <c r="AG11" i="7" s="1"/>
  <c r="AG37" i="7" s="1"/>
  <c r="AE49" i="7"/>
  <c r="AE45" i="7"/>
  <c r="AC60" i="7"/>
  <c r="AC48" i="7"/>
  <c r="AC47" i="7"/>
  <c r="AC62" i="7" l="1"/>
  <c r="AE62" i="7" s="1"/>
  <c r="Y70" i="7"/>
  <c r="Y72" i="7" s="1"/>
  <c r="AE47" i="7"/>
  <c r="AE60" i="7"/>
  <c r="AE48" i="7"/>
  <c r="AG49" i="7"/>
  <c r="AG45" i="7"/>
  <c r="AC68" i="7" l="1"/>
  <c r="AE66" i="7"/>
  <c r="AE67" i="7"/>
  <c r="AE68" i="7"/>
  <c r="AC66" i="7"/>
  <c r="AC70" i="7" s="1"/>
  <c r="AC72" i="7" s="1"/>
  <c r="AC67" i="7"/>
  <c r="AA70" i="7"/>
  <c r="AA72" i="7" s="1"/>
  <c r="AG48" i="7"/>
  <c r="AG60" i="7"/>
  <c r="AG47" i="7"/>
  <c r="AG62" i="7" l="1"/>
  <c r="AG66" i="7" s="1"/>
  <c r="AE70" i="7"/>
  <c r="AE72" i="7" s="1"/>
  <c r="AG68" i="7" l="1"/>
  <c r="AG67" i="7"/>
  <c r="AG70" i="7" s="1"/>
  <c r="AG72" i="7" s="1"/>
  <c r="BI693" i="3"/>
  <c r="BI703" i="3" l="1"/>
  <c r="AC753" i="3" s="1"/>
  <c r="E87" i="20" l="1"/>
  <c r="E88" i="20" s="1"/>
  <c r="E89" i="20" s="1"/>
  <c r="AP89" i="20" s="1"/>
  <c r="E97" i="20"/>
  <c r="E100" i="20" s="1"/>
  <c r="AP100" i="20" s="1"/>
  <c r="B36" i="4"/>
  <c r="D38" i="4"/>
  <c r="D63" i="4" s="1"/>
  <c r="D97" i="4" s="1"/>
  <c r="B97" i="4" s="1"/>
  <c r="AK103" i="20" l="1"/>
  <c r="T795" i="20" s="1"/>
  <c r="AF795" i="20" s="1"/>
  <c r="B38" i="4"/>
  <c r="B63" i="4" s="1"/>
  <c r="D105" i="4"/>
  <c r="B105" i="4" s="1"/>
  <c r="AB255" i="20" s="1"/>
  <c r="AG257" i="20" s="1"/>
  <c r="AG259" i="20" s="1"/>
  <c r="AK262" i="20" s="1"/>
  <c r="T801" i="20" s="1"/>
  <c r="AF801" i="20" s="1"/>
  <c r="AF810" i="20" l="1"/>
  <c r="N183" i="27"/>
  <c r="AB47" i="15"/>
  <c r="AB49" i="15" s="1"/>
  <c r="AC454" i="3"/>
  <c r="F457" i="3" s="1"/>
  <c r="AB54" i="15" l="1"/>
  <c r="AB55" i="15" s="1"/>
  <c r="AB56" i="15" s="1"/>
  <c r="N184" i="27"/>
  <c r="N194" i="27"/>
  <c r="M26" i="3" l="1"/>
  <c r="P204" i="3" s="1"/>
  <c r="AB57" i="15"/>
  <c r="AB59" i="15" l="1"/>
  <c r="AB76" i="15" s="1"/>
  <c r="AB77" i="15" s="1"/>
  <c r="I10" i="21" l="1"/>
  <c r="I11" i="21" s="1"/>
  <c r="I16" i="21" s="1"/>
  <c r="H4" i="21" s="1"/>
  <c r="H5" i="21" s="1"/>
  <c r="M27" i="3"/>
  <c r="P205" i="3" s="1"/>
  <c r="AB78" i="15"/>
  <c r="AB80" i="15" s="1"/>
  <c r="J81"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36E3A76B-EE1F-47DB-B84C-76AB730DD753}">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D6D1C816-103E-43F5-A355-B24044CD9218}">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<sst xmlns="http://schemas.openxmlformats.org/spreadsheetml/2006/main" count="5351" uniqueCount="2801">
  <si>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</si>
  <si>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</si>
  <si>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</si>
  <si>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</si>
  <si>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</si>
  <si>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</si>
  <si>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</si>
  <si>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</si>
  <si>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</si>
  <si>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</si>
  <si>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</si>
  <si>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</si>
  <si>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</si>
  <si>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</si>
  <si>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</si>
  <si>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</si>
  <si>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</si>
  <si>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</si>
  <si>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</si>
  <si>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</si>
  <si>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</si>
  <si>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</si>
  <si>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</si>
  <si>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</si>
  <si>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</si>
  <si>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</si>
  <si>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</si>
  <si>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</si>
  <si>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</si>
  <si>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</si>
  <si>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</si>
  <si>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</si>
  <si>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</si>
  <si>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</si>
  <si>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</si>
  <si>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</si>
  <si>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</si>
  <si>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</si>
  <si>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</si>
  <si>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</si>
  <si>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</si>
  <si>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</si>
  <si>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</si>
  <si>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</si>
  <si>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</si>
  <si>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</si>
  <si>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</si>
  <si>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</si>
  <si>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</si>
  <si>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</si>
  <si>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</si>
  <si>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</si>
  <si>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</si>
  <si>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</si>
  <si>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</si>
  <si>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</si>
  <si>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</si>
  <si>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</si>
  <si>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</si>
  <si>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</si>
  <si>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</si>
  <si>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</si>
  <si>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</si>
  <si>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</si>
  <si>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</si>
  <si>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</si>
  <si>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</si>
  <si>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</si>
  <si>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</si>
  <si>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</si>
  <si>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</si>
  <si>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</si>
  <si>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</si>
  <si>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</si>
  <si>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</si>
  <si>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</si>
  <si>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</si>
  <si>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</si>
  <si>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</si>
  <si>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</si>
  <si>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</si>
  <si>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</si>
  <si>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</si>
  <si>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</si>
  <si>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</si>
  <si>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</si>
  <si>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</si>
  <si>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</si>
  <si>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</si>
  <si>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</si>
  <si>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</si>
  <si>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</si>
  <si>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</si>
  <si>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</si>
  <si>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</si>
  <si>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</si>
  <si>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</si>
  <si>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</si>
  <si>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</si>
  <si>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</si>
  <si>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</si>
  <si>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</si>
  <si>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</si>
  <si>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</si>
  <si>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</si>
  <si>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</si>
  <si>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</si>
  <si>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</si>
  <si>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</si>
  <si>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</si>
  <si>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</si>
  <si>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</si>
  <si>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</si>
  <si>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</si>
  <si>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</si>
  <si>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</si>
  <si>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</si>
  <si>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</si>
  <si>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</si>
  <si>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</si>
  <si>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</si>
  <si>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</si>
  <si>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</si>
  <si>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</si>
  <si>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</si>
  <si>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</si>
  <si>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</si>
  <si>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</si>
  <si>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</si>
  <si>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</si>
  <si>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</si>
  <si>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</si>
  <si>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</si>
  <si>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</si>
  <si>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</si>
  <si>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</si>
  <si>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</si>
  <si>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</si>
  <si>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</si>
  <si>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</si>
  <si>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</si>
  <si>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</si>
  <si>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</si>
  <si>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</si>
  <si>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</si>
  <si>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</si>
  <si>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</si>
  <si>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</si>
  <si>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</si>
  <si>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</si>
  <si>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</si>
  <si>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</si>
  <si>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</si>
  <si>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</si>
  <si>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</si>
  <si>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</si>
  <si>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</si>
  <si>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</si>
  <si>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</si>
  <si>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</si>
  <si>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</si>
  <si>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</si>
  <si>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</si>
  <si>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</si>
  <si>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</si>
  <si>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</si>
  <si>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</si>
  <si>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</si>
  <si>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</si>
  <si>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</si>
  <si>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</si>
  <si>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</si>
  <si>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</si>
  <si>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</si>
  <si>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</si>
  <si>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</si>
  <si>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</si>
  <si>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</si>
  <si>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</si>
  <si>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</si>
  <si>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</si>
  <si>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</si>
  <si>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</si>
  <si>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</si>
  <si>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</si>
  <si>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</si>
  <si>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</si>
  <si>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</si>
  <si>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</si>
  <si>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</si>
  <si>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</si>
  <si>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</si>
  <si>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</si>
  <si>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</si>
  <si>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</si>
  <si>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</si>
  <si>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</si>
  <si>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</si>
  <si>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</si>
  <si>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</si>
  <si>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</si>
  <si>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</si>
  <si>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</si>
  <si>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</si>
  <si>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</si>
  <si>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</si>
  <si>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</si>
  <si>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</si>
  <si>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</si>
  <si>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</si>
  <si>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</si>
  <si>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</si>
  <si>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</si>
  <si>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</si>
  <si>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</si>
  <si>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</si>
  <si>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</si>
  <si>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</si>
  <si>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</si>
  <si>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</si>
  <si>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</si>
  <si>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</si>
  <si>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</si>
  <si>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</si>
  <si>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</si>
  <si>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</si>
  <si>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</si>
  <si>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</si>
  <si>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</si>
  <si>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</si>
  <si>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</si>
  <si>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</si>
  <si>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</si>
  <si>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</si>
  <si>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</si>
  <si>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</si>
  <si>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</si>
  <si>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</si>
  <si>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</si>
  <si>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</si>
  <si>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</si>
  <si>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</si>
  <si>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</si>
  <si>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</si>
  <si>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</si>
  <si>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</si>
  <si>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</si>
  <si>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</si>
  <si>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</si>
  <si>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</si>
  <si>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</si>
  <si>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</si>
  <si>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</si>
  <si>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</si>
  <si>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</si>
  <si>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</si>
  <si>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</si>
  <si>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</si>
  <si>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</si>
  <si>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</si>
  <si>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</si>
  <si>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</si>
  <si>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</si>
  <si>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</si>
  <si>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</si>
  <si>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</si>
  <si>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</si>
  <si>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</si>
  <si>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</si>
  <si>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</si>
  <si>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</si>
  <si>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</si>
  <si>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</si>
  <si>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</si>
  <si>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</si>
  <si>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</si>
  <si>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</si>
  <si>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</si>
  <si>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</si>
  <si>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</si>
  <si>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</si>
  <si>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</si>
  <si>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</si>
  <si>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</si>
  <si>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</si>
  <si>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</si>
  <si>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</si>
  <si>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</si>
  <si>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</si>
  <si>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</si>
  <si>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</si>
  <si>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</si>
  <si>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</si>
  <si>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</si>
  <si>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</si>
  <si>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</si>
  <si>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</si>
  <si>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</si>
  <si>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</si>
  <si>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</si>
  <si>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</si>
  <si>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</si>
  <si>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</si>
  <si>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</si>
  <si>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</si>
  <si>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</si>
  <si>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</si>
  <si>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</si>
  <si>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</si>
  <si>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</si>
  <si>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</si>
  <si>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</si>
  <si>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</si>
  <si>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</si>
  <si>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</si>
  <si>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</si>
  <si>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</si>
  <si>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</si>
  <si>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</si>
  <si>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</si>
  <si>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</si>
  <si>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</si>
  <si>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</si>
  <si>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</si>
  <si>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</si>
  <si>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</si>
  <si>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</si>
  <si>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</si>
  <si>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</si>
  <si>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</si>
  <si>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</si>
  <si>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</si>
  <si>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</si>
  <si>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</si>
  <si>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</si>
  <si>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</si>
  <si>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</si>
  <si>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</si>
  <si>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</si>
  <si>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</si>
  <si>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</si>
  <si>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</si>
  <si>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</si>
  <si>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</si>
  <si>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</si>
  <si>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</si>
  <si>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</si>
  <si>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</si>
  <si>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</si>
  <si>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</si>
  <si>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</si>
  <si>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</si>
  <si>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</si>
  <si>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</si>
  <si>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</si>
  <si>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</si>
  <si>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</si>
  <si>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</si>
  <si>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</si>
  <si>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</si>
  <si>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</si>
  <si>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</si>
  <si>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</si>
  <si>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</si>
  <si>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</si>
  <si>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</si>
  <si>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</si>
  <si>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</si>
  <si>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</si>
  <si>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</si>
  <si>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</si>
  <si>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</si>
  <si>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</si>
  <si>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</si>
  <si>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</si>
  <si>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</si>
  <si>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</si>
  <si>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</si>
  <si>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</si>
  <si>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</si>
  <si>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</si>
  <si>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</si>
  <si>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</si>
  <si>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</si>
  <si>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</si>
  <si>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</si>
  <si>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</si>
  <si>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</si>
  <si>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</si>
  <si>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</si>
  <si>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</si>
  <si>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</si>
  <si>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</si>
  <si>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</si>
  <si>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</si>
  <si>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</si>
  <si>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</si>
  <si>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</si>
  <si>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</si>
  <si>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</si>
  <si>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</si>
  <si>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</si>
  <si>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</si>
  <si>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</si>
  <si>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</si>
  <si>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</si>
  <si>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</si>
  <si>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</si>
  <si>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</si>
  <si>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</si>
  <si>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</si>
  <si>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</si>
  <si>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</si>
  <si>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</si>
  <si>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</si>
  <si>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</si>
  <si>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</si>
  <si>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</si>
  <si>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</si>
  <si>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</si>
  <si>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</si>
  <si>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</si>
  <si>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</si>
  <si>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</si>
  <si>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</si>
  <si>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</si>
  <si>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</si>
  <si>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</si>
  <si>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</si>
  <si>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</si>
  <si>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</si>
  <si>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</si>
  <si>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</si>
  <si>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</si>
  <si>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</si>
  <si>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</si>
  <si>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</si>
  <si>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</si>
  <si>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</si>
  <si>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</si>
  <si>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</si>
  <si>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</si>
  <si>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</si>
  <si>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</si>
  <si>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</si>
  <si>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</si>
  <si>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</si>
  <si>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</si>
  <si>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</si>
  <si>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</si>
  <si>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</si>
  <si>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</si>
  <si>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</si>
  <si>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</si>
  <si>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</si>
  <si>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</si>
  <si>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</si>
  <si>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</si>
  <si>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</si>
  <si>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</si>
  <si>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</si>
  <si>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</si>
  <si>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</si>
  <si>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</si>
  <si>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</si>
  <si>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</si>
  <si>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</si>
  <si>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</si>
  <si>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</si>
  <si>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</si>
  <si>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</si>
  <si>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</si>
  <si>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</si>
  <si>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</si>
  <si>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</si>
  <si>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</si>
  <si>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</si>
  <si>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</si>
  <si>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</si>
  <si>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</si>
  <si>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</si>
  <si>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</si>
  <si>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</si>
  <si>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</si>
  <si>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</si>
  <si>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</si>
  <si>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</si>
  <si>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</si>
  <si>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</si>
  <si>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</si>
  <si>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</si>
  <si>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</si>
  <si>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</si>
  <si>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</si>
  <si>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</si>
  <si>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</si>
  <si>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</si>
  <si>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</si>
  <si>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</si>
  <si>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</si>
  <si>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</si>
  <si>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</si>
  <si>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</si>
  <si>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</si>
  <si>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</si>
  <si>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</si>
  <si>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</si>
  <si>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</si>
  <si>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</si>
  <si>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</si>
  <si>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</si>
  <si>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</si>
  <si>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</si>
  <si>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</si>
  <si>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</si>
  <si>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</si>
  <si>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</si>
  <si>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</si>
  <si>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</si>
  <si>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</si>
  <si>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</si>
  <si>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</si>
  <si>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</si>
  <si>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</si>
  <si>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</si>
  <si>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</si>
  <si>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</si>
  <si>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</si>
  <si>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</si>
  <si>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</si>
  <si>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</si>
  <si>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</si>
  <si>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</si>
  <si>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</si>
  <si>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</si>
  <si>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</si>
  <si>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</si>
  <si>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</si>
  <si>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</si>
  <si>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</si>
  <si>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</si>
  <si>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</si>
  <si>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</si>
  <si>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</si>
  <si>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</si>
  <si>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</si>
  <si>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</si>
  <si>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</si>
  <si>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</si>
  <si>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</si>
  <si>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</si>
  <si>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</si>
  <si>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</si>
  <si>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</si>
  <si>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</si>
  <si>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</si>
  <si>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</si>
  <si>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</si>
  <si>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</si>
  <si>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</si>
  <si>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</si>
  <si>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</si>
  <si>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</si>
  <si>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</si>
  <si>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</si>
  <si>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</si>
  <si>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</si>
  <si>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</si>
  <si>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</si>
  <si>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</si>
  <si>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</si>
  <si>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</si>
  <si>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</si>
  <si>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</si>
  <si>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</si>
  <si>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</si>
  <si>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</si>
  <si>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</si>
  <si>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</si>
  <si>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</si>
  <si>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</si>
  <si>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</si>
  <si>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</si>
  <si>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</si>
  <si>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</si>
  <si>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</si>
  <si>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</si>
  <si>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</si>
  <si>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</si>
  <si>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</si>
  <si>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</si>
  <si>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</si>
  <si>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</si>
  <si>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</si>
  <si>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</si>
  <si>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</si>
  <si>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</si>
  <si>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</si>
  <si>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</si>
  <si>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</si>
  <si>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</si>
  <si>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</si>
  <si>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</si>
  <si>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</si>
  <si>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</si>
  <si>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</si>
  <si>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</si>
  <si>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</si>
  <si>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</si>
  <si>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</si>
  <si>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</si>
  <si>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</si>
  <si>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</si>
  <si>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</si>
  <si>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</si>
  <si>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</si>
  <si>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</si>
  <si>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</si>
  <si>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</si>
  <si>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</si>
  <si>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</si>
  <si>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</si>
  <si>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</si>
  <si>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</si>
  <si>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</si>
  <si>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</si>
  <si>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</si>
  <si>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</si>
  <si>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</si>
  <si>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</si>
  <si>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</si>
  <si>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</si>
  <si>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</si>
  <si>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</si>
  <si>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</si>
  <si>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</si>
  <si>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</si>
  <si>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</si>
  <si>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</si>
  <si>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</si>
  <si>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</si>
  <si>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</si>
  <si>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</si>
  <si>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</si>
  <si>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</si>
  <si>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</si>
  <si>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</si>
  <si>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</si>
  <si>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</si>
  <si>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</si>
  <si>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</si>
  <si>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</si>
  <si>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</si>
  <si>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</si>
  <si>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</si>
  <si>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</si>
  <si>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</si>
  <si>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</si>
  <si>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</si>
  <si>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</si>
  <si>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</si>
  <si>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</si>
  <si>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</si>
  <si>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</si>
  <si>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</si>
  <si>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</si>
  <si>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</si>
  <si>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</si>
  <si>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</si>
  <si>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</si>
  <si>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</si>
  <si>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</si>
  <si>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</si>
  <si>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</si>
  <si>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</si>
  <si>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</si>
  <si>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</si>
  <si>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</si>
  <si>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</si>
  <si>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</si>
  <si>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</si>
  <si>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</si>
  <si>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</si>
  <si>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</si>
  <si>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</si>
  <si>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</si>
  <si>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</si>
  <si>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</si>
  <si>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</si>
  <si>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</si>
  <si>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</si>
  <si>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</si>
  <si>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</si>
  <si>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</si>
  <si>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</si>
  <si>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</si>
  <si>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</si>
  <si>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</si>
  <si>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</si>
  <si>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</si>
  <si>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</si>
  <si>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</si>
  <si>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</si>
  <si>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</si>
  <si>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</si>
  <si>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</si>
  <si>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</si>
  <si>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</si>
  <si>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</si>
  <si>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</si>
  <si>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</si>
  <si>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</si>
  <si>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</si>
  <si>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</si>
  <si>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</si>
  <si>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</si>
  <si>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</si>
  <si>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</si>
  <si>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</si>
  <si>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</si>
  <si>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</si>
  <si>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</si>
  <si>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</si>
  <si>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</si>
  <si>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</si>
  <si>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</si>
  <si>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</si>
  <si>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</si>
  <si>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</si>
  <si>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</si>
  <si>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</si>
  <si>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</si>
  <si>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</si>
  <si>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</si>
  <si>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</si>
  <si>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</si>
  <si>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</si>
  <si>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</si>
  <si>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</si>
  <si>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</si>
  <si>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</si>
  <si>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</si>
  <si>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</si>
  <si>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</si>
  <si>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</si>
  <si>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</si>
  <si>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</si>
  <si>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</si>
  <si>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</si>
  <si>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</si>
  <si>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</si>
  <si>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</si>
  <si>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</si>
  <si>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</si>
  <si>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</si>
  <si>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</si>
  <si>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</si>
  <si>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</si>
  <si>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</si>
  <si>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</si>
  <si>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</si>
  <si>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</si>
  <si>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</si>
  <si>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</si>
  <si>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</si>
  <si>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</si>
  <si>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</si>
  <si>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</si>
  <si>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</si>
  <si>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</si>
  <si>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</si>
  <si>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</si>
  <si>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</si>
  <si>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</si>
  <si>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</si>
  <si>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</si>
  <si>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</si>
  <si>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</si>
  <si>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</si>
  <si>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</si>
  <si>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</si>
  <si>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</si>
  <si>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</si>
  <si>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</si>
  <si>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</si>
  <si>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</si>
  <si>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</si>
  <si>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</si>
  <si>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</si>
  <si>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</si>
  <si>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</si>
  <si>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</si>
  <si>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</si>
  <si>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</si>
  <si>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</si>
  <si>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</si>
  <si>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</si>
  <si>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</si>
  <si>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</si>
  <si>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</si>
  <si>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</si>
  <si>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</si>
  <si>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</si>
  <si>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</si>
  <si>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</si>
  <si>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</si>
  <si>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</si>
  <si>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</si>
  <si>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</si>
  <si>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</si>
  <si>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</si>
  <si>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</si>
  <si>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</si>
  <si>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</si>
  <si>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</si>
  <si>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</si>
  <si>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</si>
  <si>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</si>
  <si>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</si>
  <si>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</si>
  <si>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</si>
  <si>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</si>
  <si>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</si>
  <si>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</si>
  <si>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</si>
  <si>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</si>
  <si>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</si>
  <si>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</si>
  <si>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</si>
  <si>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</si>
  <si>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</si>
  <si>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</si>
  <si>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</si>
  <si>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</si>
  <si>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</si>
  <si>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</si>
  <si>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</si>
  <si>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</si>
  <si>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</si>
  <si>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</si>
  <si>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</si>
  <si>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</si>
  <si>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</si>
  <si>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</si>
  <si>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</si>
  <si>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</si>
  <si>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</si>
  <si>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</si>
  <si>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</si>
  <si>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</si>
  <si>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</si>
  <si>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</si>
  <si>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</si>
  <si>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</si>
  <si>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</si>
  <si>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</si>
  <si>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</si>
  <si>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</si>
  <si>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</si>
  <si>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</si>
  <si>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</si>
  <si>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</si>
  <si>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</si>
  <si>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</si>
  <si>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</si>
  <si>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</si>
  <si>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</si>
  <si>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</si>
  <si>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</si>
  <si>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</si>
  <si>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</si>
  <si>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</si>
  <si>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</si>
  <si>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</si>
  <si>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</si>
  <si>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</si>
  <si>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</si>
  <si>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</si>
  <si>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</si>
  <si>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</si>
  <si>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</si>
  <si>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</si>
  <si>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</si>
  <si>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</si>
  <si>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</si>
  <si>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</si>
  <si>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</si>
  <si>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</si>
  <si>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</si>
  <si>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</si>
  <si>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</si>
  <si>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</si>
  <si>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</si>
  <si>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</si>
  <si>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</si>
  <si>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</si>
  <si>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</si>
  <si>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</si>
  <si>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</si>
  <si>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</si>
  <si>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</si>
  <si>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</si>
  <si>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</si>
  <si>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</si>
  <si>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</si>
  <si>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</si>
  <si>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</si>
  <si>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</si>
  <si>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</si>
  <si>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</si>
  <si>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</si>
  <si>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</si>
  <si>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</si>
  <si>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</si>
  <si>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</si>
  <si>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</si>
  <si>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</si>
  <si>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</si>
  <si>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</si>
  <si>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</si>
  <si>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</si>
  <si>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</si>
  <si>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</si>
  <si>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</si>
  <si>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</si>
  <si>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</si>
  <si>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</si>
  <si>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</si>
  <si>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</si>
  <si>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</si>
  <si>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</si>
  <si>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</si>
  <si>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</si>
  <si>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</si>
  <si>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</si>
  <si>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</si>
  <si>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</si>
  <si>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</si>
  <si>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</si>
  <si>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</si>
  <si>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</si>
  <si>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</si>
  <si>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</si>
  <si>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</si>
  <si>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</si>
  <si>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</si>
  <si>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</si>
  <si>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</si>
  <si>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</si>
  <si>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</si>
  <si>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</si>
  <si>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</si>
  <si>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</si>
  <si>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</si>
  <si>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</si>
  <si>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</si>
  <si>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</si>
  <si>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</si>
  <si>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</si>
  <si>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</si>
  <si>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</si>
  <si>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</si>
  <si>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</si>
  <si>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</si>
  <si>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</si>
  <si>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</si>
  <si>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</si>
  <si>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</si>
  <si>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</si>
  <si>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</si>
  <si>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</si>
  <si>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</si>
  <si>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</si>
  <si>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</si>
  <si>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</si>
  <si>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</si>
  <si>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</si>
  <si>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</si>
  <si>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</si>
  <si>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</si>
  <si>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</si>
  <si>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</si>
  <si>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</si>
  <si>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</si>
  <si>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</si>
  <si>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</si>
  <si>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</si>
  <si>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</si>
  <si>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</si>
  <si>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</si>
  <si>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</si>
  <si>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</si>
  <si>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</si>
  <si>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</si>
  <si>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</si>
  <si>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</si>
  <si>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</si>
  <si>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</si>
  <si>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</si>
  <si>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</si>
  <si>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</si>
  <si>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</si>
  <si>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</si>
  <si>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</si>
  <si>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</si>
  <si>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</si>
  <si>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</si>
  <si>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</si>
  <si>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</si>
  <si>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</si>
  <si>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</si>
  <si>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</si>
  <si>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</si>
  <si>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</si>
  <si>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</si>
  <si>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</si>
  <si>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</si>
  <si>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</si>
  <si>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</si>
  <si>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</si>
  <si>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</si>
  <si>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</si>
  <si>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</si>
  <si>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</si>
  <si>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</si>
  <si>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</si>
  <si>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</si>
  <si>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</si>
  <si>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</si>
  <si>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</si>
  <si>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</si>
  <si>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</si>
  <si>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</si>
  <si>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</si>
  <si>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</si>
  <si>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</si>
  <si>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</si>
  <si>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</si>
  <si>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</si>
  <si>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</si>
  <si>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</si>
  <si>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</si>
  <si>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</si>
  <si>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</si>
  <si>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</si>
  <si>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</si>
  <si>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</si>
  <si>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</si>
  <si>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</si>
  <si>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</si>
  <si>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</si>
  <si>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</si>
  <si>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</si>
  <si>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</si>
  <si>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</si>
  <si>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</si>
  <si>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</si>
  <si>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</si>
  <si>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</si>
  <si>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</si>
  <si>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</si>
  <si>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</si>
  <si>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</si>
  <si>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</si>
  <si>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</si>
  <si>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</si>
  <si>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</si>
  <si>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</si>
  <si>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</si>
  <si>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</si>
  <si>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</si>
  <si>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</si>
  <si>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</si>
  <si>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</si>
  <si>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</si>
  <si>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</si>
  <si>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</si>
  <si>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</si>
  <si>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</si>
  <si>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</si>
  <si>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</si>
  <si>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</si>
  <si>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</si>
  <si>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</si>
  <si>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</si>
  <si>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</si>
  <si>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</si>
  <si>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</si>
  <si>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</si>
  <si>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</si>
  <si>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</si>
  <si>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</si>
  <si>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</si>
  <si>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</si>
  <si>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</si>
  <si>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</si>
  <si>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</si>
  <si>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</si>
  <si>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</si>
  <si>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</si>
  <si>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</si>
  <si>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</si>
  <si>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</si>
  <si>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</si>
  <si>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</si>
  <si>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</si>
  <si>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</si>
  <si>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</si>
  <si>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</si>
  <si>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</si>
  <si>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</si>
  <si>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</si>
  <si>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</si>
  <si>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</si>
  <si>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</si>
  <si>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</si>
  <si>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</si>
  <si>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</si>
  <si>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</si>
  <si>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</si>
  <si>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</si>
  <si>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</si>
  <si>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</si>
  <si>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</si>
  <si>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</si>
  <si>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</si>
  <si>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</si>
  <si>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</si>
  <si>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</si>
  <si>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</si>
  <si>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</si>
  <si>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</si>
  <si>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</si>
  <si>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</si>
  <si>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</si>
  <si>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</si>
  <si>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</si>
  <si>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</si>
  <si>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</si>
  <si>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</si>
  <si>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</si>
  <si>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</si>
  <si>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</si>
  <si>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</si>
  <si>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</si>
  <si>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</si>
  <si>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</si>
  <si>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</si>
  <si>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</si>
  <si>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</si>
  <si>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</si>
  <si>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</si>
  <si>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</si>
  <si>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</si>
  <si>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</si>
  <si>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</si>
  <si>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</si>
  <si>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</si>
  <si>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</si>
  <si>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</si>
  <si>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</si>
  <si>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</si>
  <si>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</si>
  <si>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</si>
  <si>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</si>
  <si>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</si>
  <si>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</si>
  <si>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</si>
  <si>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</si>
  <si>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</si>
  <si>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</si>
  <si>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</si>
  <si>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</si>
  <si>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</si>
  <si>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</si>
  <si>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</si>
  <si>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</si>
  <si>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</si>
  <si>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</si>
  <si>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</si>
  <si>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</si>
  <si>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</si>
  <si>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</si>
  <si>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</si>
  <si>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</si>
  <si>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</si>
  <si>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</si>
  <si>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</si>
  <si>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</si>
  <si>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</si>
  <si>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</si>
  <si>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</si>
  <si>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</si>
  <si>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</si>
  <si>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</si>
  <si>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</si>
  <si>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</si>
  <si>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</si>
  <si>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</si>
  <si>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</si>
  <si>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</si>
  <si>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</si>
  <si>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</si>
  <si>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</si>
  <si>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</si>
  <si>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</si>
  <si>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</si>
  <si>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</si>
  <si>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</si>
  <si>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</si>
  <si>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</si>
  <si>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</si>
  <si>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</si>
  <si>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</si>
  <si>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</si>
  <si>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</si>
  <si>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</si>
  <si>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</si>
  <si>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</si>
  <si>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</si>
  <si>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</si>
  <si>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</si>
  <si>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</si>
  <si>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</si>
  <si>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</si>
  <si>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</si>
  <si>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</si>
  <si>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</si>
  <si>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</si>
  <si>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</si>
  <si>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</si>
  <si>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</si>
  <si>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</si>
  <si>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</si>
  <si>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</si>
  <si>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</si>
  <si>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</si>
  <si>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</si>
  <si>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</si>
  <si>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</si>
  <si>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</si>
  <si>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</si>
  <si>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</si>
  <si>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</si>
  <si>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</si>
  <si>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</si>
  <si>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</si>
  <si>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</si>
  <si>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</si>
  <si>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</si>
  <si>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</si>
  <si>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</si>
  <si>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</si>
  <si>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</si>
  <si>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</si>
  <si>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</si>
  <si>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</si>
  <si>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</si>
  <si>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</si>
  <si>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</si>
  <si>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</si>
  <si>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</si>
  <si>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</si>
  <si>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</si>
  <si>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</si>
  <si>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</si>
  <si>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</si>
  <si>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</si>
  <si>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</si>
  <si>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</si>
  <si>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</si>
  <si>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</si>
  <si>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</si>
  <si>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</si>
  <si>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</si>
  <si>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</si>
  <si>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</si>
  <si>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</si>
  <si>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</si>
  <si>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</si>
  <si>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</si>
  <si>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</si>
  <si>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</si>
  <si>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</si>
  <si>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</si>
  <si>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</si>
  <si>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</si>
  <si>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</si>
  <si>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</si>
  <si>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</si>
  <si>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</si>
  <si>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</si>
  <si>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</si>
  <si>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</si>
  <si>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</si>
  <si>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</si>
  <si>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</si>
  <si>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</si>
  <si>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</si>
  <si>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</si>
  <si>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</si>
  <si>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</si>
  <si>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</si>
  <si>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</si>
  <si>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</si>
  <si>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</si>
  <si>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</si>
  <si>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</si>
  <si>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</si>
  <si>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</si>
  <si>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</si>
  <si>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</si>
  <si>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</si>
  <si>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</si>
  <si>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</si>
  <si>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</si>
  <si>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</si>
  <si>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</si>
  <si>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</si>
  <si>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</si>
  <si>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</si>
  <si>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</si>
  <si>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</si>
  <si>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</si>
  <si>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</si>
  <si>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</si>
  <si>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</si>
  <si>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</si>
  <si>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</si>
  <si>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</si>
  <si>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</si>
  <si>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</si>
  <si>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</si>
  <si>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</si>
  <si>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</si>
  <si>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</si>
  <si>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</si>
  <si>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</si>
  <si>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</si>
  <si>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</si>
  <si>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</si>
  <si>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</si>
  <si>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</si>
  <si>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</si>
  <si>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</si>
  <si>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</si>
  <si>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</si>
  <si>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</si>
  <si>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</si>
  <si>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</si>
  <si>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</si>
  <si>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</si>
  <si>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</si>
  <si>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</si>
  <si>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</si>
  <si>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</si>
  <si>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</si>
  <si>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</si>
  <si>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</si>
  <si>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</si>
  <si>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</si>
  <si>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</si>
  <si>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</si>
  <si>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</si>
  <si>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</si>
  <si>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</si>
  <si>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</si>
  <si>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</si>
  <si>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</si>
  <si>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</si>
  <si>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</si>
  <si>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</si>
  <si>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</si>
  <si>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</si>
  <si>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</si>
  <si>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</si>
  <si>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</si>
  <si>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</si>
  <si>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</si>
  <si>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</si>
  <si>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</si>
  <si>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</si>
  <si>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</si>
  <si>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</si>
  <si>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</si>
  <si>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</si>
  <si>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</si>
  <si>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</si>
  <si>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</si>
  <si>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</si>
  <si>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</si>
  <si>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</si>
  <si>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</si>
  <si>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</si>
  <si>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</si>
  <si>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</si>
  <si>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</si>
  <si>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</si>
  <si>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</si>
  <si>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</si>
  <si>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</si>
  <si>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</si>
  <si>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</si>
  <si>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</si>
  <si>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</si>
  <si>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</si>
  <si>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</si>
  <si>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</si>
  <si>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</si>
  <si>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</si>
  <si>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</si>
  <si>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</si>
  <si>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</si>
  <si>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</si>
  <si>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</si>
  <si>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</si>
  <si>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</si>
  <si>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</si>
  <si>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</si>
  <si>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</si>
  <si>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</si>
  <si>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</si>
  <si>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</si>
  <si>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</si>
  <si>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</si>
  <si>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</si>
  <si>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</si>
  <si>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</si>
  <si>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</si>
  <si>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</si>
  <si>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</si>
  <si>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</si>
  <si>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</si>
  <si>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</si>
  <si>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</si>
  <si>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</si>
  <si>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</si>
  <si>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</si>
  <si>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</si>
  <si>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</si>
  <si>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</si>
  <si>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</si>
  <si>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</si>
  <si>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</si>
  <si>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</si>
  <si>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</si>
  <si>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</si>
  <si>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</si>
  <si>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</si>
  <si>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</si>
  <si>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</si>
  <si>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</si>
  <si>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</si>
  <si>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</si>
  <si>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</si>
  <si>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</si>
  <si>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</si>
  <si>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</si>
  <si>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</si>
  <si>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</si>
  <si>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</si>
  <si>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</si>
  <si>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</si>
  <si>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</si>
  <si>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</si>
  <si>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</si>
  <si>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</si>
  <si>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</si>
  <si>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</si>
  <si>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</si>
  <si>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</si>
  <si>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</si>
  <si>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</si>
  <si>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</si>
  <si>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</si>
  <si>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</si>
  <si>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</si>
  <si>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</si>
  <si>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</si>
  <si>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</si>
  <si>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</si>
  <si>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</si>
  <si>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</si>
  <si>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</si>
  <si>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</si>
  <si>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</si>
  <si>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</si>
  <si>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</si>
  <si>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</si>
  <si>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</si>
  <si>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</si>
  <si>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</si>
  <si>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</si>
  <si>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</si>
  <si>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</si>
  <si>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</si>
  <si>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</si>
  <si>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</si>
  <si>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</si>
  <si>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</si>
  <si>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</si>
  <si>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</si>
  <si>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</si>
  <si>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</si>
  <si>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</si>
  <si>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</si>
  <si>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</si>
  <si>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</si>
  <si>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</si>
  <si>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</si>
  <si>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</si>
  <si>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</si>
  <si>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</si>
  <si>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</si>
  <si>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</si>
  <si>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</si>
  <si>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</si>
  <si>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</si>
  <si>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</si>
  <si>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</si>
  <si>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</si>
  <si>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</si>
  <si>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</si>
  <si>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</si>
  <si>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</si>
  <si>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</si>
  <si>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</si>
  <si>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</si>
  <si>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</si>
  <si>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</si>
  <si>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</si>
  <si>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</si>
  <si>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</si>
  <si>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</si>
  <si>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</si>
  <si>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</si>
  <si>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</si>
  <si>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</si>
  <si>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</si>
  <si>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</si>
  <si>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</si>
  <si>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</si>
  <si>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</si>
  <si>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</si>
  <si>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</si>
  <si>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</si>
  <si>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</si>
  <si>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</si>
  <si>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</si>
  <si>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</si>
  <si>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</si>
  <si>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</si>
  <si>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</si>
  <si>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</si>
  <si>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</si>
  <si>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</si>
  <si>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</si>
  <si>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</si>
  <si>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</si>
  <si>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</si>
  <si>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</si>
  <si>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</si>
  <si>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</si>
  <si>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</si>
  <si>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</si>
  <si>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</si>
  <si>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</si>
  <si>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</si>
  <si>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</si>
  <si>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</si>
  <si>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</si>
  <si>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</si>
  <si>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</si>
  <si>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</si>
  <si>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</si>
  <si>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</si>
  <si>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</si>
  <si>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</si>
  <si>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</si>
  <si>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</si>
  <si>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</si>
  <si>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</si>
  <si>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</si>
  <si>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</si>
  <si>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</si>
  <si>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</si>
  <si>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</si>
  <si>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</si>
  <si>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</si>
  <si>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</si>
  <si>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</si>
  <si>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</si>
  <si>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</si>
  <si>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</si>
  <si>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</si>
  <si>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</si>
  <si>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</si>
  <si>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</si>
  <si>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</si>
  <si>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</si>
  <si>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</si>
  <si>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</si>
  <si>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</si>
  <si>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</si>
  <si>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</si>
  <si>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</si>
  <si>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</si>
  <si>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</si>
  <si>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</si>
  <si>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</si>
  <si>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</si>
  <si>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</si>
  <si>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</si>
  <si>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</si>
  <si>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</si>
  <si>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</si>
  <si>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</si>
  <si>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</si>
  <si>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</si>
  <si>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</si>
  <si>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</si>
  <si>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</si>
  <si>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</si>
  <si>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</si>
  <si>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</si>
  <si>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</si>
  <si>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</si>
  <si>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</si>
  <si>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</si>
  <si>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</si>
  <si>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</si>
  <si>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</si>
  <si>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</si>
  <si>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</si>
  <si>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</si>
  <si>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</si>
  <si>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</si>
  <si>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</si>
  <si>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</si>
  <si>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</si>
  <si>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</si>
  <si>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</si>
  <si>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</si>
  <si>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</si>
  <si>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</si>
  <si>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</si>
  <si>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</si>
  <si>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</si>
  <si>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</si>
  <si>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</si>
  <si>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</si>
  <si>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</si>
  <si>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</si>
  <si>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</si>
  <si>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</si>
  <si>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</si>
  <si>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</si>
  <si>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</si>
  <si>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</si>
  <si>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</si>
  <si>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</si>
  <si>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</si>
  <si>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</si>
  <si>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</si>
  <si>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</si>
  <si>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</si>
  <si>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</si>
  <si>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</si>
  <si>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</si>
  <si>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</si>
  <si>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</si>
  <si>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</si>
  <si>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</si>
  <si>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</si>
  <si>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</si>
  <si>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</si>
  <si>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</si>
  <si>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</si>
  <si>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</si>
  <si>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</si>
  <si>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</si>
  <si>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</si>
  <si>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</si>
  <si>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</si>
  <si>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</si>
  <si>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</si>
  <si>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</si>
  <si>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</si>
  <si>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</si>
  <si>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</si>
  <si>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</si>
  <si>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</si>
  <si>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</si>
  <si>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</si>
  <si>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</si>
  <si>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</si>
  <si>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</si>
  <si>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</si>
  <si>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</si>
  <si>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</si>
  <si>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</si>
  <si>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</si>
  <si>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</si>
  <si>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</si>
  <si>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</si>
  <si>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</si>
  <si>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</si>
  <si>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</si>
  <si>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</si>
  <si>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</si>
  <si>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</si>
  <si>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</si>
  <si>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</si>
  <si>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</si>
  <si>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</si>
  <si>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</si>
  <si>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</si>
  <si>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</si>
  <si>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</si>
  <si>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</si>
  <si>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</si>
  <si>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</si>
  <si>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</si>
  <si>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</si>
  <si>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</si>
  <si>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</si>
  <si>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</si>
  <si>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</si>
  <si>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</si>
  <si>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</si>
  <si>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</si>
  <si>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</si>
  <si>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</si>
  <si>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</si>
  <si>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</si>
  <si>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</si>
  <si>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</si>
  <si>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</si>
  <si>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</si>
  <si>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</si>
  <si>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</si>
  <si>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</si>
  <si>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</si>
  <si>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</si>
  <si>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</si>
  <si>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</si>
  <si>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</si>
  <si>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</si>
  <si>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</si>
  <si>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</si>
  <si>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</si>
  <si>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</si>
  <si>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</si>
  <si>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</si>
  <si>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</si>
  <si>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</si>
  <si>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</si>
  <si>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</si>
  <si>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</si>
  <si>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</si>
  <si>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</si>
  <si>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</si>
  <si>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</si>
  <si>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</si>
  <si>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</si>
  <si>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</si>
  <si>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</si>
  <si>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</si>
  <si>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</si>
  <si>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</si>
  <si>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</si>
  <si>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</si>
  <si>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</si>
  <si>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</si>
  <si>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</si>
  <si>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</si>
  <si>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</si>
  <si>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</si>
  <si>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</si>
  <si>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</si>
  <si>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</si>
  <si>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</si>
  <si>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</si>
  <si>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</si>
  <si>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</si>
  <si>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</si>
  <si>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</si>
  <si>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</si>
  <si>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</si>
  <si>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</si>
  <si>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</si>
  <si>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</si>
  <si>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</si>
  <si>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</si>
  <si>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</si>
  <si>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</si>
  <si>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</si>
  <si>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</si>
  <si>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</si>
  <si>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</si>
  <si>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</si>
  <si>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</si>
  <si>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</si>
  <si>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</si>
  <si>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</si>
  <si>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</si>
  <si>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</si>
  <si>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</si>
  <si>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</si>
  <si>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</si>
  <si>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</si>
  <si>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</si>
  <si>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</si>
  <si>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</si>
  <si>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</si>
  <si>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</si>
  <si>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</si>
  <si>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</si>
  <si>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</si>
  <si>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</si>
  <si>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</si>
  <si>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</si>
  <si>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</si>
  <si>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</si>
  <si>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</si>
  <si>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</si>
  <si>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</si>
  <si>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</si>
  <si>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</si>
  <si>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</si>
  <si>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</si>
  <si>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</si>
  <si>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</si>
  <si>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</si>
  <si>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</si>
  <si>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</si>
  <si>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</si>
  <si>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</si>
  <si>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</si>
  <si>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</si>
  <si>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</si>
  <si>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</si>
  <si>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</si>
  <si>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</si>
  <si>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</si>
  <si>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</si>
  <si>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</si>
  <si>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</si>
  <si>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</si>
  <si>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</si>
  <si>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</si>
  <si>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</si>
  <si>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</si>
  <si>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</si>
  <si>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</si>
  <si>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</si>
  <si>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</si>
  <si>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</si>
  <si>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</si>
  <si>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</si>
  <si>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</si>
  <si>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</si>
  <si>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</si>
  <si>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</si>
  <si>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</si>
  <si>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</si>
  <si>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</si>
  <si>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</si>
  <si>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</si>
  <si>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</si>
  <si>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</si>
  <si>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</si>
  <si>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</si>
  <si>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</si>
  <si>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</si>
  <si>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</si>
  <si>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</si>
  <si>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</si>
  <si>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</si>
  <si>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</si>
  <si>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</si>
  <si>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</si>
  <si>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</si>
  <si>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</si>
  <si>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</si>
  <si>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</si>
  <si>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</si>
  <si>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</si>
  <si>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</si>
  <si>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</si>
  <si>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</si>
  <si>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</si>
  <si>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</si>
  <si>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</si>
  <si>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</si>
  <si>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</si>
  <si>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</si>
  <si>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</si>
  <si>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</si>
  <si>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</si>
  <si>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</si>
  <si>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</si>
  <si>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</si>
  <si>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</si>
  <si>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</si>
  <si>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</si>
  <si>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</si>
  <si>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</si>
  <si>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</si>
  <si>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</si>
  <si>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</si>
  <si>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</si>
  <si>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</si>
  <si>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</si>
  <si>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</si>
  <si>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</si>
  <si>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</si>
  <si>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</si>
  <si>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</si>
  <si>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</si>
  <si>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</si>
  <si>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</si>
  <si>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</si>
  <si>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</si>
  <si>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</si>
  <si>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</si>
  <si>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</si>
  <si>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</si>
  <si>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</si>
  <si>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</si>
  <si>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</si>
  <si>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</si>
  <si>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</si>
  <si>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</si>
  <si>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</si>
  <si>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</si>
  <si>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</si>
  <si>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</si>
  <si>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</si>
  <si>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</si>
  <si>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</si>
  <si>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</si>
  <si>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</si>
  <si>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</si>
  <si>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</si>
  <si>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</si>
  <si>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</si>
  <si>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</si>
  <si>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</si>
  <si>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</si>
  <si>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</si>
  <si>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</si>
  <si>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</si>
  <si>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</si>
  <si>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</si>
  <si>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</si>
  <si>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</si>
  <si>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</si>
  <si>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</si>
  <si>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</si>
  <si>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</si>
  <si>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</si>
  <si>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</si>
  <si>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</si>
  <si>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</si>
  <si>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</si>
  <si>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</si>
  <si>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</si>
  <si>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</si>
  <si>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</si>
  <si>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</si>
  <si>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</si>
  <si>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</si>
  <si>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</si>
  <si>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</si>
  <si>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</si>
  <si>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</si>
  <si>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</si>
  <si>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</si>
  <si>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</si>
  <si>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</si>
  <si>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</si>
  <si>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</si>
  <si>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</si>
  <si>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</si>
  <si>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</si>
  <si>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</si>
  <si>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</si>
  <si>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</si>
  <si>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</si>
  <si>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</si>
  <si>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</si>
  <si>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</si>
  <si>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</si>
  <si>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</si>
  <si>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</si>
  <si>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</si>
  <si>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</si>
  <si>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</si>
  <si>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</si>
  <si>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</si>
  <si>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</si>
  <si>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</si>
  <si>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</si>
  <si>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</si>
  <si>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</si>
  <si>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</si>
  <si>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</si>
  <si>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</si>
  <si>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</si>
  <si>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</si>
  <si>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</si>
  <si>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</si>
  <si>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</si>
  <si>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</si>
  <si>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</si>
  <si>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</si>
  <si>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</si>
  <si>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</si>
  <si>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</si>
  <si>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</si>
  <si>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</si>
  <si>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</si>
  <si>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</si>
  <si>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</si>
  <si>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</si>
  <si>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</si>
  <si>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</si>
  <si>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</si>
  <si>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</si>
  <si>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</si>
  <si>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</si>
  <si>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</si>
  <si>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</si>
  <si>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</si>
  <si>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</si>
  <si>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</si>
  <si>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</si>
  <si>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</si>
  <si>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</si>
  <si>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</si>
  <si>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</si>
  <si>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</si>
  <si>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</si>
  <si>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</si>
  <si>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</si>
  <si>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</si>
  <si>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</si>
  <si>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</si>
  <si>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</si>
  <si>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</si>
  <si>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</si>
  <si>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</si>
  <si>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</si>
  <si>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</si>
  <si>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</si>
  <si>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</si>
  <si>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</si>
  <si>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</si>
  <si>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</si>
  <si>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</si>
  <si>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</si>
  <si>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</si>
  <si>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</si>
  <si>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</si>
  <si>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</si>
  <si>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</si>
  <si>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</si>
  <si>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</si>
  <si>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</si>
  <si>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</si>
  <si>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</si>
  <si>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</si>
  <si>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</si>
  <si>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</si>
  <si>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</si>
  <si>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</si>
  <si>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</si>
  <si>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</si>
  <si>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</si>
  <si>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</si>
  <si>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</si>
  <si>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</si>
  <si>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</si>
  <si>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</si>
  <si>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</si>
  <si>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</si>
  <si>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</si>
  <si>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</si>
  <si>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</si>
  <si>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</si>
  <si>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</si>
  <si>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</si>
  <si>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</si>
  <si>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</si>
  <si>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</si>
  <si>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</si>
  <si>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</si>
  <si>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</si>
  <si>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</si>
  <si>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</si>
  <si>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</si>
  <si>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</si>
  <si>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</si>
  <si>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</si>
  <si>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</si>
  <si>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</si>
  <si>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</si>
  <si>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</si>
  <si>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</si>
  <si>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</si>
  <si>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</si>
  <si>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</si>
  <si>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</si>
  <si>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</si>
  <si>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</si>
  <si>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</si>
  <si>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</si>
  <si>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</si>
  <si>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</si>
  <si>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</si>
  <si>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</si>
  <si>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</si>
  <si>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</si>
  <si>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</si>
  <si>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</si>
  <si>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</si>
  <si>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</si>
  <si>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</si>
  <si>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</si>
  <si>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</si>
  <si>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</si>
  <si>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</si>
  <si>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</si>
  <si>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</si>
  <si>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</si>
  <si>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</si>
  <si>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</si>
  <si>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</si>
  <si>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</si>
  <si>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</si>
  <si>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</si>
  <si>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</si>
  <si>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</si>
  <si>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</si>
  <si>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</si>
  <si>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</si>
  <si>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</si>
  <si>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</si>
  <si>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</si>
  <si>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</si>
  <si>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</si>
  <si>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</si>
  <si>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</si>
  <si>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</si>
  <si>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</si>
  <si>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</si>
  <si>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</si>
  <si>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</si>
  <si>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</si>
  <si>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</si>
  <si>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</si>
  <si>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</si>
  <si>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</si>
  <si>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</si>
  <si>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</si>
  <si>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</si>
  <si>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</si>
  <si>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</si>
  <si>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</si>
  <si>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</si>
  <si>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</si>
  <si>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</si>
  <si>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</si>
  <si>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</si>
  <si>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</si>
  <si>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</si>
  <si>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</si>
  <si>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</si>
  <si>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</si>
  <si>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</si>
  <si>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</si>
  <si>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</si>
  <si>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</si>
  <si>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</si>
  <si>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</si>
  <si>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</si>
  <si>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</si>
  <si>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</si>
  <si>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</si>
  <si>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</si>
  <si>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</si>
  <si>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</si>
  <si>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</si>
  <si>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</si>
  <si>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</si>
  <si>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</si>
  <si>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</si>
  <si>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</si>
  <si>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</si>
  <si>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</si>
  <si>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</si>
  <si>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</si>
  <si>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</si>
  <si>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</si>
  <si>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</si>
  <si>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</si>
  <si>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</si>
  <si>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</si>
  <si>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</si>
  <si>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</si>
  <si>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</si>
  <si>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</si>
  <si>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</si>
  <si>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</si>
  <si>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</si>
  <si>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</si>
  <si>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</si>
  <si>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</si>
  <si>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</si>
  <si>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</si>
  <si>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</si>
  <si>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</si>
  <si>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</si>
  <si>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</si>
  <si>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</si>
  <si>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</si>
  <si>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</si>
  <si>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</si>
  <si>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</si>
  <si>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</si>
  <si>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</si>
  <si>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</si>
  <si>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</si>
  <si>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</si>
  <si>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</si>
  <si>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</si>
  <si>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</si>
  <si>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</si>
  <si>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</si>
  <si>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</si>
  <si>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</si>
  <si>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</si>
  <si>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</si>
  <si>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</si>
  <si>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</si>
  <si>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</si>
  <si>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</si>
  <si>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</si>
  <si>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</si>
  <si>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</si>
  <si>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</si>
  <si>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</si>
  <si>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</si>
  <si>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</si>
  <si>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</si>
  <si>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</si>
  <si>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</si>
  <si>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</si>
  <si>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</si>
  <si>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</si>
  <si>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</si>
  <si>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</si>
  <si>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</si>
  <si>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</si>
  <si>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</si>
  <si>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</si>
  <si>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</si>
  <si>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</si>
  <si>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</si>
  <si>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</si>
  <si>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</si>
  <si>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</si>
  <si>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</si>
  <si>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</si>
  <si>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</si>
  <si>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</si>
  <si>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</si>
  <si>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</si>
  <si>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</si>
  <si>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</si>
  <si>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</si>
  <si>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</si>
  <si>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</si>
  <si>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</si>
  <si>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</si>
  <si>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</si>
  <si>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</si>
  <si>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</si>
  <si>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</si>
  <si>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</si>
  <si>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</si>
  <si>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</si>
  <si>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</si>
  <si>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</si>
  <si>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</si>
  <si>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</si>
  <si>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</si>
  <si>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</si>
  <si>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</si>
  <si>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</si>
  <si>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</si>
  <si>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</si>
  <si>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</si>
  <si>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</si>
  <si>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</si>
  <si>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</si>
  <si>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</si>
  <si>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</si>
  <si>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</si>
  <si>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</si>
  <si>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</si>
  <si>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</si>
  <si>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</si>
  <si>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</si>
  <si>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</si>
  <si>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</si>
  <si>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</si>
  <si>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</si>
  <si>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</si>
  <si>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</si>
  <si>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</si>
  <si>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</si>
  <si>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</si>
  <si>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</si>
  <si>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</si>
  <si>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</si>
  <si>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</si>
  <si>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</si>
  <si>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</si>
  <si>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</si>
  <si>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</si>
  <si>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</si>
  <si>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</si>
  <si>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</si>
  <si>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</si>
  <si>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</si>
  <si>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</si>
  <si>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</si>
  <si>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</si>
  <si>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</si>
  <si>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</si>
  <si>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</si>
  <si>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</si>
  <si>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</si>
  <si>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</si>
  <si>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</si>
  <si>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</si>
  <si>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</si>
  <si>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</si>
  <si>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</si>
  <si>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</si>
  <si>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</si>
  <si>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</si>
  <si>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</si>
  <si>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</si>
  <si>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</si>
  <si>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</si>
  <si>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</si>
  <si>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</si>
  <si>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</si>
  <si>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</si>
  <si>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</si>
  <si>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</si>
  <si>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</si>
  <si>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</si>
  <si>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</si>
  <si>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</si>
  <si>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</si>
  <si>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</si>
  <si>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</si>
  <si>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</si>
  <si>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</si>
  <si>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</si>
  <si>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</si>
  <si>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</si>
  <si>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</si>
  <si>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</si>
  <si>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</si>
  <si>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</si>
  <si>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</si>
  <si>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</si>
  <si>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</si>
  <si>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</si>
  <si>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</si>
  <si>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</si>
  <si>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</si>
  <si>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</si>
  <si>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</si>
  <si>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</si>
  <si>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</si>
  <si>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</si>
  <si>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</si>
  <si>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</si>
  <si>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</si>
  <si>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</si>
  <si>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</si>
  <si>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</si>
  <si>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</si>
  <si>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</si>
  <si>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</si>
  <si>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</si>
  <si>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</si>
  <si>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</si>
  <si>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</si>
  <si>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</si>
  <si>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</si>
  <si>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</si>
  <si>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</si>
  <si>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</si>
  <si>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</si>
  <si>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</si>
  <si>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</si>
  <si>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</si>
  <si>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</si>
  <si>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</si>
  <si>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</si>
  <si>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</si>
  <si>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</si>
  <si>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</si>
  <si>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</si>
  <si>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</si>
  <si>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</si>
  <si>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</si>
  <si>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</si>
  <si>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</si>
  <si>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</si>
  <si>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</si>
  <si>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</si>
  <si>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</si>
  <si>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</si>
  <si>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</si>
  <si>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</si>
  <si>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</si>
  <si>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</si>
  <si>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</si>
  <si>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</si>
  <si>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</si>
  <si>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</si>
  <si>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</si>
  <si>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</si>
  <si>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</si>
  <si>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</si>
  <si>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</si>
  <si>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</si>
  <si>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</si>
  <si>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</si>
  <si>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</si>
  <si>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</si>
  <si>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</si>
  <si>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</si>
  <si>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</si>
  <si>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</si>
  <si>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</si>
  <si>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</si>
  <si>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</si>
  <si>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</si>
  <si>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</si>
  <si>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</si>
  <si>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</si>
  <si>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</si>
  <si>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</si>
  <si>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</si>
  <si>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</si>
  <si>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</si>
  <si>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</si>
  <si>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</si>
  <si>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</si>
  <si>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</si>
  <si>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</si>
  <si>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</si>
  <si>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</si>
  <si>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</si>
  <si>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</si>
  <si>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</si>
  <si>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</si>
  <si>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</si>
  <si>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</si>
  <si>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</si>
  <si>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</si>
  <si>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</si>
  <si>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</si>
  <si>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</si>
  <si>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</si>
  <si>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</si>
  <si>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</si>
  <si>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</si>
  <si>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</si>
  <si>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</si>
  <si>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</si>
  <si>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</si>
  <si>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</si>
  <si>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</si>
  <si>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</si>
  <si>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</si>
  <si>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</si>
  <si>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</si>
  <si>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</si>
  <si>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</si>
  <si>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</si>
  <si>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</si>
  <si>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</si>
  <si>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</si>
  <si>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</si>
  <si>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</si>
  <si>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</si>
  <si>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</si>
  <si>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</si>
  <si>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</si>
  <si>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</si>
  <si>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</si>
  <si>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</si>
  <si>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</si>
  <si>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</si>
  <si>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</si>
  <si>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</si>
  <si>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</si>
  <si>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</si>
  <si>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</si>
  <si>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</si>
  <si>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</si>
  <si>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</si>
  <si>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</si>
  <si>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</si>
  <si>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</si>
  <si>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</si>
  <si>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</si>
  <si>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</si>
  <si>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</si>
  <si>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</si>
  <si>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</si>
  <si>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</si>
  <si>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</si>
  <si>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</si>
  <si>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</si>
  <si>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</si>
  <si>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</si>
  <si>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</si>
  <si>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</si>
  <si>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</si>
  <si>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</si>
  <si>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</si>
  <si>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</si>
  <si>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</si>
  <si>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</si>
  <si>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</si>
  <si>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</si>
  <si>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</si>
  <si>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</si>
  <si>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</si>
  <si>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</si>
  <si>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</si>
  <si>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</si>
  <si>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</si>
  <si>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</si>
  <si>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</si>
  <si>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</si>
  <si>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</si>
  <si>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</si>
  <si>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</si>
  <si>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</si>
  <si>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</si>
  <si>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</si>
  <si>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</si>
  <si>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</si>
  <si>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</si>
  <si>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</si>
  <si>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</si>
  <si>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</si>
  <si>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</si>
  <si>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</si>
  <si>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</si>
  <si>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</si>
  <si>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</si>
  <si>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</si>
  <si>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</si>
  <si>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</si>
  <si>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</si>
  <si>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</si>
  <si>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</si>
  <si>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</si>
  <si>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</si>
  <si>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</si>
  <si>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</si>
  <si>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</si>
  <si>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</si>
  <si>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</si>
  <si>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</si>
  <si>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</si>
  <si>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</si>
  <si>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</si>
  <si>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</si>
  <si>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</si>
  <si>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</si>
  <si>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</si>
  <si>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</si>
  <si>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</si>
  <si>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</si>
  <si>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</si>
  <si>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</si>
  <si>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</si>
  <si>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</si>
  <si>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</si>
  <si>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</si>
  <si>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</si>
  <si>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</si>
  <si>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</si>
  <si>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</si>
  <si>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</si>
  <si>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</si>
  <si>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</si>
  <si>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</si>
  <si>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</si>
  <si>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</si>
  <si>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</si>
  <si>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</si>
  <si>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</si>
  <si>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</si>
  <si>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</si>
  <si>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</si>
  <si>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</si>
  <si>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</si>
  <si>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</si>
  <si>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</si>
  <si>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</si>
  <si>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</si>
  <si>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</si>
  <si>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</si>
  <si>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</si>
  <si>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</si>
  <si>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</si>
  <si>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</si>
  <si>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</si>
  <si>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</si>
  <si>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</si>
  <si>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</si>
  <si>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</si>
  <si>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</si>
  <si>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</si>
  <si>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Alhambra Second Street LP</t>
  </si>
  <si>
    <t>Mariposa on Second</t>
  </si>
  <si>
    <t>City of Alhambra</t>
  </si>
  <si>
    <t>Jessica Binnquist</t>
  </si>
  <si>
    <t xml:space="preserve">111 South First Street </t>
  </si>
  <si>
    <t>Alhambra</t>
  </si>
  <si>
    <t>626-570-5010</t>
  </si>
  <si>
    <t>jbinquist@cityofalhambra.org</t>
  </si>
  <si>
    <t>42 S. Second Street</t>
  </si>
  <si>
    <t>5344-026-915</t>
  </si>
  <si>
    <t>40%/60%</t>
  </si>
  <si>
    <t>American Family Housing</t>
  </si>
  <si>
    <t>15161 Jackson Street</t>
  </si>
  <si>
    <t>Midway City</t>
  </si>
  <si>
    <t>CA</t>
  </si>
  <si>
    <t>Ryan Lehman</t>
  </si>
  <si>
    <t>213-598-0800</t>
  </si>
  <si>
    <t>rlehman@afhusa.org</t>
  </si>
  <si>
    <t>AFH Alhambra LLC</t>
  </si>
  <si>
    <t>VP Mariposa LLC</t>
  </si>
  <si>
    <t>Administrative GP</t>
  </si>
  <si>
    <t>David Nahas</t>
  </si>
  <si>
    <t>949-510-6552</t>
  </si>
  <si>
    <t>dnahas@velocepartners.com</t>
  </si>
  <si>
    <t>Veloce Partners Inc.</t>
  </si>
  <si>
    <t>Midway City, CA 92655</t>
  </si>
  <si>
    <t>714-893-6858</t>
  </si>
  <si>
    <t>Goldfarb and Lipman</t>
  </si>
  <si>
    <t>1300 Clay Street, 11th floor</t>
  </si>
  <si>
    <t>Oakland, CA 94612</t>
  </si>
  <si>
    <t>William DiCamillo</t>
  </si>
  <si>
    <t>510-433-6602</t>
  </si>
  <si>
    <t>WDiCamillo@goldfarblipman.com</t>
  </si>
  <si>
    <t>Bowman &amp; Company, LLP</t>
  </si>
  <si>
    <t>10100 Trinity Parkway, Suite 320</t>
  </si>
  <si>
    <t>Stockton, CA 95219</t>
  </si>
  <si>
    <t>Tara Eastwood</t>
  </si>
  <si>
    <t>209-473-1040</t>
  </si>
  <si>
    <t>209-473-9771</t>
  </si>
  <si>
    <t>teastwood@cpabowman.com</t>
  </si>
  <si>
    <t>Veloce Partners</t>
  </si>
  <si>
    <t>Stringer Appraisals</t>
  </si>
  <si>
    <t>1666 Ashland Avenue</t>
  </si>
  <si>
    <t>Santa Monica, CA 90405</t>
  </si>
  <si>
    <t>Tom Stringer</t>
  </si>
  <si>
    <t>310-399-2985</t>
  </si>
  <si>
    <t>tdstringer@aol.com</t>
  </si>
  <si>
    <t>County of Los Angeles</t>
  </si>
  <si>
    <t>700 W. Main Street</t>
  </si>
  <si>
    <t>Alhambra, CA</t>
  </si>
  <si>
    <t>Matt Lust</t>
  </si>
  <si>
    <t>626-586-1809</t>
  </si>
  <si>
    <t>matt.lust@lacda.org</t>
  </si>
  <si>
    <t>KTGY Archiecture &amp; Planning</t>
  </si>
  <si>
    <t>17911 Von Karman Ave., Suit 200</t>
  </si>
  <si>
    <t>Irvine, CA 92614</t>
  </si>
  <si>
    <t>Keith Labus</t>
  </si>
  <si>
    <t>949-851-2133</t>
  </si>
  <si>
    <t>949-851-5156</t>
  </si>
  <si>
    <t>klabus@ktgy.com</t>
  </si>
  <si>
    <t>ECON Construction</t>
  </si>
  <si>
    <t>13230 Evening Creek S. Ste 213</t>
  </si>
  <si>
    <t>San Diego, CA 92128</t>
  </si>
  <si>
    <t>Geoff McMillen</t>
  </si>
  <si>
    <t>858-486-7890</t>
  </si>
  <si>
    <t>gmcmillen@econgc.com</t>
  </si>
  <si>
    <t>Partner Energy</t>
  </si>
  <si>
    <t>680 Knox Street, Suite 150</t>
  </si>
  <si>
    <t>Los Angeles, CA 90502</t>
  </si>
  <si>
    <t>Lance Collins</t>
  </si>
  <si>
    <t>310-356-2193</t>
  </si>
  <si>
    <t>lcollins@ptenergy.com</t>
  </si>
  <si>
    <t>Raymond James</t>
  </si>
  <si>
    <t>5420 La Jolla Blvd. #B104</t>
  </si>
  <si>
    <t>La Jolla, CA 92037</t>
  </si>
  <si>
    <t>Kevin Kilbane</t>
  </si>
  <si>
    <t>213-509-1342</t>
  </si>
  <si>
    <t>Kevin.Kilbane@RaymondJames.com</t>
  </si>
  <si>
    <t>Market Insights Consulting, LLC</t>
  </si>
  <si>
    <t>30021 Tomas Street, Suite 300</t>
  </si>
  <si>
    <t>Rancho Sta Margarita, CA 92688</t>
  </si>
  <si>
    <t>Buck Panchal</t>
  </si>
  <si>
    <t>949-709-1938</t>
  </si>
  <si>
    <t>949-713-7399</t>
  </si>
  <si>
    <t>panchal@marketinsights.info</t>
  </si>
  <si>
    <t>Solari Enterprise, Inc.</t>
  </si>
  <si>
    <t>1507 W. Yale Avenue</t>
  </si>
  <si>
    <t>Orange, CA 92705</t>
  </si>
  <si>
    <t>Gianna Richards</t>
  </si>
  <si>
    <t>714-282-2521</t>
  </si>
  <si>
    <t>gianna@solari-ent.com</t>
  </si>
  <si>
    <t xml:space="preserve">   111 S. First Street, Alhambra, CA 91801</t>
  </si>
  <si>
    <t>Secured by Fee Interest</t>
  </si>
  <si>
    <t>Inner City Infill Site</t>
  </si>
  <si>
    <t>Five stories of 50 Residential units over two story podium parking</t>
  </si>
  <si>
    <t>ADA units are not restricted to only homeless/special needs. An ADA</t>
  </si>
  <si>
    <t>unit may be leased to non-special needs.</t>
  </si>
  <si>
    <t>Commercial</t>
  </si>
  <si>
    <t>Central Business District ad Downtown Revitalization District</t>
  </si>
  <si>
    <t>No change in zone; no maximum density per AB1763</t>
  </si>
  <si>
    <t>Permanent - City of Alhambra</t>
  </si>
  <si>
    <t>Permanent - San Gabriel Valley Regional Housing Trust</t>
  </si>
  <si>
    <t>Construction - San Gabriel Valley Regional Housing Trust</t>
  </si>
  <si>
    <t>Permanent - LACDA</t>
  </si>
  <si>
    <t>Citibank</t>
  </si>
  <si>
    <t>San Gabriel Valley Regional Housing Trust</t>
  </si>
  <si>
    <t>LACDA - AHTF</t>
  </si>
  <si>
    <t>Tax Credit Equity</t>
  </si>
  <si>
    <t>Fixed</t>
  </si>
  <si>
    <t>300 S. Grand Ave.</t>
  </si>
  <si>
    <t>Hao Li</t>
  </si>
  <si>
    <t>213-239-1914</t>
  </si>
  <si>
    <t xml:space="preserve">111 S. First Street </t>
  </si>
  <si>
    <t>Holly Chenh</t>
  </si>
  <si>
    <t>626-570-3238</t>
  </si>
  <si>
    <t>1333 S. Mayflower Ave. Ste.360</t>
  </si>
  <si>
    <t>Monrovia</t>
  </si>
  <si>
    <t>Meredith Sharkey</t>
  </si>
  <si>
    <t>626-373-2683</t>
  </si>
  <si>
    <t>Deferred Costs</t>
  </si>
  <si>
    <t>La Jolla</t>
  </si>
  <si>
    <t>216-509-1342</t>
  </si>
  <si>
    <t>SGVRHT AHTF</t>
  </si>
  <si>
    <t>conventional perm loan</t>
  </si>
  <si>
    <t>15161 Jackson street</t>
  </si>
  <si>
    <t>111 S. First Street</t>
  </si>
  <si>
    <t>air conditioning</t>
  </si>
  <si>
    <t>Los Angeles County Development Authority</t>
  </si>
  <si>
    <t>Office Expenses</t>
  </si>
  <si>
    <t>Payroll Taxes/Benefits</t>
  </si>
  <si>
    <t>Supples</t>
  </si>
  <si>
    <t>LACDA PBVs</t>
  </si>
  <si>
    <t>Project-based vouchers (PBVs)</t>
  </si>
  <si>
    <t>Solari Enterprises, Inc.</t>
  </si>
  <si>
    <t>1 bedroom</t>
  </si>
  <si>
    <t>2 bedroom</t>
  </si>
  <si>
    <t>Provided</t>
  </si>
  <si>
    <t>Not Applicable</t>
  </si>
  <si>
    <t>San Gabriel Regional Valley Housing Trust - AHTF</t>
  </si>
  <si>
    <t>LACDA</t>
  </si>
  <si>
    <t>Costs Deferred Until Conversion</t>
  </si>
  <si>
    <t>Managing GP</t>
  </si>
  <si>
    <t>Managing General Partner(Sr Director of R.E. Development)</t>
  </si>
  <si>
    <t>Building will include one level of public parking for use by the City of Alhambra and an 800 sqft ground floor commercial space to be leased on a NNN basis to a community based non profit for community events.</t>
  </si>
  <si>
    <t>Below residual receipts line for cash flow</t>
  </si>
  <si>
    <t>Above residual receipts line for cash flow</t>
  </si>
  <si>
    <t>LACDA AHTF</t>
  </si>
  <si>
    <t>Tax Exempt</t>
  </si>
  <si>
    <t>Soft - public financing</t>
  </si>
  <si>
    <t>Accrued interest</t>
  </si>
  <si>
    <t>SGVHTF</t>
  </si>
  <si>
    <t>Other: Legal, Construction Inspections</t>
  </si>
  <si>
    <t>Other: compliance, &amp; misc. fees</t>
  </si>
  <si>
    <t>635</t>
  </si>
  <si>
    <t>4152 Meridian St., Suite 105-62</t>
  </si>
  <si>
    <t>Bellingham</t>
  </si>
  <si>
    <t>WA</t>
  </si>
  <si>
    <t>Bellingham, WA 98226</t>
  </si>
  <si>
    <t>SOFR</t>
  </si>
  <si>
    <t>Project NOI</t>
  </si>
  <si>
    <t>700 W Main St.</t>
  </si>
  <si>
    <t>VP Mariposa LLC (Veloce Partners, Inc. Manager, David Nahas - Sole Member)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</si>
</sst>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17170">
    <xf numFmtId="0" fontId="0" fillId="0" borderId="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4"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7" borderId="0" applyNumberFormat="0" applyBorder="0" applyAlignment="0" applyProtection="0"/>
    <xf numFmtId="0" fontId="84" fillId="28" borderId="0" applyNumberFormat="0" applyBorder="0" applyAlignment="0" applyProtection="0"/>
    <xf numFmtId="0" fontId="84" fillId="28"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3" borderId="0" applyNumberFormat="0" applyBorder="0" applyAlignment="0" applyProtection="0"/>
    <xf numFmtId="0" fontId="84" fillId="34" borderId="0" applyNumberFormat="0" applyBorder="0" applyAlignment="0" applyProtection="0"/>
    <xf numFmtId="0" fontId="85" fillId="35" borderId="0" applyNumberFormat="0" applyBorder="0" applyAlignment="0" applyProtection="0"/>
    <xf numFmtId="0" fontId="85" fillId="35" borderId="0" applyNumberFormat="0" applyBorder="0" applyAlignment="0" applyProtection="0"/>
    <xf numFmtId="0" fontId="86" fillId="36" borderId="18" applyNumberFormat="0" applyAlignment="0" applyProtection="0"/>
    <xf numFmtId="0" fontId="86" fillId="36" borderId="18" applyNumberFormat="0" applyAlignment="0" applyProtection="0"/>
    <xf numFmtId="0" fontId="87" fillId="37" borderId="19" applyNumberFormat="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75"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59" fillId="0" borderId="0" applyFont="0" applyFill="0" applyBorder="0" applyAlignment="0" applyProtection="0"/>
    <xf numFmtId="43" fontId="23" fillId="0" borderId="0" applyFont="0" applyFill="0" applyBorder="0" applyAlignment="0" applyProtection="0"/>
    <xf numFmtId="43" fontId="59" fillId="0" borderId="0" applyFont="0" applyFill="0" applyBorder="0" applyAlignment="0" applyProtection="0"/>
    <xf numFmtId="44" fontId="76"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76" fillId="0" borderId="0" applyFont="0" applyFill="0" applyBorder="0" applyAlignment="0" applyProtection="0"/>
    <xf numFmtId="44" fontId="23" fillId="0" borderId="0" applyFont="0" applyFill="0" applyBorder="0" applyAlignment="0" applyProtection="0"/>
    <xf numFmtId="44" fontId="78"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alignment vertical="top"/>
    </xf>
    <xf numFmtId="44" fontId="59" fillId="0" borderId="0" applyFont="0" applyFill="0" applyBorder="0" applyAlignment="0" applyProtection="0">
      <alignment vertical="top"/>
    </xf>
    <xf numFmtId="44" fontId="23" fillId="0" borderId="0" applyFont="0" applyFill="0" applyBorder="0" applyAlignment="0" applyProtection="0"/>
    <xf numFmtId="44" fontId="59" fillId="0" borderId="0" applyFont="0" applyFill="0" applyBorder="0" applyAlignment="0" applyProtection="0">
      <alignment vertical="top"/>
    </xf>
    <xf numFmtId="44" fontId="59"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59" fillId="0" borderId="0" applyFont="0" applyFill="0" applyBorder="0" applyAlignment="0" applyProtection="0"/>
    <xf numFmtId="44" fontId="68"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23" fillId="0" borderId="0" applyFont="0" applyFill="0" applyBorder="0" applyAlignment="0" applyProtection="0"/>
    <xf numFmtId="44" fontId="69" fillId="0" borderId="0" applyFont="0" applyFill="0" applyBorder="0" applyAlignment="0" applyProtection="0"/>
    <xf numFmtId="44" fontId="23"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23" fillId="0" borderId="0" applyFont="0" applyFill="0" applyBorder="0" applyAlignment="0" applyProtection="0"/>
    <xf numFmtId="44" fontId="70"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74" fillId="0" borderId="0" applyFont="0" applyFill="0" applyBorder="0" applyAlignment="0" applyProtection="0"/>
    <xf numFmtId="44" fontId="23" fillId="0" borderId="0" applyFont="0" applyFill="0" applyBorder="0" applyAlignment="0" applyProtection="0"/>
    <xf numFmtId="0" fontId="88" fillId="0" borderId="0" applyNumberFormat="0" applyFill="0" applyBorder="0" applyAlignment="0" applyProtection="0"/>
    <xf numFmtId="0" fontId="89" fillId="38" borderId="0" applyNumberFormat="0" applyBorder="0" applyAlignment="0" applyProtection="0"/>
    <xf numFmtId="0" fontId="90" fillId="0" borderId="20" applyNumberFormat="0" applyFill="0" applyAlignment="0" applyProtection="0"/>
    <xf numFmtId="0" fontId="90" fillId="0" borderId="20" applyNumberFormat="0" applyFill="0" applyAlignment="0" applyProtection="0"/>
    <xf numFmtId="0" fontId="91" fillId="0" borderId="21" applyNumberFormat="0" applyFill="0" applyAlignment="0" applyProtection="0"/>
    <xf numFmtId="0" fontId="91" fillId="0" borderId="21" applyNumberFormat="0" applyFill="0" applyAlignment="0" applyProtection="0"/>
    <xf numFmtId="0" fontId="92" fillId="0" borderId="22" applyNumberFormat="0" applyFill="0" applyAlignment="0" applyProtection="0"/>
    <xf numFmtId="0" fontId="92" fillId="0" borderId="22" applyNumberFormat="0" applyFill="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80" fillId="0" borderId="0" applyNumberFormat="0" applyFill="0" applyBorder="0" applyAlignment="0" applyProtection="0">
      <alignment vertical="top"/>
      <protection locked="0"/>
    </xf>
    <xf numFmtId="0" fontId="93" fillId="39" borderId="18" applyNumberFormat="0" applyAlignment="0" applyProtection="0"/>
    <xf numFmtId="0" fontId="16" fillId="0" borderId="0" applyNumberFormat="0" applyBorder="0"/>
    <xf numFmtId="0" fontId="17" fillId="0" borderId="0" applyBorder="0" applyAlignment="0"/>
    <xf numFmtId="0" fontId="18" fillId="0" borderId="0" applyFill="0" applyBorder="0" applyAlignment="0"/>
    <xf numFmtId="0" fontId="94" fillId="0" borderId="23" applyNumberFormat="0" applyFill="0" applyAlignment="0" applyProtection="0"/>
    <xf numFmtId="0" fontId="95" fillId="40" borderId="0" applyNumberFormat="0" applyBorder="0" applyAlignment="0" applyProtection="0"/>
    <xf numFmtId="0" fontId="96" fillId="0" borderId="0"/>
    <xf numFmtId="0" fontId="59" fillId="0" borderId="0"/>
    <xf numFmtId="0" fontId="96" fillId="0" borderId="0"/>
    <xf numFmtId="0" fontId="59" fillId="0" borderId="0"/>
    <xf numFmtId="0" fontId="59"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97" fillId="0" borderId="0"/>
    <xf numFmtId="0" fontId="59" fillId="0" borderId="0"/>
    <xf numFmtId="169" fontId="60" fillId="0" borderId="0"/>
    <xf numFmtId="0" fontId="83" fillId="0" borderId="0"/>
    <xf numFmtId="0" fontId="23" fillId="0" borderId="0"/>
    <xf numFmtId="0" fontId="23" fillId="0" borderId="0"/>
    <xf numFmtId="0" fontId="65" fillId="0" borderId="0"/>
    <xf numFmtId="0" fontId="59" fillId="0" borderId="0"/>
    <xf numFmtId="0" fontId="65" fillId="0" borderId="0"/>
    <xf numFmtId="0" fontId="59" fillId="0" borderId="0"/>
    <xf numFmtId="0" fontId="71" fillId="0" borderId="0"/>
    <xf numFmtId="0" fontId="59"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71" fillId="0" borderId="0"/>
    <xf numFmtId="0" fontId="83" fillId="0" borderId="0"/>
    <xf numFmtId="0" fontId="83" fillId="0" borderId="0"/>
    <xf numFmtId="0" fontId="83"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9" fillId="0" borderId="0"/>
    <xf numFmtId="0" fontId="83" fillId="0" borderId="0"/>
    <xf numFmtId="0" fontId="83" fillId="0" borderId="0"/>
    <xf numFmtId="0" fontId="83" fillId="0" borderId="0"/>
    <xf numFmtId="0" fontId="83" fillId="0" borderId="0"/>
    <xf numFmtId="0" fontId="71" fillId="0" borderId="0"/>
    <xf numFmtId="0" fontId="59" fillId="0" borderId="0">
      <alignment vertical="top"/>
    </xf>
    <xf numFmtId="0" fontId="83" fillId="0" borderId="0"/>
    <xf numFmtId="0" fontId="83" fillId="0" borderId="0"/>
    <xf numFmtId="0" fontId="83" fillId="0" borderId="0"/>
    <xf numFmtId="0" fontId="83" fillId="0" borderId="0"/>
    <xf numFmtId="0" fontId="71" fillId="0" borderId="0"/>
    <xf numFmtId="0" fontId="23" fillId="0" borderId="0"/>
    <xf numFmtId="0" fontId="83" fillId="0" borderId="0"/>
    <xf numFmtId="0" fontId="23" fillId="0" borderId="0"/>
    <xf numFmtId="0" fontId="83" fillId="0" borderId="0"/>
    <xf numFmtId="0" fontId="83" fillId="0" borderId="0"/>
    <xf numFmtId="0" fontId="83" fillId="0" borderId="0"/>
    <xf numFmtId="0" fontId="83" fillId="0" borderId="0"/>
    <xf numFmtId="0" fontId="65" fillId="0" borderId="0"/>
    <xf numFmtId="0" fontId="59" fillId="0" borderId="0">
      <alignment vertical="top"/>
    </xf>
    <xf numFmtId="0" fontId="65" fillId="0" borderId="0"/>
    <xf numFmtId="0" fontId="59" fillId="0" borderId="0">
      <alignment vertical="top"/>
    </xf>
    <xf numFmtId="0" fontId="59" fillId="0" borderId="0">
      <alignment vertical="top"/>
    </xf>
    <xf numFmtId="0" fontId="83" fillId="0" borderId="0"/>
    <xf numFmtId="0" fontId="65"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59" fillId="0" borderId="0">
      <alignment vertical="top"/>
    </xf>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9" fillId="0" borderId="0"/>
    <xf numFmtId="0" fontId="59" fillId="0" borderId="0">
      <alignment vertical="top"/>
    </xf>
    <xf numFmtId="0" fontId="59" fillId="0" borderId="0">
      <alignment vertical="top"/>
    </xf>
    <xf numFmtId="0" fontId="59" fillId="0" borderId="0"/>
    <xf numFmtId="0" fontId="59" fillId="0" borderId="0">
      <alignment vertical="top"/>
    </xf>
    <xf numFmtId="0" fontId="59" fillId="0" borderId="0"/>
    <xf numFmtId="0" fontId="59"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14" fillId="0" borderId="0" applyProtection="0">
      <protection locked="0"/>
    </xf>
    <xf numFmtId="0" fontId="23" fillId="0" borderId="0" applyProtection="0">
      <protection locked="0"/>
    </xf>
    <xf numFmtId="0" fontId="23" fillId="0" borderId="0" applyProtection="0">
      <protection locked="0"/>
    </xf>
    <xf numFmtId="0" fontId="60" fillId="0" borderId="0"/>
    <xf numFmtId="0" fontId="14" fillId="0" borderId="0"/>
    <xf numFmtId="0" fontId="75"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75"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98" fillId="36" borderId="25" applyNumberFormat="0" applyAlignment="0" applyProtection="0"/>
    <xf numFmtId="0" fontId="98" fillId="36" borderId="25" applyNumberFormat="0" applyAlignment="0" applyProtection="0"/>
    <xf numFmtId="0" fontId="19" fillId="0" borderId="0" applyNumberFormat="0" applyFill="0" applyBorder="0">
      <alignment horizontal="left"/>
    </xf>
    <xf numFmtId="0" fontId="99" fillId="0" borderId="0" applyNumberFormat="0" applyFill="0" applyBorder="0" applyAlignment="0" applyProtection="0"/>
    <xf numFmtId="0" fontId="100" fillId="0" borderId="26" applyNumberFormat="0" applyFill="0" applyAlignment="0" applyProtection="0"/>
    <xf numFmtId="0" fontId="100" fillId="0" borderId="26" applyNumberFormat="0" applyFill="0" applyAlignment="0" applyProtection="0"/>
    <xf numFmtId="0" fontId="101" fillId="0" borderId="0" applyNumberFormat="0" applyFill="0" applyBorder="0" applyAlignment="0" applyProtection="0"/>
    <xf numFmtId="0" fontId="14" fillId="0" borderId="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9" fontId="14" fillId="0" borderId="0" applyFon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6"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08"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109" fillId="0" borderId="0" applyNumberForma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9" fillId="0" borderId="0" applyNumberForma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4" fontId="14" fillId="0" borderId="0" applyFont="0" applyFill="0" applyBorder="0" applyAlignment="0" applyProtection="0"/>
    <xf numFmtId="9" fontId="118" fillId="0" borderId="0" applyFont="0" applyFill="0" applyBorder="0" applyAlignment="0" applyProtection="0"/>
    <xf numFmtId="0" fontId="118" fillId="0" borderId="0"/>
    <xf numFmtId="0" fontId="8" fillId="0" borderId="0"/>
    <xf numFmtId="0" fontId="14" fillId="0" borderId="0"/>
    <xf numFmtId="43"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14" fillId="0" borderId="0" applyBorder="0"/>
    <xf numFmtId="43" fontId="156" fillId="0" borderId="0" applyFon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44" fontId="16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4"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0">
    <xf numFmtId="0" fontId="0" fillId="0" borderId="0" xfId="0"/>
    <xf numFmtId="0" fontId="0" fillId="0" borderId="0" xfId="0" applyAlignment="1">
      <alignment horizontal="center"/>
    </xf>
    <xf numFmtId="0" fontId="21" fillId="0" borderId="0" xfId="0" applyFont="1"/>
    <xf numFmtId="0" fontId="14" fillId="0" borderId="0" xfId="0" applyFont="1"/>
    <xf numFmtId="0" fontId="23" fillId="0" borderId="0" xfId="0" applyFont="1"/>
    <xf numFmtId="0" fontId="0" fillId="0" borderId="4" xfId="0" applyBorder="1"/>
    <xf numFmtId="0" fontId="23" fillId="0" borderId="0" xfId="0" applyFont="1" applyAlignment="1">
      <alignment horizontal="center"/>
    </xf>
    <xf numFmtId="0" fontId="14"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1" fillId="0" borderId="4" xfId="0" applyFont="1" applyBorder="1"/>
    <xf numFmtId="164" fontId="0" fillId="0" borderId="0" xfId="0" applyNumberFormat="1" applyAlignment="1">
      <alignment horizontal="right"/>
    </xf>
    <xf numFmtId="0" fontId="21" fillId="0" borderId="0" xfId="0" applyFont="1" applyAlignment="1">
      <alignment horizontal="center"/>
    </xf>
    <xf numFmtId="0" fontId="14" fillId="0" borderId="0" xfId="543"/>
    <xf numFmtId="0" fontId="23" fillId="0" borderId="0" xfId="0" applyFont="1" applyAlignment="1">
      <alignment horizontal="left" vertical="top" wrapText="1"/>
    </xf>
    <xf numFmtId="0" fontId="29" fillId="0" borderId="0" xfId="0" applyFont="1"/>
    <xf numFmtId="0" fontId="22" fillId="0" borderId="0" xfId="0" applyFont="1" applyAlignment="1">
      <alignment vertical="top"/>
    </xf>
    <xf numFmtId="0" fontId="22" fillId="0" borderId="0" xfId="0" applyFont="1" applyAlignment="1">
      <alignment vertical="top" wrapText="1"/>
    </xf>
    <xf numFmtId="0" fontId="23" fillId="0" borderId="0" xfId="0" applyFont="1" applyAlignment="1">
      <alignment horizontal="left" indent="4"/>
    </xf>
    <xf numFmtId="0" fontId="22" fillId="0" borderId="0" xfId="0" applyFont="1" applyAlignment="1">
      <alignment horizontal="left" vertical="top"/>
    </xf>
    <xf numFmtId="0" fontId="22" fillId="0" borderId="0" xfId="0" applyFont="1" applyAlignment="1">
      <alignment horizontal="left"/>
    </xf>
    <xf numFmtId="0" fontId="22" fillId="0" borderId="0" xfId="0" applyFont="1"/>
    <xf numFmtId="0" fontId="34" fillId="0" borderId="0" xfId="543" applyFont="1"/>
    <xf numFmtId="1" fontId="22" fillId="0" borderId="0" xfId="0" applyNumberFormat="1" applyFont="1" applyAlignment="1">
      <alignment horizontal="left"/>
    </xf>
    <xf numFmtId="0" fontId="24" fillId="0" borderId="0" xfId="0" applyFont="1"/>
    <xf numFmtId="1" fontId="22" fillId="0" borderId="0" xfId="0" applyNumberFormat="1" applyFont="1" applyAlignment="1">
      <alignment horizontal="right"/>
    </xf>
    <xf numFmtId="0" fontId="0" fillId="0" borderId="0" xfId="0" applyAlignment="1">
      <alignment horizontal="right"/>
    </xf>
    <xf numFmtId="0" fontId="33" fillId="0" borderId="0" xfId="0" applyFont="1"/>
    <xf numFmtId="0" fontId="26" fillId="0" borderId="0" xfId="0" applyFont="1"/>
    <xf numFmtId="172" fontId="14" fillId="0" borderId="0" xfId="543" applyNumberFormat="1"/>
    <xf numFmtId="9" fontId="14" fillId="0" borderId="0" xfId="543" applyNumberFormat="1" applyAlignment="1">
      <alignment horizontal="left"/>
    </xf>
    <xf numFmtId="168" fontId="14" fillId="0" borderId="0" xfId="543" applyNumberFormat="1"/>
    <xf numFmtId="0" fontId="23" fillId="0" borderId="0" xfId="0" applyFont="1" applyAlignment="1">
      <alignment horizontal="right"/>
    </xf>
    <xf numFmtId="0" fontId="37" fillId="0" borderId="0" xfId="0" applyFont="1"/>
    <xf numFmtId="0" fontId="23" fillId="0" borderId="0" xfId="0" applyFont="1" applyAlignment="1">
      <alignment horizontal="left"/>
    </xf>
    <xf numFmtId="0" fontId="25" fillId="0" borderId="0" xfId="0" applyFont="1"/>
    <xf numFmtId="0" fontId="27" fillId="0" borderId="0" xfId="0" applyFont="1"/>
    <xf numFmtId="0" fontId="21"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1" fillId="0" borderId="1" xfId="0" applyFont="1" applyBorder="1" applyAlignment="1">
      <alignment horizontal="center" wrapText="1"/>
    </xf>
    <xf numFmtId="0" fontId="21"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1" fillId="0" borderId="4" xfId="0" applyFont="1" applyBorder="1" applyAlignment="1">
      <alignment horizontal="center"/>
    </xf>
    <xf numFmtId="0" fontId="30" fillId="0" borderId="3" xfId="0" applyFont="1" applyBorder="1" applyAlignment="1">
      <alignment horizontal="left"/>
    </xf>
    <xf numFmtId="0" fontId="30" fillId="0" borderId="9" xfId="0" applyFont="1" applyBorder="1" applyAlignment="1">
      <alignment horizontal="left"/>
    </xf>
    <xf numFmtId="0" fontId="21" fillId="0" borderId="4" xfId="0" applyFont="1" applyBorder="1" applyAlignment="1">
      <alignment horizontal="right"/>
    </xf>
    <xf numFmtId="0" fontId="21" fillId="0" borderId="5" xfId="0" applyFont="1" applyBorder="1" applyAlignment="1">
      <alignment horizontal="right"/>
    </xf>
    <xf numFmtId="0" fontId="30" fillId="0" borderId="0" xfId="0" applyFont="1" applyAlignment="1">
      <alignment horizontal="left"/>
    </xf>
    <xf numFmtId="0" fontId="21" fillId="0" borderId="0" xfId="0" applyFont="1" applyAlignment="1">
      <alignment horizontal="right"/>
    </xf>
    <xf numFmtId="0" fontId="21"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3" fillId="0" borderId="11" xfId="0" applyFont="1" applyBorder="1" applyAlignment="1">
      <alignment horizontal="left"/>
    </xf>
    <xf numFmtId="0" fontId="21" fillId="0" borderId="9" xfId="0" applyFont="1" applyBorder="1"/>
    <xf numFmtId="164" fontId="0" fillId="0" borderId="0" xfId="0" applyNumberFormat="1" applyAlignment="1">
      <alignment horizontal="center"/>
    </xf>
    <xf numFmtId="0" fontId="0" fillId="0" borderId="12" xfId="0" applyBorder="1"/>
    <xf numFmtId="0" fontId="23" fillId="0" borderId="3" xfId="0" applyFont="1" applyBorder="1"/>
    <xf numFmtId="0" fontId="23" fillId="0" borderId="0" xfId="543" applyFont="1"/>
    <xf numFmtId="0" fontId="39" fillId="0" borderId="0" xfId="543" applyFont="1"/>
    <xf numFmtId="49" fontId="14" fillId="0" borderId="0" xfId="543" applyNumberFormat="1"/>
    <xf numFmtId="0" fontId="37" fillId="0" borderId="0" xfId="543" applyFont="1"/>
    <xf numFmtId="168" fontId="34" fillId="0" borderId="6" xfId="543" applyNumberFormat="1" applyFont="1" applyBorder="1" applyAlignment="1">
      <alignment horizontal="left"/>
    </xf>
    <xf numFmtId="168" fontId="34" fillId="0" borderId="6" xfId="543" applyNumberFormat="1" applyFont="1" applyBorder="1" applyAlignment="1">
      <alignment horizontal="center"/>
    </xf>
    <xf numFmtId="0" fontId="14" fillId="0" borderId="8" xfId="543" applyBorder="1"/>
    <xf numFmtId="0" fontId="34" fillId="0" borderId="0" xfId="543" applyFont="1" applyAlignment="1">
      <alignment horizontal="center"/>
    </xf>
    <xf numFmtId="0" fontId="33" fillId="0" borderId="9" xfId="543" applyFont="1" applyBorder="1" applyAlignment="1">
      <alignment horizontal="left" vertical="top" wrapText="1"/>
    </xf>
    <xf numFmtId="0" fontId="33" fillId="0" borderId="6" xfId="543" applyFont="1" applyBorder="1" applyAlignment="1">
      <alignment horizontal="center" vertical="top" wrapText="1"/>
    </xf>
    <xf numFmtId="0" fontId="14" fillId="0" borderId="9" xfId="543" applyBorder="1"/>
    <xf numFmtId="0" fontId="14" fillId="0" borderId="10" xfId="543" applyBorder="1"/>
    <xf numFmtId="0" fontId="14" fillId="0" borderId="1" xfId="543" applyBorder="1"/>
    <xf numFmtId="0" fontId="34" fillId="0" borderId="2" xfId="543" applyFont="1" applyBorder="1" applyAlignment="1">
      <alignment horizontal="center"/>
    </xf>
    <xf numFmtId="0" fontId="36" fillId="0" borderId="8" xfId="543" applyFont="1" applyBorder="1" applyAlignment="1">
      <alignment horizontal="left" vertical="top" wrapText="1"/>
    </xf>
    <xf numFmtId="0" fontId="33" fillId="0" borderId="0" xfId="543" applyFont="1" applyAlignment="1">
      <alignment horizontal="center" vertical="top" wrapText="1"/>
    </xf>
    <xf numFmtId="0" fontId="14" fillId="0" borderId="12" xfId="543" applyBorder="1"/>
    <xf numFmtId="0" fontId="36" fillId="0" borderId="0" xfId="543" applyFont="1" applyAlignment="1">
      <alignment horizontal="center" vertical="top" wrapText="1"/>
    </xf>
    <xf numFmtId="0" fontId="36" fillId="0" borderId="9" xfId="543" applyFont="1" applyBorder="1" applyAlignment="1">
      <alignment horizontal="left" vertical="top" wrapText="1"/>
    </xf>
    <xf numFmtId="0" fontId="14" fillId="0" borderId="2" xfId="543" applyBorder="1"/>
    <xf numFmtId="0" fontId="14" fillId="0" borderId="7" xfId="543" applyBorder="1"/>
    <xf numFmtId="0" fontId="33" fillId="0" borderId="0" xfId="543" applyFont="1"/>
    <xf numFmtId="0" fontId="14" fillId="0" borderId="0" xfId="543" applyAlignment="1">
      <alignment horizontal="center"/>
    </xf>
    <xf numFmtId="0" fontId="22" fillId="0" borderId="6" xfId="543" applyFont="1" applyBorder="1" applyAlignment="1">
      <alignment vertical="top" wrapText="1"/>
    </xf>
    <xf numFmtId="0" fontId="23" fillId="0" borderId="0" xfId="0" applyFont="1" applyAlignment="1">
      <alignment horizontal="left" vertical="top"/>
    </xf>
    <xf numFmtId="0" fontId="0" fillId="2" borderId="2" xfId="0" applyFill="1" applyBorder="1"/>
    <xf numFmtId="0" fontId="0" fillId="2" borderId="7" xfId="0" applyFill="1" applyBorder="1"/>
    <xf numFmtId="0" fontId="21" fillId="0" borderId="6" xfId="0" applyFont="1" applyBorder="1" applyAlignment="1">
      <alignment horizontal="right"/>
    </xf>
    <xf numFmtId="0" fontId="20" fillId="0" borderId="0" xfId="0" applyFont="1" applyAlignment="1">
      <alignment horizontal="center" vertical="center"/>
    </xf>
    <xf numFmtId="0" fontId="21" fillId="0" borderId="0" xfId="0" applyFont="1" applyAlignment="1">
      <alignment vertical="top"/>
    </xf>
    <xf numFmtId="166" fontId="0" fillId="0" borderId="0" xfId="0" applyNumberFormat="1" applyAlignment="1">
      <alignment horizontal="right"/>
    </xf>
    <xf numFmtId="0" fontId="44" fillId="0" borderId="0" xfId="0" applyFont="1"/>
    <xf numFmtId="0" fontId="31" fillId="0" borderId="0" xfId="0" applyFont="1"/>
    <xf numFmtId="0" fontId="15" fillId="0" borderId="0" xfId="244" applyBorder="1" applyProtection="1"/>
    <xf numFmtId="0" fontId="15" fillId="0" borderId="0" xfId="244" applyFill="1" applyBorder="1" applyAlignment="1">
      <alignment horizontal="center" vertical="center"/>
    </xf>
    <xf numFmtId="0" fontId="14" fillId="0" borderId="3" xfId="543" applyBorder="1"/>
    <xf numFmtId="0" fontId="36" fillId="0" borderId="4" xfId="543" applyFont="1" applyBorder="1" applyAlignment="1">
      <alignment horizontal="right" vertical="top" wrapText="1"/>
    </xf>
    <xf numFmtId="0" fontId="23" fillId="0" borderId="6" xfId="0" applyFont="1" applyBorder="1"/>
    <xf numFmtId="0" fontId="23" fillId="0" borderId="2" xfId="0" applyFont="1" applyBorder="1"/>
    <xf numFmtId="0" fontId="23" fillId="0" borderId="7" xfId="0" applyFont="1" applyBorder="1"/>
    <xf numFmtId="0" fontId="23" fillId="0" borderId="12" xfId="0" applyFont="1" applyBorder="1"/>
    <xf numFmtId="0" fontId="23" fillId="0" borderId="9" xfId="0" applyFont="1" applyBorder="1"/>
    <xf numFmtId="0" fontId="23" fillId="0" borderId="10" xfId="0" applyFont="1" applyBorder="1"/>
    <xf numFmtId="0" fontId="28" fillId="0" borderId="6" xfId="0" applyFont="1" applyBorder="1" applyAlignment="1">
      <alignment vertical="top" wrapText="1"/>
    </xf>
    <xf numFmtId="0" fontId="28" fillId="0" borderId="5" xfId="0" applyFont="1" applyBorder="1" applyAlignment="1">
      <alignment vertical="top" wrapText="1"/>
    </xf>
    <xf numFmtId="0" fontId="28" fillId="0" borderId="4" xfId="0" applyFont="1" applyBorder="1" applyAlignment="1">
      <alignment vertical="top" wrapText="1"/>
    </xf>
    <xf numFmtId="0" fontId="28" fillId="2" borderId="6" xfId="0" applyFont="1" applyFill="1" applyBorder="1" applyAlignment="1">
      <alignment vertical="top" wrapText="1"/>
    </xf>
    <xf numFmtId="0" fontId="0" fillId="0" borderId="8" xfId="0" applyBorder="1"/>
    <xf numFmtId="0" fontId="21" fillId="0" borderId="2" xfId="0" applyFont="1" applyBorder="1"/>
    <xf numFmtId="0" fontId="23" fillId="0" borderId="0" xfId="0" applyFont="1" applyAlignment="1">
      <alignment vertical="top"/>
    </xf>
    <xf numFmtId="0" fontId="23" fillId="0" borderId="0" xfId="0" applyFont="1" applyAlignment="1">
      <alignment vertical="top" wrapText="1"/>
    </xf>
    <xf numFmtId="0" fontId="14" fillId="0" borderId="0" xfId="0" applyFont="1" applyAlignment="1">
      <alignment horizontal="left"/>
    </xf>
    <xf numFmtId="0" fontId="14" fillId="0" borderId="0" xfId="0" applyFont="1" applyAlignment="1">
      <alignment vertical="top"/>
    </xf>
    <xf numFmtId="0" fontId="43" fillId="0" borderId="0" xfId="0" applyFont="1"/>
    <xf numFmtId="0" fontId="14" fillId="0" borderId="3" xfId="0" applyFont="1" applyBorder="1"/>
    <xf numFmtId="0" fontId="14"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8" fillId="3" borderId="4" xfId="0" applyFont="1" applyFill="1" applyBorder="1" applyAlignment="1">
      <alignment vertical="top" wrapText="1"/>
    </xf>
    <xf numFmtId="0" fontId="28" fillId="3" borderId="5" xfId="0" applyFont="1" applyFill="1" applyBorder="1" applyAlignment="1">
      <alignment vertical="top" wrapText="1"/>
    </xf>
    <xf numFmtId="0" fontId="46" fillId="0" borderId="0" xfId="0" applyFont="1"/>
    <xf numFmtId="0" fontId="23" fillId="0" borderId="4" xfId="0" applyFont="1" applyBorder="1"/>
    <xf numFmtId="0" fontId="21" fillId="0" borderId="2" xfId="0" applyFont="1" applyBorder="1" applyAlignment="1">
      <alignment horizontal="center"/>
    </xf>
    <xf numFmtId="0" fontId="21" fillId="0" borderId="0" xfId="0" applyFont="1" applyAlignment="1">
      <alignment horizontal="center" vertical="center" wrapText="1"/>
    </xf>
    <xf numFmtId="0" fontId="21" fillId="0" borderId="7" xfId="543" applyFont="1" applyBorder="1" applyAlignment="1">
      <alignment horizontal="right"/>
    </xf>
    <xf numFmtId="0" fontId="22" fillId="0" borderId="9" xfId="543" applyFont="1" applyBorder="1"/>
    <xf numFmtId="0" fontId="23" fillId="0" borderId="6" xfId="543" applyFont="1" applyBorder="1"/>
    <xf numFmtId="0" fontId="22" fillId="0" borderId="6" xfId="543" applyFont="1" applyBorder="1" applyAlignment="1">
      <alignment horizontal="right"/>
    </xf>
    <xf numFmtId="0" fontId="21" fillId="0" borderId="0" xfId="0" applyFont="1" applyAlignment="1">
      <alignment horizontal="center" vertical="center"/>
    </xf>
    <xf numFmtId="0" fontId="23" fillId="0" borderId="0" xfId="0" applyFont="1" applyAlignment="1">
      <alignment horizontal="left" vertical="center"/>
    </xf>
    <xf numFmtId="0" fontId="52" fillId="0" borderId="3" xfId="0" applyFont="1" applyBorder="1" applyAlignment="1">
      <alignment horizontal="left" vertical="top"/>
    </xf>
    <xf numFmtId="0" fontId="52" fillId="0" borderId="13" xfId="0" applyFont="1" applyBorder="1" applyAlignment="1">
      <alignment horizontal="center" wrapText="1"/>
    </xf>
    <xf numFmtId="0" fontId="52" fillId="0" borderId="13" xfId="0" applyFont="1" applyBorder="1" applyAlignment="1">
      <alignment horizontal="center" vertical="top" wrapText="1"/>
    </xf>
    <xf numFmtId="0" fontId="52" fillId="2" borderId="13" xfId="0" applyFont="1" applyFill="1" applyBorder="1" applyAlignment="1">
      <alignment horizontal="center" wrapText="1"/>
    </xf>
    <xf numFmtId="0" fontId="53" fillId="2" borderId="11" xfId="0" applyFont="1" applyFill="1" applyBorder="1" applyAlignment="1">
      <alignment horizontal="left" vertical="top" wrapText="1"/>
    </xf>
    <xf numFmtId="0" fontId="54" fillId="4" borderId="11" xfId="0" applyFont="1" applyFill="1" applyBorder="1" applyAlignment="1">
      <alignment vertical="top" wrapText="1"/>
    </xf>
    <xf numFmtId="0" fontId="54" fillId="2" borderId="11" xfId="0" applyFont="1" applyFill="1" applyBorder="1" applyAlignment="1">
      <alignment vertical="top" wrapText="1"/>
    </xf>
    <xf numFmtId="0" fontId="54" fillId="0" borderId="11" xfId="0" applyFont="1" applyBorder="1" applyAlignment="1">
      <alignment vertical="top" wrapText="1"/>
    </xf>
    <xf numFmtId="0" fontId="54" fillId="0" borderId="11" xfId="0" applyFont="1" applyBorder="1" applyAlignment="1">
      <alignment horizontal="right" vertical="top" wrapText="1"/>
    </xf>
    <xf numFmtId="168" fontId="54" fillId="0" borderId="11" xfId="0" applyNumberFormat="1" applyFont="1" applyBorder="1" applyAlignment="1">
      <alignment vertical="top" wrapText="1"/>
    </xf>
    <xf numFmtId="168" fontId="54" fillId="5" borderId="11" xfId="0" applyNumberFormat="1" applyFont="1" applyFill="1" applyBorder="1" applyAlignment="1" applyProtection="1">
      <alignment vertical="top" wrapText="1"/>
      <protection locked="0"/>
    </xf>
    <xf numFmtId="168" fontId="54" fillId="6" borderId="11" xfId="0" applyNumberFormat="1" applyFont="1" applyFill="1" applyBorder="1" applyAlignment="1">
      <alignment horizontal="center"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17" fillId="0" borderId="11" xfId="0" applyFont="1" applyBorder="1" applyAlignment="1">
      <alignment horizontal="right" vertical="top" wrapText="1"/>
    </xf>
    <xf numFmtId="0" fontId="54" fillId="0" borderId="11" xfId="0" applyFont="1" applyBorder="1" applyAlignment="1" applyProtection="1">
      <alignment horizontal="right" vertical="top" wrapText="1"/>
      <protection locked="0"/>
    </xf>
    <xf numFmtId="0" fontId="52" fillId="0" borderId="0" xfId="0" applyFont="1" applyAlignment="1">
      <alignment horizontal="left" vertical="top"/>
    </xf>
    <xf numFmtId="0" fontId="54" fillId="0" borderId="0" xfId="0" applyFont="1" applyAlignment="1">
      <alignment horizontal="left" vertical="top"/>
    </xf>
    <xf numFmtId="0" fontId="54" fillId="0" borderId="0" xfId="0" applyFont="1" applyAlignment="1">
      <alignment vertical="top" wrapText="1"/>
    </xf>
    <xf numFmtId="0" fontId="54" fillId="0" borderId="0" xfId="0" applyFont="1" applyAlignment="1">
      <alignment vertical="top"/>
    </xf>
    <xf numFmtId="0" fontId="52" fillId="0" borderId="0" xfId="0" applyFont="1" applyAlignment="1">
      <alignment horizontal="right" vertical="top"/>
    </xf>
    <xf numFmtId="0" fontId="54" fillId="2" borderId="0" xfId="0" applyFont="1" applyFill="1" applyAlignment="1">
      <alignment vertical="top" wrapText="1"/>
    </xf>
    <xf numFmtId="0" fontId="52" fillId="0" borderId="0" xfId="0" applyFont="1" applyAlignment="1">
      <alignment vertical="top"/>
    </xf>
    <xf numFmtId="166" fontId="23" fillId="0" borderId="0" xfId="0" applyNumberFormat="1" applyFont="1" applyAlignment="1">
      <alignment horizontal="left"/>
    </xf>
    <xf numFmtId="0" fontId="55" fillId="0" borderId="0" xfId="0" applyFont="1"/>
    <xf numFmtId="0" fontId="14" fillId="0" borderId="0" xfId="244" applyFont="1" applyFill="1" applyBorder="1" applyAlignment="1" applyProtection="1">
      <alignment horizontal="left"/>
    </xf>
    <xf numFmtId="0" fontId="45" fillId="0" borderId="0" xfId="0" applyFont="1"/>
    <xf numFmtId="0" fontId="45" fillId="0" borderId="0" xfId="244" applyFont="1" applyFill="1" applyBorder="1" applyAlignment="1" applyProtection="1">
      <alignment horizontal="left"/>
    </xf>
    <xf numFmtId="0" fontId="20" fillId="3" borderId="11" xfId="0" applyFont="1" applyFill="1" applyBorder="1" applyAlignment="1">
      <alignment vertical="top"/>
    </xf>
    <xf numFmtId="0" fontId="0" fillId="7" borderId="0" xfId="0" applyFill="1"/>
    <xf numFmtId="0" fontId="34" fillId="0" borderId="0" xfId="0" applyFont="1"/>
    <xf numFmtId="0" fontId="57" fillId="0" borderId="0" xfId="0" applyFont="1"/>
    <xf numFmtId="0" fontId="32" fillId="0" borderId="0" xfId="0" applyFont="1" applyAlignment="1">
      <alignment horizontal="center"/>
    </xf>
    <xf numFmtId="0" fontId="32" fillId="0" borderId="0" xfId="0" applyFont="1"/>
    <xf numFmtId="0" fontId="32" fillId="0" borderId="0" xfId="0" applyFont="1" applyAlignment="1">
      <alignment horizontal="left"/>
    </xf>
    <xf numFmtId="49" fontId="21" fillId="0" borderId="0" xfId="0" applyNumberFormat="1" applyFont="1" applyAlignment="1">
      <alignment horizontal="center"/>
    </xf>
    <xf numFmtId="0" fontId="49" fillId="0" borderId="0" xfId="0" applyFont="1" applyAlignment="1">
      <alignment horizontal="center"/>
    </xf>
    <xf numFmtId="0" fontId="48" fillId="0" borderId="0" xfId="244" applyFont="1" applyAlignment="1" applyProtection="1">
      <alignment horizontal="center"/>
    </xf>
    <xf numFmtId="0" fontId="23" fillId="0" borderId="0" xfId="0" quotePrefix="1" applyFont="1" applyAlignment="1">
      <alignment horizontal="left"/>
    </xf>
    <xf numFmtId="49" fontId="23" fillId="0" borderId="0" xfId="0" applyNumberFormat="1" applyFont="1" applyAlignment="1">
      <alignment horizontal="center"/>
    </xf>
    <xf numFmtId="0" fontId="21" fillId="0" borderId="0" xfId="0" quotePrefix="1" applyFont="1" applyAlignment="1">
      <alignment horizontal="center"/>
    </xf>
    <xf numFmtId="49" fontId="0" fillId="0" borderId="0" xfId="0" applyNumberFormat="1"/>
    <xf numFmtId="0" fontId="46" fillId="0" borderId="0" xfId="0" applyFont="1" applyAlignment="1">
      <alignment horizontal="left"/>
    </xf>
    <xf numFmtId="49" fontId="23" fillId="0" borderId="0" xfId="0" applyNumberFormat="1" applyFont="1"/>
    <xf numFmtId="49" fontId="21" fillId="0" borderId="0" xfId="0" applyNumberFormat="1" applyFont="1" applyAlignment="1">
      <alignment horizontal="left"/>
    </xf>
    <xf numFmtId="168" fontId="23" fillId="0" borderId="0" xfId="0" applyNumberFormat="1" applyFont="1" applyAlignment="1">
      <alignment horizontal="center"/>
    </xf>
    <xf numFmtId="168" fontId="33" fillId="0" borderId="0" xfId="0" applyNumberFormat="1" applyFont="1" applyAlignment="1">
      <alignment horizontal="left" vertical="top" wrapText="1"/>
    </xf>
    <xf numFmtId="0" fontId="51" fillId="0" borderId="3" xfId="0" applyFont="1" applyBorder="1"/>
    <xf numFmtId="168" fontId="0" fillId="0" borderId="0" xfId="0" applyNumberFormat="1" applyAlignment="1">
      <alignment horizontal="center"/>
    </xf>
    <xf numFmtId="0" fontId="34" fillId="0" borderId="0" xfId="0" applyFont="1" applyAlignment="1">
      <alignment vertical="top" wrapText="1"/>
    </xf>
    <xf numFmtId="0" fontId="52" fillId="0" borderId="4" xfId="0" applyFont="1" applyBorder="1" applyAlignment="1">
      <alignment horizontal="right"/>
    </xf>
    <xf numFmtId="0" fontId="59" fillId="0" borderId="0" xfId="0" applyFont="1"/>
    <xf numFmtId="3" fontId="23" fillId="0" borderId="0" xfId="0" applyNumberFormat="1" applyFont="1" applyAlignment="1">
      <alignment horizontal="center"/>
    </xf>
    <xf numFmtId="168" fontId="14" fillId="0" borderId="0" xfId="0" applyNumberFormat="1" applyFont="1" applyAlignment="1">
      <alignment horizontal="left" vertical="top"/>
    </xf>
    <xf numFmtId="168" fontId="23" fillId="0" borderId="0" xfId="0" applyNumberFormat="1" applyFont="1" applyAlignment="1">
      <alignment horizontal="left" vertical="top"/>
    </xf>
    <xf numFmtId="0" fontId="23" fillId="0" borderId="0" xfId="0" applyFont="1" applyAlignment="1">
      <alignment horizontal="center" vertical="center"/>
    </xf>
    <xf numFmtId="0" fontId="23" fillId="0" borderId="0" xfId="0" applyFont="1" applyAlignment="1">
      <alignment vertical="center"/>
    </xf>
    <xf numFmtId="0" fontId="0" fillId="0" borderId="0" xfId="0" applyAlignment="1">
      <alignment vertical="center"/>
    </xf>
    <xf numFmtId="0" fontId="54" fillId="0" borderId="11" xfId="0" applyFont="1" applyBorder="1" applyAlignment="1">
      <alignment horizontal="right" vertical="top"/>
    </xf>
    <xf numFmtId="0" fontId="54" fillId="0" borderId="0" xfId="0" applyFont="1" applyAlignment="1">
      <alignment horizontal="right" vertical="top" wrapText="1"/>
    </xf>
    <xf numFmtId="0" fontId="54" fillId="2" borderId="12" xfId="0" applyFont="1" applyFill="1" applyBorder="1" applyAlignment="1">
      <alignment vertical="top" wrapText="1"/>
    </xf>
    <xf numFmtId="0" fontId="54" fillId="0" borderId="14" xfId="0" applyFont="1" applyBorder="1" applyAlignment="1">
      <alignment vertical="top" wrapText="1"/>
    </xf>
    <xf numFmtId="168" fontId="54" fillId="5" borderId="11" xfId="0" applyNumberFormat="1" applyFont="1" applyFill="1" applyBorder="1" applyAlignment="1" applyProtection="1">
      <alignment vertical="top"/>
      <protection locked="0"/>
    </xf>
    <xf numFmtId="0" fontId="54" fillId="2" borderId="11" xfId="0" applyFont="1" applyFill="1" applyBorder="1" applyAlignment="1" applyProtection="1">
      <alignment vertical="top"/>
      <protection locked="0"/>
    </xf>
    <xf numFmtId="0" fontId="54" fillId="0" borderId="11" xfId="0" applyFont="1" applyBorder="1" applyAlignment="1" applyProtection="1">
      <alignment vertical="top"/>
      <protection locked="0"/>
    </xf>
    <xf numFmtId="168" fontId="54" fillId="0" borderId="11" xfId="0" applyNumberFormat="1" applyFont="1" applyBorder="1" applyAlignment="1">
      <alignment vertical="top"/>
    </xf>
    <xf numFmtId="168" fontId="54" fillId="6" borderId="11" xfId="0" applyNumberFormat="1" applyFont="1" applyFill="1" applyBorder="1" applyAlignment="1">
      <alignment horizontal="center" vertical="top"/>
    </xf>
    <xf numFmtId="0" fontId="21" fillId="0" borderId="0" xfId="542" applyFont="1" applyProtection="1">
      <protection locked="0"/>
    </xf>
    <xf numFmtId="0" fontId="14" fillId="0" borderId="0" xfId="539" applyProtection="1"/>
    <xf numFmtId="0" fontId="34" fillId="8" borderId="0" xfId="539" applyFont="1" applyFill="1" applyAlignment="1" applyProtection="1">
      <alignment horizontal="centerContinuous"/>
    </xf>
    <xf numFmtId="4" fontId="23" fillId="0" borderId="0" xfId="0" applyNumberFormat="1" applyFont="1"/>
    <xf numFmtId="0" fontId="21" fillId="0" borderId="0" xfId="543" applyFont="1"/>
    <xf numFmtId="0" fontId="23" fillId="0" borderId="0" xfId="543" applyFont="1" applyAlignment="1">
      <alignment horizontal="left"/>
    </xf>
    <xf numFmtId="0" fontId="23" fillId="0" borderId="15" xfId="0" applyFont="1" applyBorder="1"/>
    <xf numFmtId="0" fontId="23" fillId="0" borderId="11" xfId="0" applyFont="1" applyBorder="1"/>
    <xf numFmtId="2" fontId="37" fillId="0" borderId="11" xfId="0" applyNumberFormat="1" applyFont="1" applyBorder="1"/>
    <xf numFmtId="0" fontId="14" fillId="0" borderId="0" xfId="0" applyFont="1" applyProtection="1">
      <protection locked="0"/>
    </xf>
    <xf numFmtId="0" fontId="62" fillId="0" borderId="0" xfId="0" applyFont="1" applyAlignment="1">
      <alignment horizontal="center"/>
    </xf>
    <xf numFmtId="0" fontId="23" fillId="0" borderId="0" xfId="271"/>
    <xf numFmtId="0" fontId="21" fillId="0" borderId="0" xfId="271" applyFont="1"/>
    <xf numFmtId="0" fontId="23" fillId="0" borderId="0" xfId="271" applyAlignment="1">
      <alignment horizontal="left"/>
    </xf>
    <xf numFmtId="0" fontId="15" fillId="0" borderId="0" xfId="244" applyFill="1" applyBorder="1" applyProtection="1">
      <protection locked="0"/>
    </xf>
    <xf numFmtId="168" fontId="21" fillId="0" borderId="2" xfId="543" applyNumberFormat="1" applyFont="1" applyBorder="1" applyAlignment="1">
      <alignment horizontal="center" vertical="center"/>
    </xf>
    <xf numFmtId="0" fontId="36" fillId="0" borderId="0" xfId="543" applyFont="1" applyAlignment="1">
      <alignment horizontal="right" vertical="top" wrapText="1"/>
    </xf>
    <xf numFmtId="0" fontId="34" fillId="0" borderId="2" xfId="543" applyFont="1" applyBorder="1" applyAlignment="1">
      <alignment horizontal="right" vertical="top" wrapText="1"/>
    </xf>
    <xf numFmtId="0" fontId="19" fillId="0" borderId="0" xfId="0" applyFont="1"/>
    <xf numFmtId="0" fontId="64" fillId="0" borderId="0" xfId="0" applyFont="1"/>
    <xf numFmtId="0" fontId="62" fillId="0" borderId="0" xfId="0" applyFont="1"/>
    <xf numFmtId="0" fontId="34"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1" fillId="0" borderId="0" xfId="0" applyNumberFormat="1" applyFont="1" applyAlignment="1">
      <alignment horizontal="center"/>
    </xf>
    <xf numFmtId="3" fontId="0" fillId="0" borderId="0" xfId="0" applyNumberFormat="1" applyAlignment="1">
      <alignment horizontal="center"/>
    </xf>
    <xf numFmtId="3" fontId="23" fillId="0" borderId="0" xfId="0" applyNumberFormat="1" applyFont="1"/>
    <xf numFmtId="0" fontId="63" fillId="0" borderId="0" xfId="0" applyFont="1"/>
    <xf numFmtId="168" fontId="19" fillId="0" borderId="0" xfId="0" applyNumberFormat="1" applyFont="1"/>
    <xf numFmtId="10" fontId="19" fillId="0" borderId="0" xfId="0" applyNumberFormat="1" applyFont="1" applyAlignment="1">
      <alignment horizontal="center"/>
    </xf>
    <xf numFmtId="3" fontId="66" fillId="0" borderId="0" xfId="0" applyNumberFormat="1" applyFont="1"/>
    <xf numFmtId="3" fontId="19" fillId="0" borderId="0" xfId="0" applyNumberFormat="1" applyFont="1"/>
    <xf numFmtId="168" fontId="63" fillId="0" borderId="0" xfId="0" applyNumberFormat="1" applyFont="1"/>
    <xf numFmtId="168" fontId="63" fillId="0" borderId="0" xfId="0" applyNumberFormat="1" applyFont="1" applyAlignment="1">
      <alignment horizontal="center"/>
    </xf>
    <xf numFmtId="0" fontId="19" fillId="5" borderId="0" xfId="0" applyFont="1" applyFill="1" applyAlignment="1">
      <alignment horizontal="left"/>
    </xf>
    <xf numFmtId="0" fontId="19" fillId="5" borderId="0" xfId="0" applyFont="1" applyFill="1"/>
    <xf numFmtId="10" fontId="19" fillId="0" borderId="0" xfId="0" applyNumberFormat="1" applyFont="1"/>
    <xf numFmtId="172" fontId="19" fillId="0" borderId="0" xfId="0" applyNumberFormat="1" applyFont="1"/>
    <xf numFmtId="172" fontId="19" fillId="0" borderId="0" xfId="0" applyNumberFormat="1" applyFont="1" applyAlignment="1">
      <alignment horizontal="center"/>
    </xf>
    <xf numFmtId="0" fontId="19" fillId="0" borderId="6" xfId="0" applyFont="1" applyBorder="1"/>
    <xf numFmtId="10" fontId="19" fillId="0" borderId="6" xfId="0" applyNumberFormat="1" applyFont="1" applyBorder="1" applyAlignment="1">
      <alignment horizontal="center"/>
    </xf>
    <xf numFmtId="3" fontId="19" fillId="0" borderId="6" xfId="0" applyNumberFormat="1" applyFont="1" applyBorder="1"/>
    <xf numFmtId="10" fontId="23" fillId="0" borderId="0" xfId="0" applyNumberFormat="1" applyFont="1" applyAlignment="1">
      <alignment horizontal="center"/>
    </xf>
    <xf numFmtId="3" fontId="23" fillId="0" borderId="0" xfId="0" applyNumberFormat="1" applyFont="1" applyAlignment="1">
      <alignment vertical="top"/>
    </xf>
    <xf numFmtId="10" fontId="21" fillId="0" borderId="0" xfId="0" applyNumberFormat="1" applyFont="1" applyAlignment="1">
      <alignment horizontal="center"/>
    </xf>
    <xf numFmtId="0" fontId="62" fillId="0" borderId="6" xfId="0" applyFont="1" applyBorder="1" applyAlignment="1">
      <alignment horizontal="center"/>
    </xf>
    <xf numFmtId="172" fontId="23" fillId="0" borderId="0" xfId="0" applyNumberFormat="1" applyFont="1" applyAlignment="1">
      <alignment horizontal="center"/>
    </xf>
    <xf numFmtId="10" fontId="67" fillId="0" borderId="0" xfId="0" applyNumberFormat="1" applyFont="1" applyAlignment="1">
      <alignment horizontal="center"/>
    </xf>
    <xf numFmtId="4" fontId="23" fillId="0" borderId="0" xfId="271" applyNumberFormat="1" applyAlignment="1">
      <alignment horizontal="left"/>
    </xf>
    <xf numFmtId="0" fontId="23" fillId="0" borderId="0" xfId="271" applyAlignment="1">
      <alignment horizontal="center"/>
    </xf>
    <xf numFmtId="0" fontId="23" fillId="9" borderId="6" xfId="0" applyFont="1" applyFill="1" applyBorder="1"/>
    <xf numFmtId="0" fontId="23" fillId="0" borderId="4" xfId="271" applyBorder="1"/>
    <xf numFmtId="0" fontId="23" fillId="0" borderId="6" xfId="271" applyBorder="1"/>
    <xf numFmtId="0" fontId="23" fillId="0" borderId="1" xfId="0" applyFont="1" applyBorder="1"/>
    <xf numFmtId="168" fontId="23" fillId="0" borderId="3" xfId="0" applyNumberFormat="1" applyFont="1" applyBorder="1" applyAlignment="1">
      <alignment vertical="top"/>
    </xf>
    <xf numFmtId="168" fontId="23" fillId="0" borderId="4" xfId="0" applyNumberFormat="1" applyFont="1" applyBorder="1" applyAlignment="1">
      <alignment vertical="top"/>
    </xf>
    <xf numFmtId="168" fontId="23" fillId="0" borderId="5" xfId="0" applyNumberFormat="1" applyFont="1" applyBorder="1" applyAlignment="1">
      <alignment vertical="top"/>
    </xf>
    <xf numFmtId="168" fontId="23" fillId="0" borderId="8" xfId="0" applyNumberFormat="1" applyFont="1" applyBorder="1" applyAlignment="1">
      <alignment vertical="top"/>
    </xf>
    <xf numFmtId="168" fontId="23" fillId="0" borderId="0" xfId="0" applyNumberFormat="1" applyFont="1" applyAlignment="1">
      <alignment vertical="top"/>
    </xf>
    <xf numFmtId="0" fontId="23" fillId="0" borderId="0" xfId="0" applyFont="1" applyAlignment="1">
      <alignment horizontal="right" vertical="top"/>
    </xf>
    <xf numFmtId="0" fontId="23"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3" fillId="5" borderId="4" xfId="0" applyFont="1" applyFill="1" applyBorder="1" applyAlignment="1" applyProtection="1">
      <alignment horizontal="left" vertical="top"/>
      <protection locked="0"/>
    </xf>
    <xf numFmtId="0" fontId="23" fillId="5" borderId="5" xfId="0" applyFont="1" applyFill="1" applyBorder="1" applyAlignment="1" applyProtection="1">
      <alignment horizontal="left" vertical="top"/>
      <protection locked="0"/>
    </xf>
    <xf numFmtId="4" fontId="49" fillId="0" borderId="0" xfId="0" applyNumberFormat="1" applyFont="1" applyAlignment="1">
      <alignment horizontal="center"/>
    </xf>
    <xf numFmtId="4" fontId="23" fillId="0" borderId="0" xfId="0" applyNumberFormat="1" applyFont="1" applyAlignment="1">
      <alignment horizontal="center"/>
    </xf>
    <xf numFmtId="4" fontId="0" fillId="0" borderId="0" xfId="0" applyNumberFormat="1"/>
    <xf numFmtId="0" fontId="33" fillId="0" borderId="1" xfId="543" applyFont="1" applyBorder="1" applyAlignment="1">
      <alignment horizontal="left" vertical="top" wrapText="1"/>
    </xf>
    <xf numFmtId="0" fontId="33" fillId="0" borderId="12" xfId="543" applyFont="1" applyBorder="1" applyAlignment="1">
      <alignment horizontal="center" vertical="top" wrapText="1"/>
    </xf>
    <xf numFmtId="0" fontId="33" fillId="0" borderId="8" xfId="543" applyFont="1" applyBorder="1" applyAlignment="1">
      <alignment horizontal="left" vertical="top" wrapText="1"/>
    </xf>
    <xf numFmtId="0" fontId="28" fillId="3" borderId="4" xfId="271" applyFont="1" applyFill="1" applyBorder="1" applyAlignment="1">
      <alignment vertical="top" wrapText="1"/>
    </xf>
    <xf numFmtId="0" fontId="20" fillId="3" borderId="11" xfId="271" applyFont="1" applyFill="1" applyBorder="1" applyAlignment="1">
      <alignment vertical="top"/>
    </xf>
    <xf numFmtId="0" fontId="21" fillId="0" borderId="9" xfId="271" applyFont="1" applyBorder="1" applyAlignment="1">
      <alignment horizontal="center" wrapText="1"/>
    </xf>
    <xf numFmtId="0" fontId="28" fillId="3" borderId="4" xfId="271" applyFont="1" applyFill="1" applyBorder="1" applyAlignment="1" applyProtection="1">
      <alignment vertical="top" wrapText="1"/>
      <protection locked="0"/>
    </xf>
    <xf numFmtId="0" fontId="28" fillId="3" borderId="5" xfId="271" applyFont="1" applyFill="1" applyBorder="1" applyAlignment="1" applyProtection="1">
      <alignment vertical="top" wrapText="1"/>
      <protection locked="0"/>
    </xf>
    <xf numFmtId="0" fontId="21" fillId="0" borderId="13" xfId="271" applyFont="1" applyBorder="1" applyAlignment="1">
      <alignment horizontal="center" wrapText="1"/>
    </xf>
    <xf numFmtId="0" fontId="46" fillId="2" borderId="11" xfId="271" applyFont="1" applyFill="1" applyBorder="1" applyAlignment="1">
      <alignment horizontal="left" vertical="top" wrapText="1"/>
    </xf>
    <xf numFmtId="0" fontId="23" fillId="0" borderId="11" xfId="271" applyBorder="1" applyAlignment="1" applyProtection="1">
      <alignment vertical="top" wrapText="1"/>
      <protection locked="0"/>
    </xf>
    <xf numFmtId="168" fontId="23" fillId="5" borderId="11" xfId="271" applyNumberFormat="1" applyFill="1" applyBorder="1" applyAlignment="1" applyProtection="1">
      <alignment vertical="top" wrapText="1"/>
      <protection locked="0"/>
    </xf>
    <xf numFmtId="0" fontId="23" fillId="5" borderId="3" xfId="271" applyFill="1" applyBorder="1" applyAlignment="1" applyProtection="1">
      <alignment vertical="top" wrapText="1"/>
      <protection locked="0"/>
    </xf>
    <xf numFmtId="0" fontId="23" fillId="5" borderId="11" xfId="271" applyFill="1" applyBorder="1" applyAlignment="1" applyProtection="1">
      <alignment vertical="top" wrapText="1"/>
      <protection locked="0"/>
    </xf>
    <xf numFmtId="0" fontId="23" fillId="0" borderId="11" xfId="271" applyBorder="1" applyAlignment="1">
      <alignment horizontal="right" vertical="top" wrapText="1"/>
    </xf>
    <xf numFmtId="168" fontId="23" fillId="0" borderId="11" xfId="271" applyNumberFormat="1" applyBorder="1" applyAlignment="1">
      <alignment vertical="top" wrapText="1"/>
    </xf>
    <xf numFmtId="0" fontId="21" fillId="0" borderId="11" xfId="271" applyFont="1" applyBorder="1" applyAlignment="1">
      <alignment horizontal="right" vertical="top" wrapText="1"/>
    </xf>
    <xf numFmtId="0" fontId="23" fillId="5" borderId="11" xfId="271" applyFill="1" applyBorder="1" applyAlignment="1" applyProtection="1">
      <alignment horizontal="right" vertical="top" wrapText="1"/>
      <protection locked="0"/>
    </xf>
    <xf numFmtId="168" fontId="21" fillId="0" borderId="11" xfId="271" applyNumberFormat="1" applyFont="1" applyBorder="1" applyAlignment="1">
      <alignment vertical="top" wrapText="1"/>
    </xf>
    <xf numFmtId="0" fontId="31" fillId="0" borderId="11" xfId="271" applyFont="1" applyBorder="1" applyAlignment="1">
      <alignment horizontal="right" vertical="top" wrapText="1"/>
    </xf>
    <xf numFmtId="0" fontId="28" fillId="0" borderId="0" xfId="271" applyFont="1" applyAlignment="1" applyProtection="1">
      <alignment horizontal="right" vertical="top" wrapText="1"/>
      <protection locked="0"/>
    </xf>
    <xf numFmtId="0" fontId="28" fillId="0" borderId="0" xfId="271" applyFont="1" applyAlignment="1" applyProtection="1">
      <alignment vertical="top" wrapText="1"/>
      <protection locked="0"/>
    </xf>
    <xf numFmtId="0" fontId="23" fillId="0" borderId="5" xfId="271" applyBorder="1" applyAlignment="1" applyProtection="1">
      <alignment vertical="top" wrapText="1"/>
      <protection locked="0"/>
    </xf>
    <xf numFmtId="0" fontId="21" fillId="0" borderId="3" xfId="271" applyFont="1" applyBorder="1" applyAlignment="1">
      <alignment horizontal="left" vertical="top"/>
    </xf>
    <xf numFmtId="0" fontId="23" fillId="0" borderId="4" xfId="271" applyBorder="1" applyAlignment="1" applyProtection="1">
      <alignment horizontal="left" vertical="top"/>
      <protection locked="0"/>
    </xf>
    <xf numFmtId="0" fontId="23" fillId="0" borderId="4" xfId="271" applyBorder="1" applyAlignment="1" applyProtection="1">
      <alignment vertical="top" wrapText="1"/>
      <protection locked="0"/>
    </xf>
    <xf numFmtId="0" fontId="28" fillId="0" borderId="0" xfId="271" applyFont="1" applyAlignment="1">
      <alignment vertical="top" wrapText="1"/>
    </xf>
    <xf numFmtId="0" fontId="23" fillId="0" borderId="4" xfId="271" applyBorder="1" applyAlignment="1">
      <alignment vertical="top" wrapText="1"/>
    </xf>
    <xf numFmtId="0" fontId="46" fillId="2" borderId="11" xfId="271" applyFont="1" applyFill="1" applyBorder="1" applyAlignment="1" applyProtection="1">
      <alignment horizontal="left" vertical="top" wrapText="1"/>
      <protection locked="0"/>
    </xf>
    <xf numFmtId="0" fontId="51" fillId="0" borderId="11" xfId="0" applyFont="1" applyBorder="1" applyAlignment="1">
      <alignment horizontal="right" vertical="top" wrapText="1"/>
    </xf>
    <xf numFmtId="0" fontId="60" fillId="0" borderId="0" xfId="542"/>
    <xf numFmtId="0" fontId="23" fillId="8" borderId="0" xfId="542" quotePrefix="1" applyFont="1" applyFill="1" applyAlignment="1">
      <alignment horizontal="left"/>
    </xf>
    <xf numFmtId="0" fontId="23" fillId="8" borderId="0" xfId="542" applyFont="1" applyFill="1"/>
    <xf numFmtId="0" fontId="31" fillId="8" borderId="0" xfId="542" applyFont="1" applyFill="1"/>
    <xf numFmtId="0" fontId="51" fillId="0" borderId="11" xfId="271" applyFont="1" applyBorder="1" applyAlignment="1">
      <alignment horizontal="right" vertical="top"/>
    </xf>
    <xf numFmtId="0" fontId="51" fillId="0" borderId="11" xfId="271" applyFont="1" applyBorder="1" applyAlignment="1">
      <alignment horizontal="right" vertical="top" wrapText="1"/>
    </xf>
    <xf numFmtId="0" fontId="23" fillId="0" borderId="0" xfId="271" applyAlignment="1">
      <alignment horizontal="left" vertical="top"/>
    </xf>
    <xf numFmtId="0" fontId="21" fillId="0" borderId="0" xfId="271" applyFont="1" applyAlignment="1">
      <alignment horizontal="right"/>
    </xf>
    <xf numFmtId="0" fontId="22" fillId="0" borderId="0" xfId="271" applyFont="1" applyAlignment="1">
      <alignment horizontal="center"/>
    </xf>
    <xf numFmtId="5" fontId="23" fillId="0" borderId="0" xfId="542" applyNumberFormat="1" applyFont="1"/>
    <xf numFmtId="1" fontId="23" fillId="0" borderId="15" xfId="271" applyNumberFormat="1" applyBorder="1"/>
    <xf numFmtId="1" fontId="23" fillId="0" borderId="14" xfId="271" applyNumberFormat="1" applyBorder="1"/>
    <xf numFmtId="0" fontId="22" fillId="0" borderId="6" xfId="271" applyFont="1" applyBorder="1" applyAlignment="1">
      <alignment horizontal="left"/>
    </xf>
    <xf numFmtId="0" fontId="22" fillId="0" borderId="6" xfId="271" applyFont="1" applyBorder="1" applyAlignment="1">
      <alignment horizontal="right"/>
    </xf>
    <xf numFmtId="165" fontId="23" fillId="0" borderId="0" xfId="271" applyNumberFormat="1"/>
    <xf numFmtId="170" fontId="23" fillId="0" borderId="14" xfId="271" applyNumberFormat="1" applyBorder="1"/>
    <xf numFmtId="1" fontId="21" fillId="0" borderId="11" xfId="271" applyNumberFormat="1" applyFont="1" applyBorder="1"/>
    <xf numFmtId="165" fontId="21" fillId="0" borderId="11" xfId="271" applyNumberFormat="1" applyFont="1" applyBorder="1"/>
    <xf numFmtId="3" fontId="54" fillId="0" borderId="11" xfId="0" applyNumberFormat="1" applyFont="1" applyBorder="1" applyAlignment="1">
      <alignment vertical="top" wrapText="1"/>
    </xf>
    <xf numFmtId="166" fontId="23" fillId="0" borderId="0" xfId="0" applyNumberFormat="1" applyFont="1"/>
    <xf numFmtId="0" fontId="0" fillId="0" borderId="0" xfId="0" applyProtection="1">
      <protection locked="0"/>
    </xf>
    <xf numFmtId="0" fontId="21" fillId="0" borderId="0" xfId="271" applyFont="1" applyAlignment="1">
      <alignment horizontal="left"/>
    </xf>
    <xf numFmtId="0" fontId="19" fillId="0" borderId="0" xfId="0" applyFont="1" applyProtection="1">
      <protection locked="0"/>
    </xf>
    <xf numFmtId="0" fontId="19" fillId="0" borderId="0" xfId="271" applyFont="1" applyProtection="1">
      <protection locked="0"/>
    </xf>
    <xf numFmtId="168" fontId="19" fillId="0" borderId="0" xfId="271" applyNumberFormat="1" applyFont="1" applyProtection="1">
      <protection locked="0"/>
    </xf>
    <xf numFmtId="49" fontId="23" fillId="0" borderId="0" xfId="271" applyNumberFormat="1"/>
    <xf numFmtId="0" fontId="27" fillId="0" borderId="1" xfId="0" applyFont="1" applyBorder="1"/>
    <xf numFmtId="0" fontId="14" fillId="0" borderId="2" xfId="0" applyFont="1" applyBorder="1" applyAlignment="1">
      <alignment horizontal="left"/>
    </xf>
    <xf numFmtId="0" fontId="14" fillId="0" borderId="2" xfId="0" applyFont="1" applyBorder="1"/>
    <xf numFmtId="0" fontId="27" fillId="0" borderId="8" xfId="0" applyFont="1" applyBorder="1"/>
    <xf numFmtId="0" fontId="27" fillId="0" borderId="9" xfId="0" applyFont="1" applyBorder="1"/>
    <xf numFmtId="0" fontId="21" fillId="0" borderId="0" xfId="0" applyFont="1" applyAlignment="1">
      <alignment horizontal="left" vertical="top"/>
    </xf>
    <xf numFmtId="0" fontId="72" fillId="0" borderId="0" xfId="0" applyFont="1" applyAlignment="1">
      <alignment vertical="center" wrapText="1"/>
    </xf>
    <xf numFmtId="0" fontId="72" fillId="0" borderId="0" xfId="0" applyFont="1" applyAlignment="1">
      <alignment vertical="center"/>
    </xf>
    <xf numFmtId="0" fontId="72" fillId="0" borderId="0" xfId="0" applyFont="1" applyAlignment="1">
      <alignment horizontal="left" vertical="center" indent="1"/>
    </xf>
    <xf numFmtId="172" fontId="23" fillId="5" borderId="0" xfId="0" applyNumberFormat="1" applyFont="1" applyFill="1" applyAlignment="1">
      <alignment horizontal="center"/>
    </xf>
    <xf numFmtId="0" fontId="23" fillId="0" borderId="0" xfId="271" applyAlignment="1" applyProtection="1">
      <alignment horizontal="left"/>
      <protection locked="0"/>
    </xf>
    <xf numFmtId="0" fontId="23" fillId="0" borderId="0" xfId="0" applyFont="1" applyAlignment="1" applyProtection="1">
      <alignment horizontal="left"/>
      <protection locked="0"/>
    </xf>
    <xf numFmtId="0" fontId="73" fillId="0" borderId="0" xfId="0" applyFont="1" applyAlignment="1">
      <alignment horizontal="left" vertical="center"/>
    </xf>
    <xf numFmtId="0" fontId="33" fillId="0" borderId="2" xfId="543" applyFont="1" applyBorder="1" applyAlignment="1">
      <alignment horizontal="center" vertical="top" wrapText="1"/>
    </xf>
    <xf numFmtId="49" fontId="44" fillId="0" borderId="0" xfId="0" applyNumberFormat="1" applyFont="1" applyAlignment="1">
      <alignment horizontal="center"/>
    </xf>
    <xf numFmtId="0" fontId="49" fillId="0" borderId="0" xfId="271" applyFont="1" applyAlignment="1">
      <alignment horizontal="center"/>
    </xf>
    <xf numFmtId="49" fontId="23" fillId="0" borderId="0" xfId="271" applyNumberFormat="1" applyAlignment="1">
      <alignment horizontal="center"/>
    </xf>
    <xf numFmtId="0" fontId="51" fillId="0" borderId="0" xfId="0" applyFont="1"/>
    <xf numFmtId="5" fontId="77" fillId="0" borderId="11" xfId="541" applyNumberFormat="1" applyFont="1" applyBorder="1" applyAlignment="1" applyProtection="1">
      <alignment horizontal="center"/>
    </xf>
    <xf numFmtId="5" fontId="77" fillId="42" borderId="11" xfId="541" applyNumberFormat="1" applyFont="1" applyFill="1" applyBorder="1" applyAlignment="1" applyProtection="1">
      <alignment horizontal="center"/>
    </xf>
    <xf numFmtId="5" fontId="77" fillId="2" borderId="11" xfId="541" applyNumberFormat="1" applyFont="1" applyFill="1" applyBorder="1" applyAlignment="1" applyProtection="1">
      <alignment horizontal="center"/>
    </xf>
    <xf numFmtId="0" fontId="51" fillId="0" borderId="0" xfId="0" applyFont="1" applyAlignment="1">
      <alignment vertical="top" wrapText="1"/>
    </xf>
    <xf numFmtId="0" fontId="51" fillId="0" borderId="0" xfId="0" applyFont="1" applyAlignment="1">
      <alignment vertical="top"/>
    </xf>
    <xf numFmtId="0" fontId="51" fillId="2" borderId="0" xfId="0" applyFont="1" applyFill="1" applyAlignment="1">
      <alignment vertical="top" wrapText="1"/>
    </xf>
    <xf numFmtId="0" fontId="79" fillId="0" borderId="13" xfId="0" applyFont="1" applyBorder="1" applyAlignment="1">
      <alignment vertical="top" wrapText="1"/>
    </xf>
    <xf numFmtId="0" fontId="28" fillId="0" borderId="0" xfId="0" applyFont="1" applyAlignment="1">
      <alignment vertical="top" wrapText="1"/>
    </xf>
    <xf numFmtId="0" fontId="79" fillId="2" borderId="13" xfId="0" applyFont="1" applyFill="1" applyBorder="1" applyAlignment="1">
      <alignment vertical="top" wrapText="1"/>
    </xf>
    <xf numFmtId="0" fontId="79" fillId="0" borderId="0" xfId="0" applyFont="1" applyAlignment="1">
      <alignment vertical="top" wrapText="1"/>
    </xf>
    <xf numFmtId="0" fontId="79" fillId="2" borderId="0" xfId="0" applyFont="1" applyFill="1" applyAlignment="1">
      <alignment vertical="top" wrapText="1"/>
    </xf>
    <xf numFmtId="0" fontId="51" fillId="0" borderId="0" xfId="0" applyFont="1" applyAlignment="1">
      <alignment horizontal="right" vertical="top" wrapText="1"/>
    </xf>
    <xf numFmtId="168" fontId="51" fillId="5" borderId="6" xfId="0" applyNumberFormat="1" applyFont="1" applyFill="1" applyBorder="1" applyAlignment="1" applyProtection="1">
      <alignment horizontal="right" vertical="top" wrapText="1"/>
      <protection locked="0"/>
    </xf>
    <xf numFmtId="168" fontId="51" fillId="0" borderId="6" xfId="0" applyNumberFormat="1" applyFont="1" applyBorder="1" applyAlignment="1">
      <alignment horizontal="right" vertical="top" wrapText="1"/>
    </xf>
    <xf numFmtId="0" fontId="21" fillId="0" borderId="0" xfId="0" applyFont="1" applyAlignment="1">
      <alignment horizontal="left" vertical="top" wrapText="1"/>
    </xf>
    <xf numFmtId="0" fontId="23" fillId="0" borderId="0" xfId="0" applyFont="1" applyAlignment="1">
      <alignment horizontal="right" vertical="top" wrapText="1"/>
    </xf>
    <xf numFmtId="10" fontId="23" fillId="5" borderId="6" xfId="0" applyNumberFormat="1" applyFont="1" applyFill="1" applyBorder="1" applyAlignment="1" applyProtection="1">
      <alignment horizontal="center" vertical="top" wrapText="1"/>
      <protection locked="0"/>
    </xf>
    <xf numFmtId="0" fontId="62" fillId="0" borderId="0" xfId="0" applyFont="1" applyAlignment="1">
      <alignment horizontal="left" vertical="center"/>
    </xf>
    <xf numFmtId="0" fontId="21" fillId="0" borderId="2" xfId="543" applyFont="1" applyBorder="1" applyAlignment="1">
      <alignment horizontal="center"/>
    </xf>
    <xf numFmtId="0" fontId="0" fillId="0" borderId="0" xfId="543" applyFont="1"/>
    <xf numFmtId="0" fontId="15" fillId="0" borderId="0" xfId="244" quotePrefix="1" applyAlignment="1" applyProtection="1">
      <alignment horizontal="left"/>
    </xf>
    <xf numFmtId="168" fontId="51" fillId="0" borderId="11" xfId="0" applyNumberFormat="1" applyFont="1" applyBorder="1" applyAlignment="1">
      <alignment vertical="top" wrapText="1"/>
    </xf>
    <xf numFmtId="168" fontId="51" fillId="4" borderId="11" xfId="0" applyNumberFormat="1" applyFont="1" applyFill="1" applyBorder="1" applyAlignment="1">
      <alignment vertical="top" wrapText="1"/>
    </xf>
    <xf numFmtId="0" fontId="103" fillId="0" borderId="0" xfId="0" applyFont="1" applyAlignment="1">
      <alignment horizontal="left" vertical="top"/>
    </xf>
    <xf numFmtId="0" fontId="104" fillId="0" borderId="0" xfId="0" applyFont="1" applyAlignment="1">
      <alignment horizontal="left" vertical="top"/>
    </xf>
    <xf numFmtId="0" fontId="72" fillId="0" borderId="0" xfId="0" applyFont="1"/>
    <xf numFmtId="0" fontId="21" fillId="8" borderId="11" xfId="542" applyFont="1" applyFill="1" applyBorder="1" applyAlignment="1">
      <alignment horizontal="left"/>
    </xf>
    <xf numFmtId="0" fontId="21" fillId="8" borderId="11" xfId="542" applyFont="1" applyFill="1" applyBorder="1" applyAlignment="1">
      <alignment horizontal="center"/>
    </xf>
    <xf numFmtId="0" fontId="61" fillId="8" borderId="11" xfId="542" applyFont="1" applyFill="1" applyBorder="1" applyAlignment="1">
      <alignment horizontal="left"/>
    </xf>
    <xf numFmtId="0" fontId="61" fillId="0" borderId="11" xfId="542" applyFont="1" applyBorder="1" applyAlignment="1">
      <alignment horizontal="left"/>
    </xf>
    <xf numFmtId="0" fontId="21" fillId="0" borderId="0" xfId="271" applyFont="1" applyAlignment="1" applyProtection="1">
      <alignment horizontal="center" wrapText="1"/>
      <protection locked="0"/>
    </xf>
    <xf numFmtId="0" fontId="23" fillId="0" borderId="0" xfId="271" applyAlignment="1" applyProtection="1">
      <alignment vertical="top" wrapText="1"/>
      <protection locked="0"/>
    </xf>
    <xf numFmtId="0" fontId="21" fillId="0" borderId="0" xfId="271" applyFont="1" applyAlignment="1" applyProtection="1">
      <alignment vertical="top" wrapText="1"/>
      <protection locked="0"/>
    </xf>
    <xf numFmtId="0" fontId="21" fillId="0" borderId="8" xfId="271" applyFont="1" applyBorder="1" applyAlignment="1" applyProtection="1">
      <alignment horizontal="center" wrapText="1"/>
      <protection locked="0"/>
    </xf>
    <xf numFmtId="0" fontId="23" fillId="0" borderId="8" xfId="271" applyBorder="1" applyAlignment="1" applyProtection="1">
      <alignment vertical="top" wrapText="1"/>
      <protection locked="0"/>
    </xf>
    <xf numFmtId="0" fontId="21" fillId="0" borderId="8" xfId="271" applyFont="1" applyBorder="1" applyAlignment="1" applyProtection="1">
      <alignment vertical="top" wrapText="1"/>
      <protection locked="0"/>
    </xf>
    <xf numFmtId="0" fontId="14" fillId="0" borderId="0" xfId="0" applyFont="1" applyAlignment="1">
      <alignment horizontal="center"/>
    </xf>
    <xf numFmtId="0" fontId="28" fillId="0" borderId="8" xfId="569" applyFont="1" applyBorder="1" applyAlignment="1">
      <alignment vertical="top" wrapText="1"/>
    </xf>
    <xf numFmtId="0" fontId="28" fillId="0" borderId="0" xfId="569" applyFont="1" applyAlignment="1">
      <alignment vertical="top" wrapText="1"/>
    </xf>
    <xf numFmtId="0" fontId="53" fillId="2" borderId="11" xfId="569" applyFont="1" applyFill="1" applyBorder="1" applyAlignment="1">
      <alignment horizontal="left" vertical="top" wrapText="1"/>
    </xf>
    <xf numFmtId="6" fontId="51" fillId="4" borderId="11" xfId="569" applyNumberFormat="1" applyFont="1" applyFill="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6" fontId="51" fillId="0" borderId="11" xfId="569" applyNumberFormat="1" applyFont="1" applyBorder="1" applyAlignment="1">
      <alignment vertical="top" wrapText="1"/>
    </xf>
    <xf numFmtId="6" fontId="51" fillId="5" borderId="11" xfId="569" applyNumberFormat="1" applyFont="1" applyFill="1" applyBorder="1" applyAlignment="1" applyProtection="1">
      <alignment vertical="top" wrapText="1"/>
      <protection locked="0"/>
    </xf>
    <xf numFmtId="6" fontId="51" fillId="6" borderId="11" xfId="569" applyNumberFormat="1" applyFont="1" applyFill="1" applyBorder="1" applyAlignment="1">
      <alignment horizontal="center" vertical="top" wrapText="1"/>
    </xf>
    <xf numFmtId="0" fontId="51" fillId="0" borderId="11" xfId="569" applyFont="1" applyBorder="1" applyAlignment="1">
      <alignment horizontal="right" vertical="top" wrapText="1"/>
    </xf>
    <xf numFmtId="0" fontId="52" fillId="0" borderId="11" xfId="569" applyFont="1" applyBorder="1" applyAlignment="1">
      <alignment horizontal="right" vertical="top" wrapText="1"/>
    </xf>
    <xf numFmtId="0" fontId="51" fillId="0" borderId="11" xfId="569" applyFont="1" applyBorder="1" applyAlignment="1">
      <alignment horizontal="right" vertical="top"/>
    </xf>
    <xf numFmtId="6" fontId="52" fillId="0" borderId="11" xfId="569" applyNumberFormat="1" applyFont="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0" fontId="17" fillId="0" borderId="11" xfId="569" applyFont="1" applyBorder="1" applyAlignment="1">
      <alignment horizontal="right" vertical="top" wrapText="1"/>
    </xf>
    <xf numFmtId="0" fontId="52" fillId="0" borderId="0" xfId="569" applyFont="1" applyAlignment="1">
      <alignment horizontal="left" vertical="top"/>
    </xf>
    <xf numFmtId="6" fontId="51" fillId="0" borderId="0" xfId="569" applyNumberFormat="1" applyFont="1" applyAlignment="1">
      <alignment horizontal="left" vertical="top"/>
    </xf>
    <xf numFmtId="0" fontId="104" fillId="0" borderId="0" xfId="569" applyFont="1" applyAlignment="1">
      <alignment horizontal="left" vertical="top"/>
    </xf>
    <xf numFmtId="6" fontId="51" fillId="0" borderId="0" xfId="569" applyNumberFormat="1" applyFont="1" applyAlignment="1">
      <alignment vertical="top" wrapText="1"/>
    </xf>
    <xf numFmtId="0" fontId="51" fillId="0" borderId="0" xfId="569" applyFont="1" applyAlignment="1">
      <alignment horizontal="left" vertical="top"/>
    </xf>
    <xf numFmtId="0" fontId="51" fillId="0" borderId="12" xfId="569" applyFont="1" applyBorder="1" applyAlignment="1">
      <alignment vertical="top" wrapText="1"/>
    </xf>
    <xf numFmtId="0" fontId="21" fillId="0" borderId="0" xfId="569" applyFont="1" applyAlignment="1">
      <alignment horizontal="left" vertical="top"/>
    </xf>
    <xf numFmtId="0" fontId="107" fillId="0" borderId="0" xfId="569" applyFont="1" applyAlignment="1">
      <alignment horizontal="left" vertical="top"/>
    </xf>
    <xf numFmtId="0" fontId="62" fillId="0" borderId="0" xfId="569" applyFont="1" applyAlignment="1">
      <alignment horizontal="left" vertical="center"/>
    </xf>
    <xf numFmtId="0" fontId="29" fillId="0" borderId="0" xfId="569" applyFont="1" applyAlignment="1">
      <alignment vertical="top" wrapText="1"/>
    </xf>
    <xf numFmtId="0" fontId="29" fillId="0" borderId="12" xfId="569" applyFont="1" applyBorder="1" applyAlignment="1">
      <alignment vertical="top" wrapText="1"/>
    </xf>
    <xf numFmtId="0" fontId="29" fillId="0" borderId="8" xfId="569" applyFont="1" applyBorder="1" applyAlignment="1">
      <alignment vertical="top" wrapText="1"/>
    </xf>
    <xf numFmtId="0" fontId="51" fillId="0" borderId="0" xfId="569" applyFont="1" applyAlignment="1">
      <alignment vertical="top"/>
    </xf>
    <xf numFmtId="168" fontId="51" fillId="0" borderId="0" xfId="569" applyNumberFormat="1" applyFont="1" applyAlignment="1" applyProtection="1">
      <alignment horizontal="right" vertical="top" wrapText="1"/>
      <protection locked="0"/>
    </xf>
    <xf numFmtId="0" fontId="14" fillId="0" borderId="0" xfId="569" applyAlignment="1">
      <alignment vertical="top" wrapText="1"/>
    </xf>
    <xf numFmtId="0" fontId="14" fillId="0" borderId="0" xfId="569" applyAlignment="1">
      <alignment vertical="top"/>
    </xf>
    <xf numFmtId="0" fontId="51" fillId="0" borderId="0" xfId="569" applyFont="1" applyAlignment="1">
      <alignment horizontal="right" vertical="top" wrapText="1"/>
    </xf>
    <xf numFmtId="0" fontId="21" fillId="0" borderId="0" xfId="569" applyFont="1" applyAlignment="1">
      <alignment horizontal="left" vertical="top" wrapText="1"/>
    </xf>
    <xf numFmtId="168" fontId="51" fillId="0" borderId="0" xfId="569" applyNumberFormat="1" applyFont="1" applyAlignment="1">
      <alignment horizontal="right" vertical="top" wrapText="1"/>
    </xf>
    <xf numFmtId="0" fontId="14" fillId="0" borderId="0" xfId="569" applyAlignment="1" applyProtection="1">
      <alignment horizontal="left" vertical="top" wrapText="1"/>
      <protection locked="0"/>
    </xf>
    <xf numFmtId="0" fontId="14" fillId="0" borderId="0" xfId="569" applyAlignment="1">
      <alignment horizontal="right" vertical="top" wrapText="1"/>
    </xf>
    <xf numFmtId="0" fontId="14" fillId="0" borderId="0" xfId="569" applyAlignment="1">
      <alignment horizontal="left" vertical="top"/>
    </xf>
    <xf numFmtId="0" fontId="79" fillId="0" borderId="0" xfId="569" applyFont="1" applyAlignment="1">
      <alignment vertical="top" wrapText="1"/>
    </xf>
    <xf numFmtId="0" fontId="79" fillId="0" borderId="12" xfId="569" applyFont="1" applyBorder="1" applyAlignment="1">
      <alignment vertical="top" wrapText="1"/>
    </xf>
    <xf numFmtId="0" fontId="79" fillId="0" borderId="8" xfId="569" applyFont="1" applyBorder="1" applyAlignment="1">
      <alignment vertical="top" wrapText="1"/>
    </xf>
    <xf numFmtId="0" fontId="28" fillId="0" borderId="0" xfId="569" applyFont="1" applyAlignment="1">
      <alignment horizontal="right" vertical="top" wrapText="1"/>
    </xf>
    <xf numFmtId="0" fontId="79" fillId="0" borderId="0" xfId="569" applyFont="1" applyAlignment="1">
      <alignment horizontal="right" vertical="top" wrapText="1"/>
    </xf>
    <xf numFmtId="0" fontId="52" fillId="0" borderId="3" xfId="569" applyFont="1" applyBorder="1" applyAlignment="1">
      <alignment horizontal="left"/>
    </xf>
    <xf numFmtId="0" fontId="52" fillId="0" borderId="13" xfId="569" applyFont="1" applyBorder="1" applyAlignment="1">
      <alignment horizontal="center" wrapText="1"/>
    </xf>
    <xf numFmtId="0" fontId="52" fillId="0" borderId="8" xfId="569" applyFont="1" applyBorder="1" applyAlignment="1">
      <alignment horizontal="center" wrapText="1"/>
    </xf>
    <xf numFmtId="0" fontId="52" fillId="0" borderId="0" xfId="569" applyFont="1" applyAlignment="1">
      <alignment horizontal="center" wrapText="1"/>
    </xf>
    <xf numFmtId="0" fontId="14" fillId="0" borderId="0" xfId="569"/>
    <xf numFmtId="0" fontId="20" fillId="0" borderId="0" xfId="569" applyFont="1" applyAlignment="1">
      <alignment horizontal="center" vertical="center"/>
    </xf>
    <xf numFmtId="0" fontId="21" fillId="0" borderId="0" xfId="569" applyFont="1"/>
    <xf numFmtId="0" fontId="14" fillId="0" borderId="1" xfId="569" applyBorder="1"/>
    <xf numFmtId="0" fontId="14" fillId="0" borderId="2" xfId="569" applyBorder="1"/>
    <xf numFmtId="0" fontId="14" fillId="0" borderId="8" xfId="569" applyBorder="1"/>
    <xf numFmtId="0" fontId="14" fillId="0" borderId="9" xfId="569" applyBorder="1"/>
    <xf numFmtId="0" fontId="14" fillId="0" borderId="6" xfId="569" applyBorder="1"/>
    <xf numFmtId="0" fontId="22" fillId="0" borderId="0" xfId="569" applyFont="1"/>
    <xf numFmtId="0" fontId="14" fillId="0" borderId="7" xfId="569" applyBorder="1"/>
    <xf numFmtId="0" fontId="14" fillId="0" borderId="12" xfId="569" applyBorder="1"/>
    <xf numFmtId="0" fontId="14" fillId="0" borderId="10" xfId="569" applyBorder="1"/>
    <xf numFmtId="0" fontId="22" fillId="0" borderId="0" xfId="569" applyFont="1" applyAlignment="1">
      <alignment vertical="top" wrapText="1"/>
    </xf>
    <xf numFmtId="0" fontId="14" fillId="0" borderId="0" xfId="569" applyAlignment="1">
      <alignment horizontal="right"/>
    </xf>
    <xf numFmtId="0" fontId="14" fillId="0" borderId="0" xfId="569" applyAlignment="1">
      <alignment wrapText="1"/>
    </xf>
    <xf numFmtId="0" fontId="14" fillId="0" borderId="0" xfId="569" applyAlignment="1">
      <alignment vertical="center"/>
    </xf>
    <xf numFmtId="0" fontId="38" fillId="0" borderId="0" xfId="569" applyFont="1" applyAlignment="1">
      <alignment vertical="center" wrapText="1"/>
    </xf>
    <xf numFmtId="0" fontId="32" fillId="0" borderId="0" xfId="569" applyFont="1" applyAlignment="1">
      <alignment vertical="top" wrapText="1"/>
    </xf>
    <xf numFmtId="0" fontId="21" fillId="0" borderId="0" xfId="569" applyFont="1" applyAlignment="1">
      <alignment vertical="top" wrapText="1"/>
    </xf>
    <xf numFmtId="0" fontId="22" fillId="0" borderId="0" xfId="569" applyFont="1" applyAlignment="1">
      <alignment horizontal="left" vertical="top" wrapText="1"/>
    </xf>
    <xf numFmtId="164" fontId="14" fillId="0" borderId="0" xfId="569" applyNumberFormat="1" applyAlignment="1">
      <alignment horizontal="right"/>
    </xf>
    <xf numFmtId="168" fontId="14" fillId="0" borderId="0" xfId="569" applyNumberFormat="1" applyAlignment="1">
      <alignment horizontal="right"/>
    </xf>
    <xf numFmtId="0" fontId="105" fillId="0" borderId="0" xfId="569" applyFont="1" applyAlignment="1">
      <alignment horizontal="left" vertical="top" wrapText="1"/>
    </xf>
    <xf numFmtId="168" fontId="14" fillId="0" borderId="0" xfId="569" applyNumberFormat="1" applyAlignment="1">
      <alignment wrapText="1"/>
    </xf>
    <xf numFmtId="0" fontId="19" fillId="0" borderId="11" xfId="253" applyFont="1" applyBorder="1" applyAlignment="1">
      <alignment horizontal="center" wrapText="1"/>
    </xf>
    <xf numFmtId="0" fontId="19" fillId="0" borderId="0" xfId="253" applyFont="1" applyAlignment="1">
      <alignment horizontal="center" wrapText="1"/>
    </xf>
    <xf numFmtId="3" fontId="19" fillId="0" borderId="11" xfId="271" applyNumberFormat="1" applyFont="1" applyBorder="1"/>
    <xf numFmtId="3" fontId="19" fillId="0" borderId="0" xfId="271" applyNumberFormat="1" applyFont="1"/>
    <xf numFmtId="0" fontId="63" fillId="0" borderId="0" xfId="271" applyFont="1" applyAlignment="1">
      <alignment horizontal="left"/>
    </xf>
    <xf numFmtId="0" fontId="63" fillId="0" borderId="0" xfId="271" applyFont="1" applyAlignment="1">
      <alignment horizontal="right"/>
    </xf>
    <xf numFmtId="168" fontId="19" fillId="0" borderId="11" xfId="271" applyNumberFormat="1" applyFont="1" applyBorder="1"/>
    <xf numFmtId="168" fontId="19" fillId="0" borderId="0" xfId="271" applyNumberFormat="1" applyFont="1"/>
    <xf numFmtId="0" fontId="19" fillId="0" borderId="0" xfId="271" applyFont="1"/>
    <xf numFmtId="0" fontId="51" fillId="0" borderId="0" xfId="569" applyFont="1" applyAlignment="1">
      <alignment horizontal="left"/>
    </xf>
    <xf numFmtId="0" fontId="14" fillId="0" borderId="3" xfId="569" applyBorder="1"/>
    <xf numFmtId="0" fontId="0" fillId="5" borderId="6" xfId="0" applyFill="1" applyBorder="1" applyProtection="1">
      <protection locked="0"/>
    </xf>
    <xf numFmtId="0" fontId="106" fillId="0" borderId="0" xfId="1834"/>
    <xf numFmtId="0" fontId="0" fillId="0" borderId="0" xfId="0" applyAlignment="1">
      <alignment horizontal="left" vertical="top"/>
    </xf>
    <xf numFmtId="0" fontId="105" fillId="0" borderId="0" xfId="0" applyFont="1" applyAlignment="1">
      <alignment vertical="top" wrapText="1"/>
    </xf>
    <xf numFmtId="0" fontId="51" fillId="0" borderId="0" xfId="271" applyFont="1" applyAlignment="1">
      <alignment vertical="top" wrapText="1"/>
    </xf>
    <xf numFmtId="4" fontId="14" fillId="0" borderId="0" xfId="1192" applyNumberFormat="1" applyAlignment="1">
      <alignment horizontal="left" vertical="top" wrapText="1"/>
    </xf>
    <xf numFmtId="0" fontId="14" fillId="0" borderId="0" xfId="0" applyFont="1" applyAlignment="1">
      <alignment horizontal="left" vertical="top" wrapText="1"/>
    </xf>
    <xf numFmtId="0" fontId="14" fillId="0" borderId="0" xfId="271" applyFont="1" applyAlignment="1">
      <alignment horizontal="left" vertical="top" wrapText="1"/>
    </xf>
    <xf numFmtId="0" fontId="21" fillId="0" borderId="12" xfId="543" applyFont="1" applyBorder="1" applyAlignment="1">
      <alignment horizontal="right"/>
    </xf>
    <xf numFmtId="0" fontId="33" fillId="0" borderId="0" xfId="543" applyFont="1" applyAlignment="1">
      <alignment horizontal="center"/>
    </xf>
    <xf numFmtId="4" fontId="14" fillId="0" borderId="0" xfId="569" applyNumberFormat="1" applyAlignment="1">
      <alignment horizontal="left"/>
    </xf>
    <xf numFmtId="0" fontId="14" fillId="0" borderId="0" xfId="569" applyAlignment="1">
      <alignment horizontal="left" vertical="top" wrapText="1"/>
    </xf>
    <xf numFmtId="0" fontId="14" fillId="0" borderId="0" xfId="569" applyAlignment="1">
      <alignment horizontal="left"/>
    </xf>
    <xf numFmtId="0" fontId="14" fillId="0" borderId="0" xfId="1192" applyAlignment="1">
      <alignment horizontal="left"/>
    </xf>
    <xf numFmtId="0" fontId="21" fillId="0" borderId="0" xfId="569" applyFont="1" applyAlignment="1">
      <alignment horizontal="left"/>
    </xf>
    <xf numFmtId="0" fontId="43" fillId="0" borderId="0" xfId="1192" applyFont="1"/>
    <xf numFmtId="0" fontId="51" fillId="0" borderId="11" xfId="0" applyFont="1" applyBorder="1" applyAlignment="1">
      <alignment horizontal="right" vertical="center"/>
    </xf>
    <xf numFmtId="0" fontId="14" fillId="0" borderId="0" xfId="1192" applyAlignment="1">
      <alignment horizontal="left" vertical="top" wrapText="1"/>
    </xf>
    <xf numFmtId="0" fontId="43" fillId="0" borderId="0" xfId="0" applyFont="1" applyAlignment="1">
      <alignment vertical="top" wrapText="1"/>
    </xf>
    <xf numFmtId="0" fontId="43" fillId="0" borderId="0" xfId="0" applyFont="1" applyAlignment="1">
      <alignment horizontal="left" vertical="top" wrapText="1"/>
    </xf>
    <xf numFmtId="6" fontId="52" fillId="0" borderId="0" xfId="569" applyNumberFormat="1" applyFont="1" applyAlignment="1">
      <alignment horizontal="right" vertical="top"/>
    </xf>
    <xf numFmtId="0" fontId="14" fillId="0" borderId="0" xfId="0" applyFont="1" applyAlignment="1">
      <alignment vertical="top" wrapText="1"/>
    </xf>
    <xf numFmtId="168" fontId="23" fillId="0" borderId="0" xfId="0" applyNumberFormat="1" applyFont="1" applyAlignment="1">
      <alignment horizontal="right"/>
    </xf>
    <xf numFmtId="168" fontId="23" fillId="0" borderId="28" xfId="540" applyNumberFormat="1" applyBorder="1" applyAlignment="1" applyProtection="1">
      <alignment horizontal="center"/>
    </xf>
    <xf numFmtId="168" fontId="23" fillId="0" borderId="29" xfId="540" applyNumberFormat="1" applyBorder="1" applyAlignment="1" applyProtection="1">
      <alignment horizontal="center"/>
    </xf>
    <xf numFmtId="168" fontId="23" fillId="0" borderId="30" xfId="540" applyNumberFormat="1" applyBorder="1" applyAlignment="1" applyProtection="1">
      <alignment horizontal="center"/>
    </xf>
    <xf numFmtId="168" fontId="23" fillId="0" borderId="31" xfId="540" applyNumberFormat="1" applyBorder="1" applyAlignment="1" applyProtection="1">
      <alignment horizontal="center"/>
    </xf>
    <xf numFmtId="168" fontId="23" fillId="0" borderId="32" xfId="540" applyNumberFormat="1" applyBorder="1" applyAlignment="1" applyProtection="1">
      <alignment horizontal="center"/>
    </xf>
    <xf numFmtId="168" fontId="23" fillId="0" borderId="33" xfId="540" applyNumberFormat="1" applyBorder="1" applyAlignment="1" applyProtection="1">
      <alignment horizontal="center"/>
    </xf>
    <xf numFmtId="168" fontId="23" fillId="0" borderId="34" xfId="540" applyNumberFormat="1" applyBorder="1" applyAlignment="1" applyProtection="1">
      <alignment horizontal="center"/>
    </xf>
    <xf numFmtId="168" fontId="23" fillId="0" borderId="35" xfId="540" applyNumberFormat="1" applyBorder="1" applyAlignment="1" applyProtection="1">
      <alignment horizontal="center"/>
    </xf>
    <xf numFmtId="168" fontId="23" fillId="0" borderId="36" xfId="540" applyNumberFormat="1" applyBorder="1" applyAlignment="1" applyProtection="1">
      <alignment horizontal="center"/>
    </xf>
    <xf numFmtId="168" fontId="23" fillId="0" borderId="37" xfId="540" applyNumberFormat="1" applyBorder="1" applyAlignment="1" applyProtection="1">
      <alignment horizontal="center"/>
    </xf>
    <xf numFmtId="168" fontId="23" fillId="0" borderId="38" xfId="540" applyNumberFormat="1" applyBorder="1" applyAlignment="1" applyProtection="1">
      <alignment horizontal="center"/>
    </xf>
    <xf numFmtId="168" fontId="23" fillId="0" borderId="39" xfId="540" applyNumberFormat="1" applyBorder="1" applyAlignment="1" applyProtection="1">
      <alignment horizontal="center"/>
    </xf>
    <xf numFmtId="168" fontId="23" fillId="0" borderId="40" xfId="540" applyNumberFormat="1" applyBorder="1" applyAlignment="1" applyProtection="1">
      <alignment horizontal="center"/>
    </xf>
    <xf numFmtId="168" fontId="23" fillId="0" borderId="0" xfId="540" applyNumberFormat="1" applyAlignment="1" applyProtection="1">
      <alignment horizontal="center"/>
    </xf>
    <xf numFmtId="168" fontId="23" fillId="0" borderId="14" xfId="540" applyNumberFormat="1" applyBorder="1" applyAlignment="1" applyProtection="1">
      <alignment horizontal="center"/>
    </xf>
    <xf numFmtId="168" fontId="23" fillId="0" borderId="41" xfId="540" applyNumberFormat="1" applyBorder="1" applyAlignment="1" applyProtection="1">
      <alignment horizontal="center"/>
    </xf>
    <xf numFmtId="168" fontId="23" fillId="0" borderId="42" xfId="540" applyNumberFormat="1" applyBorder="1" applyAlignment="1" applyProtection="1">
      <alignment horizontal="center"/>
    </xf>
    <xf numFmtId="168" fontId="23" fillId="0" borderId="43" xfId="540" applyNumberFormat="1" applyBorder="1" applyAlignment="1" applyProtection="1">
      <alignment horizontal="center"/>
    </xf>
    <xf numFmtId="168" fontId="23" fillId="0" borderId="44" xfId="540" applyNumberFormat="1" applyBorder="1" applyAlignment="1" applyProtection="1">
      <alignment horizontal="center"/>
    </xf>
    <xf numFmtId="0" fontId="14" fillId="0" borderId="0" xfId="1192"/>
    <xf numFmtId="0" fontId="14" fillId="0" borderId="0" xfId="0" applyFont="1" applyAlignment="1">
      <alignment wrapText="1"/>
    </xf>
    <xf numFmtId="0" fontId="43" fillId="0" borderId="0" xfId="0" applyFont="1" applyAlignment="1">
      <alignment horizontal="left" vertical="top"/>
    </xf>
    <xf numFmtId="0" fontId="43" fillId="0" borderId="0" xfId="0" applyFont="1" applyAlignment="1">
      <alignment vertical="top"/>
    </xf>
    <xf numFmtId="0" fontId="14" fillId="0" borderId="0" xfId="569" applyAlignment="1">
      <alignment horizontal="center"/>
    </xf>
    <xf numFmtId="0" fontId="32" fillId="0" borderId="0" xfId="569" applyFont="1" applyAlignment="1">
      <alignment horizontal="left"/>
    </xf>
    <xf numFmtId="0" fontId="32" fillId="0" borderId="0" xfId="569" applyFont="1" applyAlignment="1">
      <alignment horizontal="center"/>
    </xf>
    <xf numFmtId="49" fontId="21" fillId="0" borderId="0" xfId="569" applyNumberFormat="1" applyFont="1" applyAlignment="1">
      <alignment horizontal="center"/>
    </xf>
    <xf numFmtId="0" fontId="49" fillId="0" borderId="0" xfId="569" applyFont="1" applyAlignment="1">
      <alignment horizontal="center"/>
    </xf>
    <xf numFmtId="0" fontId="14" fillId="5" borderId="6" xfId="569" applyFill="1" applyBorder="1" applyProtection="1">
      <protection locked="0"/>
    </xf>
    <xf numFmtId="0" fontId="15" fillId="0" borderId="0" xfId="244" applyAlignment="1" applyProtection="1">
      <alignment horizontal="center"/>
    </xf>
    <xf numFmtId="49" fontId="14" fillId="0" borderId="0" xfId="569" applyNumberFormat="1" applyAlignment="1">
      <alignment horizontal="center"/>
    </xf>
    <xf numFmtId="0" fontId="14" fillId="0" borderId="0" xfId="569" applyAlignment="1">
      <alignment horizontal="center" vertical="center"/>
    </xf>
    <xf numFmtId="0" fontId="14" fillId="0" borderId="0" xfId="1192" applyAlignment="1">
      <alignment horizontal="center"/>
    </xf>
    <xf numFmtId="0" fontId="21" fillId="0" borderId="0" xfId="569" applyFont="1" applyAlignment="1">
      <alignment horizontal="center"/>
    </xf>
    <xf numFmtId="0" fontId="14" fillId="0" borderId="0" xfId="569" applyAlignment="1">
      <alignment horizontal="left" indent="4"/>
    </xf>
    <xf numFmtId="0" fontId="14" fillId="0" borderId="0" xfId="569" quotePrefix="1" applyAlignment="1">
      <alignment horizontal="left"/>
    </xf>
    <xf numFmtId="0" fontId="32" fillId="0" borderId="0" xfId="569" applyFont="1"/>
    <xf numFmtId="0" fontId="14" fillId="0" borderId="0" xfId="1192" applyAlignment="1" applyProtection="1">
      <alignment horizontal="left"/>
      <protection locked="0"/>
    </xf>
    <xf numFmtId="0" fontId="14" fillId="0" borderId="0" xfId="569" applyAlignment="1" applyProtection="1">
      <alignment horizontal="left"/>
      <protection locked="0"/>
    </xf>
    <xf numFmtId="49" fontId="14" fillId="0" borderId="0" xfId="1192" applyNumberFormat="1" applyAlignment="1">
      <alignment horizontal="center"/>
    </xf>
    <xf numFmtId="0" fontId="49" fillId="0" borderId="0" xfId="1192" applyFont="1" applyAlignment="1">
      <alignment horizontal="center"/>
    </xf>
    <xf numFmtId="0" fontId="21" fillId="0" borderId="0" xfId="1192" applyFont="1" applyAlignment="1">
      <alignment horizontal="left"/>
    </xf>
    <xf numFmtId="4" fontId="14" fillId="0" borderId="0" xfId="1192" applyNumberFormat="1" applyAlignment="1">
      <alignment horizontal="left"/>
    </xf>
    <xf numFmtId="0" fontId="21" fillId="0" borderId="0" xfId="569" quotePrefix="1" applyFont="1" applyAlignment="1">
      <alignment horizontal="center"/>
    </xf>
    <xf numFmtId="49" fontId="14" fillId="0" borderId="0" xfId="569" applyNumberFormat="1"/>
    <xf numFmtId="0" fontId="46" fillId="0" borderId="0" xfId="569" applyFont="1" applyAlignment="1">
      <alignment horizontal="left"/>
    </xf>
    <xf numFmtId="4" fontId="49" fillId="0" borderId="0" xfId="569" applyNumberFormat="1" applyFont="1" applyAlignment="1">
      <alignment horizontal="center"/>
    </xf>
    <xf numFmtId="4" fontId="14" fillId="0" borderId="0" xfId="569" applyNumberFormat="1" applyAlignment="1">
      <alignment horizontal="center"/>
    </xf>
    <xf numFmtId="4" fontId="14" fillId="0" borderId="0" xfId="569" applyNumberFormat="1"/>
    <xf numFmtId="0" fontId="44" fillId="0" borderId="0" xfId="569" applyFont="1" applyAlignment="1">
      <alignment horizontal="left"/>
    </xf>
    <xf numFmtId="0" fontId="15" fillId="0" borderId="0" xfId="244" applyNumberFormat="1" applyFill="1" applyAlignment="1" applyProtection="1">
      <alignment horizontal="left"/>
      <protection locked="0"/>
    </xf>
    <xf numFmtId="0" fontId="51" fillId="0" borderId="11" xfId="0" applyFont="1" applyBorder="1" applyAlignment="1" applyProtection="1">
      <alignment horizontal="right" vertical="top" wrapText="1"/>
      <protection locked="0"/>
    </xf>
    <xf numFmtId="168" fontId="54" fillId="44" borderId="11" xfId="0" applyNumberFormat="1" applyFont="1" applyFill="1" applyBorder="1" applyAlignment="1">
      <alignment vertical="top" wrapText="1"/>
    </xf>
    <xf numFmtId="0" fontId="14" fillId="0" borderId="11" xfId="271" applyFont="1" applyBorder="1" applyAlignment="1">
      <alignment horizontal="right" vertical="top" wrapText="1"/>
    </xf>
    <xf numFmtId="0" fontId="22" fillId="0" borderId="0" xfId="569" applyFont="1" applyAlignment="1">
      <alignment horizontal="left"/>
    </xf>
    <xf numFmtId="0" fontId="103" fillId="0" borderId="0" xfId="0" applyFont="1"/>
    <xf numFmtId="0" fontId="114" fillId="0" borderId="0" xfId="0" applyFont="1" applyAlignment="1">
      <alignment horizontal="left" vertical="top"/>
    </xf>
    <xf numFmtId="0" fontId="115" fillId="0" borderId="0" xfId="0" applyFont="1" applyAlignment="1">
      <alignment horizontal="left" vertical="top"/>
    </xf>
    <xf numFmtId="168" fontId="22" fillId="0" borderId="0" xfId="0" applyNumberFormat="1" applyFont="1" applyAlignment="1">
      <alignment horizontal="left" vertical="top" wrapText="1"/>
    </xf>
    <xf numFmtId="168" fontId="51" fillId="5" borderId="11" xfId="0" applyNumberFormat="1" applyFont="1" applyFill="1" applyBorder="1" applyAlignment="1">
      <alignment vertical="top" wrapText="1"/>
    </xf>
    <xf numFmtId="0" fontId="14" fillId="0" borderId="0" xfId="271" applyFont="1" applyAlignment="1">
      <alignment horizontal="left" vertical="top"/>
    </xf>
    <xf numFmtId="0" fontId="51" fillId="0" borderId="0" xfId="569" applyFont="1"/>
    <xf numFmtId="0" fontId="14" fillId="0" borderId="0" xfId="0" applyFont="1" applyAlignment="1">
      <alignment horizontal="left" vertical="top"/>
    </xf>
    <xf numFmtId="4" fontId="14" fillId="0" borderId="0" xfId="1192" applyNumberFormat="1" applyAlignment="1">
      <alignment vertical="top" wrapText="1"/>
    </xf>
    <xf numFmtId="0" fontId="21" fillId="0" borderId="16" xfId="271" applyFont="1" applyBorder="1"/>
    <xf numFmtId="0" fontId="58" fillId="0" borderId="0" xfId="569" applyFont="1"/>
    <xf numFmtId="0" fontId="38" fillId="0" borderId="0" xfId="569" applyFont="1"/>
    <xf numFmtId="0" fontId="14" fillId="0" borderId="0" xfId="1192" applyAlignment="1">
      <alignment vertical="top" wrapText="1"/>
    </xf>
    <xf numFmtId="49" fontId="14" fillId="0" borderId="0" xfId="1192" applyNumberFormat="1" applyAlignment="1">
      <alignment vertical="top" wrapText="1"/>
    </xf>
    <xf numFmtId="0" fontId="53" fillId="0" borderId="9" xfId="543" applyFont="1" applyBorder="1" applyAlignment="1">
      <alignment vertical="top"/>
    </xf>
    <xf numFmtId="0" fontId="14" fillId="0" borderId="0" xfId="0" applyFont="1" applyAlignment="1">
      <alignment vertical="center"/>
    </xf>
    <xf numFmtId="0" fontId="116" fillId="0" borderId="0" xfId="0" applyFont="1"/>
    <xf numFmtId="3" fontId="103" fillId="0" borderId="0" xfId="0" applyNumberFormat="1" applyFont="1"/>
    <xf numFmtId="0" fontId="103" fillId="0" borderId="0" xfId="0" applyFont="1" applyAlignment="1">
      <alignment horizontal="left"/>
    </xf>
    <xf numFmtId="168" fontId="117" fillId="0" borderId="0" xfId="0" applyNumberFormat="1" applyFont="1" applyAlignment="1">
      <alignment horizontal="left" vertical="top"/>
    </xf>
    <xf numFmtId="0" fontId="103" fillId="0" borderId="0" xfId="0" applyFont="1" applyAlignment="1">
      <alignment horizontal="left" vertical="center"/>
    </xf>
    <xf numFmtId="0" fontId="119" fillId="0" borderId="0" xfId="0" applyFont="1"/>
    <xf numFmtId="172" fontId="14" fillId="0" borderId="8" xfId="543" applyNumberFormat="1" applyBorder="1"/>
    <xf numFmtId="0" fontId="14" fillId="0" borderId="8" xfId="4495" applyFont="1" applyBorder="1"/>
    <xf numFmtId="0" fontId="14" fillId="0" borderId="0" xfId="4495" applyFont="1"/>
    <xf numFmtId="0" fontId="20" fillId="0" borderId="0" xfId="4495" applyFont="1" applyAlignment="1">
      <alignment horizontal="center" vertical="center"/>
    </xf>
    <xf numFmtId="0" fontId="21" fillId="0" borderId="0" xfId="4495" applyFont="1" applyAlignment="1">
      <alignment horizontal="left"/>
    </xf>
    <xf numFmtId="0" fontId="21" fillId="0" borderId="0" xfId="4495" applyFont="1"/>
    <xf numFmtId="0" fontId="24" fillId="0" borderId="0" xfId="4495" applyFont="1" applyAlignment="1">
      <alignment horizontal="center" vertical="center"/>
    </xf>
    <xf numFmtId="0" fontId="24" fillId="0" borderId="27" xfId="4495" applyFont="1" applyBorder="1" applyAlignment="1">
      <alignment horizontal="center" vertical="center"/>
    </xf>
    <xf numFmtId="0" fontId="24" fillId="0" borderId="46" xfId="4495" applyFont="1" applyBorder="1" applyAlignment="1">
      <alignment horizontal="center" vertical="center"/>
    </xf>
    <xf numFmtId="0" fontId="21" fillId="0" borderId="0" xfId="4495" applyFont="1" applyAlignment="1">
      <alignment horizontal="right"/>
    </xf>
    <xf numFmtId="0" fontId="32" fillId="0" borderId="0" xfId="4495" applyFont="1" applyAlignment="1">
      <alignment horizontal="left" vertical="center"/>
    </xf>
    <xf numFmtId="0" fontId="14" fillId="0" borderId="0" xfId="1192" quotePrefix="1" applyAlignment="1">
      <alignment horizontal="center"/>
    </xf>
    <xf numFmtId="0" fontId="44" fillId="0" borderId="0" xfId="4495" applyFont="1" applyAlignment="1">
      <alignment horizontal="left" vertical="center"/>
    </xf>
    <xf numFmtId="49" fontId="22" fillId="0" borderId="0" xfId="4495" applyNumberFormat="1" applyFont="1" applyAlignment="1">
      <alignment horizontal="left" vertical="top"/>
    </xf>
    <xf numFmtId="0" fontId="14" fillId="0" borderId="47" xfId="4495" applyFont="1" applyBorder="1" applyAlignment="1">
      <alignment horizontal="left" vertical="center"/>
    </xf>
    <xf numFmtId="0" fontId="24" fillId="0" borderId="48" xfId="4495" applyFont="1" applyBorder="1" applyAlignment="1">
      <alignment horizontal="center" vertical="center"/>
    </xf>
    <xf numFmtId="0" fontId="22" fillId="0" borderId="0" xfId="4495" applyFont="1"/>
    <xf numFmtId="0" fontId="22" fillId="0" borderId="0" xfId="4495" applyFont="1" applyAlignment="1">
      <alignment horizontal="left" vertical="top"/>
    </xf>
    <xf numFmtId="0" fontId="121" fillId="0" borderId="53" xfId="4496" applyFont="1" applyBorder="1" applyAlignment="1">
      <alignment horizontal="left" vertical="top"/>
    </xf>
    <xf numFmtId="0" fontId="120" fillId="0" borderId="0" xfId="4496" applyFont="1" applyAlignment="1">
      <alignment horizontal="left" vertical="top" wrapText="1"/>
    </xf>
    <xf numFmtId="0" fontId="120" fillId="0" borderId="54" xfId="4496" applyFont="1" applyBorder="1" applyAlignment="1">
      <alignment horizontal="left" vertical="top" wrapText="1"/>
    </xf>
    <xf numFmtId="0" fontId="14" fillId="0" borderId="0" xfId="4495" applyFont="1" applyAlignment="1">
      <alignment horizontal="left" vertical="center"/>
    </xf>
    <xf numFmtId="0" fontId="122" fillId="0" borderId="0" xfId="4496" applyFont="1" applyAlignment="1">
      <alignment vertical="center"/>
    </xf>
    <xf numFmtId="0" fontId="120" fillId="0" borderId="0" xfId="4496" applyFont="1"/>
    <xf numFmtId="0" fontId="120" fillId="0" borderId="0" xfId="4496" applyFont="1" applyAlignment="1">
      <alignment vertical="center"/>
    </xf>
    <xf numFmtId="0" fontId="123" fillId="0" borderId="0" xfId="4496" applyFont="1" applyAlignment="1">
      <alignment vertical="center"/>
    </xf>
    <xf numFmtId="0" fontId="14" fillId="0" borderId="0" xfId="4496" applyFont="1" applyAlignment="1">
      <alignment vertical="center"/>
    </xf>
    <xf numFmtId="0" fontId="22" fillId="0" borderId="3" xfId="4495" applyFont="1" applyBorder="1" applyAlignment="1">
      <alignment vertical="top" wrapText="1"/>
    </xf>
    <xf numFmtId="0" fontId="22" fillId="0" borderId="4" xfId="4495" applyFont="1" applyBorder="1" applyAlignment="1">
      <alignment vertical="top" wrapText="1"/>
    </xf>
    <xf numFmtId="164" fontId="118" fillId="0" borderId="4" xfId="4495" applyNumberFormat="1" applyBorder="1" applyAlignment="1">
      <alignment horizontal="right"/>
    </xf>
    <xf numFmtId="0" fontId="22" fillId="0" borderId="4" xfId="4495" applyFont="1" applyBorder="1"/>
    <xf numFmtId="0" fontId="21" fillId="0" borderId="5" xfId="4495" applyFont="1" applyBorder="1" applyAlignment="1">
      <alignment horizontal="right"/>
    </xf>
    <xf numFmtId="0" fontId="14" fillId="0" borderId="16" xfId="4495" applyFont="1" applyBorder="1"/>
    <xf numFmtId="0" fontId="14" fillId="0" borderId="16" xfId="4495" applyFont="1" applyBorder="1" applyAlignment="1">
      <alignment horizontal="left" vertical="top"/>
    </xf>
    <xf numFmtId="0" fontId="22" fillId="0" borderId="16" xfId="4495" applyFont="1" applyBorder="1" applyAlignment="1">
      <alignment horizontal="left" vertical="top" wrapText="1"/>
    </xf>
    <xf numFmtId="0" fontId="22" fillId="0" borderId="45" xfId="4495" applyFont="1" applyBorder="1" applyAlignment="1">
      <alignment horizontal="left" vertical="top" wrapText="1"/>
    </xf>
    <xf numFmtId="0" fontId="118" fillId="0" borderId="0" xfId="4495"/>
    <xf numFmtId="0" fontId="15" fillId="0" borderId="0" xfId="244" applyFill="1" applyBorder="1" applyAlignment="1" applyProtection="1">
      <alignment horizontal="left" vertical="top"/>
    </xf>
    <xf numFmtId="0" fontId="15" fillId="0" borderId="0" xfId="244" applyFill="1" applyBorder="1" applyAlignment="1" applyProtection="1">
      <alignment horizontal="left" vertical="top" wrapText="1"/>
    </xf>
    <xf numFmtId="0" fontId="22" fillId="0" borderId="0" xfId="4495" applyFont="1" applyAlignment="1">
      <alignment horizontal="left" vertical="top" wrapText="1"/>
    </xf>
    <xf numFmtId="0" fontId="22" fillId="0" borderId="0" xfId="4495" applyFont="1" applyAlignment="1">
      <alignment horizontal="right" vertical="top"/>
    </xf>
    <xf numFmtId="0" fontId="14" fillId="0" borderId="0" xfId="4495" applyFont="1" applyAlignment="1">
      <alignment vertical="center" wrapText="1"/>
    </xf>
    <xf numFmtId="0" fontId="120" fillId="0" borderId="53" xfId="4496" applyFont="1" applyBorder="1" applyAlignment="1">
      <alignment vertical="top" wrapText="1"/>
    </xf>
    <xf numFmtId="0" fontId="120" fillId="0" borderId="0" xfId="4496" applyFont="1" applyAlignment="1">
      <alignment vertical="top" wrapText="1"/>
    </xf>
    <xf numFmtId="10" fontId="120" fillId="0" borderId="0" xfId="4496" applyNumberFormat="1" applyFont="1" applyAlignment="1">
      <alignment vertical="top" wrapText="1"/>
    </xf>
    <xf numFmtId="0" fontId="120" fillId="0" borderId="54" xfId="4496" applyFont="1" applyBorder="1" applyAlignment="1">
      <alignment vertical="top" wrapText="1"/>
    </xf>
    <xf numFmtId="0" fontId="120" fillId="0" borderId="0" xfId="4496" applyFont="1" applyAlignment="1">
      <alignment vertical="top"/>
    </xf>
    <xf numFmtId="165" fontId="120" fillId="0" borderId="0" xfId="4496" applyNumberFormat="1" applyFont="1" applyAlignment="1">
      <alignment vertical="top" wrapText="1"/>
    </xf>
    <xf numFmtId="0" fontId="21" fillId="0" borderId="57" xfId="4495" applyFont="1" applyBorder="1"/>
    <xf numFmtId="0" fontId="21" fillId="0" borderId="58" xfId="4495" applyFont="1" applyBorder="1"/>
    <xf numFmtId="0" fontId="21" fillId="0" borderId="58" xfId="4495" applyFont="1" applyBorder="1" applyAlignment="1">
      <alignment horizontal="right"/>
    </xf>
    <xf numFmtId="0" fontId="21" fillId="0" borderId="59" xfId="4495" applyFont="1" applyBorder="1" applyAlignment="1">
      <alignment horizontal="right"/>
    </xf>
    <xf numFmtId="0" fontId="120" fillId="0" borderId="53" xfId="4496" applyFont="1" applyBorder="1" applyAlignment="1">
      <alignment horizontal="left" vertical="top" wrapText="1"/>
    </xf>
    <xf numFmtId="0" fontId="120" fillId="0" borderId="0" xfId="4496" applyFont="1" applyAlignment="1">
      <alignment horizontal="left" vertical="top"/>
    </xf>
    <xf numFmtId="0" fontId="24" fillId="0" borderId="57" xfId="4495" applyFont="1" applyBorder="1" applyAlignment="1">
      <alignment horizontal="center" vertical="center"/>
    </xf>
    <xf numFmtId="0" fontId="24" fillId="0" borderId="58" xfId="4495" applyFont="1" applyBorder="1" applyAlignment="1">
      <alignment horizontal="center" vertical="center"/>
    </xf>
    <xf numFmtId="0" fontId="24" fillId="0" borderId="59" xfId="4495" applyFont="1" applyBorder="1" applyAlignment="1">
      <alignment horizontal="center" vertical="center"/>
    </xf>
    <xf numFmtId="0" fontId="21" fillId="0" borderId="0" xfId="4495" applyFont="1" applyAlignment="1">
      <alignment horizontal="center"/>
    </xf>
    <xf numFmtId="0" fontId="21" fillId="0" borderId="8" xfId="4495" applyFont="1" applyBorder="1"/>
    <xf numFmtId="0" fontId="22" fillId="0" borderId="0" xfId="4495" applyFont="1" applyAlignment="1">
      <alignment horizontal="left"/>
    </xf>
    <xf numFmtId="0" fontId="21" fillId="0" borderId="0" xfId="4495" applyFont="1" applyAlignment="1">
      <alignment horizontal="center" vertical="top"/>
    </xf>
    <xf numFmtId="0" fontId="14" fillId="0" borderId="0" xfId="4495" applyFont="1" applyAlignment="1">
      <alignment horizontal="center"/>
    </xf>
    <xf numFmtId="0" fontId="30" fillId="0" borderId="0" xfId="4495" applyFont="1"/>
    <xf numFmtId="0" fontId="22" fillId="0" borderId="8" xfId="4495" applyFont="1" applyBorder="1"/>
    <xf numFmtId="0" fontId="51" fillId="0" borderId="8" xfId="4495" applyFont="1" applyBorder="1"/>
    <xf numFmtId="1" fontId="14" fillId="0" borderId="0" xfId="1192" applyNumberFormat="1"/>
    <xf numFmtId="0" fontId="14" fillId="0" borderId="3" xfId="4495" applyFont="1" applyBorder="1"/>
    <xf numFmtId="0" fontId="14" fillId="0" borderId="4" xfId="4495" applyFont="1" applyBorder="1"/>
    <xf numFmtId="0" fontId="14" fillId="0" borderId="0" xfId="1192" applyAlignment="1">
      <alignment wrapText="1"/>
    </xf>
    <xf numFmtId="0" fontId="22" fillId="0" borderId="0" xfId="4495" applyFont="1" applyAlignment="1">
      <alignment vertical="top" wrapText="1"/>
    </xf>
    <xf numFmtId="0" fontId="22" fillId="0" borderId="0" xfId="1192" applyFont="1"/>
    <xf numFmtId="0" fontId="14" fillId="0" borderId="0" xfId="4495" applyFont="1" applyAlignment="1">
      <alignment horizontal="left"/>
    </xf>
    <xf numFmtId="0" fontId="22" fillId="0" borderId="3" xfId="4495" applyFont="1" applyBorder="1"/>
    <xf numFmtId="0" fontId="14" fillId="0" borderId="4" xfId="4495" applyFont="1" applyBorder="1" applyAlignment="1">
      <alignment horizontal="right"/>
    </xf>
    <xf numFmtId="1" fontId="14" fillId="0" borderId="0" xfId="4495" applyNumberFormat="1" applyFont="1" applyAlignment="1">
      <alignment horizontal="center"/>
    </xf>
    <xf numFmtId="0" fontId="51" fillId="0" borderId="0" xfId="4495" applyFont="1"/>
    <xf numFmtId="0" fontId="14" fillId="0" borderId="0" xfId="4495" applyFont="1" applyAlignment="1">
      <alignment horizontal="right"/>
    </xf>
    <xf numFmtId="0" fontId="22" fillId="0" borderId="0" xfId="4495" applyFont="1" applyAlignment="1">
      <alignment vertical="top"/>
    </xf>
    <xf numFmtId="0" fontId="22" fillId="0" borderId="27" xfId="4495" applyFont="1" applyBorder="1"/>
    <xf numFmtId="0" fontId="21" fillId="0" borderId="0" xfId="4495" applyFont="1" applyAlignment="1">
      <alignment vertical="top"/>
    </xf>
    <xf numFmtId="0" fontId="32" fillId="0" borderId="0" xfId="4495" applyFont="1" applyAlignment="1">
      <alignment vertical="top" wrapText="1"/>
    </xf>
    <xf numFmtId="0" fontId="21" fillId="0" borderId="0" xfId="4495" applyFont="1" applyAlignment="1">
      <alignment horizontal="left" vertical="top" wrapText="1"/>
    </xf>
    <xf numFmtId="0" fontId="14" fillId="0" borderId="0" xfId="4495" applyFont="1" applyAlignment="1">
      <alignment horizontal="left" vertical="top"/>
    </xf>
    <xf numFmtId="0" fontId="32" fillId="0" borderId="0" xfId="4495" applyFont="1" applyAlignment="1">
      <alignment vertical="top"/>
    </xf>
    <xf numFmtId="0" fontId="14" fillId="0" borderId="10" xfId="4495" applyFont="1" applyBorder="1" applyAlignment="1">
      <alignment horizontal="center"/>
    </xf>
    <xf numFmtId="0" fontId="14" fillId="0" borderId="16" xfId="4495" applyFont="1" applyBorder="1" applyAlignment="1">
      <alignment horizontal="center"/>
    </xf>
    <xf numFmtId="0" fontId="30" fillId="0" borderId="16" xfId="4495" applyFont="1" applyBorder="1"/>
    <xf numFmtId="0" fontId="22" fillId="0" borderId="16" xfId="4495" applyFont="1" applyBorder="1"/>
    <xf numFmtId="0" fontId="14" fillId="0" borderId="0" xfId="4496" applyFont="1" applyAlignment="1">
      <alignment vertical="top" wrapText="1"/>
    </xf>
    <xf numFmtId="0" fontId="21" fillId="0" borderId="0" xfId="1192" applyFont="1" applyAlignment="1">
      <alignment horizontal="right"/>
    </xf>
    <xf numFmtId="0" fontId="14" fillId="0" borderId="0" xfId="4496" applyFont="1"/>
    <xf numFmtId="0" fontId="14" fillId="0" borderId="0" xfId="4496" applyFont="1" applyAlignment="1">
      <alignment horizontal="left"/>
    </xf>
    <xf numFmtId="0" fontId="14" fillId="0" borderId="0" xfId="4496" applyFont="1" applyAlignment="1">
      <alignment horizontal="right"/>
    </xf>
    <xf numFmtId="0" fontId="22" fillId="0" borderId="0" xfId="4496" applyFont="1" applyAlignment="1">
      <alignment vertical="top" wrapText="1"/>
    </xf>
    <xf numFmtId="0" fontId="14" fillId="0" borderId="4" xfId="4496" applyFont="1" applyBorder="1"/>
    <xf numFmtId="0" fontId="21" fillId="0" borderId="4" xfId="4496" applyFont="1" applyBorder="1" applyAlignment="1">
      <alignment horizontal="right"/>
    </xf>
    <xf numFmtId="0" fontId="22" fillId="0" borderId="27" xfId="4495" applyFont="1" applyBorder="1" applyAlignment="1">
      <alignment horizontal="left" vertical="top"/>
    </xf>
    <xf numFmtId="0" fontId="14" fillId="0" borderId="27" xfId="4495" applyFont="1" applyBorder="1" applyAlignment="1">
      <alignment horizontal="left" vertical="top"/>
    </xf>
    <xf numFmtId="0" fontId="21" fillId="0" borderId="27" xfId="4495" applyFont="1" applyBorder="1" applyAlignment="1">
      <alignment horizontal="right"/>
    </xf>
    <xf numFmtId="0" fontId="14" fillId="0" borderId="27" xfId="4495" applyFont="1" applyBorder="1" applyAlignment="1">
      <alignment horizontal="center"/>
    </xf>
    <xf numFmtId="0" fontId="14" fillId="0" borderId="46" xfId="4495" applyFont="1" applyBorder="1" applyAlignment="1">
      <alignment horizontal="center"/>
    </xf>
    <xf numFmtId="164" fontId="22" fillId="0" borderId="0" xfId="4495" applyNumberFormat="1" applyFont="1" applyAlignment="1">
      <alignment horizontal="left" vertical="top" wrapText="1"/>
    </xf>
    <xf numFmtId="0" fontId="25" fillId="0" borderId="0" xfId="4495" applyFont="1"/>
    <xf numFmtId="0" fontId="22" fillId="0" borderId="0" xfId="4495" applyFont="1" applyAlignment="1">
      <alignment horizontal="right"/>
    </xf>
    <xf numFmtId="0" fontId="14" fillId="0" borderId="27" xfId="543" applyBorder="1"/>
    <xf numFmtId="0" fontId="14" fillId="0" borderId="46" xfId="543" applyBorder="1"/>
    <xf numFmtId="0" fontId="21" fillId="0" borderId="0" xfId="4495" applyFont="1" applyAlignment="1">
      <alignment horizontal="left" vertical="top"/>
    </xf>
    <xf numFmtId="1" fontId="118" fillId="0" borderId="0" xfId="4495" applyNumberFormat="1"/>
    <xf numFmtId="0" fontId="14" fillId="0" borderId="0" xfId="4495" applyFont="1" applyAlignment="1">
      <alignment vertical="top" wrapText="1"/>
    </xf>
    <xf numFmtId="0" fontId="14" fillId="0" borderId="0" xfId="4495" applyFont="1" applyAlignment="1">
      <alignment horizontal="left" vertical="top" wrapText="1"/>
    </xf>
    <xf numFmtId="0" fontId="14" fillId="0" borderId="50" xfId="4495" applyFont="1" applyBorder="1" applyAlignment="1">
      <alignment vertical="top"/>
    </xf>
    <xf numFmtId="0" fontId="14" fillId="0" borderId="51" xfId="4495" applyFont="1" applyBorder="1" applyAlignment="1">
      <alignment vertical="top"/>
    </xf>
    <xf numFmtId="0" fontId="14" fillId="0" borderId="52" xfId="4495" applyFont="1" applyBorder="1" applyAlignment="1">
      <alignment vertical="top"/>
    </xf>
    <xf numFmtId="1" fontId="22" fillId="0" borderId="8" xfId="4495" applyNumberFormat="1" applyFont="1" applyBorder="1"/>
    <xf numFmtId="0" fontId="14" fillId="0" borderId="0" xfId="543" applyAlignment="1">
      <alignment vertical="top"/>
    </xf>
    <xf numFmtId="0" fontId="22" fillId="0" borderId="51" xfId="4495" applyFont="1" applyBorder="1" applyAlignment="1">
      <alignment horizontal="left" vertical="top"/>
    </xf>
    <xf numFmtId="0" fontId="22" fillId="0" borderId="52" xfId="4495" applyFont="1" applyBorder="1" applyAlignment="1">
      <alignment horizontal="left" vertical="top"/>
    </xf>
    <xf numFmtId="0" fontId="118" fillId="0" borderId="0" xfId="4495" applyAlignment="1" applyProtection="1">
      <alignment horizontal="center"/>
      <protection locked="0"/>
    </xf>
    <xf numFmtId="0" fontId="14" fillId="0" borderId="53" xfId="4495" applyFont="1" applyBorder="1" applyAlignment="1">
      <alignment vertical="top"/>
    </xf>
    <xf numFmtId="0" fontId="14" fillId="0" borderId="54" xfId="4495" applyFont="1" applyBorder="1" applyAlignment="1">
      <alignment vertical="top" wrapText="1"/>
    </xf>
    <xf numFmtId="0" fontId="59" fillId="0" borderId="53" xfId="4495" applyFont="1" applyBorder="1"/>
    <xf numFmtId="0" fontId="22" fillId="0" borderId="54" xfId="4495" applyFont="1" applyBorder="1" applyAlignment="1">
      <alignment horizontal="left" vertical="top"/>
    </xf>
    <xf numFmtId="0" fontId="14" fillId="0" borderId="53" xfId="4495" applyFont="1" applyBorder="1" applyAlignment="1">
      <alignment vertical="center" wrapText="1"/>
    </xf>
    <xf numFmtId="0" fontId="59" fillId="0" borderId="57" xfId="4495" applyFont="1" applyBorder="1"/>
    <xf numFmtId="0" fontId="22" fillId="0" borderId="58" xfId="4495" applyFont="1" applyBorder="1" applyAlignment="1">
      <alignment horizontal="left" vertical="top"/>
    </xf>
    <xf numFmtId="0" fontId="22" fillId="0" borderId="12" xfId="4495" applyFont="1" applyBorder="1"/>
    <xf numFmtId="0" fontId="14" fillId="0" borderId="57" xfId="4495" applyFont="1" applyBorder="1" applyAlignment="1">
      <alignment vertical="center"/>
    </xf>
    <xf numFmtId="0" fontId="14" fillId="0" borderId="58" xfId="4495" applyFont="1" applyBorder="1" applyAlignment="1">
      <alignment vertical="top"/>
    </xf>
    <xf numFmtId="0" fontId="14" fillId="0" borderId="59" xfId="4495" applyFont="1" applyBorder="1" applyAlignment="1">
      <alignment vertical="top"/>
    </xf>
    <xf numFmtId="0" fontId="14" fillId="0" borderId="0" xfId="4495" applyFont="1" applyAlignment="1">
      <alignment vertical="top"/>
    </xf>
    <xf numFmtId="0" fontId="22" fillId="0" borderId="4" xfId="4495" applyFont="1" applyBorder="1" applyAlignment="1">
      <alignment horizontal="left" vertical="top"/>
    </xf>
    <xf numFmtId="0" fontId="14" fillId="0" borderId="4" xfId="4495" applyFont="1" applyBorder="1" applyAlignment="1">
      <alignment horizontal="left" vertical="top"/>
    </xf>
    <xf numFmtId="0" fontId="14" fillId="0" borderId="2" xfId="4495" applyFont="1" applyBorder="1"/>
    <xf numFmtId="0" fontId="22" fillId="0" borderId="2" xfId="4495" applyFont="1" applyBorder="1"/>
    <xf numFmtId="0" fontId="14" fillId="0" borderId="2" xfId="4495" applyFont="1" applyBorder="1" applyAlignment="1">
      <alignment horizontal="center"/>
    </xf>
    <xf numFmtId="0" fontId="22" fillId="0" borderId="7" xfId="4495" applyFont="1" applyBorder="1"/>
    <xf numFmtId="0" fontId="30" fillId="0" borderId="0" xfId="4495" applyFont="1" applyAlignment="1">
      <alignment horizontal="right"/>
    </xf>
    <xf numFmtId="0" fontId="124" fillId="0" borderId="0" xfId="4495" applyFont="1" applyAlignment="1">
      <alignment horizontal="left" vertical="top" wrapText="1"/>
    </xf>
    <xf numFmtId="0" fontId="30" fillId="0" borderId="0" xfId="4495" applyFont="1" applyAlignment="1">
      <alignment horizontal="left" vertical="top"/>
    </xf>
    <xf numFmtId="0" fontId="22" fillId="0" borderId="0" xfId="4495" quotePrefix="1" applyFont="1" applyAlignment="1">
      <alignment horizontal="right"/>
    </xf>
    <xf numFmtId="0" fontId="14" fillId="0" borderId="0" xfId="4497"/>
    <xf numFmtId="0" fontId="22" fillId="0" borderId="0" xfId="4495" applyFont="1" applyAlignment="1">
      <alignment horizontal="left" vertical="top" wrapText="1" shrinkToFit="1"/>
    </xf>
    <xf numFmtId="0" fontId="118" fillId="0" borderId="0" xfId="4495" applyAlignment="1">
      <alignment vertical="top" wrapText="1"/>
    </xf>
    <xf numFmtId="0" fontId="22" fillId="0" borderId="4" xfId="4495" applyFont="1" applyBorder="1" applyAlignment="1">
      <alignment horizontal="left" vertical="top" wrapText="1" shrinkToFit="1"/>
    </xf>
    <xf numFmtId="0" fontId="30" fillId="0" borderId="8" xfId="4495" applyFont="1" applyBorder="1"/>
    <xf numFmtId="0" fontId="22" fillId="0" borderId="0" xfId="4495" applyFont="1" applyAlignment="1">
      <alignment horizontal="center"/>
    </xf>
    <xf numFmtId="0" fontId="22" fillId="0" borderId="0" xfId="4495" quotePrefix="1" applyFont="1"/>
    <xf numFmtId="0" fontId="22" fillId="0" borderId="0" xfId="4495" applyFont="1" applyAlignment="1">
      <alignment horizontal="left" vertical="top" shrinkToFit="1"/>
    </xf>
    <xf numFmtId="0" fontId="44" fillId="0" borderId="0" xfId="4495" applyFont="1"/>
    <xf numFmtId="0" fontId="22" fillId="0" borderId="3" xfId="4495" applyFont="1" applyBorder="1" applyAlignment="1">
      <alignment horizontal="center"/>
    </xf>
    <xf numFmtId="0" fontId="118" fillId="0" borderId="8" xfId="4495" applyBorder="1"/>
    <xf numFmtId="0" fontId="21" fillId="0" borderId="8" xfId="4495" applyFont="1" applyBorder="1" applyAlignment="1">
      <alignment vertical="top"/>
    </xf>
    <xf numFmtId="0" fontId="118" fillId="0" borderId="0" xfId="4495" applyAlignment="1">
      <alignment vertical="top"/>
    </xf>
    <xf numFmtId="0" fontId="21" fillId="0" borderId="4" xfId="4495" applyFont="1" applyBorder="1" applyAlignment="1">
      <alignment horizontal="center" vertical="top"/>
    </xf>
    <xf numFmtId="0" fontId="124" fillId="0" borderId="0" xfId="4495" applyFont="1" applyAlignment="1">
      <alignment horizontal="left" vertical="top"/>
    </xf>
    <xf numFmtId="0" fontId="124" fillId="0" borderId="4" xfId="4495" applyFont="1" applyBorder="1" applyAlignment="1">
      <alignment horizontal="left" vertical="top"/>
    </xf>
    <xf numFmtId="168" fontId="14" fillId="0" borderId="0" xfId="4497" applyNumberFormat="1"/>
    <xf numFmtId="1" fontId="22" fillId="0" borderId="0" xfId="4495" applyNumberFormat="1" applyFont="1" applyAlignment="1">
      <alignment horizontal="center" vertical="top"/>
    </xf>
    <xf numFmtId="0" fontId="128" fillId="0" borderId="0" xfId="4495" applyFont="1" applyAlignment="1">
      <alignment vertical="top" wrapText="1"/>
    </xf>
    <xf numFmtId="0" fontId="128" fillId="0" borderId="0" xfId="4495" applyFont="1" applyAlignment="1">
      <alignment horizontal="left" vertical="top" wrapText="1"/>
    </xf>
    <xf numFmtId="0" fontId="22" fillId="0" borderId="6" xfId="4495" applyFont="1" applyBorder="1"/>
    <xf numFmtId="1" fontId="22" fillId="0" borderId="8" xfId="4495" applyNumberFormat="1" applyFont="1" applyBorder="1" applyAlignment="1">
      <alignment horizontal="center" vertical="top"/>
    </xf>
    <xf numFmtId="0" fontId="118" fillId="0" borderId="12" xfId="4495" applyBorder="1"/>
    <xf numFmtId="0" fontId="22" fillId="0" borderId="9" xfId="4495" applyFont="1" applyBorder="1"/>
    <xf numFmtId="0" fontId="118" fillId="0" borderId="10" xfId="4495" applyBorder="1"/>
    <xf numFmtId="0" fontId="30" fillId="0" borderId="3" xfId="4495" applyFont="1" applyBorder="1"/>
    <xf numFmtId="0" fontId="21" fillId="0" borderId="4" xfId="4495" applyFont="1" applyBorder="1"/>
    <xf numFmtId="0" fontId="118" fillId="0" borderId="12" xfId="4495" applyBorder="1" applyAlignment="1">
      <alignment vertical="top"/>
    </xf>
    <xf numFmtId="0" fontId="30" fillId="0" borderId="1" xfId="4495" applyFont="1" applyBorder="1"/>
    <xf numFmtId="0" fontId="128" fillId="0" borderId="2" xfId="4495" applyFont="1" applyBorder="1" applyAlignment="1">
      <alignment horizontal="left" wrapText="1"/>
    </xf>
    <xf numFmtId="0" fontId="128" fillId="0" borderId="2" xfId="4495" applyFont="1" applyBorder="1" applyAlignment="1">
      <alignment horizontal="left"/>
    </xf>
    <xf numFmtId="0" fontId="128" fillId="0" borderId="7" xfId="4495" applyFont="1" applyBorder="1" applyAlignment="1">
      <alignment horizontal="left" wrapText="1"/>
    </xf>
    <xf numFmtId="0" fontId="128" fillId="0" borderId="0" xfId="4495" applyFont="1" applyAlignment="1">
      <alignment horizontal="left" wrapText="1"/>
    </xf>
    <xf numFmtId="0" fontId="30" fillId="0" borderId="9" xfId="4495" applyFont="1" applyBorder="1"/>
    <xf numFmtId="0" fontId="22" fillId="0" borderId="10" xfId="4495" applyFont="1" applyBorder="1"/>
    <xf numFmtId="0" fontId="128" fillId="0" borderId="0" xfId="4495" applyFont="1" applyAlignment="1">
      <alignment wrapText="1"/>
    </xf>
    <xf numFmtId="0" fontId="30" fillId="0" borderId="9" xfId="4495" applyFont="1" applyBorder="1" applyAlignment="1">
      <alignment horizontal="center"/>
    </xf>
    <xf numFmtId="0" fontId="21" fillId="0" borderId="10" xfId="4495" applyFont="1" applyBorder="1"/>
    <xf numFmtId="0" fontId="32" fillId="0" borderId="0" xfId="4495" applyFont="1"/>
    <xf numFmtId="0" fontId="22" fillId="0" borderId="50" xfId="4495" applyFont="1" applyBorder="1"/>
    <xf numFmtId="0" fontId="22" fillId="0" borderId="51" xfId="4495" applyFont="1" applyBorder="1"/>
    <xf numFmtId="1" fontId="22" fillId="0" borderId="51" xfId="4495" quotePrefix="1" applyNumberFormat="1" applyFont="1" applyBorder="1" applyAlignment="1">
      <alignment horizontal="center" vertical="top"/>
    </xf>
    <xf numFmtId="0" fontId="21" fillId="0" borderId="51" xfId="4495" applyFont="1" applyBorder="1"/>
    <xf numFmtId="0" fontId="21" fillId="0" borderId="52" xfId="4495" applyFont="1" applyBorder="1" applyAlignment="1">
      <alignment horizontal="center"/>
    </xf>
    <xf numFmtId="0" fontId="14" fillId="0" borderId="53" xfId="4495" applyFont="1" applyBorder="1"/>
    <xf numFmtId="1" fontId="22" fillId="0" borderId="0" xfId="4495" quotePrefix="1" applyNumberFormat="1" applyFont="1" applyAlignment="1">
      <alignment horizontal="center" vertical="top"/>
    </xf>
    <xf numFmtId="0" fontId="21" fillId="0" borderId="54" xfId="4495" applyFont="1" applyBorder="1" applyAlignment="1">
      <alignment horizontal="center"/>
    </xf>
    <xf numFmtId="0" fontId="30" fillId="0" borderId="0" xfId="4495" applyFont="1" applyAlignment="1">
      <alignment vertical="top"/>
    </xf>
    <xf numFmtId="0" fontId="22" fillId="0" borderId="61" xfId="4495" applyFont="1" applyBorder="1"/>
    <xf numFmtId="0" fontId="118" fillId="0" borderId="58" xfId="4495" applyBorder="1" applyAlignment="1">
      <alignment horizontal="center"/>
    </xf>
    <xf numFmtId="1" fontId="22" fillId="0" borderId="58" xfId="4495" quotePrefix="1" applyNumberFormat="1" applyFont="1" applyBorder="1" applyAlignment="1">
      <alignment horizontal="center" vertical="top"/>
    </xf>
    <xf numFmtId="0" fontId="30" fillId="0" borderId="58" xfId="4495" applyFont="1" applyBorder="1" applyAlignment="1">
      <alignment vertical="top"/>
    </xf>
    <xf numFmtId="0" fontId="22" fillId="0" borderId="58" xfId="4495" applyFont="1" applyBorder="1" applyAlignment="1">
      <alignment vertical="top" wrapText="1"/>
    </xf>
    <xf numFmtId="0" fontId="22" fillId="0" borderId="58" xfId="4495" applyFont="1" applyBorder="1"/>
    <xf numFmtId="0" fontId="21" fillId="0" borderId="58" xfId="4495" applyFont="1" applyBorder="1" applyAlignment="1">
      <alignment horizontal="center"/>
    </xf>
    <xf numFmtId="0" fontId="118" fillId="0" borderId="61" xfId="4495" applyBorder="1"/>
    <xf numFmtId="0" fontId="118" fillId="0" borderId="0" xfId="4495" applyAlignment="1">
      <alignment horizontal="center"/>
    </xf>
    <xf numFmtId="0" fontId="14" fillId="0" borderId="53" xfId="543" applyBorder="1"/>
    <xf numFmtId="0" fontId="22" fillId="0" borderId="54" xfId="4495" applyFont="1" applyBorder="1"/>
    <xf numFmtId="0" fontId="14" fillId="0" borderId="58" xfId="543" applyBorder="1"/>
    <xf numFmtId="1" fontId="22" fillId="0" borderId="58" xfId="4495" applyNumberFormat="1" applyFont="1" applyBorder="1" applyAlignment="1">
      <alignment horizontal="center" vertical="top"/>
    </xf>
    <xf numFmtId="0" fontId="30" fillId="0" borderId="58" xfId="4495" applyFont="1" applyBorder="1" applyAlignment="1">
      <alignment vertical="center"/>
    </xf>
    <xf numFmtId="0" fontId="118" fillId="0" borderId="58" xfId="4495" applyBorder="1" applyAlignment="1">
      <alignment vertical="top" wrapText="1"/>
    </xf>
    <xf numFmtId="0" fontId="14" fillId="0" borderId="58" xfId="4495" applyFont="1" applyBorder="1"/>
    <xf numFmtId="0" fontId="30" fillId="0" borderId="0" xfId="4495" applyFont="1" applyAlignment="1">
      <alignment vertical="center"/>
    </xf>
    <xf numFmtId="0" fontId="22" fillId="0" borderId="53" xfId="4495" applyFont="1" applyBorder="1"/>
    <xf numFmtId="0" fontId="14" fillId="0" borderId="57" xfId="543" applyBorder="1"/>
    <xf numFmtId="0" fontId="22" fillId="0" borderId="58" xfId="4495" applyFont="1" applyBorder="1" applyAlignment="1">
      <alignment vertical="top"/>
    </xf>
    <xf numFmtId="0" fontId="22" fillId="0" borderId="59" xfId="4495" applyFont="1" applyBorder="1"/>
    <xf numFmtId="0" fontId="22" fillId="0" borderId="57" xfId="4495" applyFont="1" applyBorder="1"/>
    <xf numFmtId="0" fontId="14" fillId="0" borderId="51" xfId="4495" applyFont="1" applyBorder="1"/>
    <xf numFmtId="0" fontId="22" fillId="0" borderId="52" xfId="4495" applyFont="1" applyBorder="1"/>
    <xf numFmtId="0" fontId="14" fillId="0" borderId="50" xfId="543" applyBorder="1"/>
    <xf numFmtId="0" fontId="14" fillId="0" borderId="51" xfId="543" applyBorder="1"/>
    <xf numFmtId="0" fontId="14" fillId="0" borderId="52" xfId="543" applyBorder="1"/>
    <xf numFmtId="0" fontId="22" fillId="0" borderId="0" xfId="4495" applyFont="1" applyAlignment="1">
      <alignment wrapText="1"/>
    </xf>
    <xf numFmtId="0" fontId="21" fillId="0" borderId="54" xfId="4495" applyFont="1" applyBorder="1" applyAlignment="1">
      <alignment horizontal="center" vertical="top"/>
    </xf>
    <xf numFmtId="0" fontId="118" fillId="0" borderId="53" xfId="4495" applyBorder="1" applyAlignment="1">
      <alignment horizontal="center"/>
    </xf>
    <xf numFmtId="2" fontId="22" fillId="0" borderId="0" xfId="4495" applyNumberFormat="1" applyFont="1" applyAlignment="1">
      <alignment horizontal="right"/>
    </xf>
    <xf numFmtId="2" fontId="22" fillId="0" borderId="8" xfId="4495" applyNumberFormat="1" applyFont="1" applyBorder="1" applyAlignment="1">
      <alignment horizontal="left"/>
    </xf>
    <xf numFmtId="0" fontId="22" fillId="0" borderId="8" xfId="4495" applyFont="1" applyBorder="1" applyAlignment="1">
      <alignment horizontal="right"/>
    </xf>
    <xf numFmtId="0" fontId="127" fillId="0" borderId="0" xfId="4495" applyFont="1"/>
    <xf numFmtId="0" fontId="118" fillId="0" borderId="57" xfId="4495" applyBorder="1" applyAlignment="1">
      <alignment horizontal="center"/>
    </xf>
    <xf numFmtId="0" fontId="21" fillId="0" borderId="59" xfId="4495" applyFont="1" applyBorder="1" applyAlignment="1">
      <alignment horizontal="center"/>
    </xf>
    <xf numFmtId="9" fontId="22" fillId="0" borderId="0" xfId="4495" applyNumberFormat="1" applyFont="1" applyAlignment="1">
      <alignment horizontal="left"/>
    </xf>
    <xf numFmtId="0" fontId="14" fillId="0" borderId="17" xfId="543" applyBorder="1"/>
    <xf numFmtId="0" fontId="14" fillId="0" borderId="16" xfId="543" applyBorder="1"/>
    <xf numFmtId="0" fontId="14" fillId="0" borderId="51" xfId="4495" quotePrefix="1" applyFont="1" applyBorder="1" applyAlignment="1">
      <alignment horizontal="center" vertical="top"/>
    </xf>
    <xf numFmtId="0" fontId="22" fillId="0" borderId="53" xfId="4495" applyFont="1" applyBorder="1" applyAlignment="1">
      <alignment horizontal="left" vertical="top"/>
    </xf>
    <xf numFmtId="0" fontId="22" fillId="0" borderId="0" xfId="4495" applyFont="1" applyAlignment="1">
      <alignment horizontal="center" vertical="top"/>
    </xf>
    <xf numFmtId="0" fontId="22" fillId="0" borderId="57" xfId="4495" applyFont="1" applyBorder="1" applyAlignment="1">
      <alignment horizontal="left" vertical="top"/>
    </xf>
    <xf numFmtId="0" fontId="22" fillId="0" borderId="58" xfId="4495" applyFont="1" applyBorder="1" applyAlignment="1">
      <alignment horizontal="center" vertical="top"/>
    </xf>
    <xf numFmtId="0" fontId="118" fillId="0" borderId="58" xfId="4495" applyBorder="1"/>
    <xf numFmtId="0" fontId="21" fillId="0" borderId="58" xfId="4495" applyFont="1" applyBorder="1" applyAlignment="1">
      <alignment vertical="top"/>
    </xf>
    <xf numFmtId="0" fontId="21" fillId="0" borderId="58" xfId="4495" applyFont="1" applyBorder="1" applyAlignment="1">
      <alignment horizontal="left" vertical="top"/>
    </xf>
    <xf numFmtId="0" fontId="21" fillId="0" borderId="51" xfId="4495" applyFont="1" applyBorder="1" applyAlignment="1">
      <alignment horizontal="left" vertical="top"/>
    </xf>
    <xf numFmtId="0" fontId="21" fillId="0" borderId="53" xfId="4495" applyFont="1" applyBorder="1" applyAlignment="1">
      <alignment horizontal="left" vertical="top"/>
    </xf>
    <xf numFmtId="0" fontId="51" fillId="0" borderId="0" xfId="4495" applyFont="1" applyAlignment="1">
      <alignment horizontal="left" vertical="top"/>
    </xf>
    <xf numFmtId="0" fontId="22" fillId="0" borderId="0" xfId="4495" quotePrefix="1" applyFont="1" applyAlignment="1">
      <alignment horizontal="center" vertical="top"/>
    </xf>
    <xf numFmtId="0" fontId="52" fillId="0" borderId="0" xfId="4495" applyFont="1" applyAlignment="1">
      <alignment horizontal="center"/>
    </xf>
    <xf numFmtId="0" fontId="52" fillId="0" borderId="0" xfId="4495" applyFont="1" applyAlignment="1">
      <alignment vertical="top"/>
    </xf>
    <xf numFmtId="0" fontId="105" fillId="0" borderId="0" xfId="4495" applyFont="1"/>
    <xf numFmtId="0" fontId="51" fillId="0" borderId="0" xfId="4495" applyFont="1" applyAlignment="1">
      <alignment vertical="top"/>
    </xf>
    <xf numFmtId="0" fontId="30" fillId="0" borderId="53" xfId="4495" applyFont="1" applyBorder="1"/>
    <xf numFmtId="2" fontId="22" fillId="0" borderId="8" xfId="4495" applyNumberFormat="1" applyFont="1" applyBorder="1" applyAlignment="1">
      <alignment horizontal="right"/>
    </xf>
    <xf numFmtId="0" fontId="21" fillId="0" borderId="50" xfId="4495" applyFont="1" applyBorder="1" applyAlignment="1">
      <alignment horizontal="left" vertical="top"/>
    </xf>
    <xf numFmtId="0" fontId="51" fillId="0" borderId="51" xfId="4495" applyFont="1" applyBorder="1" applyAlignment="1">
      <alignment horizontal="left" vertical="top"/>
    </xf>
    <xf numFmtId="0" fontId="118" fillId="0" borderId="53" xfId="4495" applyBorder="1"/>
    <xf numFmtId="0" fontId="105" fillId="0" borderId="0" xfId="4495" applyFont="1" applyAlignment="1">
      <alignment horizontal="left" vertical="top"/>
    </xf>
    <xf numFmtId="1" fontId="21" fillId="0" borderId="58" xfId="4495" applyNumberFormat="1" applyFont="1" applyBorder="1" applyAlignment="1">
      <alignment vertical="top"/>
    </xf>
    <xf numFmtId="172" fontId="21" fillId="0" borderId="8" xfId="543" applyNumberFormat="1" applyFont="1" applyBorder="1"/>
    <xf numFmtId="172" fontId="21" fillId="0" borderId="0" xfId="543" applyNumberFormat="1" applyFont="1"/>
    <xf numFmtId="0" fontId="30" fillId="0" borderId="0" xfId="4495" applyFont="1" applyAlignment="1">
      <alignment wrapText="1"/>
    </xf>
    <xf numFmtId="0" fontId="30" fillId="0" borderId="0" xfId="4495" applyFont="1" applyAlignment="1">
      <alignment horizontal="center"/>
    </xf>
    <xf numFmtId="0" fontId="30" fillId="0" borderId="0" xfId="4495" applyFont="1" applyAlignment="1">
      <alignment vertical="center" wrapText="1"/>
    </xf>
    <xf numFmtId="180" fontId="22" fillId="0" borderId="0" xfId="4495" applyNumberFormat="1" applyFont="1" applyAlignment="1">
      <alignment horizontal="center"/>
    </xf>
    <xf numFmtId="1" fontId="22" fillId="0" borderId="0" xfId="4495" applyNumberFormat="1" applyFont="1" applyAlignment="1">
      <alignment horizontal="center"/>
    </xf>
    <xf numFmtId="0" fontId="21" fillId="0" borderId="51" xfId="4495" applyFont="1" applyBorder="1" applyAlignment="1">
      <alignment horizontal="center"/>
    </xf>
    <xf numFmtId="0" fontId="21" fillId="0" borderId="51" xfId="4495" applyFont="1" applyBorder="1" applyAlignment="1">
      <alignment vertical="top"/>
    </xf>
    <xf numFmtId="0" fontId="21" fillId="0" borderId="53" xfId="4495" applyFont="1" applyBorder="1"/>
    <xf numFmtId="0" fontId="14" fillId="0" borderId="54" xfId="543" applyBorder="1"/>
    <xf numFmtId="49" fontId="22" fillId="0" borderId="0" xfId="4495" applyNumberFormat="1" applyFont="1" applyAlignment="1">
      <alignment horizontal="left" vertical="center" wrapText="1"/>
    </xf>
    <xf numFmtId="0" fontId="14" fillId="0" borderId="57" xfId="4495" applyFont="1" applyBorder="1"/>
    <xf numFmtId="1" fontId="14" fillId="0" borderId="0" xfId="4495" applyNumberFormat="1" applyFont="1" applyAlignment="1">
      <alignment vertical="center"/>
    </xf>
    <xf numFmtId="0" fontId="32" fillId="0" borderId="50" xfId="4495" applyFont="1" applyBorder="1"/>
    <xf numFmtId="0" fontId="22" fillId="0" borderId="51" xfId="4495" applyFont="1" applyBorder="1" applyAlignment="1">
      <alignment horizontal="center" vertical="top"/>
    </xf>
    <xf numFmtId="0" fontId="22" fillId="0" borderId="51" xfId="4495" applyFont="1" applyBorder="1" applyAlignment="1">
      <alignment vertical="top" wrapText="1"/>
    </xf>
    <xf numFmtId="0" fontId="22" fillId="0" borderId="51" xfId="4495" applyFont="1" applyBorder="1" applyAlignment="1">
      <alignment horizontal="left" vertical="top" wrapText="1"/>
    </xf>
    <xf numFmtId="0" fontId="14" fillId="0" borderId="0" xfId="4495" quotePrefix="1" applyFont="1" applyAlignment="1">
      <alignment horizontal="center" vertical="top"/>
    </xf>
    <xf numFmtId="1" fontId="22" fillId="0" borderId="0" xfId="4495" quotePrefix="1" applyNumberFormat="1" applyFont="1" applyAlignment="1">
      <alignment wrapText="1"/>
    </xf>
    <xf numFmtId="0" fontId="22" fillId="0" borderId="6" xfId="4495" applyFont="1" applyBorder="1" applyAlignment="1">
      <alignment horizontal="right"/>
    </xf>
    <xf numFmtId="0" fontId="120" fillId="0" borderId="0" xfId="4496" applyFont="1" applyAlignment="1">
      <alignment wrapText="1"/>
    </xf>
    <xf numFmtId="0" fontId="14" fillId="0" borderId="0" xfId="4496" applyFont="1" applyAlignment="1">
      <alignment wrapText="1"/>
    </xf>
    <xf numFmtId="0" fontId="30" fillId="0" borderId="51" xfId="4495" applyFont="1" applyBorder="1" applyAlignment="1">
      <alignment vertical="top"/>
    </xf>
    <xf numFmtId="0" fontId="14" fillId="0" borderId="51" xfId="4496" applyFont="1" applyBorder="1" applyAlignment="1">
      <alignment wrapText="1"/>
    </xf>
    <xf numFmtId="0" fontId="21" fillId="0" borderId="51" xfId="4495" applyFont="1" applyBorder="1" applyAlignment="1">
      <alignment horizontal="right"/>
    </xf>
    <xf numFmtId="0" fontId="14" fillId="0" borderId="52" xfId="4495" applyFont="1" applyBorder="1" applyAlignment="1">
      <alignment horizontal="center"/>
    </xf>
    <xf numFmtId="0" fontId="14" fillId="0" borderId="53" xfId="4495" applyFont="1" applyBorder="1" applyAlignment="1">
      <alignment horizontal="left" vertical="top"/>
    </xf>
    <xf numFmtId="0" fontId="14" fillId="0" borderId="54" xfId="4495" applyFont="1" applyBorder="1" applyAlignment="1">
      <alignment horizontal="left" vertical="top"/>
    </xf>
    <xf numFmtId="0" fontId="14" fillId="0" borderId="54" xfId="4495" applyFont="1" applyBorder="1" applyAlignment="1">
      <alignment horizontal="center"/>
    </xf>
    <xf numFmtId="0" fontId="14" fillId="0" borderId="59" xfId="4495" applyFont="1" applyBorder="1" applyAlignment="1">
      <alignment horizontal="center"/>
    </xf>
    <xf numFmtId="9" fontId="14" fillId="0" borderId="0" xfId="4496" applyNumberFormat="1" applyFont="1" applyAlignment="1">
      <alignment horizontal="center"/>
    </xf>
    <xf numFmtId="1" fontId="14" fillId="0" borderId="0" xfId="543" applyNumberFormat="1"/>
    <xf numFmtId="0" fontId="22" fillId="0" borderId="1" xfId="4495" applyFont="1" applyBorder="1"/>
    <xf numFmtId="0" fontId="21" fillId="0" borderId="0" xfId="4495" applyFont="1" applyAlignment="1">
      <alignment horizontal="center" wrapText="1"/>
    </xf>
    <xf numFmtId="0" fontId="21" fillId="0" borderId="9" xfId="4495" applyFont="1" applyBorder="1" applyAlignment="1">
      <alignment horizontal="left"/>
    </xf>
    <xf numFmtId="0" fontId="21" fillId="0" borderId="3" xfId="4495" applyFont="1" applyBorder="1" applyAlignment="1">
      <alignment horizontal="left"/>
    </xf>
    <xf numFmtId="0" fontId="21" fillId="0" borderId="4" xfId="4495" applyFont="1" applyBorder="1" applyAlignment="1">
      <alignment horizontal="left"/>
    </xf>
    <xf numFmtId="0" fontId="14" fillId="0" borderId="2" xfId="4495" applyFont="1" applyBorder="1" applyAlignment="1">
      <alignment horizontal="left"/>
    </xf>
    <xf numFmtId="0" fontId="21" fillId="0" borderId="2" xfId="4495" applyFont="1" applyBorder="1" applyAlignment="1">
      <alignment horizontal="left"/>
    </xf>
    <xf numFmtId="0" fontId="21" fillId="0" borderId="5" xfId="4495" applyFont="1" applyBorder="1" applyAlignment="1">
      <alignment horizontal="left"/>
    </xf>
    <xf numFmtId="180" fontId="62" fillId="0" borderId="0" xfId="4495" applyNumberFormat="1" applyFont="1" applyAlignment="1">
      <alignment horizontal="center" vertical="center"/>
    </xf>
    <xf numFmtId="0" fontId="14" fillId="0" borderId="12" xfId="4495" applyFont="1" applyBorder="1" applyAlignment="1">
      <alignment vertical="top"/>
    </xf>
    <xf numFmtId="0" fontId="44" fillId="0" borderId="0" xfId="4495" applyFont="1" applyAlignment="1">
      <alignment vertical="top" wrapText="1"/>
    </xf>
    <xf numFmtId="0" fontId="14" fillId="0" borderId="51" xfId="4495" applyFont="1" applyBorder="1" applyAlignment="1">
      <alignment horizontal="left" vertical="top" wrapText="1"/>
    </xf>
    <xf numFmtId="0" fontId="14" fillId="0" borderId="51" xfId="4495" applyFont="1" applyBorder="1" applyAlignment="1">
      <alignment horizontal="right"/>
    </xf>
    <xf numFmtId="0" fontId="14" fillId="0" borderId="52" xfId="4495" applyFont="1" applyBorder="1" applyAlignment="1">
      <alignment horizontal="right"/>
    </xf>
    <xf numFmtId="0" fontId="14" fillId="0" borderId="54" xfId="4495" applyFont="1" applyBorder="1" applyAlignment="1">
      <alignment horizontal="right"/>
    </xf>
    <xf numFmtId="0" fontId="14" fillId="0" borderId="58" xfId="4495" applyFont="1" applyBorder="1" applyAlignment="1">
      <alignment horizontal="left" vertical="top" wrapText="1"/>
    </xf>
    <xf numFmtId="0" fontId="14" fillId="0" borderId="58" xfId="4495" applyFont="1" applyBorder="1" applyAlignment="1">
      <alignment horizontal="right"/>
    </xf>
    <xf numFmtId="0" fontId="14" fillId="0" borderId="59" xfId="4495" applyFont="1" applyBorder="1" applyAlignment="1">
      <alignment horizontal="right"/>
    </xf>
    <xf numFmtId="0" fontId="44" fillId="0" borderId="0" xfId="4495" applyFont="1" applyAlignment="1">
      <alignment horizontal="left" vertical="top" wrapText="1"/>
    </xf>
    <xf numFmtId="0" fontId="14" fillId="0" borderId="0" xfId="1192" applyAlignment="1">
      <alignment horizontal="left" vertical="top"/>
    </xf>
    <xf numFmtId="0" fontId="32" fillId="0" borderId="0" xfId="1192" applyFont="1" applyAlignment="1">
      <alignment horizontal="left" vertical="top"/>
    </xf>
    <xf numFmtId="0" fontId="14" fillId="0" borderId="0" xfId="1192" applyAlignment="1">
      <alignment vertical="top"/>
    </xf>
    <xf numFmtId="168" fontId="14" fillId="0" borderId="0" xfId="1192" applyNumberFormat="1"/>
    <xf numFmtId="165" fontId="14" fillId="0" borderId="0" xfId="1192" applyNumberFormat="1"/>
    <xf numFmtId="165" fontId="14" fillId="0" borderId="0" xfId="1192" applyNumberFormat="1" applyAlignment="1">
      <alignment horizontal="right"/>
    </xf>
    <xf numFmtId="2" fontId="14" fillId="0" borderId="0" xfId="1192" applyNumberFormat="1"/>
    <xf numFmtId="6" fontId="14" fillId="0" borderId="0" xfId="1192" applyNumberFormat="1"/>
    <xf numFmtId="0" fontId="21" fillId="0" borderId="0" xfId="1192" applyFont="1"/>
    <xf numFmtId="0" fontId="44" fillId="0" borderId="0" xfId="1192" applyFont="1"/>
    <xf numFmtId="168" fontId="14" fillId="0" borderId="0" xfId="4495" applyNumberFormat="1" applyFont="1"/>
    <xf numFmtId="0" fontId="21" fillId="0" borderId="0" xfId="1192" applyFont="1" applyAlignment="1">
      <alignment vertical="center"/>
    </xf>
    <xf numFmtId="0" fontId="116" fillId="0" borderId="0" xfId="1192" applyFont="1" applyAlignment="1">
      <alignment horizontal="left"/>
    </xf>
    <xf numFmtId="0" fontId="113" fillId="0" borderId="0" xfId="1192" applyFont="1" applyAlignment="1">
      <alignment horizontal="left"/>
    </xf>
    <xf numFmtId="0" fontId="113" fillId="0" borderId="0" xfId="1192" applyFont="1" applyAlignment="1">
      <alignment horizontal="center"/>
    </xf>
    <xf numFmtId="168" fontId="14" fillId="0" borderId="0" xfId="1192" applyNumberFormat="1" applyAlignment="1">
      <alignment horizontal="center"/>
    </xf>
    <xf numFmtId="9" fontId="14" fillId="0" borderId="0" xfId="1192" applyNumberFormat="1"/>
    <xf numFmtId="0" fontId="14" fillId="0" borderId="0" xfId="1192" applyAlignment="1">
      <alignment horizontal="right"/>
    </xf>
    <xf numFmtId="0" fontId="14" fillId="0" borderId="53" xfId="4495" applyFont="1" applyBorder="1" applyAlignment="1">
      <alignment horizontal="left"/>
    </xf>
    <xf numFmtId="6" fontId="21" fillId="0" borderId="0" xfId="1192" applyNumberFormat="1" applyFont="1" applyAlignment="1">
      <alignment horizontal="right"/>
    </xf>
    <xf numFmtId="165" fontId="14" fillId="0" borderId="0" xfId="4495" applyNumberFormat="1" applyFont="1"/>
    <xf numFmtId="0" fontId="52" fillId="0" borderId="4" xfId="4495" applyFont="1" applyBorder="1"/>
    <xf numFmtId="0" fontId="34" fillId="0" borderId="0" xfId="543" applyFont="1" applyAlignment="1">
      <alignment vertical="center" wrapText="1"/>
    </xf>
    <xf numFmtId="1" fontId="21" fillId="0" borderId="13" xfId="271" applyNumberFormat="1" applyFont="1" applyBorder="1"/>
    <xf numFmtId="1" fontId="23" fillId="0" borderId="13" xfId="271" applyNumberFormat="1" applyBorder="1"/>
    <xf numFmtId="0" fontId="14" fillId="0" borderId="11" xfId="0" applyFont="1" applyBorder="1"/>
    <xf numFmtId="9" fontId="14" fillId="0" borderId="0" xfId="4495" applyNumberFormat="1" applyFont="1"/>
    <xf numFmtId="165" fontId="120" fillId="0" borderId="0" xfId="4496" applyNumberFormat="1" applyFont="1" applyAlignment="1">
      <alignment horizontal="center" vertical="top" wrapText="1"/>
    </xf>
    <xf numFmtId="168" fontId="120" fillId="0" borderId="0" xfId="4496" applyNumberFormat="1" applyFont="1" applyAlignment="1">
      <alignment vertical="top" wrapText="1"/>
    </xf>
    <xf numFmtId="165" fontId="120" fillId="0" borderId="64" xfId="4496" applyNumberFormat="1" applyFont="1" applyBorder="1" applyAlignment="1">
      <alignment horizontal="center" vertical="top" wrapText="1"/>
    </xf>
    <xf numFmtId="165" fontId="120" fillId="0" borderId="53" xfId="4496" applyNumberFormat="1" applyFont="1" applyBorder="1" applyAlignment="1">
      <alignment horizontal="left" vertical="top"/>
    </xf>
    <xf numFmtId="165" fontId="120" fillId="0" borderId="53" xfId="4496" applyNumberFormat="1" applyFont="1" applyBorder="1" applyAlignment="1">
      <alignment horizontal="center" vertical="top" wrapText="1"/>
    </xf>
    <xf numFmtId="168" fontId="120" fillId="0" borderId="0" xfId="4496" applyNumberFormat="1" applyFont="1" applyAlignment="1">
      <alignment vertical="top"/>
    </xf>
    <xf numFmtId="1" fontId="120" fillId="0" borderId="0" xfId="4496" applyNumberFormat="1" applyFont="1" applyAlignment="1">
      <alignment vertical="top" wrapText="1"/>
    </xf>
    <xf numFmtId="164" fontId="22" fillId="0" borderId="0" xfId="4495" applyNumberFormat="1" applyFont="1"/>
    <xf numFmtId="0" fontId="21" fillId="0" borderId="8" xfId="0" applyFont="1" applyBorder="1" applyAlignment="1">
      <alignment horizontal="center" vertical="center" wrapText="1"/>
    </xf>
    <xf numFmtId="0" fontId="21"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9" fillId="0" borderId="50" xfId="1192" applyFont="1" applyBorder="1" applyAlignment="1">
      <alignment horizontal="left"/>
    </xf>
    <xf numFmtId="0" fontId="140" fillId="0" borderId="51" xfId="4495" applyFont="1" applyBorder="1" applyAlignment="1">
      <alignment vertical="top"/>
    </xf>
    <xf numFmtId="0" fontId="139" fillId="0" borderId="51" xfId="4495" applyFont="1" applyBorder="1" applyAlignment="1">
      <alignment vertical="top" wrapText="1"/>
    </xf>
    <xf numFmtId="0" fontId="140" fillId="0" borderId="51" xfId="4495" applyFont="1" applyBorder="1"/>
    <xf numFmtId="0" fontId="140" fillId="0" borderId="53" xfId="1192" applyFont="1" applyBorder="1" applyAlignment="1">
      <alignment horizontal="left"/>
    </xf>
    <xf numFmtId="0" fontId="140" fillId="0" borderId="0" xfId="4495" applyFont="1" applyAlignment="1">
      <alignment vertical="top"/>
    </xf>
    <xf numFmtId="0" fontId="139" fillId="0" borderId="0" xfId="4495" applyFont="1" applyAlignment="1">
      <alignment vertical="top" wrapText="1"/>
    </xf>
    <xf numFmtId="0" fontId="140" fillId="0" borderId="0" xfId="4495" applyFont="1"/>
    <xf numFmtId="0" fontId="139" fillId="0" borderId="53" xfId="1192" applyFont="1" applyBorder="1" applyAlignment="1">
      <alignment horizontal="left"/>
    </xf>
    <xf numFmtId="0" fontId="139" fillId="0" borderId="57" xfId="1192" applyFont="1" applyBorder="1" applyAlignment="1">
      <alignment horizontal="left"/>
    </xf>
    <xf numFmtId="0" fontId="140" fillId="0" borderId="58" xfId="4495" applyFont="1" applyBorder="1" applyAlignment="1">
      <alignment vertical="top"/>
    </xf>
    <xf numFmtId="0" fontId="139" fillId="0" borderId="58" xfId="4495" applyFont="1" applyBorder="1" applyAlignment="1">
      <alignment vertical="top" wrapText="1"/>
    </xf>
    <xf numFmtId="0" fontId="140" fillId="0" borderId="58" xfId="4495" applyFont="1" applyBorder="1"/>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1" fillId="0" borderId="7" xfId="0" applyFont="1" applyBorder="1" applyAlignment="1">
      <alignment horizontal="right"/>
    </xf>
    <xf numFmtId="0" fontId="0" fillId="0" borderId="0" xfId="0" applyAlignment="1" applyProtection="1">
      <alignment horizontal="left" vertical="top" wrapText="1"/>
      <protection locked="0"/>
    </xf>
    <xf numFmtId="2" fontId="14" fillId="0" borderId="0" xfId="0" applyNumberFormat="1" applyFont="1"/>
    <xf numFmtId="0" fontId="14" fillId="0" borderId="9" xfId="0" applyFont="1" applyBorder="1" applyAlignment="1">
      <alignment horizontal="left"/>
    </xf>
    <xf numFmtId="0" fontId="14" fillId="0" borderId="6" xfId="0" applyFont="1" applyBorder="1"/>
    <xf numFmtId="0" fontId="14" fillId="0" borderId="9" xfId="0" applyFont="1" applyBorder="1"/>
    <xf numFmtId="0" fontId="47" fillId="0" borderId="0" xfId="0" applyFont="1" applyAlignment="1">
      <alignment horizontal="center"/>
    </xf>
    <xf numFmtId="0" fontId="20" fillId="0" borderId="0" xfId="0" applyFont="1" applyAlignment="1">
      <alignment horizontal="center" vertical="center" wrapText="1"/>
    </xf>
    <xf numFmtId="0" fontId="29" fillId="0" borderId="0" xfId="0" applyFont="1" applyAlignment="1">
      <alignment horizontal="center"/>
    </xf>
    <xf numFmtId="0" fontId="22" fillId="0" borderId="0" xfId="0" applyFont="1" applyAlignment="1">
      <alignment horizontal="center"/>
    </xf>
    <xf numFmtId="0" fontId="21" fillId="0" borderId="3" xfId="0" applyFont="1" applyBorder="1"/>
    <xf numFmtId="0" fontId="21" fillId="0" borderId="4" xfId="271" applyFont="1" applyBorder="1"/>
    <xf numFmtId="0" fontId="21" fillId="0" borderId="3" xfId="271" applyFont="1" applyBorder="1"/>
    <xf numFmtId="0" fontId="21" fillId="0" borderId="5" xfId="271" applyFont="1" applyBorder="1"/>
    <xf numFmtId="0" fontId="14" fillId="0" borderId="58" xfId="4495" applyFont="1" applyBorder="1" applyAlignment="1">
      <alignment vertical="center" wrapText="1"/>
    </xf>
    <xf numFmtId="0" fontId="14" fillId="0" borderId="59" xfId="4495" applyFont="1" applyBorder="1" applyAlignment="1">
      <alignment vertical="center" wrapText="1"/>
    </xf>
    <xf numFmtId="0" fontId="14" fillId="0" borderId="0" xfId="4495" applyFont="1" applyAlignment="1">
      <alignment horizontal="left" vertical="center" wrapText="1"/>
    </xf>
    <xf numFmtId="0" fontId="21" fillId="0" borderId="5" xfId="0" applyFont="1" applyBorder="1"/>
    <xf numFmtId="168" fontId="19" fillId="43" borderId="0" xfId="0" applyNumberFormat="1" applyFont="1" applyFill="1"/>
    <xf numFmtId="9" fontId="22" fillId="0" borderId="0" xfId="543" applyNumberFormat="1" applyFont="1" applyAlignment="1">
      <alignment horizontal="center"/>
    </xf>
    <xf numFmtId="171" fontId="14" fillId="0" borderId="0" xfId="543" applyNumberFormat="1"/>
    <xf numFmtId="171" fontId="14" fillId="0" borderId="11" xfId="543" applyNumberFormat="1" applyBorder="1"/>
    <xf numFmtId="1" fontId="14" fillId="0" borderId="11" xfId="543" applyNumberFormat="1" applyBorder="1" applyAlignment="1">
      <alignment horizontal="center"/>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41" fillId="0" borderId="8" xfId="543" applyFont="1" applyBorder="1" applyAlignment="1">
      <alignment vertical="center" wrapText="1"/>
    </xf>
    <xf numFmtId="0" fontId="41" fillId="0" borderId="0" xfId="543" applyFont="1" applyAlignment="1">
      <alignment vertical="center" wrapText="1"/>
    </xf>
    <xf numFmtId="0" fontId="41" fillId="0" borderId="12" xfId="543" applyFont="1" applyBorder="1" applyAlignment="1">
      <alignment vertical="center" wrapText="1"/>
    </xf>
    <xf numFmtId="0" fontId="41" fillId="0" borderId="9" xfId="543" applyFont="1" applyBorder="1" applyAlignment="1">
      <alignment vertical="center" wrapText="1"/>
    </xf>
    <xf numFmtId="0" fontId="41" fillId="0" borderId="6" xfId="543" applyFont="1" applyBorder="1" applyAlignment="1">
      <alignment vertical="center" wrapText="1"/>
    </xf>
    <xf numFmtId="0" fontId="41" fillId="0" borderId="10" xfId="543" applyFont="1" applyBorder="1" applyAlignment="1">
      <alignment vertical="center" wrapText="1"/>
    </xf>
    <xf numFmtId="0" fontId="34" fillId="0" borderId="12" xfId="543" applyFont="1" applyBorder="1" applyAlignment="1">
      <alignment horizontal="center" vertical="top"/>
    </xf>
    <xf numFmtId="0" fontId="35" fillId="0" borderId="7" xfId="543" applyFont="1" applyBorder="1"/>
    <xf numFmtId="0" fontId="14" fillId="0" borderId="12" xfId="543" quotePrefix="1" applyBorder="1"/>
    <xf numFmtId="0" fontId="51" fillId="0" borderId="2" xfId="569" applyFont="1" applyBorder="1" applyAlignment="1">
      <alignment vertical="top"/>
    </xf>
    <xf numFmtId="0" fontId="24" fillId="0" borderId="0" xfId="4495" applyFont="1"/>
    <xf numFmtId="0" fontId="14" fillId="0" borderId="0" xfId="4495" applyFont="1" applyAlignment="1">
      <alignment vertical="top" wrapText="1" shrinkToFit="1"/>
    </xf>
    <xf numFmtId="0" fontId="154" fillId="0" borderId="0" xfId="4495" applyFont="1"/>
    <xf numFmtId="164" fontId="14" fillId="0" borderId="0" xfId="1192" applyNumberFormat="1" applyAlignment="1">
      <alignment horizontal="right"/>
    </xf>
    <xf numFmtId="164" fontId="14" fillId="0" borderId="0" xfId="4495" applyNumberFormat="1" applyFont="1" applyAlignment="1">
      <alignment horizontal="right"/>
    </xf>
    <xf numFmtId="0" fontId="14" fillId="0" borderId="0" xfId="4495" applyFont="1" applyAlignment="1">
      <alignment horizontal="left" vertical="top" wrapText="1" shrinkToFit="1"/>
    </xf>
    <xf numFmtId="0" fontId="14" fillId="0" borderId="6" xfId="4495" applyFont="1" applyBorder="1" applyAlignment="1">
      <alignment vertical="top" wrapText="1"/>
    </xf>
    <xf numFmtId="0" fontId="154" fillId="0" borderId="4" xfId="4495" applyFont="1" applyBorder="1"/>
    <xf numFmtId="0" fontId="14" fillId="0" borderId="4" xfId="4495" applyFont="1" applyBorder="1" applyAlignment="1">
      <alignment horizontal="left" vertical="top" wrapText="1" shrinkToFit="1"/>
    </xf>
    <xf numFmtId="0" fontId="24" fillId="0" borderId="0" xfId="4495" applyFont="1" applyAlignment="1">
      <alignment horizontal="left" vertical="top"/>
    </xf>
    <xf numFmtId="0" fontId="14" fillId="0" borderId="0" xfId="4495" applyFont="1" applyAlignment="1">
      <alignment vertical="center" wrapText="1" shrinkToFit="1"/>
    </xf>
    <xf numFmtId="0" fontId="14" fillId="0" borderId="0" xfId="4495" applyFont="1" applyAlignment="1">
      <alignment horizontal="left" vertical="top" shrinkToFit="1"/>
    </xf>
    <xf numFmtId="0" fontId="14" fillId="0" borderId="0" xfId="4495" applyFont="1" applyAlignment="1">
      <alignment horizontal="left" vertical="center" shrinkToFit="1"/>
    </xf>
    <xf numFmtId="0" fontId="24" fillId="0" borderId="4" xfId="4495" applyFont="1" applyBorder="1"/>
    <xf numFmtId="0" fontId="14" fillId="0" borderId="4" xfId="4495" applyFont="1" applyBorder="1" applyAlignment="1">
      <alignment horizontal="left" vertical="top" shrinkToFit="1"/>
    </xf>
    <xf numFmtId="0" fontId="14" fillId="0" borderId="0" xfId="4495" applyFont="1" applyAlignment="1">
      <alignment vertical="center"/>
    </xf>
    <xf numFmtId="0" fontId="20" fillId="0" borderId="0" xfId="4495" applyFont="1"/>
    <xf numFmtId="0" fontId="24" fillId="0" borderId="0" xfId="4495" applyFont="1" applyAlignment="1">
      <alignment horizontal="center"/>
    </xf>
    <xf numFmtId="0" fontId="14" fillId="0" borderId="4" xfId="4495" applyFont="1" applyBorder="1" applyAlignment="1">
      <alignment horizontal="left" vertical="top" wrapText="1"/>
    </xf>
    <xf numFmtId="44" fontId="14" fillId="0" borderId="0" xfId="707" applyFont="1" applyFill="1" applyBorder="1" applyAlignment="1" applyProtection="1">
      <alignment horizontal="left" vertical="top" wrapText="1"/>
    </xf>
    <xf numFmtId="44" fontId="14" fillId="0" borderId="4" xfId="707" applyFont="1" applyFill="1" applyBorder="1" applyAlignment="1" applyProtection="1">
      <alignment horizontal="left" vertical="top" wrapText="1"/>
    </xf>
    <xf numFmtId="164" fontId="32" fillId="0" borderId="0" xfId="4495" applyNumberFormat="1" applyFont="1" applyAlignment="1">
      <alignment horizontal="left"/>
    </xf>
    <xf numFmtId="0" fontId="24" fillId="0" borderId="0" xfId="4495" applyFont="1" applyAlignment="1">
      <alignment horizontal="left"/>
    </xf>
    <xf numFmtId="0" fontId="14" fillId="0" borderId="4" xfId="4495" applyFont="1" applyBorder="1" applyAlignment="1">
      <alignment vertical="top" wrapText="1"/>
    </xf>
    <xf numFmtId="0" fontId="24" fillId="0" borderId="4" xfId="4495" applyFont="1" applyBorder="1" applyAlignment="1">
      <alignment horizontal="left" vertical="top"/>
    </xf>
    <xf numFmtId="0" fontId="14" fillId="0" borderId="0" xfId="4495" applyFont="1" applyAlignment="1">
      <alignment horizontal="left" vertical="center" wrapText="1" shrinkToFit="1"/>
    </xf>
    <xf numFmtId="0" fontId="14" fillId="0" borderId="6" xfId="4495" applyFont="1" applyBorder="1" applyAlignment="1">
      <alignment horizontal="left" vertical="top" wrapText="1"/>
    </xf>
    <xf numFmtId="2" fontId="116" fillId="0" borderId="0" xfId="0" applyNumberFormat="1" applyFont="1" applyAlignment="1">
      <alignment horizontal="center"/>
    </xf>
    <xf numFmtId="9" fontId="14" fillId="0" borderId="0" xfId="4494" applyFont="1" applyAlignment="1">
      <alignment horizontal="center"/>
    </xf>
    <xf numFmtId="3" fontId="14" fillId="0" borderId="0" xfId="0" applyNumberFormat="1" applyFont="1"/>
    <xf numFmtId="10" fontId="14" fillId="0" borderId="0" xfId="0" applyNumberFormat="1" applyFont="1" applyAlignment="1">
      <alignment horizontal="center"/>
    </xf>
    <xf numFmtId="168" fontId="14" fillId="0" borderId="0" xfId="0" applyNumberFormat="1" applyFont="1"/>
    <xf numFmtId="172" fontId="14" fillId="0" borderId="11" xfId="0" applyNumberFormat="1" applyFont="1" applyBorder="1" applyAlignment="1">
      <alignment horizontal="center"/>
    </xf>
    <xf numFmtId="168" fontId="14" fillId="5" borderId="0" xfId="0" applyNumberFormat="1" applyFont="1" applyFill="1"/>
    <xf numFmtId="3" fontId="14" fillId="5" borderId="0" xfId="0" applyNumberFormat="1" applyFont="1" applyFill="1"/>
    <xf numFmtId="0" fontId="14" fillId="5" borderId="0" xfId="0" applyFont="1" applyFill="1"/>
    <xf numFmtId="3" fontId="14" fillId="5" borderId="6" xfId="0" applyNumberFormat="1" applyFont="1" applyFill="1" applyBorder="1"/>
    <xf numFmtId="3" fontId="14" fillId="0" borderId="6" xfId="0" applyNumberFormat="1" applyFont="1" applyBorder="1"/>
    <xf numFmtId="168" fontId="14" fillId="0" borderId="0" xfId="0" applyNumberFormat="1" applyFont="1" applyAlignment="1">
      <alignment horizontal="center"/>
    </xf>
    <xf numFmtId="3" fontId="14" fillId="0" borderId="0" xfId="0" applyNumberFormat="1" applyFont="1" applyAlignment="1">
      <alignment horizontal="center"/>
    </xf>
    <xf numFmtId="0" fontId="14" fillId="0" borderId="50" xfId="4495" applyFont="1" applyBorder="1" applyAlignment="1">
      <alignment vertical="center"/>
    </xf>
    <xf numFmtId="0" fontId="14" fillId="0" borderId="51" xfId="4495" applyFont="1" applyBorder="1" applyAlignment="1">
      <alignment vertical="center"/>
    </xf>
    <xf numFmtId="0" fontId="14" fillId="0" borderId="52" xfId="4495" applyFont="1" applyBorder="1" applyAlignment="1">
      <alignment vertical="center"/>
    </xf>
    <xf numFmtId="0" fontId="14" fillId="0" borderId="54" xfId="4495" applyFont="1" applyBorder="1" applyAlignment="1">
      <alignment vertical="center" wrapText="1"/>
    </xf>
    <xf numFmtId="0" fontId="14" fillId="0" borderId="53" xfId="4495" applyFont="1" applyBorder="1" applyAlignment="1">
      <alignment vertical="top" wrapText="1"/>
    </xf>
    <xf numFmtId="0" fontId="14" fillId="0" borderId="58" xfId="0" applyFont="1" applyBorder="1" applyAlignment="1">
      <alignment horizontal="left"/>
    </xf>
    <xf numFmtId="9" fontId="14" fillId="0" borderId="0" xfId="543" applyNumberFormat="1" applyAlignment="1">
      <alignment horizontal="center"/>
    </xf>
    <xf numFmtId="0" fontId="46" fillId="0" borderId="0" xfId="4496" applyFont="1"/>
    <xf numFmtId="168" fontId="51" fillId="5" borderId="11" xfId="0" applyNumberFormat="1" applyFont="1" applyFill="1" applyBorder="1" applyAlignment="1" applyProtection="1">
      <alignment vertical="top" wrapText="1"/>
      <protection locked="0"/>
    </xf>
    <xf numFmtId="0" fontId="14" fillId="0" borderId="0" xfId="0" applyFont="1" applyAlignment="1">
      <alignment horizontal="left" wrapText="1"/>
    </xf>
    <xf numFmtId="4" fontId="32" fillId="0" borderId="0" xfId="0" applyNumberFormat="1" applyFont="1" applyAlignment="1">
      <alignment horizontal="left"/>
    </xf>
    <xf numFmtId="4" fontId="14" fillId="0" borderId="0" xfId="0" applyNumberFormat="1" applyFont="1" applyAlignment="1">
      <alignment horizontal="left" vertical="top" wrapText="1"/>
    </xf>
    <xf numFmtId="0" fontId="21" fillId="0" borderId="4" xfId="0" applyFont="1" applyBorder="1" applyAlignment="1">
      <alignment horizontal="left"/>
    </xf>
    <xf numFmtId="4" fontId="14" fillId="0" borderId="0" xfId="0" applyNumberFormat="1" applyFont="1" applyAlignment="1">
      <alignment horizontal="left"/>
    </xf>
    <xf numFmtId="43" fontId="49" fillId="0" borderId="0" xfId="4504" applyFont="1" applyAlignment="1" applyProtection="1">
      <alignment horizontal="center"/>
    </xf>
    <xf numFmtId="43" fontId="14" fillId="0" borderId="0" xfId="4504" applyFont="1" applyAlignment="1" applyProtection="1">
      <alignment horizontal="center"/>
    </xf>
    <xf numFmtId="43" fontId="14" fillId="0" borderId="0" xfId="4504" applyFont="1" applyProtection="1"/>
    <xf numFmtId="49" fontId="14" fillId="0" borderId="0" xfId="0" applyNumberFormat="1" applyFont="1"/>
    <xf numFmtId="49" fontId="14" fillId="0" borderId="0" xfId="0" applyNumberFormat="1" applyFont="1" applyAlignment="1">
      <alignment horizontal="center"/>
    </xf>
    <xf numFmtId="4" fontId="14" fillId="0" borderId="0" xfId="0" applyNumberFormat="1" applyFont="1" applyAlignment="1">
      <alignment vertical="top" wrapText="1"/>
    </xf>
    <xf numFmtId="0" fontId="14" fillId="0" borderId="0" xfId="0" quotePrefix="1" applyFont="1"/>
    <xf numFmtId="0" fontId="44" fillId="0" borderId="0" xfId="0" applyFont="1" applyAlignment="1">
      <alignment horizontal="left"/>
    </xf>
    <xf numFmtId="0" fontId="14" fillId="0" borderId="4" xfId="0" applyFont="1" applyBorder="1" applyAlignment="1">
      <alignment horizontal="left"/>
    </xf>
    <xf numFmtId="0" fontId="14" fillId="0" borderId="0" xfId="0" quotePrefix="1" applyFont="1" applyAlignment="1">
      <alignment horizontal="left"/>
    </xf>
    <xf numFmtId="0" fontId="14" fillId="0" borderId="0" xfId="0" quotePrefix="1" applyFont="1" applyAlignment="1">
      <alignment horizontal="left" vertical="top"/>
    </xf>
    <xf numFmtId="0" fontId="44" fillId="0" borderId="0" xfId="1192" applyFont="1" applyAlignment="1">
      <alignment horizontal="left"/>
    </xf>
    <xf numFmtId="0" fontId="49" fillId="0" borderId="0" xfId="0" applyFont="1" applyAlignment="1">
      <alignment horizontal="center" vertical="center"/>
    </xf>
    <xf numFmtId="49" fontId="21" fillId="0" borderId="0" xfId="0" applyNumberFormat="1" applyFont="1" applyAlignment="1">
      <alignment horizontal="center" vertical="center"/>
    </xf>
    <xf numFmtId="49" fontId="14" fillId="0" borderId="0" xfId="0" applyNumberFormat="1" applyFont="1" applyAlignment="1">
      <alignment vertical="center"/>
    </xf>
    <xf numFmtId="4" fontId="14" fillId="0" borderId="0" xfId="0" applyNumberFormat="1" applyFont="1" applyAlignment="1">
      <alignment horizontal="center"/>
    </xf>
    <xf numFmtId="4" fontId="14" fillId="0" borderId="0" xfId="0" applyNumberFormat="1" applyFont="1"/>
    <xf numFmtId="10" fontId="14" fillId="0" borderId="0" xfId="4495" applyNumberFormat="1" applyFont="1"/>
    <xf numFmtId="10" fontId="120" fillId="0" borderId="0" xfId="4496" applyNumberFormat="1" applyFont="1" applyAlignment="1">
      <alignment horizontal="center" vertical="top" wrapText="1"/>
    </xf>
    <xf numFmtId="10" fontId="120" fillId="0" borderId="64" xfId="4496" applyNumberFormat="1" applyFont="1" applyBorder="1" applyAlignment="1">
      <alignment horizontal="center" vertical="top" wrapText="1"/>
    </xf>
    <xf numFmtId="10" fontId="120"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4" fillId="0" borderId="0" xfId="1192" quotePrefix="1" applyNumberFormat="1" applyAlignment="1">
      <alignment horizontal="center"/>
    </xf>
    <xf numFmtId="0" fontId="120" fillId="0" borderId="0" xfId="4495" applyFont="1"/>
    <xf numFmtId="10" fontId="120" fillId="0" borderId="0" xfId="4495" applyNumberFormat="1" applyFont="1"/>
    <xf numFmtId="172" fontId="14" fillId="0" borderId="0" xfId="4495" applyNumberFormat="1" applyFont="1"/>
    <xf numFmtId="0" fontId="37" fillId="0" borderId="0" xfId="0" applyFont="1" applyAlignment="1">
      <alignment horizontal="center"/>
    </xf>
    <xf numFmtId="0" fontId="33" fillId="0" borderId="0" xfId="0" applyFont="1" applyAlignment="1">
      <alignment horizontal="left"/>
    </xf>
    <xf numFmtId="0" fontId="0" fillId="0" borderId="10" xfId="0" applyBorder="1" applyAlignment="1">
      <alignment horizontal="left"/>
    </xf>
    <xf numFmtId="1" fontId="14" fillId="0" borderId="0" xfId="1192" applyNumberFormat="1" applyAlignment="1">
      <alignment horizontal="center"/>
    </xf>
    <xf numFmtId="0" fontId="118" fillId="0" borderId="63" xfId="4495" applyBorder="1"/>
    <xf numFmtId="0" fontId="51" fillId="0" borderId="0" xfId="271" applyFont="1" applyAlignment="1">
      <alignment vertical="top"/>
    </xf>
    <xf numFmtId="0" fontId="21" fillId="0" borderId="11" xfId="0" applyFont="1" applyBorder="1" applyAlignment="1">
      <alignment horizontal="right" vertical="top" wrapText="1"/>
    </xf>
    <xf numFmtId="0" fontId="23" fillId="0" borderId="11" xfId="271" applyBorder="1" applyAlignment="1" applyProtection="1">
      <alignment horizontal="right" vertical="top" wrapText="1"/>
      <protection locked="0"/>
    </xf>
    <xf numFmtId="0" fontId="14" fillId="0" borderId="54" xfId="4495" applyFont="1" applyBorder="1" applyAlignment="1">
      <alignment vertical="top"/>
    </xf>
    <xf numFmtId="9" fontId="23" fillId="0" borderId="0" xfId="0" applyNumberFormat="1" applyFont="1"/>
    <xf numFmtId="0" fontId="14" fillId="0" borderId="16" xfId="569" applyBorder="1" applyAlignment="1">
      <alignment horizontal="center"/>
    </xf>
    <xf numFmtId="164" fontId="14" fillId="0" borderId="57" xfId="4495" applyNumberFormat="1" applyFont="1" applyBorder="1" applyAlignment="1">
      <alignment vertical="top" wrapText="1"/>
    </xf>
    <xf numFmtId="164" fontId="14" fillId="0" borderId="58" xfId="4495" applyNumberFormat="1" applyFont="1" applyBorder="1" applyAlignment="1">
      <alignment vertical="top" wrapText="1"/>
    </xf>
    <xf numFmtId="164" fontId="14" fillId="0" borderId="59" xfId="4495" applyNumberFormat="1" applyFont="1" applyBorder="1" applyAlignment="1">
      <alignment vertical="top" wrapText="1"/>
    </xf>
    <xf numFmtId="0" fontId="21" fillId="0" borderId="0" xfId="1192" applyFont="1" applyAlignment="1">
      <alignment horizontal="left" vertical="top" wrapText="1"/>
    </xf>
    <xf numFmtId="0" fontId="14" fillId="0" borderId="16" xfId="569" applyBorder="1"/>
    <xf numFmtId="0" fontId="14" fillId="0" borderId="4" xfId="569" applyBorder="1"/>
    <xf numFmtId="0" fontId="21" fillId="0" borderId="4" xfId="569" applyFont="1" applyBorder="1"/>
    <xf numFmtId="49" fontId="14" fillId="0" borderId="4" xfId="569" applyNumberFormat="1" applyBorder="1"/>
    <xf numFmtId="0" fontId="160" fillId="0" borderId="0" xfId="0" applyFont="1"/>
    <xf numFmtId="0" fontId="14" fillId="0" borderId="0" xfId="0" applyFont="1" applyAlignment="1">
      <alignment horizontal="right"/>
    </xf>
    <xf numFmtId="1" fontId="14" fillId="0" borderId="0" xfId="0" applyNumberFormat="1" applyFont="1" applyAlignment="1">
      <alignment horizontal="center"/>
    </xf>
    <xf numFmtId="0" fontId="21" fillId="0" borderId="0" xfId="0" applyFont="1" applyAlignment="1">
      <alignment horizontal="left" vertical="center"/>
    </xf>
    <xf numFmtId="0" fontId="14" fillId="0" borderId="0" xfId="0" applyFont="1" applyAlignment="1">
      <alignment horizontal="left" vertical="center"/>
    </xf>
    <xf numFmtId="0" fontId="21" fillId="0" borderId="0" xfId="569" applyFont="1" applyAlignment="1">
      <alignment vertical="top"/>
    </xf>
    <xf numFmtId="0" fontId="15" fillId="0" borderId="0" xfId="244" applyAlignment="1"/>
    <xf numFmtId="0" fontId="21" fillId="0" borderId="0" xfId="0" applyFont="1" applyAlignment="1">
      <alignment vertical="top" wrapText="1"/>
    </xf>
    <xf numFmtId="49" fontId="21" fillId="0" borderId="0" xfId="0" applyNumberFormat="1" applyFont="1"/>
    <xf numFmtId="49" fontId="21" fillId="0" borderId="0" xfId="0" applyNumberFormat="1" applyFont="1" applyAlignment="1">
      <alignment vertical="top"/>
    </xf>
    <xf numFmtId="0" fontId="37" fillId="0" borderId="11" xfId="0" applyFont="1" applyBorder="1"/>
    <xf numFmtId="175" fontId="14" fillId="0" borderId="0" xfId="543" applyNumberFormat="1" applyAlignment="1">
      <alignment vertical="center"/>
    </xf>
    <xf numFmtId="0" fontId="96" fillId="43" borderId="6" xfId="4496" applyFont="1" applyFill="1" applyBorder="1" applyAlignment="1" applyProtection="1">
      <alignment horizontal="center"/>
      <protection locked="0"/>
    </xf>
    <xf numFmtId="0" fontId="96" fillId="0" borderId="0" xfId="4496" applyFont="1"/>
    <xf numFmtId="0" fontId="96" fillId="0" borderId="0" xfId="4496" applyFont="1" applyAlignment="1">
      <alignment wrapText="1"/>
    </xf>
    <xf numFmtId="0" fontId="135" fillId="0" borderId="0" xfId="4496" applyFont="1"/>
    <xf numFmtId="181" fontId="136" fillId="0" borderId="0" xfId="4498" applyNumberFormat="1" applyFont="1" applyBorder="1" applyProtection="1"/>
    <xf numFmtId="0" fontId="137" fillId="0" borderId="0" xfId="4496" applyFont="1" applyAlignment="1">
      <alignment vertical="center" wrapText="1"/>
    </xf>
    <xf numFmtId="49" fontId="96" fillId="0" borderId="0" xfId="4496" applyNumberFormat="1" applyFont="1" applyAlignment="1">
      <alignment horizontal="center"/>
    </xf>
    <xf numFmtId="182" fontId="96" fillId="0" borderId="6" xfId="4496" applyNumberFormat="1" applyFont="1" applyBorder="1"/>
    <xf numFmtId="0" fontId="96" fillId="0" borderId="0" xfId="4496" applyFont="1" applyAlignment="1">
      <alignment vertical="center"/>
    </xf>
    <xf numFmtId="182" fontId="96" fillId="0" borderId="0" xfId="4496" applyNumberFormat="1" applyFont="1" applyAlignment="1">
      <alignment vertical="center"/>
    </xf>
    <xf numFmtId="175" fontId="96" fillId="0" borderId="0" xfId="4499" applyNumberFormat="1" applyFont="1" applyFill="1" applyBorder="1" applyAlignment="1" applyProtection="1">
      <alignment horizontal="left" vertical="center"/>
    </xf>
    <xf numFmtId="9" fontId="96" fillId="0" borderId="0" xfId="4499" applyFont="1" applyFill="1" applyBorder="1" applyAlignment="1" applyProtection="1">
      <alignment vertical="center"/>
    </xf>
    <xf numFmtId="183" fontId="96" fillId="0" borderId="0" xfId="4496" applyNumberFormat="1" applyFont="1" applyAlignment="1">
      <alignment vertical="center" wrapText="1"/>
    </xf>
    <xf numFmtId="9" fontId="96" fillId="0" borderId="0" xfId="4499" applyFont="1" applyBorder="1" applyAlignment="1" applyProtection="1">
      <alignment vertical="center"/>
    </xf>
    <xf numFmtId="164" fontId="96" fillId="0" borderId="0" xfId="4496" applyNumberFormat="1" applyFont="1" applyAlignment="1">
      <alignment vertical="center" wrapText="1"/>
    </xf>
    <xf numFmtId="0" fontId="96" fillId="0" borderId="0" xfId="4496" applyFont="1" applyAlignment="1">
      <alignment horizontal="center" vertical="center"/>
    </xf>
    <xf numFmtId="182" fontId="96" fillId="0" borderId="11" xfId="8722" applyNumberFormat="1" applyFont="1" applyBorder="1" applyProtection="1"/>
    <xf numFmtId="182" fontId="96" fillId="0" borderId="11" xfId="4496" applyNumberFormat="1" applyFont="1" applyBorder="1"/>
    <xf numFmtId="164" fontId="96" fillId="0" borderId="0" xfId="4496" applyNumberFormat="1" applyFont="1" applyAlignment="1">
      <alignment wrapText="1"/>
    </xf>
    <xf numFmtId="49" fontId="96" fillId="0" borderId="0" xfId="4496" applyNumberFormat="1" applyFont="1" applyAlignment="1">
      <alignment horizontal="left"/>
    </xf>
    <xf numFmtId="0" fontId="138" fillId="0" borderId="0" xfId="4496" applyFont="1"/>
    <xf numFmtId="9" fontId="96" fillId="0" borderId="11" xfId="4494" applyFont="1" applyFill="1" applyBorder="1" applyAlignment="1" applyProtection="1">
      <alignment horizontal="right"/>
    </xf>
    <xf numFmtId="182" fontId="96" fillId="0" borderId="11" xfId="4496" applyNumberFormat="1" applyFont="1" applyBorder="1" applyAlignment="1">
      <alignment horizontal="left"/>
    </xf>
    <xf numFmtId="1" fontId="96" fillId="0" borderId="0" xfId="4496" applyNumberFormat="1" applyFont="1"/>
    <xf numFmtId="2" fontId="96" fillId="0" borderId="0" xfId="4496" applyNumberFormat="1" applyFont="1" applyAlignment="1">
      <alignment horizontal="center"/>
    </xf>
    <xf numFmtId="2" fontId="96" fillId="0" borderId="0" xfId="4496" applyNumberFormat="1" applyFont="1"/>
    <xf numFmtId="0" fontId="135" fillId="45" borderId="3" xfId="4496" applyFont="1" applyFill="1" applyBorder="1" applyAlignment="1">
      <alignment horizontal="left" indent="1"/>
    </xf>
    <xf numFmtId="0" fontId="96" fillId="45" borderId="4" xfId="4496" applyFont="1" applyFill="1" applyBorder="1"/>
    <xf numFmtId="2" fontId="96" fillId="45" borderId="5" xfId="4496" applyNumberFormat="1" applyFont="1" applyFill="1" applyBorder="1"/>
    <xf numFmtId="181" fontId="96" fillId="0" borderId="0" xfId="4496" applyNumberFormat="1" applyFont="1"/>
    <xf numFmtId="165" fontId="136" fillId="0" borderId="0" xfId="4499" applyNumberFormat="1" applyFont="1" applyFill="1" applyBorder="1" applyProtection="1"/>
    <xf numFmtId="9" fontId="96" fillId="0" borderId="0" xfId="4494" applyFont="1" applyFill="1" applyProtection="1"/>
    <xf numFmtId="0" fontId="96" fillId="0" borderId="11" xfId="4496" applyFont="1" applyBorder="1" applyAlignment="1">
      <alignment horizontal="center"/>
    </xf>
    <xf numFmtId="2" fontId="96" fillId="0" borderId="11" xfId="4496" applyNumberFormat="1" applyFont="1" applyBorder="1" applyAlignment="1">
      <alignment horizontal="center"/>
    </xf>
    <xf numFmtId="0" fontId="96" fillId="0" borderId="0" xfId="4496" applyFont="1" applyAlignment="1">
      <alignment vertical="top" wrapText="1"/>
    </xf>
    <xf numFmtId="0" fontId="96" fillId="0" borderId="11" xfId="4496" applyFont="1" applyBorder="1" applyAlignment="1">
      <alignment horizontal="center" vertical="top" wrapText="1"/>
    </xf>
    <xf numFmtId="182" fontId="96" fillId="0" borderId="0" xfId="8722" applyNumberFormat="1" applyFont="1" applyBorder="1" applyProtection="1"/>
    <xf numFmtId="0" fontId="96" fillId="0" borderId="0" xfId="4496" applyFont="1" applyAlignment="1">
      <alignment horizontal="left" indent="1"/>
    </xf>
    <xf numFmtId="182" fontId="96" fillId="0" borderId="0" xfId="4496" applyNumberFormat="1" applyFont="1"/>
    <xf numFmtId="184" fontId="96" fillId="0" borderId="0" xfId="4496" applyNumberFormat="1" applyFont="1"/>
    <xf numFmtId="0" fontId="96" fillId="0" borderId="0" xfId="4496" applyFont="1" applyAlignment="1">
      <alignment horizontal="left"/>
    </xf>
    <xf numFmtId="0" fontId="96" fillId="0" borderId="0" xfId="4496" applyFont="1" applyAlignment="1">
      <alignment horizontal="center"/>
    </xf>
    <xf numFmtId="9" fontId="96" fillId="0" borderId="0" xfId="4494" applyFont="1" applyFill="1" applyBorder="1" applyProtection="1"/>
    <xf numFmtId="3" fontId="19" fillId="0" borderId="11" xfId="271" applyNumberFormat="1" applyFont="1" applyBorder="1" applyAlignment="1">
      <alignment horizontal="center"/>
    </xf>
    <xf numFmtId="3" fontId="19" fillId="43" borderId="11" xfId="271" applyNumberFormat="1" applyFont="1" applyFill="1" applyBorder="1" applyAlignment="1" applyProtection="1">
      <alignment horizontal="center"/>
      <protection locked="0"/>
    </xf>
    <xf numFmtId="3" fontId="19" fillId="43" borderId="11" xfId="271" applyNumberFormat="1" applyFont="1" applyFill="1" applyBorder="1" applyProtection="1">
      <protection locked="0"/>
    </xf>
    <xf numFmtId="0" fontId="96" fillId="0" borderId="0" xfId="4496" applyFont="1" applyAlignment="1">
      <alignment horizontal="right"/>
    </xf>
    <xf numFmtId="168" fontId="23" fillId="0" borderId="0" xfId="0" applyNumberFormat="1" applyFont="1"/>
    <xf numFmtId="0" fontId="96" fillId="0" borderId="15" xfId="4496" applyFont="1" applyBorder="1" applyAlignment="1">
      <alignment horizontal="center" vertical="top" wrapText="1"/>
    </xf>
    <xf numFmtId="2" fontId="96" fillId="0" borderId="15" xfId="4496" applyNumberFormat="1" applyFont="1" applyBorder="1" applyAlignment="1">
      <alignment horizontal="center"/>
    </xf>
    <xf numFmtId="0" fontId="96" fillId="0" borderId="15" xfId="4496" applyFont="1" applyBorder="1" applyAlignment="1">
      <alignment horizontal="center"/>
    </xf>
    <xf numFmtId="0" fontId="135" fillId="0" borderId="71" xfId="4496" applyFont="1" applyBorder="1" applyAlignment="1">
      <alignment horizontal="center" vertical="top" wrapText="1"/>
    </xf>
    <xf numFmtId="0" fontId="135" fillId="0" borderId="71" xfId="4496" applyFont="1" applyBorder="1" applyAlignment="1">
      <alignment horizontal="center"/>
    </xf>
    <xf numFmtId="0" fontId="165" fillId="0" borderId="0" xfId="4496" applyFont="1" applyAlignment="1">
      <alignment horizontal="right" vertical="center"/>
    </xf>
    <xf numFmtId="175" fontId="96" fillId="0" borderId="0" xfId="4499" applyNumberFormat="1" applyFont="1" applyFill="1" applyBorder="1" applyAlignment="1" applyProtection="1">
      <alignment horizontal="right" vertical="center"/>
    </xf>
    <xf numFmtId="5" fontId="96" fillId="0" borderId="6" xfId="4496" applyNumberFormat="1" applyFont="1" applyBorder="1" applyAlignment="1">
      <alignment vertical="center"/>
    </xf>
    <xf numFmtId="0" fontId="96" fillId="0" borderId="66" xfId="4496" applyFont="1" applyBorder="1" applyAlignment="1">
      <alignment vertical="center"/>
    </xf>
    <xf numFmtId="0" fontId="96" fillId="0" borderId="41" xfId="4496" applyFont="1" applyBorder="1" applyAlignment="1">
      <alignment vertical="center"/>
    </xf>
    <xf numFmtId="182" fontId="96" fillId="0" borderId="86" xfId="4496" applyNumberFormat="1" applyFont="1" applyBorder="1" applyAlignment="1">
      <alignment vertical="center"/>
    </xf>
    <xf numFmtId="175" fontId="96" fillId="0" borderId="42" xfId="4499" applyNumberFormat="1" applyFont="1" applyFill="1" applyBorder="1" applyAlignment="1" applyProtection="1">
      <alignment horizontal="left" vertical="center"/>
    </xf>
    <xf numFmtId="0" fontId="96" fillId="0" borderId="42" xfId="4496" applyFont="1" applyBorder="1" applyAlignment="1">
      <alignment vertical="center"/>
    </xf>
    <xf numFmtId="0" fontId="96" fillId="0" borderId="44" xfId="4496" applyFont="1" applyBorder="1" applyAlignment="1">
      <alignment vertical="center"/>
    </xf>
    <xf numFmtId="49" fontId="96" fillId="0" borderId="0" xfId="4496" applyNumberFormat="1" applyFont="1" applyAlignment="1">
      <alignment horizontal="center" vertical="center"/>
    </xf>
    <xf numFmtId="0" fontId="96" fillId="0" borderId="65" xfId="4496" applyFont="1" applyBorder="1" applyAlignment="1">
      <alignment vertical="center"/>
    </xf>
    <xf numFmtId="0" fontId="96" fillId="0" borderId="29" xfId="4496" applyFont="1" applyBorder="1" applyAlignment="1">
      <alignment vertical="center"/>
    </xf>
    <xf numFmtId="0" fontId="96" fillId="0" borderId="29" xfId="4496" applyFont="1" applyBorder="1" applyAlignment="1">
      <alignment horizontal="right" vertical="center"/>
    </xf>
    <xf numFmtId="5" fontId="96" fillId="0" borderId="29" xfId="4496" applyNumberFormat="1" applyFont="1" applyBorder="1" applyAlignment="1">
      <alignment vertical="center"/>
    </xf>
    <xf numFmtId="0" fontId="96" fillId="0" borderId="31" xfId="4496" applyFont="1" applyBorder="1" applyAlignment="1">
      <alignment vertical="center"/>
    </xf>
    <xf numFmtId="175" fontId="135" fillId="0" borderId="42" xfId="4494" applyNumberFormat="1" applyFont="1" applyFill="1" applyBorder="1" applyAlignment="1" applyProtection="1">
      <alignment horizontal="center" vertical="center"/>
    </xf>
    <xf numFmtId="0" fontId="135" fillId="0" borderId="29" xfId="4496" applyFont="1" applyBorder="1" applyAlignment="1">
      <alignment vertical="center"/>
    </xf>
    <xf numFmtId="0" fontId="135" fillId="0" borderId="0" xfId="4496" applyFont="1" applyAlignment="1">
      <alignment vertical="center"/>
    </xf>
    <xf numFmtId="0" fontId="135" fillId="0" borderId="42" xfId="4496" applyFont="1" applyBorder="1" applyAlignment="1">
      <alignment vertical="center"/>
    </xf>
    <xf numFmtId="9" fontId="135" fillId="0" borderId="42" xfId="4499" applyFont="1" applyFill="1" applyBorder="1" applyAlignment="1" applyProtection="1">
      <alignment vertical="center"/>
    </xf>
    <xf numFmtId="182" fontId="96" fillId="0" borderId="15" xfId="4496" applyNumberFormat="1" applyFont="1" applyBorder="1"/>
    <xf numFmtId="182" fontId="135" fillId="0" borderId="71" xfId="8722" applyNumberFormat="1" applyFont="1" applyBorder="1" applyProtection="1"/>
    <xf numFmtId="9" fontId="96" fillId="0" borderId="15" xfId="4494" applyFont="1" applyFill="1" applyBorder="1" applyAlignment="1" applyProtection="1">
      <alignment horizontal="right"/>
    </xf>
    <xf numFmtId="182" fontId="135" fillId="0" borderId="71" xfId="4496" applyNumberFormat="1" applyFont="1" applyBorder="1"/>
    <xf numFmtId="0" fontId="165" fillId="0" borderId="0" xfId="4496" applyFont="1" applyAlignment="1">
      <alignment horizontal="right"/>
    </xf>
    <xf numFmtId="0" fontId="96" fillId="0" borderId="0" xfId="4496" applyFont="1" applyAlignment="1">
      <alignment horizontal="right" vertical="top" wrapText="1" indent="1"/>
    </xf>
    <xf numFmtId="182" fontId="96" fillId="0" borderId="6" xfId="8722" applyNumberFormat="1" applyFont="1" applyBorder="1" applyAlignment="1" applyProtection="1">
      <alignment horizontal="center"/>
    </xf>
    <xf numFmtId="0" fontId="96" fillId="0" borderId="0" xfId="4496" applyFont="1" applyAlignment="1">
      <alignment horizontal="right" indent="1"/>
    </xf>
    <xf numFmtId="0" fontId="96" fillId="0" borderId="0" xfId="4496" applyFont="1" applyAlignment="1">
      <alignment horizontal="right" vertical="top"/>
    </xf>
    <xf numFmtId="0" fontId="135" fillId="0" borderId="0" xfId="4496" applyFont="1" applyAlignment="1">
      <alignment horizontal="right"/>
    </xf>
    <xf numFmtId="182" fontId="135" fillId="0" borderId="0" xfId="8722" applyNumberFormat="1" applyFont="1" applyBorder="1" applyAlignment="1" applyProtection="1">
      <alignment horizontal="center"/>
    </xf>
    <xf numFmtId="10" fontId="96" fillId="0" borderId="0" xfId="4494" applyNumberFormat="1" applyFont="1" applyBorder="1" applyAlignment="1" applyProtection="1">
      <alignment horizontal="center"/>
    </xf>
    <xf numFmtId="184" fontId="96" fillId="0" borderId="6" xfId="4496" applyNumberFormat="1" applyFont="1" applyBorder="1"/>
    <xf numFmtId="0" fontId="135" fillId="0" borderId="0" xfId="4496" applyFont="1" applyAlignment="1">
      <alignment horizontal="right" vertical="top"/>
    </xf>
    <xf numFmtId="182" fontId="135" fillId="0" borderId="0" xfId="4496" applyNumberFormat="1" applyFont="1"/>
    <xf numFmtId="182" fontId="96" fillId="0" borderId="6" xfId="8722" applyNumberFormat="1" applyFont="1" applyBorder="1" applyProtection="1"/>
    <xf numFmtId="184" fontId="96" fillId="0" borderId="0" xfId="4496" applyNumberFormat="1" applyFont="1" applyAlignment="1">
      <alignment horizontal="center"/>
    </xf>
    <xf numFmtId="0" fontId="96" fillId="0" borderId="6" xfId="4496" applyFont="1" applyBorder="1" applyAlignment="1">
      <alignment horizontal="right" vertical="top" wrapText="1" indent="1"/>
    </xf>
    <xf numFmtId="0" fontId="96" fillId="0" borderId="70" xfId="4496" applyFont="1" applyBorder="1" applyAlignment="1">
      <alignment horizontal="right" indent="1"/>
    </xf>
    <xf numFmtId="0" fontId="96" fillId="0" borderId="80" xfId="4496" applyFont="1" applyBorder="1" applyAlignment="1">
      <alignment horizontal="right" indent="1"/>
    </xf>
    <xf numFmtId="0" fontId="96" fillId="0" borderId="80" xfId="4496" quotePrefix="1" applyFont="1" applyBorder="1" applyAlignment="1">
      <alignment horizontal="right" indent="1"/>
    </xf>
    <xf numFmtId="0" fontId="96" fillId="0" borderId="72" xfId="4496" applyFont="1" applyBorder="1" applyAlignment="1">
      <alignment horizontal="right" indent="1"/>
    </xf>
    <xf numFmtId="182" fontId="96" fillId="0" borderId="74" xfId="4496" applyNumberFormat="1" applyFont="1" applyBorder="1"/>
    <xf numFmtId="182" fontId="96" fillId="0" borderId="91" xfId="4496" applyNumberFormat="1" applyFont="1" applyBorder="1"/>
    <xf numFmtId="182" fontId="96" fillId="0" borderId="93" xfId="4496" applyNumberFormat="1" applyFont="1" applyBorder="1"/>
    <xf numFmtId="175" fontId="21" fillId="0" borderId="0" xfId="543" applyNumberFormat="1" applyFont="1" applyAlignment="1">
      <alignment vertical="center"/>
    </xf>
    <xf numFmtId="10" fontId="135" fillId="0" borderId="0" xfId="4494" applyNumberFormat="1" applyFont="1" applyProtection="1"/>
    <xf numFmtId="0" fontId="21" fillId="0" borderId="0" xfId="1192" applyFont="1" applyAlignment="1">
      <alignment horizontal="left" indent="1"/>
    </xf>
    <xf numFmtId="168" fontId="96" fillId="0" borderId="11" xfId="4499" applyNumberFormat="1" applyFont="1" applyFill="1" applyBorder="1" applyAlignment="1" applyProtection="1">
      <alignment horizontal="left" vertical="center" indent="1"/>
    </xf>
    <xf numFmtId="168" fontId="135" fillId="0" borderId="71" xfId="4499" applyNumberFormat="1" applyFont="1" applyFill="1" applyBorder="1" applyAlignment="1" applyProtection="1">
      <alignment horizontal="left" vertical="center" indent="1"/>
    </xf>
    <xf numFmtId="182" fontId="96" fillId="0" borderId="13" xfId="4496" applyNumberFormat="1" applyFont="1" applyBorder="1"/>
    <xf numFmtId="182" fontId="96" fillId="0" borderId="73" xfId="4496" applyNumberFormat="1" applyFont="1" applyBorder="1"/>
    <xf numFmtId="0" fontId="135" fillId="0" borderId="4" xfId="4496" applyFont="1" applyBorder="1" applyAlignment="1">
      <alignment horizontal="left" indent="1"/>
    </xf>
    <xf numFmtId="0" fontId="96" fillId="0" borderId="4" xfId="4496" applyFont="1" applyBorder="1"/>
    <xf numFmtId="0" fontId="32" fillId="0" borderId="0" xfId="4495" applyFont="1" applyAlignment="1">
      <alignment vertical="center"/>
    </xf>
    <xf numFmtId="0" fontId="120" fillId="0" borderId="0" xfId="4496" applyFont="1" applyAlignment="1">
      <alignment vertical="center" wrapText="1"/>
    </xf>
    <xf numFmtId="0" fontId="19" fillId="43" borderId="0" xfId="1192" applyFont="1" applyFill="1"/>
    <xf numFmtId="3" fontId="66" fillId="43" borderId="6" xfId="1192" applyNumberFormat="1" applyFont="1" applyFill="1" applyBorder="1"/>
    <xf numFmtId="0" fontId="167" fillId="0" borderId="0" xfId="0" applyFont="1"/>
    <xf numFmtId="0" fontId="19" fillId="0" borderId="11" xfId="253" applyFont="1" applyBorder="1" applyAlignment="1" applyProtection="1">
      <alignment horizontal="center" wrapText="1"/>
      <protection locked="0"/>
    </xf>
    <xf numFmtId="0" fontId="168" fillId="0" borderId="0" xfId="0" applyFont="1"/>
    <xf numFmtId="0" fontId="169" fillId="0" borderId="0" xfId="0" applyFont="1" applyAlignment="1">
      <alignment horizontal="center"/>
    </xf>
    <xf numFmtId="0" fontId="51" fillId="5" borderId="11" xfId="0" applyFont="1" applyFill="1" applyBorder="1" applyAlignment="1" applyProtection="1">
      <alignment horizontal="right" vertical="top" wrapText="1"/>
      <protection locked="0"/>
    </xf>
    <xf numFmtId="0" fontId="14" fillId="43" borderId="3" xfId="569" applyFill="1" applyBorder="1"/>
    <xf numFmtId="0" fontId="174" fillId="0" borderId="0" xfId="0" applyFont="1" applyAlignment="1">
      <alignment horizontal="right"/>
    </xf>
    <xf numFmtId="1" fontId="22"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 fillId="0" borderId="0" xfId="8726"/>
    <xf numFmtId="0" fontId="101" fillId="0" borderId="0" xfId="8726" applyFont="1"/>
    <xf numFmtId="0" fontId="153" fillId="0" borderId="0" xfId="8726" applyFont="1"/>
    <xf numFmtId="0" fontId="2" fillId="48" borderId="44" xfId="8726" applyFill="1" applyBorder="1"/>
    <xf numFmtId="0" fontId="2" fillId="48" borderId="42" xfId="8726" applyFill="1" applyBorder="1"/>
    <xf numFmtId="0" fontId="2" fillId="48" borderId="41" xfId="8726" applyFill="1" applyBorder="1"/>
    <xf numFmtId="0" fontId="2" fillId="44" borderId="44" xfId="8726" applyFill="1" applyBorder="1"/>
    <xf numFmtId="0" fontId="2" fillId="44" borderId="42" xfId="8726" applyFill="1" applyBorder="1"/>
    <xf numFmtId="0" fontId="2" fillId="44" borderId="86" xfId="8726" applyFill="1" applyBorder="1"/>
    <xf numFmtId="0" fontId="2" fillId="48" borderId="0" xfId="8726" applyFill="1"/>
    <xf numFmtId="0" fontId="2" fillId="44" borderId="41" xfId="8726" applyFill="1" applyBorder="1"/>
    <xf numFmtId="0" fontId="2" fillId="44" borderId="0" xfId="8726" applyFill="1"/>
    <xf numFmtId="0" fontId="2" fillId="44" borderId="66" xfId="8726" applyFill="1" applyBorder="1"/>
    <xf numFmtId="0" fontId="2" fillId="44" borderId="0" xfId="8726" applyFill="1" applyAlignment="1">
      <alignment horizontal="left"/>
    </xf>
    <xf numFmtId="0" fontId="2" fillId="48" borderId="86" xfId="8726" applyFill="1" applyBorder="1"/>
    <xf numFmtId="0" fontId="2" fillId="48" borderId="66" xfId="8726" applyFill="1" applyBorder="1"/>
    <xf numFmtId="49" fontId="100" fillId="48" borderId="66" xfId="8726" applyNumberFormat="1" applyFont="1" applyFill="1" applyBorder="1" applyAlignment="1">
      <alignment horizontal="right" vertical="top"/>
    </xf>
    <xf numFmtId="0" fontId="100" fillId="48" borderId="0" xfId="8726" applyFont="1" applyFill="1"/>
    <xf numFmtId="0" fontId="100" fillId="48" borderId="66" xfId="8726" applyFont="1" applyFill="1" applyBorder="1"/>
    <xf numFmtId="0" fontId="100" fillId="48" borderId="41" xfId="8726" applyFont="1" applyFill="1" applyBorder="1" applyAlignment="1">
      <alignment horizontal="center"/>
    </xf>
    <xf numFmtId="0" fontId="101" fillId="48" borderId="0" xfId="8726" applyFont="1" applyFill="1"/>
    <xf numFmtId="0" fontId="2" fillId="48" borderId="69" xfId="8726" applyFill="1" applyBorder="1"/>
    <xf numFmtId="168" fontId="157" fillId="48" borderId="68" xfId="700" applyNumberFormat="1" applyFont="1" applyFill="1" applyBorder="1" applyAlignment="1" applyProtection="1">
      <protection locked="0"/>
    </xf>
    <xf numFmtId="0" fontId="162" fillId="48" borderId="0" xfId="8726" applyFont="1" applyFill="1"/>
    <xf numFmtId="0" fontId="147" fillId="47" borderId="91" xfId="8726" applyFont="1" applyFill="1" applyBorder="1" applyAlignment="1">
      <alignment horizontal="center"/>
    </xf>
    <xf numFmtId="0" fontId="147" fillId="47" borderId="11" xfId="8726" applyFont="1" applyFill="1" applyBorder="1" applyAlignment="1">
      <alignment horizontal="center"/>
    </xf>
    <xf numFmtId="0" fontId="161" fillId="47" borderId="91" xfId="8726" applyFont="1" applyFill="1" applyBorder="1"/>
    <xf numFmtId="0" fontId="161" fillId="47" borderId="11" xfId="8726" applyFont="1" applyFill="1" applyBorder="1"/>
    <xf numFmtId="0" fontId="2" fillId="45" borderId="69" xfId="8726" applyFill="1" applyBorder="1"/>
    <xf numFmtId="0" fontId="2" fillId="45" borderId="68" xfId="8726" applyFill="1" applyBorder="1"/>
    <xf numFmtId="0" fontId="100" fillId="45" borderId="68" xfId="8726" applyFont="1" applyFill="1" applyBorder="1"/>
    <xf numFmtId="0" fontId="100" fillId="45" borderId="67" xfId="8726" applyFont="1" applyFill="1" applyBorder="1"/>
    <xf numFmtId="0" fontId="100" fillId="45" borderId="69" xfId="8726" applyFont="1" applyFill="1" applyBorder="1"/>
    <xf numFmtId="0" fontId="2" fillId="48" borderId="0" xfId="8726" applyFill="1" applyAlignment="1">
      <alignment horizontal="left"/>
    </xf>
    <xf numFmtId="0" fontId="151" fillId="48" borderId="0" xfId="8726" applyFont="1" applyFill="1"/>
    <xf numFmtId="0" fontId="100" fillId="45" borderId="89" xfId="8726" applyFont="1" applyFill="1" applyBorder="1"/>
    <xf numFmtId="0" fontId="100" fillId="45" borderId="76" xfId="8726" applyFont="1" applyFill="1" applyBorder="1"/>
    <xf numFmtId="0" fontId="100" fillId="45" borderId="75" xfId="8726" applyFont="1" applyFill="1" applyBorder="1"/>
    <xf numFmtId="0" fontId="100" fillId="45" borderId="31" xfId="8726" applyFont="1" applyFill="1" applyBorder="1"/>
    <xf numFmtId="0" fontId="100" fillId="45" borderId="29" xfId="8726" applyFont="1" applyFill="1" applyBorder="1"/>
    <xf numFmtId="0" fontId="100" fillId="45" borderId="65" xfId="8726" applyFont="1" applyFill="1" applyBorder="1"/>
    <xf numFmtId="0" fontId="2" fillId="45" borderId="83" xfId="8726" applyFill="1" applyBorder="1"/>
    <xf numFmtId="0" fontId="2" fillId="45" borderId="82" xfId="8726" applyFill="1" applyBorder="1"/>
    <xf numFmtId="0" fontId="2" fillId="45" borderId="81" xfId="8726" applyFill="1" applyBorder="1"/>
    <xf numFmtId="0" fontId="100" fillId="45" borderId="81" xfId="8726" applyFont="1" applyFill="1" applyBorder="1"/>
    <xf numFmtId="0" fontId="2" fillId="45" borderId="31" xfId="8726" applyFill="1" applyBorder="1"/>
    <xf numFmtId="0" fontId="2" fillId="45" borderId="29" xfId="8726" applyFill="1" applyBorder="1"/>
    <xf numFmtId="0" fontId="2" fillId="45" borderId="67" xfId="8726" applyFill="1" applyBorder="1"/>
    <xf numFmtId="0" fontId="84" fillId="0" borderId="0" xfId="8726" applyFont="1"/>
    <xf numFmtId="0" fontId="2" fillId="45" borderId="99" xfId="8726" applyFill="1" applyBorder="1"/>
    <xf numFmtId="0" fontId="2" fillId="45" borderId="65" xfId="8726" applyFill="1" applyBorder="1"/>
    <xf numFmtId="0" fontId="100" fillId="45" borderId="28" xfId="8726" applyFont="1" applyFill="1" applyBorder="1"/>
    <xf numFmtId="0" fontId="2" fillId="52" borderId="101" xfId="8726" applyFill="1" applyBorder="1"/>
    <xf numFmtId="0" fontId="2" fillId="51" borderId="101" xfId="8726" applyFill="1" applyBorder="1"/>
    <xf numFmtId="0" fontId="100" fillId="50" borderId="100" xfId="8726" applyFont="1" applyFill="1" applyBorder="1"/>
    <xf numFmtId="0" fontId="100" fillId="0" borderId="0" xfId="8726" applyFont="1"/>
    <xf numFmtId="0" fontId="100" fillId="48" borderId="41" xfId="8726" applyFont="1" applyFill="1" applyBorder="1"/>
    <xf numFmtId="0" fontId="149" fillId="48" borderId="0" xfId="8726" applyFont="1" applyFill="1"/>
    <xf numFmtId="182" fontId="163" fillId="48" borderId="0" xfId="8727" applyNumberFormat="1" applyFont="1" applyFill="1" applyBorder="1" applyAlignment="1"/>
    <xf numFmtId="0" fontId="21" fillId="0" borderId="4" xfId="569" applyFont="1" applyBorder="1" applyAlignment="1">
      <alignment horizontal="center"/>
    </xf>
    <xf numFmtId="43" fontId="21" fillId="0" borderId="0" xfId="4504" applyFont="1" applyAlignment="1" applyProtection="1">
      <alignment horizontal="center"/>
    </xf>
    <xf numFmtId="0" fontId="21" fillId="0" borderId="0" xfId="569" applyFont="1" applyAlignment="1">
      <alignment horizontal="center" vertical="center"/>
    </xf>
    <xf numFmtId="0" fontId="21" fillId="0" borderId="16" xfId="569" applyFont="1" applyBorder="1" applyAlignment="1">
      <alignment horizontal="center"/>
    </xf>
    <xf numFmtId="49" fontId="21" fillId="0" borderId="4" xfId="569" applyNumberFormat="1" applyFont="1" applyBorder="1" applyAlignment="1">
      <alignment horizontal="center"/>
    </xf>
    <xf numFmtId="4" fontId="21" fillId="0" borderId="0" xfId="569" applyNumberFormat="1" applyFont="1" applyAlignment="1">
      <alignment horizontal="center"/>
    </xf>
    <xf numFmtId="0" fontId="14" fillId="0" borderId="0" xfId="569" applyAlignment="1">
      <alignment horizontal="center" wrapText="1"/>
    </xf>
    <xf numFmtId="3" fontId="0" fillId="5" borderId="0" xfId="0" applyNumberFormat="1" applyFill="1"/>
    <xf numFmtId="168" fontId="0" fillId="0" borderId="0" xfId="0" applyNumberFormat="1"/>
    <xf numFmtId="168" fontId="0" fillId="5" borderId="0" xfId="0" applyNumberFormat="1" applyFill="1"/>
    <xf numFmtId="165" fontId="0" fillId="0" borderId="11" xfId="4494" applyNumberFormat="1" applyFont="1" applyBorder="1" applyAlignment="1">
      <alignment horizontal="center"/>
    </xf>
    <xf numFmtId="9" fontId="0" fillId="0" borderId="0" xfId="4494" applyFont="1" applyAlignment="1">
      <alignment horizontal="center"/>
    </xf>
    <xf numFmtId="181" fontId="14" fillId="0" borderId="0" xfId="0" applyNumberFormat="1" applyFont="1" applyAlignment="1">
      <alignment horizontal="center"/>
    </xf>
    <xf numFmtId="10" fontId="42" fillId="0" borderId="0" xfId="0" applyNumberFormat="1" applyFont="1" applyAlignment="1">
      <alignment horizontal="center"/>
    </xf>
    <xf numFmtId="0" fontId="20" fillId="3" borderId="0" xfId="0" applyFont="1" applyFill="1" applyAlignment="1">
      <alignment horizontal="center" vertical="center" wrapText="1"/>
    </xf>
    <xf numFmtId="0" fontId="20" fillId="3" borderId="16" xfId="0" applyFont="1" applyFill="1" applyBorder="1" applyAlignment="1">
      <alignment horizontal="center" vertical="center" wrapText="1"/>
    </xf>
    <xf numFmtId="0" fontId="14" fillId="0" borderId="0" xfId="0" applyFont="1" applyAlignment="1">
      <alignment horizontal="left" vertical="top" wrapText="1"/>
    </xf>
    <xf numFmtId="0" fontId="103" fillId="0" borderId="0" xfId="0" applyFont="1" applyAlignment="1">
      <alignment horizontal="left" vertical="top" wrapText="1"/>
    </xf>
    <xf numFmtId="0" fontId="43" fillId="0" borderId="0" xfId="0" applyFont="1" applyAlignment="1">
      <alignment horizontal="left" vertical="top" wrapText="1"/>
    </xf>
    <xf numFmtId="0" fontId="111" fillId="0" borderId="0" xfId="0" applyFont="1" applyAlignment="1">
      <alignment horizontal="left" wrapText="1"/>
    </xf>
    <xf numFmtId="0" fontId="14" fillId="0" borderId="0" xfId="0" applyFont="1" applyAlignment="1">
      <alignment horizontal="left" wrapText="1"/>
    </xf>
    <xf numFmtId="0" fontId="23" fillId="0" borderId="0" xfId="0" applyFont="1" applyAlignment="1">
      <alignment horizontal="left" wrapText="1"/>
    </xf>
    <xf numFmtId="0" fontId="15" fillId="0" borderId="0" xfId="244" applyAlignment="1" applyProtection="1">
      <alignment horizontal="left"/>
    </xf>
    <xf numFmtId="0" fontId="15" fillId="0" borderId="0" xfId="244"/>
    <xf numFmtId="0" fontId="0" fillId="0" borderId="0" xfId="0"/>
    <xf numFmtId="0" fontId="14" fillId="0" borderId="0" xfId="1192" applyAlignment="1">
      <alignment horizontal="left" vertical="top" wrapText="1"/>
    </xf>
    <xf numFmtId="0" fontId="21" fillId="0" borderId="0" xfId="0" applyFont="1" applyAlignment="1">
      <alignment horizontal="left" vertical="top" wrapText="1"/>
    </xf>
    <xf numFmtId="0" fontId="14" fillId="0" borderId="0" xfId="0" applyFont="1" applyAlignment="1">
      <alignment horizontal="left"/>
    </xf>
    <xf numFmtId="0" fontId="32" fillId="0" borderId="0" xfId="1192" applyFont="1" applyAlignment="1">
      <alignment horizontal="left"/>
    </xf>
    <xf numFmtId="0" fontId="14" fillId="0" borderId="0" xfId="1192" applyAlignment="1">
      <alignment horizontal="left"/>
    </xf>
    <xf numFmtId="4" fontId="14" fillId="0" borderId="0" xfId="1192" applyNumberFormat="1" applyAlignment="1">
      <alignment horizontal="left" vertical="top" wrapText="1"/>
    </xf>
    <xf numFmtId="0" fontId="21" fillId="0" borderId="4" xfId="569" applyFont="1" applyBorder="1" applyAlignment="1">
      <alignment horizontal="left"/>
    </xf>
    <xf numFmtId="0" fontId="32" fillId="0" borderId="0" xfId="0" applyFont="1" applyAlignment="1">
      <alignment horizontal="left"/>
    </xf>
    <xf numFmtId="0" fontId="21" fillId="0" borderId="0" xfId="271" applyFont="1" applyAlignment="1">
      <alignment horizontal="left" vertical="top" wrapText="1"/>
    </xf>
    <xf numFmtId="0" fontId="0" fillId="0" borderId="0" xfId="0" applyAlignment="1">
      <alignment horizontal="left" vertical="top" wrapText="1"/>
    </xf>
    <xf numFmtId="0" fontId="23" fillId="0" borderId="0" xfId="0" applyFont="1" applyAlignment="1">
      <alignment horizontal="left"/>
    </xf>
    <xf numFmtId="0" fontId="14" fillId="0" borderId="0" xfId="271" applyFont="1" applyAlignment="1" applyProtection="1">
      <alignment horizontal="left" vertical="top" wrapText="1"/>
      <protection locked="0"/>
    </xf>
    <xf numFmtId="0" fontId="15" fillId="0" borderId="0" xfId="244" applyAlignment="1">
      <alignment horizontal="left"/>
    </xf>
    <xf numFmtId="0" fontId="21" fillId="0" borderId="0" xfId="0" applyFont="1" applyAlignment="1">
      <alignment horizontal="left"/>
    </xf>
    <xf numFmtId="0" fontId="21" fillId="0" borderId="16" xfId="0" applyFont="1" applyBorder="1" applyAlignment="1">
      <alignment horizontal="left"/>
    </xf>
    <xf numFmtId="0" fontId="14" fillId="0" borderId="27" xfId="0" applyFont="1" applyBorder="1" applyAlignment="1">
      <alignment horizontal="left"/>
    </xf>
    <xf numFmtId="4" fontId="14" fillId="0" borderId="0" xfId="569" applyNumberFormat="1" applyAlignment="1">
      <alignment horizontal="left" vertical="top" wrapText="1"/>
    </xf>
    <xf numFmtId="0" fontId="32" fillId="0" borderId="0" xfId="569" applyFont="1" applyAlignment="1">
      <alignment horizontal="left"/>
    </xf>
    <xf numFmtId="0" fontId="14" fillId="0" borderId="0" xfId="569" applyAlignment="1">
      <alignment horizontal="left" vertical="top" wrapText="1"/>
    </xf>
    <xf numFmtId="0" fontId="14" fillId="0" borderId="0" xfId="569" applyAlignment="1">
      <alignment horizontal="left"/>
    </xf>
    <xf numFmtId="0" fontId="32" fillId="0" borderId="0" xfId="569" applyFont="1" applyAlignment="1">
      <alignment horizontal="left" vertical="top" wrapText="1"/>
    </xf>
    <xf numFmtId="0" fontId="14" fillId="0" borderId="0" xfId="569" applyAlignment="1">
      <alignment horizontal="left" vertical="top"/>
    </xf>
    <xf numFmtId="0" fontId="14" fillId="0" borderId="0" xfId="271" applyFont="1" applyAlignment="1">
      <alignment horizontal="left" vertical="top" wrapText="1"/>
    </xf>
    <xf numFmtId="0" fontId="23" fillId="0" borderId="0" xfId="0" applyFont="1" applyAlignment="1">
      <alignment horizontal="left" vertical="top"/>
    </xf>
    <xf numFmtId="0" fontId="32" fillId="0" borderId="0" xfId="0" applyFont="1" applyAlignment="1">
      <alignment horizontal="left" vertical="top" wrapText="1"/>
    </xf>
    <xf numFmtId="0" fontId="32" fillId="0" borderId="0" xfId="0" applyFont="1" applyAlignment="1">
      <alignment horizontal="center"/>
    </xf>
    <xf numFmtId="0" fontId="0" fillId="0" borderId="0" xfId="0" applyAlignment="1">
      <alignment horizontal="center"/>
    </xf>
    <xf numFmtId="0" fontId="21" fillId="0" borderId="0" xfId="0" applyFont="1" applyAlignment="1">
      <alignment horizontal="center"/>
    </xf>
    <xf numFmtId="49" fontId="14" fillId="0" borderId="0" xfId="0" applyNumberFormat="1" applyFont="1" applyAlignment="1">
      <alignment horizontal="left" vertical="top" wrapText="1"/>
    </xf>
    <xf numFmtId="49" fontId="14" fillId="0" borderId="0" xfId="1192" applyNumberFormat="1" applyAlignment="1">
      <alignment horizontal="left" vertical="top" wrapText="1"/>
    </xf>
    <xf numFmtId="4" fontId="32" fillId="0" borderId="0" xfId="0" applyNumberFormat="1" applyFont="1" applyAlignment="1">
      <alignment horizontal="left"/>
    </xf>
    <xf numFmtId="4" fontId="14" fillId="0" borderId="0" xfId="0" applyNumberFormat="1" applyFont="1" applyAlignment="1">
      <alignment horizontal="left" vertical="top" wrapText="1"/>
    </xf>
    <xf numFmtId="4" fontId="15" fillId="0" borderId="0" xfId="244" applyNumberFormat="1" applyFill="1" applyAlignment="1" applyProtection="1">
      <alignment horizontal="left"/>
    </xf>
    <xf numFmtId="0" fontId="21" fillId="0" borderId="0" xfId="569" applyFont="1" applyAlignment="1">
      <alignment horizontal="left" vertical="top"/>
    </xf>
    <xf numFmtId="0" fontId="14" fillId="0" borderId="0" xfId="0" applyFont="1" applyAlignment="1">
      <alignment horizontal="left" vertical="top"/>
    </xf>
    <xf numFmtId="0" fontId="15" fillId="0" borderId="0" xfId="244" quotePrefix="1" applyAlignment="1" applyProtection="1">
      <alignment horizontal="left"/>
    </xf>
    <xf numFmtId="0" fontId="21" fillId="0" borderId="4" xfId="0" applyFont="1" applyBorder="1" applyAlignment="1">
      <alignment horizontal="left"/>
    </xf>
    <xf numFmtId="0" fontId="21" fillId="0" borderId="4" xfId="569" applyFont="1" applyBorder="1" applyAlignment="1">
      <alignment horizontal="left" vertical="top"/>
    </xf>
    <xf numFmtId="0" fontId="32" fillId="0" borderId="0" xfId="569" applyFont="1" applyAlignment="1">
      <alignment horizontal="left" vertical="top"/>
    </xf>
    <xf numFmtId="0" fontId="32" fillId="0" borderId="0" xfId="0" applyFont="1" applyAlignment="1">
      <alignment horizontal="left" wrapText="1"/>
    </xf>
    <xf numFmtId="4" fontId="14" fillId="0" borderId="0" xfId="569" applyNumberFormat="1" applyAlignment="1">
      <alignment horizontal="left"/>
    </xf>
    <xf numFmtId="4" fontId="32" fillId="0" borderId="0" xfId="569" applyNumberFormat="1" applyFont="1" applyAlignment="1">
      <alignment horizontal="left" vertical="top" wrapText="1"/>
    </xf>
    <xf numFmtId="0" fontId="112" fillId="0" borderId="0" xfId="569" applyFont="1" applyAlignment="1">
      <alignment horizontal="center"/>
    </xf>
    <xf numFmtId="0" fontId="113" fillId="0" borderId="0" xfId="569" applyFont="1"/>
    <xf numFmtId="0" fontId="14" fillId="0" borderId="0" xfId="569" applyAlignment="1">
      <alignment wrapText="1"/>
    </xf>
    <xf numFmtId="0" fontId="21" fillId="0" borderId="0" xfId="569" applyFont="1" applyAlignment="1">
      <alignment wrapText="1"/>
    </xf>
    <xf numFmtId="0" fontId="29" fillId="0" borderId="0" xfId="569" applyFont="1" applyAlignment="1">
      <alignment horizontal="center"/>
    </xf>
    <xf numFmtId="0" fontId="14" fillId="0" borderId="0" xfId="569"/>
    <xf numFmtId="0" fontId="14" fillId="0" borderId="0" xfId="1192" applyAlignment="1">
      <alignment vertical="top" wrapText="1"/>
    </xf>
    <xf numFmtId="4" fontId="14" fillId="0" borderId="0" xfId="0" applyNumberFormat="1" applyFont="1" applyAlignment="1">
      <alignment horizontal="left"/>
    </xf>
    <xf numFmtId="0" fontId="32" fillId="0" borderId="0" xfId="0" applyFont="1" applyAlignment="1">
      <alignment horizontal="left" vertical="top"/>
    </xf>
    <xf numFmtId="0" fontId="14" fillId="0" borderId="0" xfId="0" applyFont="1" applyAlignment="1">
      <alignment horizontal="left" vertical="center" wrapText="1"/>
    </xf>
    <xf numFmtId="0" fontId="14" fillId="0" borderId="0" xfId="569" applyAlignment="1">
      <alignment horizontal="left" wrapText="1"/>
    </xf>
    <xf numFmtId="0" fontId="14" fillId="0" borderId="0" xfId="0" applyFont="1" applyAlignment="1">
      <alignment vertical="top" wrapText="1"/>
    </xf>
    <xf numFmtId="0" fontId="15" fillId="0" borderId="0" xfId="244" applyFill="1" applyBorder="1" applyAlignment="1">
      <alignment horizontal="left" vertical="top" wrapText="1"/>
    </xf>
    <xf numFmtId="0" fontId="21" fillId="0" borderId="0" xfId="0" applyFont="1" applyAlignment="1">
      <alignment vertical="top" wrapText="1"/>
    </xf>
    <xf numFmtId="0" fontId="32" fillId="0" borderId="0" xfId="1192" applyFont="1" applyAlignment="1">
      <alignment horizontal="left" vertical="top" wrapText="1"/>
    </xf>
    <xf numFmtId="0" fontId="21" fillId="0" borderId="0" xfId="1192" applyFont="1" applyAlignment="1">
      <alignment horizontal="left" vertical="top" wrapText="1"/>
    </xf>
    <xf numFmtId="0" fontId="14" fillId="0" borderId="0" xfId="569" applyAlignment="1">
      <alignment vertical="top" wrapText="1"/>
    </xf>
    <xf numFmtId="4" fontId="32" fillId="0" borderId="0" xfId="0" applyNumberFormat="1" applyFont="1" applyAlignment="1">
      <alignment horizontal="left" vertical="top" wrapText="1"/>
    </xf>
    <xf numFmtId="0" fontId="14" fillId="0" borderId="0" xfId="0" quotePrefix="1" applyFont="1" applyAlignment="1">
      <alignment horizontal="left" vertical="top"/>
    </xf>
    <xf numFmtId="0" fontId="14" fillId="0" borderId="0" xfId="0" quotePrefix="1" applyFont="1" applyAlignment="1">
      <alignment horizontal="left" vertical="top" wrapText="1"/>
    </xf>
    <xf numFmtId="0" fontId="21" fillId="0" borderId="0" xfId="569" applyFont="1" applyAlignment="1">
      <alignment horizontal="center"/>
    </xf>
    <xf numFmtId="0" fontId="15" fillId="0" borderId="0" xfId="244" applyNumberFormat="1" applyFill="1" applyAlignment="1" applyProtection="1">
      <alignment horizontal="left"/>
    </xf>
    <xf numFmtId="0" fontId="32" fillId="0" borderId="0" xfId="569" applyFont="1" applyAlignment="1">
      <alignment horizontal="left" wrapText="1"/>
    </xf>
    <xf numFmtId="0" fontId="32" fillId="0" borderId="0" xfId="569" applyFont="1" applyAlignment="1">
      <alignment horizontal="center" wrapText="1"/>
    </xf>
    <xf numFmtId="0" fontId="21" fillId="0" borderId="0" xfId="0" applyFont="1" applyAlignment="1">
      <alignment horizontal="left" vertical="top"/>
    </xf>
    <xf numFmtId="0" fontId="14" fillId="0" borderId="0" xfId="569" applyAlignment="1">
      <alignment horizontal="left" vertical="center" wrapText="1"/>
    </xf>
    <xf numFmtId="0" fontId="21" fillId="0" borderId="16" xfId="569" applyFont="1" applyBorder="1" applyAlignment="1">
      <alignment horizontal="left"/>
    </xf>
    <xf numFmtId="0" fontId="21" fillId="0" borderId="0" xfId="569" applyFont="1" applyAlignment="1">
      <alignment horizontal="left"/>
    </xf>
    <xf numFmtId="0" fontId="21" fillId="0" borderId="4" xfId="0" applyFont="1" applyBorder="1" applyAlignment="1">
      <alignment horizontal="left" vertical="top"/>
    </xf>
    <xf numFmtId="0" fontId="15" fillId="0" borderId="0" xfId="244" applyAlignment="1" applyProtection="1">
      <alignment horizontal="left" vertical="top" wrapText="1"/>
    </xf>
    <xf numFmtId="0" fontId="14" fillId="0" borderId="0" xfId="1192" applyAlignment="1" applyProtection="1">
      <alignment horizontal="left" vertical="top" wrapText="1"/>
      <protection locked="0"/>
    </xf>
    <xf numFmtId="0" fontId="14" fillId="0" borderId="27" xfId="569" applyBorder="1" applyAlignment="1">
      <alignment horizontal="left"/>
    </xf>
    <xf numFmtId="0" fontId="32" fillId="0" borderId="0" xfId="569" applyFont="1" applyAlignment="1">
      <alignment horizontal="center"/>
    </xf>
    <xf numFmtId="0" fontId="14" fillId="0" borderId="15" xfId="569" applyBorder="1" applyAlignment="1">
      <alignment horizontal="center" vertical="top" wrapText="1"/>
    </xf>
    <xf numFmtId="0" fontId="14" fillId="0" borderId="14" xfId="569" applyBorder="1" applyAlignment="1">
      <alignment horizontal="center" vertical="top" wrapText="1"/>
    </xf>
    <xf numFmtId="0" fontId="14" fillId="0" borderId="13" xfId="569" applyBorder="1" applyAlignment="1">
      <alignment horizontal="center" vertical="top" wrapText="1"/>
    </xf>
    <xf numFmtId="0" fontId="56" fillId="2" borderId="3" xfId="0" applyFont="1" applyFill="1" applyBorder="1" applyAlignment="1">
      <alignment horizontal="center" vertical="top"/>
    </xf>
    <xf numFmtId="0" fontId="56" fillId="2" borderId="4" xfId="0" applyFont="1" applyFill="1" applyBorder="1" applyAlignment="1">
      <alignment horizontal="center" vertical="top"/>
    </xf>
    <xf numFmtId="0" fontId="56" fillId="2" borderId="5" xfId="0" applyFont="1" applyFill="1" applyBorder="1" applyAlignment="1">
      <alignment horizontal="center" vertical="top"/>
    </xf>
    <xf numFmtId="0" fontId="23" fillId="0" borderId="6" xfId="0" applyFont="1" applyBorder="1" applyAlignment="1">
      <alignment vertical="top" wrapText="1"/>
    </xf>
    <xf numFmtId="177" fontId="23" fillId="5" borderId="6" xfId="0" applyNumberFormat="1" applyFont="1" applyFill="1" applyBorder="1" applyAlignment="1" applyProtection="1">
      <alignment horizontal="left" vertical="top" wrapText="1"/>
      <protection locked="0"/>
    </xf>
    <xf numFmtId="0" fontId="23" fillId="0" borderId="2" xfId="0" applyFont="1" applyBorder="1" applyAlignment="1">
      <alignment vertical="top" wrapText="1"/>
    </xf>
    <xf numFmtId="0" fontId="14" fillId="5" borderId="6" xfId="0" applyFont="1" applyFill="1" applyBorder="1" applyAlignment="1" applyProtection="1">
      <alignment horizontal="left" vertical="top" wrapText="1"/>
      <protection locked="0"/>
    </xf>
    <xf numFmtId="0" fontId="23" fillId="5" borderId="6" xfId="0" applyFont="1" applyFill="1" applyBorder="1" applyAlignment="1" applyProtection="1">
      <alignment horizontal="left" vertical="top" wrapText="1"/>
      <protection locked="0"/>
    </xf>
    <xf numFmtId="0" fontId="51" fillId="0" borderId="0" xfId="0" applyFont="1" applyAlignment="1">
      <alignment vertical="top" wrapText="1"/>
    </xf>
    <xf numFmtId="0" fontId="23" fillId="0" borderId="2" xfId="0" applyFont="1" applyBorder="1" applyAlignment="1">
      <alignment horizontal="left" vertical="top" wrapText="1"/>
    </xf>
    <xf numFmtId="0" fontId="52" fillId="0" borderId="0" xfId="0" applyFont="1" applyAlignment="1">
      <alignment vertical="top" wrapText="1"/>
    </xf>
    <xf numFmtId="0" fontId="0" fillId="0" borderId="0" xfId="0" applyAlignment="1">
      <alignment vertical="top" wrapText="1"/>
    </xf>
    <xf numFmtId="0" fontId="23" fillId="0" borderId="0" xfId="0" applyFont="1" applyAlignment="1">
      <alignment vertical="top" wrapText="1"/>
    </xf>
    <xf numFmtId="0" fontId="23" fillId="0" borderId="6" xfId="0" applyFont="1" applyBorder="1" applyAlignment="1">
      <alignment horizontal="right" vertical="top" wrapText="1"/>
    </xf>
    <xf numFmtId="0" fontId="33" fillId="5" borderId="3" xfId="543" applyFont="1" applyFill="1" applyBorder="1" applyAlignment="1" applyProtection="1">
      <alignment horizontal="center"/>
      <protection locked="0"/>
    </xf>
    <xf numFmtId="0" fontId="33" fillId="5" borderId="5" xfId="543" applyFont="1" applyFill="1" applyBorder="1" applyAlignment="1" applyProtection="1">
      <alignment horizontal="center"/>
      <protection locked="0"/>
    </xf>
    <xf numFmtId="0" fontId="166" fillId="0" borderId="8" xfId="543" applyFont="1" applyBorder="1" applyAlignment="1">
      <alignment horizontal="center" vertical="center" wrapText="1"/>
    </xf>
    <xf numFmtId="0" fontId="166" fillId="0" borderId="0" xfId="543" applyFont="1" applyAlignment="1">
      <alignment horizontal="center" vertical="center" wrapText="1"/>
    </xf>
    <xf numFmtId="0" fontId="166" fillId="0" borderId="12" xfId="543" applyFont="1" applyBorder="1" applyAlignment="1">
      <alignment horizontal="center" vertical="center" wrapText="1"/>
    </xf>
    <xf numFmtId="168" fontId="14" fillId="0" borderId="1" xfId="543" applyNumberFormat="1" applyBorder="1" applyAlignment="1">
      <alignment horizontal="center" vertical="center"/>
    </xf>
    <xf numFmtId="168" fontId="14" fillId="0" borderId="2" xfId="543" applyNumberFormat="1" applyBorder="1" applyAlignment="1">
      <alignment horizontal="center" vertical="center"/>
    </xf>
    <xf numFmtId="168" fontId="14" fillId="0" borderId="7" xfId="543" applyNumberFormat="1" applyBorder="1" applyAlignment="1">
      <alignment horizontal="center" vertical="center"/>
    </xf>
    <xf numFmtId="168" fontId="14" fillId="0" borderId="8" xfId="543" applyNumberFormat="1" applyBorder="1" applyAlignment="1">
      <alignment horizontal="center" vertical="center"/>
    </xf>
    <xf numFmtId="168" fontId="14" fillId="0" borderId="0" xfId="543" applyNumberFormat="1" applyAlignment="1">
      <alignment horizontal="center" vertical="center"/>
    </xf>
    <xf numFmtId="168" fontId="14" fillId="0" borderId="12" xfId="543" applyNumberFormat="1" applyBorder="1" applyAlignment="1">
      <alignment horizontal="center" vertical="center"/>
    </xf>
    <xf numFmtId="168" fontId="14" fillId="0" borderId="9" xfId="543" applyNumberFormat="1" applyBorder="1" applyAlignment="1">
      <alignment horizontal="center" vertical="center"/>
    </xf>
    <xf numFmtId="168" fontId="14" fillId="0" borderId="6" xfId="543" applyNumberFormat="1" applyBorder="1" applyAlignment="1">
      <alignment horizontal="center" vertical="center"/>
    </xf>
    <xf numFmtId="168" fontId="14" fillId="0" borderId="10" xfId="543" applyNumberFormat="1" applyBorder="1" applyAlignment="1">
      <alignment horizontal="center" vertical="center"/>
    </xf>
    <xf numFmtId="0" fontId="23" fillId="5" borderId="3" xfId="0" applyFont="1" applyFill="1" applyBorder="1" applyAlignment="1" applyProtection="1">
      <alignment horizontal="center"/>
      <protection locked="0"/>
    </xf>
    <xf numFmtId="0" fontId="23" fillId="5" borderId="4" xfId="0" applyFont="1" applyFill="1" applyBorder="1" applyAlignment="1" applyProtection="1">
      <alignment horizontal="center"/>
      <protection locked="0"/>
    </xf>
    <xf numFmtId="0" fontId="23" fillId="5" borderId="5" xfId="0" applyFont="1" applyFill="1" applyBorder="1" applyAlignment="1" applyProtection="1">
      <alignment horizontal="center"/>
      <protection locked="0"/>
    </xf>
    <xf numFmtId="0" fontId="21" fillId="0" borderId="8" xfId="543" applyFont="1" applyBorder="1" applyAlignment="1">
      <alignment horizontal="left" vertical="center" wrapText="1"/>
    </xf>
    <xf numFmtId="0" fontId="21" fillId="0" borderId="0" xfId="543" applyFont="1" applyAlignment="1">
      <alignment horizontal="left" vertical="center" wrapText="1"/>
    </xf>
    <xf numFmtId="0" fontId="21" fillId="0" borderId="12" xfId="543" applyFont="1" applyBorder="1" applyAlignment="1">
      <alignment horizontal="left" vertical="center" wrapText="1"/>
    </xf>
    <xf numFmtId="0" fontId="14" fillId="0" borderId="8" xfId="0" applyFont="1" applyBorder="1" applyAlignment="1">
      <alignment horizontal="left" wrapText="1"/>
    </xf>
    <xf numFmtId="0" fontId="14" fillId="0" borderId="12" xfId="0" applyFont="1" applyBorder="1" applyAlignment="1">
      <alignment horizontal="left" wrapText="1"/>
    </xf>
    <xf numFmtId="0" fontId="14" fillId="0" borderId="9" xfId="0" applyFont="1" applyBorder="1" applyAlignment="1">
      <alignment horizontal="left" wrapText="1"/>
    </xf>
    <xf numFmtId="0" fontId="14" fillId="0" borderId="6" xfId="0" applyFont="1" applyBorder="1" applyAlignment="1">
      <alignment horizontal="left" wrapText="1"/>
    </xf>
    <xf numFmtId="0" fontId="14" fillId="0" borderId="10" xfId="0" applyFont="1" applyBorder="1" applyAlignment="1">
      <alignment horizontal="left" wrapText="1"/>
    </xf>
    <xf numFmtId="168" fontId="14" fillId="10" borderId="3" xfId="543" applyNumberFormat="1" applyFill="1" applyBorder="1" applyAlignment="1">
      <alignment horizontal="center"/>
    </xf>
    <xf numFmtId="168" fontId="14" fillId="10" borderId="4" xfId="543" applyNumberFormat="1" applyFill="1" applyBorder="1" applyAlignment="1">
      <alignment horizontal="center"/>
    </xf>
    <xf numFmtId="168" fontId="14" fillId="10" borderId="5" xfId="543" applyNumberFormat="1" applyFill="1" applyBorder="1" applyAlignment="1">
      <alignment horizontal="center"/>
    </xf>
    <xf numFmtId="0" fontId="34" fillId="0" borderId="1" xfId="543" applyFont="1" applyBorder="1" applyAlignment="1">
      <alignment horizontal="right"/>
    </xf>
    <xf numFmtId="0" fontId="34" fillId="0" borderId="2" xfId="543" applyFont="1" applyBorder="1" applyAlignment="1">
      <alignment horizontal="right"/>
    </xf>
    <xf numFmtId="0" fontId="34" fillId="0" borderId="7" xfId="543" applyFont="1" applyBorder="1" applyAlignment="1">
      <alignment horizontal="right"/>
    </xf>
    <xf numFmtId="168" fontId="14" fillId="0" borderId="11" xfId="543" applyNumberFormat="1" applyBorder="1" applyAlignment="1">
      <alignment horizontal="center"/>
    </xf>
    <xf numFmtId="0" fontId="35" fillId="0" borderId="3" xfId="543" applyFont="1" applyBorder="1" applyAlignment="1">
      <alignment horizontal="center"/>
    </xf>
    <xf numFmtId="0" fontId="35" fillId="0" borderId="4" xfId="543" applyFont="1" applyBorder="1" applyAlignment="1">
      <alignment horizontal="center"/>
    </xf>
    <xf numFmtId="0" fontId="35" fillId="0" borderId="5" xfId="543" applyFont="1" applyBorder="1" applyAlignment="1">
      <alignment horizontal="center"/>
    </xf>
    <xf numFmtId="1" fontId="14" fillId="0" borderId="3" xfId="543" applyNumberFormat="1" applyBorder="1" applyAlignment="1">
      <alignment horizontal="center"/>
    </xf>
    <xf numFmtId="1" fontId="14" fillId="0" borderId="4" xfId="543" applyNumberFormat="1" applyBorder="1" applyAlignment="1">
      <alignment horizontal="center"/>
    </xf>
    <xf numFmtId="1" fontId="14" fillId="0" borderId="5" xfId="543" applyNumberFormat="1" applyBorder="1" applyAlignment="1">
      <alignment horizontal="center"/>
    </xf>
    <xf numFmtId="0" fontId="14" fillId="0" borderId="3" xfId="543" applyBorder="1" applyAlignment="1">
      <alignment horizontal="center"/>
    </xf>
    <xf numFmtId="0" fontId="14" fillId="0" borderId="4" xfId="543" applyBorder="1" applyAlignment="1">
      <alignment horizontal="center"/>
    </xf>
    <xf numFmtId="0" fontId="14" fillId="0" borderId="5" xfId="543" applyBorder="1" applyAlignment="1">
      <alignment horizontal="center"/>
    </xf>
    <xf numFmtId="182" fontId="22" fillId="43" borderId="11" xfId="8722" applyNumberFormat="1" applyFont="1" applyFill="1" applyBorder="1" applyAlignment="1" applyProtection="1">
      <alignment horizontal="center" vertical="center" wrapText="1"/>
      <protection locked="0"/>
    </xf>
    <xf numFmtId="9" fontId="23" fillId="5" borderId="3" xfId="0" applyNumberFormat="1" applyFont="1" applyFill="1" applyBorder="1" applyAlignment="1" applyProtection="1">
      <alignment horizontal="center"/>
      <protection locked="0"/>
    </xf>
    <xf numFmtId="9" fontId="23" fillId="5" borderId="4" xfId="0" applyNumberFormat="1" applyFont="1" applyFill="1" applyBorder="1" applyAlignment="1" applyProtection="1">
      <alignment horizontal="center"/>
      <protection locked="0"/>
    </xf>
    <xf numFmtId="9" fontId="23" fillId="5" borderId="5" xfId="0" applyNumberFormat="1" applyFont="1" applyFill="1" applyBorder="1" applyAlignment="1" applyProtection="1">
      <alignment horizontal="center"/>
      <protection locked="0"/>
    </xf>
    <xf numFmtId="0" fontId="23" fillId="0" borderId="11" xfId="0" applyFont="1" applyBorder="1" applyAlignment="1">
      <alignment horizontal="center" vertical="top"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23" fillId="5" borderId="3" xfId="0" applyNumberFormat="1" applyFont="1" applyFill="1" applyBorder="1" applyAlignment="1" applyProtection="1">
      <alignment horizontal="center"/>
      <protection locked="0"/>
    </xf>
    <xf numFmtId="168" fontId="23" fillId="5" borderId="4" xfId="0" applyNumberFormat="1" applyFont="1" applyFill="1" applyBorder="1" applyAlignment="1" applyProtection="1">
      <alignment horizontal="center"/>
      <protection locked="0"/>
    </xf>
    <xf numFmtId="168" fontId="23"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1" fillId="0" borderId="6" xfId="0" applyFont="1" applyBorder="1" applyAlignment="1">
      <alignment horizontal="center"/>
    </xf>
    <xf numFmtId="0" fontId="20" fillId="3" borderId="0" xfId="0" applyFont="1" applyFill="1" applyAlignment="1">
      <alignment horizontal="center" vertical="center"/>
    </xf>
    <xf numFmtId="168" fontId="14" fillId="5" borderId="3" xfId="0" applyNumberFormat="1" applyFont="1" applyFill="1" applyBorder="1" applyAlignment="1" applyProtection="1">
      <alignment horizontal="right"/>
      <protection locked="0"/>
    </xf>
    <xf numFmtId="168" fontId="14" fillId="5" borderId="4" xfId="0" applyNumberFormat="1" applyFont="1" applyFill="1" applyBorder="1" applyAlignment="1" applyProtection="1">
      <alignment horizontal="right"/>
      <protection locked="0"/>
    </xf>
    <xf numFmtId="168" fontId="14"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4" fillId="5" borderId="11" xfId="0" applyFont="1" applyFill="1" applyBorder="1" applyAlignment="1" applyProtection="1">
      <alignment horizontal="left" wrapText="1"/>
      <protection locked="0"/>
    </xf>
    <xf numFmtId="0" fontId="175" fillId="0" borderId="8" xfId="543" applyFont="1" applyBorder="1" applyAlignment="1">
      <alignment horizontal="center" wrapText="1"/>
    </xf>
    <xf numFmtId="0" fontId="175" fillId="0" borderId="0" xfId="543" applyFont="1" applyAlignment="1">
      <alignment horizontal="center" wrapText="1"/>
    </xf>
    <xf numFmtId="0" fontId="175" fillId="0" borderId="12" xfId="543" applyFont="1" applyBorder="1" applyAlignment="1">
      <alignment horizontal="center" wrapText="1"/>
    </xf>
    <xf numFmtId="0" fontId="175" fillId="0" borderId="9" xfId="543" applyFont="1" applyBorder="1" applyAlignment="1">
      <alignment horizontal="center" wrapText="1"/>
    </xf>
    <xf numFmtId="0" fontId="175" fillId="0" borderId="6" xfId="543" applyFont="1" applyBorder="1" applyAlignment="1">
      <alignment horizontal="center" wrapText="1"/>
    </xf>
    <xf numFmtId="0" fontId="175" fillId="0" borderId="10" xfId="543" applyFont="1" applyBorder="1" applyAlignment="1">
      <alignment horizontal="center" wrapText="1"/>
    </xf>
    <xf numFmtId="0" fontId="175" fillId="0" borderId="8" xfId="543" applyFont="1" applyBorder="1" applyAlignment="1">
      <alignment horizontal="center" vertical="top" wrapText="1"/>
    </xf>
    <xf numFmtId="0" fontId="175" fillId="0" borderId="0" xfId="543" applyFont="1" applyAlignment="1">
      <alignment horizontal="center" vertical="top" wrapText="1"/>
    </xf>
    <xf numFmtId="0" fontId="175" fillId="0" borderId="12" xfId="543" applyFont="1" applyBorder="1" applyAlignment="1">
      <alignment horizontal="center" vertical="top" wrapText="1"/>
    </xf>
    <xf numFmtId="0" fontId="175" fillId="0" borderId="9" xfId="543" applyFont="1" applyBorder="1" applyAlignment="1">
      <alignment horizontal="center" vertical="top" wrapText="1"/>
    </xf>
    <xf numFmtId="0" fontId="175" fillId="0" borderId="6" xfId="543" applyFont="1" applyBorder="1" applyAlignment="1">
      <alignment horizontal="center" vertical="top" wrapText="1"/>
    </xf>
    <xf numFmtId="0" fontId="175" fillId="0" borderId="10" xfId="543" applyFont="1" applyBorder="1" applyAlignment="1">
      <alignment horizontal="center" vertical="top" wrapText="1"/>
    </xf>
    <xf numFmtId="0" fontId="170" fillId="0" borderId="0" xfId="0" applyFont="1" applyAlignment="1">
      <alignment horizontal="center" vertical="center" wrapText="1"/>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65" fontId="23" fillId="0" borderId="1" xfId="0" applyNumberFormat="1" applyFont="1" applyBorder="1" applyAlignment="1">
      <alignment horizontal="right"/>
    </xf>
    <xf numFmtId="165" fontId="23" fillId="0" borderId="2" xfId="0" applyNumberFormat="1" applyFont="1" applyBorder="1" applyAlignment="1">
      <alignment horizontal="right"/>
    </xf>
    <xf numFmtId="165" fontId="23" fillId="0" borderId="7" xfId="0" applyNumberFormat="1" applyFont="1" applyBorder="1" applyAlignment="1">
      <alignment horizontal="right"/>
    </xf>
    <xf numFmtId="0" fontId="14" fillId="0" borderId="8" xfId="543" applyBorder="1" applyAlignment="1">
      <alignment horizontal="left" vertical="center" wrapText="1"/>
    </xf>
    <xf numFmtId="0" fontId="14" fillId="0" borderId="0" xfId="543" applyAlignment="1">
      <alignment horizontal="left" vertical="center" wrapText="1"/>
    </xf>
    <xf numFmtId="0" fontId="14" fillId="0" borderId="12" xfId="543" applyBorder="1" applyAlignment="1">
      <alignment horizontal="left" vertical="center" wrapText="1"/>
    </xf>
    <xf numFmtId="0" fontId="14" fillId="0" borderId="9" xfId="543" applyBorder="1" applyAlignment="1">
      <alignment horizontal="left" vertical="center" wrapText="1"/>
    </xf>
    <xf numFmtId="0" fontId="14" fillId="0" borderId="6" xfId="543" applyBorder="1" applyAlignment="1">
      <alignment horizontal="left" vertical="center" wrapText="1"/>
    </xf>
    <xf numFmtId="0" fontId="14" fillId="0" borderId="10" xfId="543" applyBorder="1" applyAlignment="1">
      <alignment horizontal="left" vertical="center" wrapText="1"/>
    </xf>
    <xf numFmtId="3" fontId="42" fillId="10" borderId="0" xfId="543" applyNumberFormat="1" applyFont="1" applyFill="1" applyAlignment="1">
      <alignment horizontal="left" vertical="center" wrapText="1"/>
    </xf>
    <xf numFmtId="168" fontId="170" fillId="0" borderId="0" xfId="0" applyNumberFormat="1" applyFont="1" applyAlignment="1">
      <alignment horizontal="center" vertical="center" wrapText="1"/>
    </xf>
    <xf numFmtId="0" fontId="14" fillId="5" borderId="11" xfId="0" applyFont="1" applyFill="1" applyBorder="1" applyAlignment="1" applyProtection="1">
      <alignment vertical="center" wrapText="1"/>
      <protection locked="0"/>
    </xf>
    <xf numFmtId="0" fontId="21" fillId="0" borderId="11" xfId="0" applyFont="1" applyBorder="1" applyAlignment="1">
      <alignment horizontal="center" vertical="center"/>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23" fillId="5" borderId="3" xfId="0" applyNumberFormat="1" applyFont="1" applyFill="1" applyBorder="1" applyAlignment="1" applyProtection="1">
      <alignment horizontal="right" vertical="top"/>
      <protection locked="0"/>
    </xf>
    <xf numFmtId="1" fontId="23" fillId="5" borderId="4" xfId="0" applyNumberFormat="1" applyFont="1" applyFill="1" applyBorder="1" applyAlignment="1" applyProtection="1">
      <alignment horizontal="right" vertical="top"/>
      <protection locked="0"/>
    </xf>
    <xf numFmtId="1" fontId="23" fillId="5" borderId="5" xfId="0" applyNumberFormat="1" applyFont="1" applyFill="1" applyBorder="1" applyAlignment="1" applyProtection="1">
      <alignment horizontal="right" vertical="top"/>
      <protection locked="0"/>
    </xf>
    <xf numFmtId="0" fontId="0" fillId="5" borderId="6"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0" fontId="52" fillId="0" borderId="1" xfId="0" applyFont="1" applyBorder="1" applyAlignment="1">
      <alignment horizontal="center" vertical="center" wrapText="1"/>
    </xf>
    <xf numFmtId="0" fontId="52" fillId="0" borderId="2" xfId="0" applyFont="1" applyBorder="1" applyAlignment="1">
      <alignment horizontal="center" vertical="center" wrapText="1"/>
    </xf>
    <xf numFmtId="0" fontId="52" fillId="0" borderId="7" xfId="0" applyFont="1" applyBorder="1" applyAlignment="1">
      <alignment horizontal="center" vertical="center" wrapText="1"/>
    </xf>
    <xf numFmtId="0" fontId="52" fillId="0" borderId="8" xfId="0" applyFont="1" applyBorder="1" applyAlignment="1">
      <alignment horizontal="center" vertical="center" wrapText="1"/>
    </xf>
    <xf numFmtId="0" fontId="52" fillId="0" borderId="0" xfId="0" applyFont="1" applyAlignment="1">
      <alignment horizontal="center" vertical="center" wrapText="1"/>
    </xf>
    <xf numFmtId="0" fontId="52" fillId="0" borderId="12" xfId="0" applyFont="1" applyBorder="1" applyAlignment="1">
      <alignment horizontal="center" vertical="center" wrapText="1"/>
    </xf>
    <xf numFmtId="0" fontId="52" fillId="0" borderId="9" xfId="0" applyFont="1" applyBorder="1" applyAlignment="1">
      <alignment horizontal="center" vertical="center" wrapText="1"/>
    </xf>
    <xf numFmtId="0" fontId="52" fillId="0" borderId="6" xfId="0" applyFont="1" applyBorder="1" applyAlignment="1">
      <alignment horizontal="center" vertical="center" wrapText="1"/>
    </xf>
    <xf numFmtId="0" fontId="52" fillId="0" borderId="10" xfId="0" applyFont="1" applyBorder="1" applyAlignment="1">
      <alignment horizontal="center" vertical="center" wrapText="1"/>
    </xf>
    <xf numFmtId="2" fontId="0" fillId="0" borderId="6" xfId="0" applyNumberFormat="1" applyBorder="1" applyAlignment="1">
      <alignment horizontal="center"/>
    </xf>
    <xf numFmtId="0" fontId="23" fillId="5" borderId="6" xfId="0" applyFont="1" applyFill="1" applyBorder="1" applyAlignment="1" applyProtection="1">
      <alignment horizontal="left"/>
      <protection locked="0"/>
    </xf>
    <xf numFmtId="166" fontId="23" fillId="5" borderId="4" xfId="0" applyNumberFormat="1" applyFont="1" applyFill="1" applyBorder="1" applyAlignment="1" applyProtection="1">
      <alignment horizontal="left"/>
      <protection locked="0"/>
    </xf>
    <xf numFmtId="0" fontId="0" fillId="0" borderId="6" xfId="0" applyBorder="1" applyAlignment="1">
      <alignment horizontal="left"/>
    </xf>
    <xf numFmtId="180" fontId="22" fillId="43" borderId="3" xfId="0" applyNumberFormat="1" applyFont="1" applyFill="1" applyBorder="1" applyAlignment="1" applyProtection="1">
      <alignment horizontal="center" vertical="center"/>
      <protection locked="0"/>
    </xf>
    <xf numFmtId="180" fontId="22" fillId="43" borderId="4" xfId="0" applyNumberFormat="1" applyFont="1" applyFill="1" applyBorder="1" applyAlignment="1" applyProtection="1">
      <alignment horizontal="center" vertical="center"/>
      <protection locked="0"/>
    </xf>
    <xf numFmtId="180" fontId="22" fillId="43" borderId="5" xfId="0" applyNumberFormat="1" applyFont="1" applyFill="1" applyBorder="1" applyAlignment="1" applyProtection="1">
      <alignment horizontal="center" vertical="center"/>
      <protection locked="0"/>
    </xf>
    <xf numFmtId="0" fontId="47" fillId="0" borderId="0" xfId="0" applyFont="1" applyAlignment="1">
      <alignment horizontal="center"/>
    </xf>
    <xf numFmtId="0" fontId="14" fillId="0" borderId="0" xfId="0" applyFont="1" applyAlignment="1">
      <alignment horizontal="center"/>
    </xf>
    <xf numFmtId="0" fontId="29" fillId="0" borderId="0" xfId="0" applyFont="1" applyAlignment="1">
      <alignment horizontal="center"/>
    </xf>
    <xf numFmtId="0" fontId="14" fillId="0" borderId="0" xfId="0" applyFont="1" applyAlignment="1">
      <alignment wrapText="1"/>
    </xf>
    <xf numFmtId="0" fontId="14" fillId="0" borderId="0" xfId="0" applyFont="1" applyAlignment="1">
      <alignment horizontal="center" vertical="top"/>
    </xf>
    <xf numFmtId="0" fontId="23" fillId="0" borderId="0" xfId="0" applyFont="1" applyAlignment="1">
      <alignment horizontal="left" vertical="top" wrapText="1"/>
    </xf>
    <xf numFmtId="0" fontId="14" fillId="5" borderId="6" xfId="0" applyFont="1" applyFill="1" applyBorder="1" applyAlignment="1" applyProtection="1">
      <alignment horizontal="left"/>
      <protection locked="0"/>
    </xf>
    <xf numFmtId="0" fontId="14" fillId="5" borderId="6" xfId="569" applyFill="1" applyBorder="1" applyAlignment="1" applyProtection="1">
      <alignment horizontal="left" wrapText="1"/>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left"/>
      <protection locked="0"/>
    </xf>
    <xf numFmtId="175" fontId="0" fillId="5" borderId="4" xfId="0" applyNumberFormat="1" applyFill="1" applyBorder="1" applyAlignment="1" applyProtection="1">
      <alignment horizontal="left" vertical="center" wrapText="1"/>
      <protection locked="0"/>
    </xf>
    <xf numFmtId="166" fontId="14" fillId="5" borderId="4" xfId="0" applyNumberFormat="1" applyFont="1" applyFill="1" applyBorder="1" applyAlignment="1" applyProtection="1">
      <alignment horizontal="left"/>
      <protection locked="0"/>
    </xf>
    <xf numFmtId="0" fontId="23" fillId="5" borderId="4" xfId="0" applyFont="1"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21" fillId="0" borderId="11" xfId="0" applyNumberFormat="1" applyFont="1" applyBorder="1" applyAlignment="1">
      <alignment horizontal="center" vertical="center" wrapText="1"/>
    </xf>
    <xf numFmtId="0" fontId="21" fillId="0" borderId="11" xfId="0" applyFont="1" applyBorder="1" applyAlignment="1">
      <alignment horizontal="center" vertical="center" wrapText="1"/>
    </xf>
    <xf numFmtId="0" fontId="23" fillId="5" borderId="4" xfId="0" applyFont="1" applyFill="1" applyBorder="1" applyAlignment="1" applyProtection="1">
      <alignment wrapText="1"/>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4" fillId="43" borderId="3" xfId="0" applyNumberFormat="1" applyFont="1" applyFill="1" applyBorder="1" applyAlignment="1" applyProtection="1">
      <alignment horizontal="center"/>
      <protection locked="0"/>
    </xf>
    <xf numFmtId="175" fontId="14" fillId="43" borderId="4" xfId="0" applyNumberFormat="1" applyFont="1" applyFill="1" applyBorder="1" applyAlignment="1" applyProtection="1">
      <alignment horizontal="center"/>
      <protection locked="0"/>
    </xf>
    <xf numFmtId="175" fontId="14" fillId="43" borderId="5" xfId="0" applyNumberFormat="1" applyFont="1" applyFill="1" applyBorder="1" applyAlignment="1" applyProtection="1">
      <alignment horizontal="center"/>
      <protection locked="0"/>
    </xf>
    <xf numFmtId="0" fontId="21" fillId="0" borderId="2"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0" xfId="0" applyFont="1" applyAlignment="1">
      <alignment horizontal="center" vertical="center" wrapText="1"/>
    </xf>
    <xf numFmtId="0" fontId="21" fillId="0" borderId="12" xfId="0" applyFont="1" applyBorder="1" applyAlignment="1">
      <alignment horizontal="center" vertical="center" wrapText="1"/>
    </xf>
    <xf numFmtId="0" fontId="21" fillId="0" borderId="6" xfId="0" applyFont="1" applyBorder="1" applyAlignment="1">
      <alignment horizontal="center" vertical="center" wrapText="1"/>
    </xf>
    <xf numFmtId="0" fontId="21" fillId="0" borderId="10" xfId="0" applyFont="1" applyBorder="1" applyAlignment="1">
      <alignment horizontal="center" vertical="center" wrapText="1"/>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0" fontId="14" fillId="0" borderId="1" xfId="0" applyFont="1" applyBorder="1" applyAlignment="1">
      <alignment horizontal="center" vertical="top" wrapText="1"/>
    </xf>
    <xf numFmtId="0" fontId="23" fillId="0" borderId="2" xfId="0" applyFont="1" applyBorder="1" applyAlignment="1">
      <alignment horizontal="center" vertical="top" wrapText="1"/>
    </xf>
    <xf numFmtId="0" fontId="23" fillId="0" borderId="7" xfId="0" applyFont="1" applyBorder="1" applyAlignment="1">
      <alignment horizontal="center" vertical="top" wrapText="1"/>
    </xf>
    <xf numFmtId="0" fontId="23" fillId="0" borderId="8" xfId="0" applyFont="1" applyBorder="1" applyAlignment="1">
      <alignment horizontal="center" vertical="top" wrapText="1"/>
    </xf>
    <xf numFmtId="0" fontId="23" fillId="0" borderId="0" xfId="0" applyFont="1" applyAlignment="1">
      <alignment horizontal="center" vertical="top" wrapText="1"/>
    </xf>
    <xf numFmtId="0" fontId="23" fillId="0" borderId="12" xfId="0" applyFont="1" applyBorder="1" applyAlignment="1">
      <alignment horizontal="center" vertical="top" wrapText="1"/>
    </xf>
    <xf numFmtId="0" fontId="23" fillId="0" borderId="9" xfId="0" applyFont="1" applyBorder="1" applyAlignment="1">
      <alignment horizontal="center" vertical="top" wrapText="1"/>
    </xf>
    <xf numFmtId="0" fontId="23" fillId="0" borderId="6" xfId="0" applyFont="1" applyBorder="1" applyAlignment="1">
      <alignment horizontal="center" vertical="top" wrapText="1"/>
    </xf>
    <xf numFmtId="0" fontId="23" fillId="0" borderId="10" xfId="0" applyFont="1" applyBorder="1" applyAlignment="1">
      <alignment horizontal="center" vertical="top" wrapText="1"/>
    </xf>
    <xf numFmtId="14" fontId="0" fillId="5" borderId="4" xfId="0" applyNumberFormat="1" applyFill="1" applyBorder="1" applyAlignment="1" applyProtection="1">
      <alignment horizontal="center"/>
      <protection locked="0"/>
    </xf>
    <xf numFmtId="0" fontId="23" fillId="0" borderId="1" xfId="0" applyFont="1" applyBorder="1" applyAlignment="1">
      <alignment horizontal="center" vertical="top" wrapText="1"/>
    </xf>
    <xf numFmtId="0" fontId="37" fillId="0" borderId="3" xfId="0" applyFont="1" applyBorder="1" applyAlignment="1">
      <alignment horizontal="center"/>
    </xf>
    <xf numFmtId="0" fontId="37" fillId="0" borderId="4" xfId="0" applyFont="1" applyBorder="1" applyAlignment="1">
      <alignment horizontal="center"/>
    </xf>
    <xf numFmtId="0" fontId="37" fillId="0" borderId="5" xfId="0" applyFont="1" applyBorder="1" applyAlignment="1">
      <alignment horizontal="center"/>
    </xf>
    <xf numFmtId="0" fontId="0" fillId="0" borderId="11" xfId="0" applyBorder="1" applyAlignment="1">
      <alignment horizontal="center"/>
    </xf>
    <xf numFmtId="168" fontId="23" fillId="0" borderId="3" xfId="0" applyNumberFormat="1" applyFont="1" applyBorder="1" applyAlignment="1">
      <alignment horizontal="center"/>
    </xf>
    <xf numFmtId="168" fontId="23" fillId="0" borderId="4" xfId="0" applyNumberFormat="1" applyFont="1" applyBorder="1" applyAlignment="1">
      <alignment horizontal="center"/>
    </xf>
    <xf numFmtId="168" fontId="23" fillId="0" borderId="5" xfId="0" applyNumberFormat="1" applyFont="1" applyBorder="1" applyAlignment="1">
      <alignment horizontal="center"/>
    </xf>
    <xf numFmtId="14" fontId="0" fillId="5" borderId="6" xfId="0" applyNumberFormat="1" applyFill="1" applyBorder="1" applyAlignment="1" applyProtection="1">
      <alignment horizontal="center"/>
      <protection locked="0"/>
    </xf>
    <xf numFmtId="0" fontId="23" fillId="45" borderId="3" xfId="0" applyFont="1" applyFill="1" applyBorder="1" applyAlignment="1">
      <alignment horizontal="center"/>
    </xf>
    <xf numFmtId="0" fontId="23" fillId="45" borderId="4" xfId="0" applyFont="1" applyFill="1" applyBorder="1" applyAlignment="1">
      <alignment horizontal="center"/>
    </xf>
    <xf numFmtId="0" fontId="23" fillId="45" borderId="5" xfId="0" applyFont="1" applyFill="1" applyBorder="1" applyAlignment="1">
      <alignment horizontal="center"/>
    </xf>
    <xf numFmtId="0" fontId="14" fillId="0" borderId="3" xfId="0" applyFont="1" applyBorder="1" applyAlignment="1">
      <alignment horizontal="center"/>
    </xf>
    <xf numFmtId="0" fontId="14" fillId="0" borderId="4" xfId="0" applyFont="1" applyBorder="1" applyAlignment="1">
      <alignment horizontal="center"/>
    </xf>
    <xf numFmtId="0" fontId="14" fillId="0" borderId="5" xfId="0" applyFont="1" applyBorder="1" applyAlignment="1">
      <alignment horizontal="center"/>
    </xf>
    <xf numFmtId="0" fontId="23" fillId="45" borderId="11" xfId="0" applyFont="1" applyFill="1" applyBorder="1" applyAlignment="1">
      <alignment horizontal="center"/>
    </xf>
    <xf numFmtId="0" fontId="23" fillId="0" borderId="11" xfId="0" applyFont="1" applyBorder="1" applyAlignment="1">
      <alignment horizontal="center"/>
    </xf>
    <xf numFmtId="0" fontId="23" fillId="2" borderId="11" xfId="0" applyFont="1" applyFill="1" applyBorder="1" applyAlignment="1">
      <alignment horizontal="center"/>
    </xf>
    <xf numFmtId="0" fontId="14" fillId="0" borderId="11"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23" fillId="0" borderId="3" xfId="0" applyFont="1" applyBorder="1" applyAlignment="1">
      <alignment horizontal="center"/>
    </xf>
    <xf numFmtId="0" fontId="23" fillId="0" borderId="5"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4" fillId="0" borderId="11" xfId="543" applyBorder="1" applyAlignment="1">
      <alignment horizontal="center"/>
    </xf>
    <xf numFmtId="0" fontId="14" fillId="0" borderId="8" xfId="543" applyBorder="1" applyAlignment="1">
      <alignment horizontal="left" vertical="top" wrapText="1"/>
    </xf>
    <xf numFmtId="0" fontId="14" fillId="0" borderId="0" xfId="543" applyAlignment="1">
      <alignment horizontal="left" vertical="top" wrapText="1"/>
    </xf>
    <xf numFmtId="0" fontId="14" fillId="0" borderId="12" xfId="543" applyBorder="1" applyAlignment="1">
      <alignment horizontal="left" vertical="top" wrapText="1"/>
    </xf>
    <xf numFmtId="0" fontId="22" fillId="5" borderId="3" xfId="543" applyFont="1"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14" fillId="2" borderId="3" xfId="543" applyFill="1" applyBorder="1" applyAlignment="1">
      <alignment horizontal="center"/>
    </xf>
    <xf numFmtId="0" fontId="14" fillId="2" borderId="4" xfId="543" applyFill="1" applyBorder="1" applyAlignment="1">
      <alignment horizontal="center"/>
    </xf>
    <xf numFmtId="0" fontId="14" fillId="2" borderId="5" xfId="543" applyFill="1" applyBorder="1" applyAlignment="1">
      <alignment horizontal="center"/>
    </xf>
    <xf numFmtId="0" fontId="21" fillId="10" borderId="3" xfId="543" applyFont="1" applyFill="1" applyBorder="1" applyAlignment="1">
      <alignment horizontal="center"/>
    </xf>
    <xf numFmtId="0" fontId="21" fillId="10" borderId="4" xfId="543" applyFont="1" applyFill="1" applyBorder="1" applyAlignment="1">
      <alignment horizontal="center"/>
    </xf>
    <xf numFmtId="0" fontId="21" fillId="10" borderId="5" xfId="543" applyFont="1" applyFill="1" applyBorder="1" applyAlignment="1">
      <alignment horizontal="center"/>
    </xf>
    <xf numFmtId="0" fontId="33" fillId="5" borderId="3" xfId="543" applyFont="1" applyFill="1" applyBorder="1" applyAlignment="1" applyProtection="1">
      <alignment horizontal="center" vertical="top"/>
      <protection locked="0"/>
    </xf>
    <xf numFmtId="0" fontId="33" fillId="5" borderId="5" xfId="543" applyFont="1" applyFill="1" applyBorder="1" applyAlignment="1" applyProtection="1">
      <alignment horizontal="center" vertical="top"/>
      <protection locked="0"/>
    </xf>
    <xf numFmtId="0" fontId="21" fillId="0" borderId="1" xfId="543" applyFont="1" applyBorder="1" applyAlignment="1">
      <alignment horizontal="left" vertical="center" wrapText="1"/>
    </xf>
    <xf numFmtId="0" fontId="21" fillId="0" borderId="2" xfId="543" applyFont="1" applyBorder="1" applyAlignment="1">
      <alignment horizontal="left" vertical="center" wrapText="1"/>
    </xf>
    <xf numFmtId="0" fontId="21" fillId="0" borderId="7" xfId="543" applyFont="1" applyBorder="1" applyAlignment="1">
      <alignment horizontal="left" vertical="center" wrapText="1"/>
    </xf>
    <xf numFmtId="0" fontId="14" fillId="0" borderId="9" xfId="543" applyBorder="1" applyAlignment="1">
      <alignment horizontal="left" vertical="top" wrapText="1"/>
    </xf>
    <xf numFmtId="0" fontId="14" fillId="0" borderId="6" xfId="543" applyBorder="1" applyAlignment="1">
      <alignment horizontal="left" vertical="top" wrapText="1"/>
    </xf>
    <xf numFmtId="0" fontId="14" fillId="0" borderId="10" xfId="543" applyBorder="1" applyAlignment="1">
      <alignment horizontal="left" vertical="top" wrapText="1"/>
    </xf>
    <xf numFmtId="0" fontId="41" fillId="0" borderId="8" xfId="543" applyFont="1" applyBorder="1" applyAlignment="1">
      <alignment horizontal="center" vertical="center" wrapText="1"/>
    </xf>
    <xf numFmtId="0" fontId="41" fillId="0" borderId="0" xfId="543" applyFont="1" applyAlignment="1">
      <alignment horizontal="center" vertical="center" wrapText="1"/>
    </xf>
    <xf numFmtId="0" fontId="41" fillId="0" borderId="12" xfId="543" applyFont="1" applyBorder="1" applyAlignment="1">
      <alignment horizontal="center" vertical="center" wrapText="1"/>
    </xf>
    <xf numFmtId="0" fontId="21" fillId="0" borderId="1" xfId="0" applyFont="1" applyBorder="1" applyAlignment="1">
      <alignment horizontal="center"/>
    </xf>
    <xf numFmtId="0" fontId="21" fillId="0" borderId="2" xfId="0" applyFont="1" applyBorder="1" applyAlignment="1">
      <alignment horizontal="center"/>
    </xf>
    <xf numFmtId="0" fontId="21" fillId="0" borderId="7" xfId="0" applyFont="1" applyBorder="1" applyAlignment="1">
      <alignment horizontal="center"/>
    </xf>
    <xf numFmtId="164" fontId="33" fillId="5" borderId="3" xfId="0" applyNumberFormat="1" applyFont="1" applyFill="1" applyBorder="1" applyAlignment="1" applyProtection="1">
      <alignment horizontal="left"/>
      <protection locked="0"/>
    </xf>
    <xf numFmtId="164" fontId="33" fillId="5" borderId="4" xfId="0" applyNumberFormat="1" applyFont="1" applyFill="1" applyBorder="1" applyAlignment="1" applyProtection="1">
      <alignment horizontal="left"/>
      <protection locked="0"/>
    </xf>
    <xf numFmtId="164" fontId="33" fillId="5" borderId="5" xfId="0" applyNumberFormat="1" applyFont="1" applyFill="1" applyBorder="1" applyAlignment="1" applyProtection="1">
      <alignment horizontal="left"/>
      <protection locked="0"/>
    </xf>
    <xf numFmtId="0" fontId="21" fillId="0" borderId="8" xfId="0" applyFont="1" applyBorder="1" applyAlignment="1">
      <alignment horizontal="center" wrapText="1"/>
    </xf>
    <xf numFmtId="0" fontId="21" fillId="0" borderId="0" xfId="0" applyFont="1" applyAlignment="1">
      <alignment horizontal="center" wrapText="1"/>
    </xf>
    <xf numFmtId="0" fontId="21" fillId="0" borderId="12" xfId="0" applyFont="1" applyBorder="1" applyAlignment="1">
      <alignment horizontal="center" wrapText="1"/>
    </xf>
    <xf numFmtId="0" fontId="21" fillId="0" borderId="9" xfId="0" applyFont="1" applyBorder="1" applyAlignment="1">
      <alignment horizontal="center" wrapText="1"/>
    </xf>
    <xf numFmtId="0" fontId="21" fillId="0" borderId="6" xfId="0" applyFont="1" applyBorder="1" applyAlignment="1">
      <alignment horizontal="center" wrapText="1"/>
    </xf>
    <xf numFmtId="0" fontId="21"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9" fontId="14"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51" fillId="5" borderId="3" xfId="0" applyFont="1" applyFill="1" applyBorder="1" applyAlignment="1" applyProtection="1">
      <alignment horizontal="right"/>
      <protection locked="0"/>
    </xf>
    <xf numFmtId="0" fontId="51" fillId="5" borderId="4" xfId="0" applyFont="1" applyFill="1" applyBorder="1" applyAlignment="1" applyProtection="1">
      <alignment horizontal="right"/>
      <protection locked="0"/>
    </xf>
    <xf numFmtId="0" fontId="51" fillId="5" borderId="5" xfId="0" applyFont="1" applyFill="1" applyBorder="1" applyAlignment="1" applyProtection="1">
      <alignment horizontal="right"/>
      <protection locked="0"/>
    </xf>
    <xf numFmtId="168" fontId="21" fillId="0" borderId="3" xfId="543" applyNumberFormat="1" applyFont="1" applyBorder="1" applyAlignment="1">
      <alignment horizontal="center" vertical="center"/>
    </xf>
    <xf numFmtId="168" fontId="21" fillId="0" borderId="4" xfId="543" applyNumberFormat="1" applyFont="1" applyBorder="1" applyAlignment="1">
      <alignment horizontal="center" vertical="center"/>
    </xf>
    <xf numFmtId="168" fontId="21" fillId="0" borderId="5" xfId="543" applyNumberFormat="1" applyFont="1" applyBorder="1" applyAlignment="1">
      <alignment horizontal="center" vertical="center"/>
    </xf>
    <xf numFmtId="0" fontId="33" fillId="0" borderId="3" xfId="543" applyFont="1" applyBorder="1" applyAlignment="1">
      <alignment horizontal="center"/>
    </xf>
    <xf numFmtId="0" fontId="33" fillId="0" borderId="5" xfId="543" applyFont="1" applyBorder="1" applyAlignment="1">
      <alignment horizontal="center"/>
    </xf>
    <xf numFmtId="0" fontId="21" fillId="0" borderId="3" xfId="543" applyFont="1" applyBorder="1" applyAlignment="1">
      <alignment horizontal="right"/>
    </xf>
    <xf numFmtId="0" fontId="21" fillId="0" borderId="4" xfId="543" applyFont="1" applyBorder="1" applyAlignment="1">
      <alignment horizontal="right"/>
    </xf>
    <xf numFmtId="0" fontId="21" fillId="0" borderId="5" xfId="543" applyFont="1" applyBorder="1" applyAlignment="1">
      <alignment horizontal="right"/>
    </xf>
    <xf numFmtId="0" fontId="14" fillId="5" borderId="3" xfId="543" applyFill="1" applyBorder="1" applyAlignment="1" applyProtection="1">
      <alignment horizontal="left" vertical="top" wrapText="1"/>
      <protection locked="0"/>
    </xf>
    <xf numFmtId="0" fontId="23" fillId="5" borderId="4" xfId="543" applyFont="1" applyFill="1" applyBorder="1" applyAlignment="1" applyProtection="1">
      <alignment horizontal="left" vertical="top" wrapText="1"/>
      <protection locked="0"/>
    </xf>
    <xf numFmtId="0" fontId="23" fillId="5" borderId="5" xfId="543" applyFont="1" applyFill="1" applyBorder="1" applyAlignment="1" applyProtection="1">
      <alignment horizontal="left" vertical="top" wrapText="1"/>
      <protection locked="0"/>
    </xf>
    <xf numFmtId="0" fontId="21" fillId="0" borderId="1" xfId="543" applyFont="1" applyBorder="1" applyAlignment="1">
      <alignment horizontal="left" vertical="top" wrapText="1"/>
    </xf>
    <xf numFmtId="0" fontId="21" fillId="0" borderId="2" xfId="543" applyFont="1" applyBorder="1" applyAlignment="1">
      <alignment horizontal="left" vertical="top" wrapText="1"/>
    </xf>
    <xf numFmtId="0" fontId="21" fillId="0" borderId="7" xfId="543" applyFont="1" applyBorder="1" applyAlignment="1">
      <alignment horizontal="left" vertical="top" wrapText="1"/>
    </xf>
    <xf numFmtId="0" fontId="21" fillId="0" borderId="8" xfId="543" applyFont="1" applyBorder="1" applyAlignment="1">
      <alignment horizontal="left" vertical="top" wrapText="1"/>
    </xf>
    <xf numFmtId="0" fontId="21" fillId="0" borderId="0" xfId="543" applyFont="1" applyAlignment="1">
      <alignment horizontal="left" vertical="top" wrapText="1"/>
    </xf>
    <xf numFmtId="0" fontId="21" fillId="0" borderId="12" xfId="543" applyFont="1" applyBorder="1" applyAlignment="1">
      <alignment horizontal="left" vertical="top" wrapText="1"/>
    </xf>
    <xf numFmtId="0" fontId="34" fillId="0" borderId="4" xfId="543" applyFont="1" applyBorder="1" applyAlignment="1">
      <alignment horizontal="right" vertical="top" wrapText="1"/>
    </xf>
    <xf numFmtId="0" fontId="34" fillId="0" borderId="5" xfId="543" applyFont="1" applyBorder="1" applyAlignment="1">
      <alignment horizontal="right" vertical="top" wrapText="1"/>
    </xf>
    <xf numFmtId="0" fontId="22" fillId="0" borderId="3" xfId="543" applyFont="1" applyBorder="1" applyAlignment="1">
      <alignment horizontal="center"/>
    </xf>
    <xf numFmtId="0" fontId="22" fillId="0" borderId="5" xfId="543" applyFont="1" applyBorder="1" applyAlignment="1">
      <alignment horizontal="center"/>
    </xf>
    <xf numFmtId="1" fontId="22" fillId="0" borderId="3" xfId="543" applyNumberFormat="1" applyFont="1" applyBorder="1" applyAlignment="1">
      <alignment horizontal="center"/>
    </xf>
    <xf numFmtId="1" fontId="22" fillId="0" borderId="5" xfId="543" applyNumberFormat="1" applyFont="1" applyBorder="1" applyAlignment="1">
      <alignment horizontal="center"/>
    </xf>
    <xf numFmtId="0" fontId="33" fillId="5" borderId="9" xfId="543" applyFont="1" applyFill="1" applyBorder="1" applyAlignment="1" applyProtection="1">
      <alignment horizontal="center"/>
      <protection locked="0"/>
    </xf>
    <xf numFmtId="0" fontId="33" fillId="5" borderId="10" xfId="543" applyFont="1" applyFill="1" applyBorder="1" applyAlignment="1" applyProtection="1">
      <alignment horizontal="center"/>
      <protection locked="0"/>
    </xf>
    <xf numFmtId="0" fontId="21" fillId="0" borderId="1" xfId="0" applyFont="1" applyBorder="1" applyAlignment="1">
      <alignment horizontal="center" wrapText="1"/>
    </xf>
    <xf numFmtId="0" fontId="21" fillId="0" borderId="2" xfId="0" applyFont="1" applyBorder="1" applyAlignment="1">
      <alignment horizontal="center" wrapText="1"/>
    </xf>
    <xf numFmtId="168" fontId="14"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2" fillId="5" borderId="3" xfId="0" applyNumberFormat="1" applyFont="1" applyFill="1" applyBorder="1" applyAlignment="1" applyProtection="1">
      <alignment horizontal="left"/>
      <protection locked="0"/>
    </xf>
    <xf numFmtId="164" fontId="22" fillId="5" borderId="4" xfId="0" applyNumberFormat="1" applyFont="1" applyFill="1" applyBorder="1" applyAlignment="1" applyProtection="1">
      <alignment horizontal="left"/>
      <protection locked="0"/>
    </xf>
    <xf numFmtId="164" fontId="22"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1" fontId="23" fillId="5" borderId="11" xfId="0" applyNumberFormat="1" applyFont="1" applyFill="1" applyBorder="1" applyAlignment="1" applyProtection="1">
      <alignment horizontal="center"/>
      <protection locked="0"/>
    </xf>
    <xf numFmtId="0" fontId="23" fillId="0" borderId="4" xfId="0" applyFont="1" applyBorder="1" applyAlignment="1">
      <alignment horizontal="center"/>
    </xf>
    <xf numFmtId="1" fontId="14" fillId="0" borderId="3" xfId="0" applyNumberFormat="1" applyFont="1" applyBorder="1" applyAlignment="1">
      <alignment horizontal="center"/>
    </xf>
    <xf numFmtId="1" fontId="23" fillId="0" borderId="4" xfId="0" applyNumberFormat="1" applyFont="1" applyBorder="1" applyAlignment="1">
      <alignment horizontal="center"/>
    </xf>
    <xf numFmtId="1" fontId="23" fillId="0" borderId="5" xfId="0" applyNumberFormat="1" applyFont="1" applyBorder="1" applyAlignment="1">
      <alignment horizontal="center"/>
    </xf>
    <xf numFmtId="0" fontId="21" fillId="0" borderId="3" xfId="0" applyFont="1" applyBorder="1" applyAlignment="1">
      <alignment horizontal="right"/>
    </xf>
    <xf numFmtId="0" fontId="21" fillId="0" borderId="4" xfId="0" applyFont="1" applyBorder="1" applyAlignment="1">
      <alignment horizontal="right"/>
    </xf>
    <xf numFmtId="0" fontId="21" fillId="0" borderId="5" xfId="0" applyFont="1" applyBorder="1" applyAlignment="1">
      <alignment horizontal="right"/>
    </xf>
    <xf numFmtId="165" fontId="21" fillId="0" borderId="3" xfId="271" applyNumberFormat="1" applyFont="1" applyBorder="1" applyAlignment="1">
      <alignment horizontal="center"/>
    </xf>
    <xf numFmtId="165" fontId="21" fillId="0" borderId="4" xfId="271" applyNumberFormat="1" applyFont="1" applyBorder="1" applyAlignment="1">
      <alignment horizontal="center"/>
    </xf>
    <xf numFmtId="165" fontId="21" fillId="0" borderId="5" xfId="271" applyNumberFormat="1" applyFont="1" applyBorder="1" applyAlignment="1">
      <alignment horizontal="center"/>
    </xf>
    <xf numFmtId="0" fontId="21"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3" xfId="0" applyBorder="1" applyAlignment="1">
      <alignment horizontal="left"/>
    </xf>
    <xf numFmtId="0" fontId="0" fillId="0" borderId="4" xfId="0" applyBorder="1" applyAlignment="1">
      <alignment horizontal="left"/>
    </xf>
    <xf numFmtId="0" fontId="0" fillId="5" borderId="6" xfId="0" applyFill="1" applyBorder="1" applyAlignment="1" applyProtection="1">
      <alignment horizontal="right"/>
      <protection locked="0"/>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8" xfId="0" applyFont="1" applyBorder="1" applyAlignment="1">
      <alignment horizontal="center" vertical="center" wrapText="1"/>
    </xf>
    <xf numFmtId="0" fontId="30" fillId="0" borderId="0" xfId="0" applyFont="1" applyAlignment="1">
      <alignment horizontal="center" vertical="center" wrapText="1"/>
    </xf>
    <xf numFmtId="0" fontId="30" fillId="0" borderId="12" xfId="0" applyFont="1" applyBorder="1" applyAlignment="1">
      <alignment horizontal="center" vertical="center" wrapText="1"/>
    </xf>
    <xf numFmtId="0" fontId="30" fillId="0" borderId="9" xfId="0" applyFont="1" applyBorder="1" applyAlignment="1">
      <alignment horizontal="center" vertical="center" wrapText="1"/>
    </xf>
    <xf numFmtId="0" fontId="30" fillId="0" borderId="6" xfId="0" applyFont="1" applyBorder="1" applyAlignment="1">
      <alignment horizontal="center" vertical="center" wrapText="1"/>
    </xf>
    <xf numFmtId="0" fontId="30" fillId="0" borderId="10" xfId="0" applyFont="1" applyBorder="1" applyAlignment="1">
      <alignment horizontal="center" vertical="center" wrapText="1"/>
    </xf>
    <xf numFmtId="180" fontId="0" fillId="0" borderId="6" xfId="0" applyNumberFormat="1" applyBorder="1" applyAlignment="1">
      <alignment horizontal="center"/>
    </xf>
    <xf numFmtId="175" fontId="14" fillId="43" borderId="3" xfId="0" applyNumberFormat="1" applyFont="1" applyFill="1" applyBorder="1" applyAlignment="1" applyProtection="1">
      <alignment horizontal="center" vertical="center"/>
      <protection locked="0"/>
    </xf>
    <xf numFmtId="175" fontId="14" fillId="43" borderId="4" xfId="0" applyNumberFormat="1" applyFont="1" applyFill="1" applyBorder="1" applyAlignment="1" applyProtection="1">
      <alignment horizontal="center" vertical="center"/>
      <protection locked="0"/>
    </xf>
    <xf numFmtId="175" fontId="14" fillId="43" borderId="5" xfId="0" applyNumberFormat="1" applyFont="1" applyFill="1" applyBorder="1" applyAlignment="1" applyProtection="1">
      <alignment horizontal="center" vertical="center"/>
      <protection locked="0"/>
    </xf>
    <xf numFmtId="0" fontId="23" fillId="0" borderId="3" xfId="0" applyFont="1" applyBorder="1" applyAlignment="1">
      <alignment horizontal="left"/>
    </xf>
    <xf numFmtId="0" fontId="22" fillId="5" borderId="3" xfId="0" applyFont="1" applyFill="1" applyBorder="1" applyAlignment="1" applyProtection="1">
      <alignment horizontal="left"/>
      <protection locked="0"/>
    </xf>
    <xf numFmtId="0" fontId="22" fillId="5" borderId="4" xfId="0" applyFont="1" applyFill="1" applyBorder="1" applyAlignment="1" applyProtection="1">
      <alignment horizontal="left"/>
      <protection locked="0"/>
    </xf>
    <xf numFmtId="0" fontId="22" fillId="5" borderId="5" xfId="0" applyFont="1" applyFill="1" applyBorder="1" applyAlignment="1" applyProtection="1">
      <alignment horizontal="left"/>
      <protection locked="0"/>
    </xf>
    <xf numFmtId="0" fontId="51" fillId="5" borderId="3" xfId="0" applyFont="1" applyFill="1" applyBorder="1" applyAlignment="1" applyProtection="1">
      <alignment horizontal="center"/>
      <protection locked="0"/>
    </xf>
    <xf numFmtId="0" fontId="51" fillId="5" borderId="4" xfId="0" applyFont="1" applyFill="1" applyBorder="1" applyAlignment="1" applyProtection="1">
      <alignment horizontal="center"/>
      <protection locked="0"/>
    </xf>
    <xf numFmtId="0" fontId="51" fillId="5" borderId="5" xfId="0" applyFont="1" applyFill="1" applyBorder="1" applyAlignment="1" applyProtection="1">
      <alignment horizontal="center"/>
      <protection locked="0"/>
    </xf>
    <xf numFmtId="0" fontId="21" fillId="0" borderId="2" xfId="0" applyFont="1" applyBorder="1" applyAlignment="1">
      <alignment horizontal="right"/>
    </xf>
    <xf numFmtId="0" fontId="21" fillId="0" borderId="7" xfId="0" applyFont="1" applyBorder="1" applyAlignment="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6" xfId="0" applyFont="1" applyFill="1" applyBorder="1" applyAlignment="1" applyProtection="1">
      <alignment horizontal="center"/>
      <protection locked="0"/>
    </xf>
    <xf numFmtId="168" fontId="0" fillId="5" borderId="11" xfId="0" applyNumberFormat="1" applyFill="1" applyBorder="1" applyProtection="1">
      <protection locked="0"/>
    </xf>
    <xf numFmtId="9" fontId="0" fillId="5" borderId="3" xfId="0" applyNumberFormat="1" applyFill="1" applyBorder="1" applyAlignment="1" applyProtection="1">
      <alignment horizontal="right"/>
      <protection locked="0"/>
    </xf>
    <xf numFmtId="0" fontId="14" fillId="0" borderId="0" xfId="543" applyAlignment="1">
      <alignment horizontal="center"/>
    </xf>
    <xf numFmtId="0" fontId="33" fillId="5" borderId="3" xfId="543" applyFont="1" applyFill="1" applyBorder="1" applyAlignment="1">
      <alignment horizontal="center"/>
    </xf>
    <xf numFmtId="0" fontId="33" fillId="5" borderId="4" xfId="543" applyFont="1" applyFill="1" applyBorder="1" applyAlignment="1">
      <alignment horizontal="center"/>
    </xf>
    <xf numFmtId="0" fontId="33" fillId="5" borderId="5" xfId="543" applyFont="1" applyFill="1" applyBorder="1" applyAlignment="1">
      <alignment horizontal="center"/>
    </xf>
    <xf numFmtId="49" fontId="14" fillId="5" borderId="3" xfId="543" applyNumberFormat="1" applyFill="1" applyBorder="1" applyAlignment="1">
      <alignment horizontal="center"/>
    </xf>
    <xf numFmtId="49" fontId="14" fillId="5" borderId="5" xfId="543" applyNumberFormat="1" applyFill="1" applyBorder="1" applyAlignment="1">
      <alignment horizontal="center"/>
    </xf>
    <xf numFmtId="171" fontId="14" fillId="0" borderId="0" xfId="543" applyNumberFormat="1" applyAlignment="1">
      <alignment horizontal="center"/>
    </xf>
    <xf numFmtId="0" fontId="0" fillId="5" borderId="3" xfId="0" applyFill="1" applyBorder="1" applyProtection="1">
      <protection locked="0"/>
    </xf>
    <xf numFmtId="0" fontId="23" fillId="0" borderId="4" xfId="0" applyFont="1" applyBorder="1" applyProtection="1">
      <protection locked="0"/>
    </xf>
    <xf numFmtId="0" fontId="23" fillId="0" borderId="5" xfId="0" applyFont="1" applyBorder="1" applyProtection="1">
      <protection locked="0"/>
    </xf>
    <xf numFmtId="168" fontId="23" fillId="5" borderId="6" xfId="0" applyNumberFormat="1" applyFont="1" applyFill="1" applyBorder="1" applyAlignment="1" applyProtection="1">
      <alignment horizontal="right"/>
      <protection locked="0"/>
    </xf>
    <xf numFmtId="168" fontId="23"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3" fillId="5" borderId="4" xfId="0" applyFont="1" applyFill="1" applyBorder="1" applyAlignment="1" applyProtection="1">
      <alignment horizontal="right"/>
      <protection locked="0"/>
    </xf>
    <xf numFmtId="14" fontId="23" fillId="5" borderId="4" xfId="0" applyNumberFormat="1" applyFont="1" applyFill="1" applyBorder="1" applyAlignment="1" applyProtection="1">
      <alignment horizontal="right"/>
      <protection locked="0"/>
    </xf>
    <xf numFmtId="166" fontId="23" fillId="5" borderId="6" xfId="0" applyNumberFormat="1" applyFont="1" applyFill="1" applyBorder="1" applyAlignment="1" applyProtection="1">
      <alignment horizontal="left"/>
      <protection locked="0"/>
    </xf>
    <xf numFmtId="0" fontId="14" fillId="0" borderId="3" xfId="0" applyFont="1" applyBorder="1" applyAlignment="1">
      <alignment horizontal="left"/>
    </xf>
    <xf numFmtId="0" fontId="14" fillId="0" borderId="4" xfId="0" applyFont="1" applyBorder="1" applyAlignment="1">
      <alignment horizontal="left"/>
    </xf>
    <xf numFmtId="0" fontId="14" fillId="0" borderId="5" xfId="0" applyFont="1" applyBorder="1" applyAlignment="1">
      <alignment horizontal="left"/>
    </xf>
    <xf numFmtId="0" fontId="14" fillId="5" borderId="4" xfId="0" applyFont="1" applyFill="1" applyBorder="1" applyAlignment="1" applyProtection="1">
      <alignment horizontal="left"/>
      <protection locked="0"/>
    </xf>
    <xf numFmtId="0" fontId="14" fillId="5" borderId="11" xfId="0" applyFont="1" applyFill="1" applyBorder="1" applyAlignment="1" applyProtection="1">
      <alignment horizontal="left" vertical="center" wrapText="1"/>
      <protection locked="0"/>
    </xf>
    <xf numFmtId="172" fontId="0" fillId="5" borderId="6" xfId="0" applyNumberFormat="1" applyFill="1" applyBorder="1" applyAlignment="1" applyProtection="1">
      <alignment horizontal="center"/>
      <protection locked="0"/>
    </xf>
    <xf numFmtId="168" fontId="23" fillId="0" borderId="11" xfId="0" applyNumberFormat="1" applyFont="1" applyBorder="1" applyAlignment="1">
      <alignment horizontal="center"/>
    </xf>
    <xf numFmtId="0" fontId="14" fillId="43" borderId="4" xfId="0" applyFont="1" applyFill="1" applyBorder="1" applyAlignment="1" applyProtection="1">
      <alignment horizontal="left" wrapText="1"/>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2"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23" fillId="0" borderId="3" xfId="0" applyNumberFormat="1" applyFont="1" applyBorder="1" applyAlignment="1">
      <alignment horizontal="left" vertical="top"/>
    </xf>
    <xf numFmtId="168" fontId="23" fillId="0" borderId="4" xfId="0" applyNumberFormat="1" applyFont="1" applyBorder="1" applyAlignment="1">
      <alignment horizontal="left" vertical="top"/>
    </xf>
    <xf numFmtId="168" fontId="23" fillId="0" borderId="5" xfId="0" applyNumberFormat="1" applyFont="1" applyBorder="1" applyAlignment="1">
      <alignment horizontal="left" vertical="top"/>
    </xf>
    <xf numFmtId="0" fontId="23" fillId="5" borderId="9" xfId="0" applyFont="1" applyFill="1" applyBorder="1" applyAlignment="1" applyProtection="1">
      <alignment horizontal="center"/>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21" fillId="0" borderId="6" xfId="0" applyFont="1" applyBorder="1" applyAlignment="1">
      <alignment horizontal="right"/>
    </xf>
    <xf numFmtId="168" fontId="14" fillId="43" borderId="3" xfId="0" applyNumberFormat="1" applyFont="1" applyFill="1" applyBorder="1" applyAlignment="1" applyProtection="1">
      <alignment horizontal="center" vertical="center"/>
      <protection locked="0"/>
    </xf>
    <xf numFmtId="168" fontId="14" fillId="43" borderId="4" xfId="0" applyNumberFormat="1" applyFont="1" applyFill="1" applyBorder="1" applyAlignment="1" applyProtection="1">
      <alignment horizontal="center" vertical="center"/>
      <protection locked="0"/>
    </xf>
    <xf numFmtId="168" fontId="14" fillId="43" borderId="5"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wrapText="1"/>
      <protection locked="0"/>
    </xf>
    <xf numFmtId="0" fontId="14" fillId="43" borderId="11" xfId="0" applyFont="1" applyFill="1" applyBorder="1" applyAlignment="1" applyProtection="1">
      <alignment horizontal="center"/>
      <protection locked="0"/>
    </xf>
    <xf numFmtId="0" fontId="23" fillId="5" borderId="6" xfId="271" applyFill="1" applyBorder="1" applyProtection="1">
      <protection locked="0"/>
    </xf>
    <xf numFmtId="0" fontId="21" fillId="0" borderId="0" xfId="0" applyFont="1" applyAlignment="1">
      <alignment horizontal="center" vertical="center"/>
    </xf>
    <xf numFmtId="0" fontId="0" fillId="0" borderId="9" xfId="0" applyBorder="1" applyAlignment="1">
      <alignment horizontal="left"/>
    </xf>
    <xf numFmtId="168" fontId="14" fillId="5" borderId="3" xfId="0" applyNumberFormat="1" applyFont="1" applyFill="1" applyBorder="1" applyAlignment="1" applyProtection="1">
      <alignment horizontal="left"/>
      <protection locked="0"/>
    </xf>
    <xf numFmtId="168" fontId="14" fillId="5" borderId="4" xfId="0" applyNumberFormat="1" applyFont="1" applyFill="1" applyBorder="1" applyAlignment="1" applyProtection="1">
      <alignment horizontal="left"/>
      <protection locked="0"/>
    </xf>
    <xf numFmtId="168" fontId="14" fillId="5" borderId="5" xfId="0" applyNumberFormat="1" applyFont="1" applyFill="1" applyBorder="1" applyAlignment="1" applyProtection="1">
      <alignment horizontal="left"/>
      <protection locked="0"/>
    </xf>
    <xf numFmtId="168" fontId="0" fillId="0" borderId="11" xfId="0" applyNumberFormat="1" applyBorder="1"/>
    <xf numFmtId="0" fontId="14" fillId="5" borderId="3" xfId="0" applyFont="1" applyFill="1" applyBorder="1" applyAlignment="1" applyProtection="1">
      <alignment horizontal="left"/>
      <protection locked="0"/>
    </xf>
    <xf numFmtId="0" fontId="14" fillId="5" borderId="5" xfId="0" applyFont="1" applyFill="1" applyBorder="1" applyAlignment="1" applyProtection="1">
      <alignment horizontal="left"/>
      <protection locked="0"/>
    </xf>
    <xf numFmtId="2" fontId="14" fillId="0" borderId="0" xfId="543" applyNumberFormat="1" applyAlignment="1">
      <alignment horizontal="center"/>
    </xf>
    <xf numFmtId="0" fontId="14" fillId="0" borderId="3" xfId="0" applyFont="1" applyBorder="1"/>
    <xf numFmtId="0" fontId="14" fillId="0" borderId="4" xfId="0" applyFont="1" applyBorder="1"/>
    <xf numFmtId="0" fontId="14" fillId="0" borderId="5" xfId="0" applyFont="1" applyBorder="1"/>
    <xf numFmtId="168" fontId="0" fillId="0" borderId="11" xfId="0" applyNumberForma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applyAlignment="1">
      <alignment horizontal="center"/>
    </xf>
    <xf numFmtId="0" fontId="21" fillId="5" borderId="3" xfId="0" applyFont="1" applyFill="1" applyBorder="1" applyAlignment="1" applyProtection="1">
      <alignment horizontal="right"/>
      <protection locked="0"/>
    </xf>
    <xf numFmtId="0" fontId="21" fillId="5" borderId="4" xfId="0" applyFont="1" applyFill="1" applyBorder="1" applyAlignment="1" applyProtection="1">
      <alignment horizontal="right"/>
      <protection locked="0"/>
    </xf>
    <xf numFmtId="0" fontId="21" fillId="5" borderId="5" xfId="0" applyFont="1" applyFill="1" applyBorder="1" applyAlignment="1" applyProtection="1">
      <alignment horizontal="right"/>
      <protection locked="0"/>
    </xf>
    <xf numFmtId="171" fontId="14" fillId="0" borderId="0" xfId="543" applyNumberFormat="1" applyAlignment="1">
      <alignment horizontal="right"/>
    </xf>
    <xf numFmtId="9" fontId="14" fillId="0" borderId="0" xfId="543" applyNumberFormat="1" applyAlignment="1">
      <alignment horizontal="center" vertical="center"/>
    </xf>
    <xf numFmtId="168" fontId="14" fillId="5" borderId="10" xfId="0" applyNumberFormat="1" applyFont="1" applyFill="1" applyBorder="1" applyAlignment="1" applyProtection="1">
      <alignment horizontal="right"/>
      <protection locked="0"/>
    </xf>
    <xf numFmtId="168" fontId="14" fillId="5" borderId="13" xfId="0" applyNumberFormat="1" applyFont="1" applyFill="1" applyBorder="1" applyAlignment="1" applyProtection="1">
      <alignment horizontal="right"/>
      <protection locked="0"/>
    </xf>
    <xf numFmtId="0" fontId="21" fillId="0" borderId="7" xfId="0" applyFont="1" applyBorder="1" applyAlignment="1">
      <alignment horizontal="center" wrapText="1"/>
    </xf>
    <xf numFmtId="14" fontId="0" fillId="5" borderId="3" xfId="0" quotePrefix="1"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14"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1" fillId="5"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1" fillId="0" borderId="1" xfId="0" applyFont="1" applyBorder="1" applyAlignment="1">
      <alignment horizontal="center" vertical="center" wrapText="1"/>
    </xf>
    <xf numFmtId="0" fontId="21" fillId="0" borderId="8" xfId="0" applyFont="1" applyBorder="1" applyAlignment="1">
      <alignment horizontal="center" vertical="center" wrapText="1"/>
    </xf>
    <xf numFmtId="0" fontId="21" fillId="0" borderId="9" xfId="0" applyFont="1" applyBorder="1" applyAlignment="1">
      <alignment horizontal="center" vertical="center" wrapText="1"/>
    </xf>
    <xf numFmtId="0" fontId="0" fillId="0" borderId="5" xfId="0" applyBorder="1" applyAlignment="1">
      <alignment horizontal="left"/>
    </xf>
    <xf numFmtId="10" fontId="23" fillId="5" borderId="4" xfId="0" applyNumberFormat="1" applyFont="1" applyFill="1" applyBorder="1" applyAlignment="1" applyProtection="1">
      <alignment horizontal="right"/>
      <protection locked="0"/>
    </xf>
    <xf numFmtId="0" fontId="21" fillId="0" borderId="9" xfId="0" applyFont="1" applyBorder="1" applyAlignment="1">
      <alignment horizontal="right"/>
    </xf>
    <xf numFmtId="0" fontId="21" fillId="0" borderId="10" xfId="0" applyFont="1" applyBorder="1" applyAlignment="1">
      <alignment horizontal="right"/>
    </xf>
    <xf numFmtId="0" fontId="14" fillId="43" borderId="4" xfId="0" applyFont="1" applyFill="1" applyBorder="1" applyAlignment="1" applyProtection="1">
      <alignment horizontal="center"/>
      <protection locked="0"/>
    </xf>
    <xf numFmtId="0" fontId="14"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4" fillId="5" borderId="6" xfId="244" applyFont="1" applyFill="1" applyBorder="1" applyAlignment="1" applyProtection="1">
      <alignment horizontal="left"/>
      <protection locked="0"/>
    </xf>
    <xf numFmtId="0" fontId="14" fillId="43" borderId="0" xfId="0" applyFont="1" applyFill="1" applyAlignment="1" applyProtection="1">
      <alignment horizontal="left" vertical="center" wrapText="1"/>
      <protection locked="0"/>
    </xf>
    <xf numFmtId="0" fontId="14"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0" fontId="23" fillId="5" borderId="6" xfId="0" applyFont="1" applyFill="1" applyBorder="1" applyAlignment="1" applyProtection="1">
      <alignment horizontal="left" wrapText="1"/>
      <protection locked="0"/>
    </xf>
    <xf numFmtId="166" fontId="14" fillId="5" borderId="6" xfId="271" applyNumberFormat="1" applyFont="1" applyFill="1" applyBorder="1" applyAlignment="1" applyProtection="1">
      <alignment horizontal="left"/>
      <protection locked="0"/>
    </xf>
    <xf numFmtId="166" fontId="23" fillId="5" borderId="6" xfId="271" applyNumberFormat="1" applyFill="1" applyBorder="1" applyAlignment="1" applyProtection="1">
      <alignment horizontal="left"/>
      <protection locked="0"/>
    </xf>
    <xf numFmtId="166" fontId="23" fillId="5" borderId="4" xfId="271" applyNumberFormat="1" applyFill="1" applyBorder="1" applyAlignment="1" applyProtection="1">
      <alignment horizontal="left"/>
      <protection locked="0"/>
    </xf>
    <xf numFmtId="0" fontId="14" fillId="5" borderId="6" xfId="0" applyFont="1" applyFill="1" applyBorder="1" applyAlignment="1" applyProtection="1">
      <alignment horizontal="left" wrapText="1"/>
      <protection locked="0"/>
    </xf>
    <xf numFmtId="168" fontId="14" fillId="0" borderId="6" xfId="0" applyNumberFormat="1" applyFont="1" applyBorder="1" applyAlignment="1">
      <alignment horizontal="center"/>
    </xf>
    <xf numFmtId="166" fontId="14" fillId="5" borderId="6" xfId="0" applyNumberFormat="1" applyFont="1" applyFill="1" applyBorder="1" applyAlignment="1" applyProtection="1">
      <alignment horizontal="left"/>
      <protection locked="0"/>
    </xf>
    <xf numFmtId="0" fontId="14" fillId="0" borderId="6" xfId="0" applyFont="1" applyBorder="1" applyAlignment="1" applyProtection="1">
      <alignment horizontal="center"/>
      <protection locked="0"/>
    </xf>
    <xf numFmtId="0" fontId="14"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5" fillId="0" borderId="0" xfId="244" applyFill="1" applyAlignment="1" applyProtection="1">
      <alignment horizontal="left"/>
      <protection locked="0"/>
    </xf>
    <xf numFmtId="168" fontId="23" fillId="0" borderId="6" xfId="0" applyNumberFormat="1" applyFont="1" applyBorder="1" applyAlignment="1">
      <alignment horizontal="center"/>
    </xf>
    <xf numFmtId="0" fontId="22" fillId="0" borderId="0" xfId="0" applyFont="1" applyAlignment="1">
      <alignment horizontal="center"/>
    </xf>
    <xf numFmtId="0" fontId="0" fillId="5" borderId="6" xfId="0" applyFill="1" applyBorder="1" applyProtection="1">
      <protection locked="0"/>
    </xf>
    <xf numFmtId="0" fontId="23"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4" fillId="0" borderId="0" xfId="0" applyFont="1" applyAlignment="1" applyProtection="1">
      <alignment horizontal="left"/>
      <protection locked="0"/>
    </xf>
    <xf numFmtId="0" fontId="0" fillId="43" borderId="6" xfId="0" applyFill="1" applyBorder="1" applyAlignment="1" applyProtection="1">
      <alignment horizontal="left" vertical="top" wrapText="1"/>
      <protection locked="0"/>
    </xf>
    <xf numFmtId="174" fontId="0" fillId="5" borderId="4" xfId="0" applyNumberFormat="1" applyFill="1" applyBorder="1" applyAlignment="1" applyProtection="1">
      <alignment horizontal="left"/>
      <protection locked="0"/>
    </xf>
    <xf numFmtId="0" fontId="23" fillId="0" borderId="6" xfId="0" applyFont="1" applyBorder="1" applyAlignment="1">
      <alignment horizontal="left" wrapText="1"/>
    </xf>
    <xf numFmtId="0" fontId="14"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9" fontId="22" fillId="0" borderId="3" xfId="4494" applyFont="1" applyBorder="1" applyAlignment="1" applyProtection="1">
      <alignment horizontal="center"/>
    </xf>
    <xf numFmtId="9" fontId="22" fillId="0" borderId="5" xfId="4494" applyFont="1" applyBorder="1" applyAlignment="1" applyProtection="1">
      <alignment horizontal="center"/>
    </xf>
    <xf numFmtId="0" fontId="14" fillId="0" borderId="6" xfId="0" applyFont="1" applyBorder="1" applyAlignment="1">
      <alignment horizontal="left"/>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3" fillId="0" borderId="6" xfId="0" applyFont="1" applyBorder="1" applyAlignment="1">
      <alignment horizontal="left"/>
    </xf>
    <xf numFmtId="0" fontId="14" fillId="5" borderId="0" xfId="244" applyFont="1" applyFill="1" applyBorder="1" applyAlignment="1" applyProtection="1">
      <alignment horizontal="left"/>
      <protection locked="0"/>
    </xf>
    <xf numFmtId="0" fontId="14" fillId="0" borderId="3" xfId="271" applyFont="1" applyBorder="1" applyAlignment="1">
      <alignment horizontal="left"/>
    </xf>
    <xf numFmtId="0" fontId="14" fillId="0" borderId="4" xfId="271" applyFont="1" applyBorder="1" applyAlignment="1">
      <alignment horizontal="left"/>
    </xf>
    <xf numFmtId="0" fontId="14" fillId="0" borderId="5" xfId="271" applyFont="1" applyBorder="1" applyAlignment="1">
      <alignment horizontal="left"/>
    </xf>
    <xf numFmtId="168" fontId="51" fillId="0" borderId="2" xfId="0" applyNumberFormat="1" applyFont="1" applyBorder="1" applyAlignment="1">
      <alignment horizontal="left" vertical="top" wrapText="1"/>
    </xf>
    <xf numFmtId="168" fontId="51" fillId="0" borderId="0" xfId="0" applyNumberFormat="1" applyFont="1" applyAlignment="1">
      <alignment horizontal="left" vertical="top" wrapText="1"/>
    </xf>
    <xf numFmtId="0" fontId="22" fillId="43" borderId="6" xfId="0" applyFont="1" applyFill="1" applyBorder="1" applyAlignment="1" applyProtection="1">
      <alignment horizontal="left"/>
      <protection locked="0"/>
    </xf>
    <xf numFmtId="3" fontId="23" fillId="5" borderId="11" xfId="0" applyNumberFormat="1" applyFon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10" fontId="23" fillId="0" borderId="11" xfId="0" applyNumberFormat="1" applyFont="1" applyBorder="1" applyAlignment="1">
      <alignment horizontal="center"/>
    </xf>
    <xf numFmtId="1" fontId="23" fillId="5" borderId="6" xfId="0" applyNumberFormat="1" applyFont="1" applyFill="1" applyBorder="1" applyAlignment="1" applyProtection="1">
      <alignment horizontal="right"/>
      <protection locked="0"/>
    </xf>
    <xf numFmtId="178" fontId="23" fillId="5" borderId="4" xfId="0" applyNumberFormat="1" applyFont="1" applyFill="1" applyBorder="1" applyAlignment="1" applyProtection="1">
      <alignment horizontal="right"/>
      <protection locked="0"/>
    </xf>
    <xf numFmtId="0" fontId="23" fillId="5" borderId="0" xfId="0" applyFont="1" applyFill="1" applyAlignment="1" applyProtection="1">
      <alignment horizontal="left" vertical="top" wrapText="1"/>
      <protection locked="0"/>
    </xf>
    <xf numFmtId="0" fontId="23" fillId="5" borderId="11" xfId="0" applyFont="1" applyFill="1" applyBorder="1" applyAlignment="1" applyProtection="1">
      <alignment horizontal="center"/>
      <protection locked="0"/>
    </xf>
    <xf numFmtId="0" fontId="167" fillId="0" borderId="0" xfId="0" applyFont="1" applyAlignment="1" applyProtection="1">
      <alignment horizontal="left" vertical="top" wrapText="1"/>
      <protection locked="0"/>
    </xf>
    <xf numFmtId="168" fontId="23" fillId="5" borderId="3" xfId="0" applyNumberFormat="1" applyFont="1" applyFill="1" applyBorder="1" applyAlignment="1" applyProtection="1">
      <alignment horizontal="left" vertical="top"/>
      <protection locked="0"/>
    </xf>
    <xf numFmtId="168" fontId="23" fillId="5" borderId="4" xfId="0" applyNumberFormat="1" applyFont="1" applyFill="1" applyBorder="1" applyAlignment="1" applyProtection="1">
      <alignment horizontal="left" vertical="top"/>
      <protection locked="0"/>
    </xf>
    <xf numFmtId="168" fontId="23" fillId="5" borderId="5" xfId="0" applyNumberFormat="1" applyFont="1" applyFill="1" applyBorder="1" applyAlignment="1" applyProtection="1">
      <alignment horizontal="left" vertical="top"/>
      <protection locked="0"/>
    </xf>
    <xf numFmtId="168" fontId="14" fillId="0" borderId="3" xfId="0" applyNumberFormat="1" applyFont="1" applyBorder="1" applyAlignment="1">
      <alignment horizontal="left" vertical="top"/>
    </xf>
    <xf numFmtId="0" fontId="0" fillId="43" borderId="10" xfId="0" applyFill="1" applyBorder="1" applyAlignment="1" applyProtection="1">
      <alignment horizontal="left"/>
      <protection locked="0"/>
    </xf>
    <xf numFmtId="0" fontId="0" fillId="0" borderId="12" xfId="0"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1" fillId="0" borderId="9" xfId="0" applyFont="1" applyBorder="1" applyAlignment="1">
      <alignment horizontal="center"/>
    </xf>
    <xf numFmtId="0" fontId="21" fillId="0" borderId="10" xfId="0" applyFont="1" applyBorder="1" applyAlignment="1">
      <alignment horizontal="center"/>
    </xf>
    <xf numFmtId="0" fontId="33"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3" fontId="0" fillId="0" borderId="6" xfId="0" applyNumberFormat="1" applyBorder="1" applyAlignment="1">
      <alignment horizontal="right"/>
    </xf>
    <xf numFmtId="1" fontId="23" fillId="5" borderId="11" xfId="0" quotePrefix="1" applyNumberFormat="1" applyFont="1" applyFill="1" applyBorder="1" applyAlignment="1" applyProtection="1">
      <alignment horizontal="center"/>
      <protection locked="0"/>
    </xf>
    <xf numFmtId="3" fontId="23"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5" fontId="23" fillId="5" borderId="3" xfId="0" applyNumberFormat="1" applyFont="1" applyFill="1" applyBorder="1" applyAlignment="1" applyProtection="1">
      <alignment horizontal="center"/>
      <protection locked="0"/>
    </xf>
    <xf numFmtId="165" fontId="23" fillId="5" borderId="4" xfId="0" applyNumberFormat="1" applyFont="1" applyFill="1" applyBorder="1" applyAlignment="1" applyProtection="1">
      <alignment horizontal="center"/>
      <protection locked="0"/>
    </xf>
    <xf numFmtId="165" fontId="23"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68" fontId="14" fillId="0" borderId="4" xfId="0" applyNumberFormat="1" applyFont="1" applyBorder="1" applyAlignment="1">
      <alignment horizontal="left" vertical="top"/>
    </xf>
    <xf numFmtId="168" fontId="14" fillId="0" borderId="5" xfId="0" applyNumberFormat="1" applyFont="1" applyBorder="1" applyAlignment="1">
      <alignment horizontal="left" vertical="top"/>
    </xf>
    <xf numFmtId="0" fontId="14" fillId="5" borderId="6" xfId="569" applyFill="1" applyBorder="1" applyAlignment="1" applyProtection="1">
      <alignment horizontal="left"/>
      <protection locked="0"/>
    </xf>
    <xf numFmtId="0" fontId="14" fillId="5" borderId="4" xfId="569" applyFill="1" applyBorder="1" applyAlignment="1" applyProtection="1">
      <alignment horizontal="left"/>
      <protection locked="0"/>
    </xf>
    <xf numFmtId="0" fontId="52" fillId="0" borderId="0" xfId="569" applyFont="1" applyAlignment="1">
      <alignment vertical="top" wrapText="1"/>
    </xf>
    <xf numFmtId="0" fontId="14" fillId="0" borderId="0" xfId="569" applyAlignment="1">
      <alignment horizontal="right" vertical="top" wrapText="1"/>
    </xf>
    <xf numFmtId="0" fontId="20" fillId="3" borderId="3" xfId="0" applyFont="1" applyFill="1" applyBorder="1" applyAlignment="1">
      <alignment horizontal="left" vertical="top"/>
    </xf>
    <xf numFmtId="0" fontId="20" fillId="3" borderId="4" xfId="0" applyFont="1" applyFill="1" applyBorder="1" applyAlignment="1">
      <alignment horizontal="left" vertical="top"/>
    </xf>
    <xf numFmtId="0" fontId="20" fillId="3" borderId="5" xfId="0" applyFont="1" applyFill="1" applyBorder="1" applyAlignment="1">
      <alignment horizontal="left" vertical="top"/>
    </xf>
    <xf numFmtId="165" fontId="120" fillId="0" borderId="55" xfId="4496" applyNumberFormat="1" applyFont="1" applyBorder="1" applyAlignment="1">
      <alignment horizontal="center" vertical="top" wrapText="1"/>
    </xf>
    <xf numFmtId="165" fontId="120" fillId="0" borderId="6" xfId="4496" applyNumberFormat="1" applyFont="1" applyBorder="1" applyAlignment="1">
      <alignment horizontal="center" vertical="top" wrapText="1"/>
    </xf>
    <xf numFmtId="165" fontId="120" fillId="0" borderId="60" xfId="4496" applyNumberFormat="1" applyFont="1" applyBorder="1" applyAlignment="1">
      <alignment horizontal="center" vertical="top" wrapText="1"/>
    </xf>
    <xf numFmtId="165" fontId="120" fillId="0" borderId="4" xfId="4496" applyNumberFormat="1" applyFont="1" applyBorder="1" applyAlignment="1">
      <alignment horizontal="center" vertical="top" wrapText="1"/>
    </xf>
    <xf numFmtId="0" fontId="120" fillId="5" borderId="60" xfId="4496" applyFont="1" applyFill="1" applyBorder="1" applyAlignment="1" applyProtection="1">
      <alignment horizontal="center"/>
      <protection locked="0"/>
    </xf>
    <xf numFmtId="0" fontId="120" fillId="5" borderId="4" xfId="4496" applyFont="1" applyFill="1" applyBorder="1" applyAlignment="1" applyProtection="1">
      <alignment horizontal="center"/>
      <protection locked="0"/>
    </xf>
    <xf numFmtId="0" fontId="120" fillId="5" borderId="6" xfId="4496" applyFont="1" applyFill="1" applyBorder="1" applyAlignment="1" applyProtection="1">
      <alignment horizontal="center"/>
      <protection locked="0"/>
    </xf>
    <xf numFmtId="0" fontId="14" fillId="0" borderId="50" xfId="4495" applyFont="1" applyBorder="1" applyAlignment="1">
      <alignment horizontal="left" vertical="center" wrapText="1"/>
    </xf>
    <xf numFmtId="0" fontId="14" fillId="0" borderId="51" xfId="4495" applyFont="1" applyBorder="1" applyAlignment="1">
      <alignment horizontal="left" vertical="center" wrapText="1"/>
    </xf>
    <xf numFmtId="0" fontId="14" fillId="0" borderId="52" xfId="4495" applyFont="1" applyBorder="1" applyAlignment="1">
      <alignment horizontal="left" vertical="center" wrapText="1"/>
    </xf>
    <xf numFmtId="0" fontId="14" fillId="0" borderId="57" xfId="4495" applyFont="1" applyBorder="1" applyAlignment="1">
      <alignment horizontal="left" vertical="center" wrapText="1"/>
    </xf>
    <xf numFmtId="0" fontId="14" fillId="0" borderId="58" xfId="4495" applyFont="1" applyBorder="1" applyAlignment="1">
      <alignment horizontal="left" vertical="center" wrapText="1"/>
    </xf>
    <xf numFmtId="0" fontId="14" fillId="0" borderId="59" xfId="4495" applyFont="1" applyBorder="1" applyAlignment="1">
      <alignment horizontal="left" vertical="center" wrapText="1"/>
    </xf>
    <xf numFmtId="0" fontId="14" fillId="0" borderId="53" xfId="4495" applyFont="1" applyBorder="1" applyAlignment="1">
      <alignment horizontal="left" vertical="center" wrapText="1"/>
    </xf>
    <xf numFmtId="0" fontId="14" fillId="0" borderId="0" xfId="4495" applyFont="1" applyAlignment="1">
      <alignment horizontal="left" vertical="center" wrapText="1"/>
    </xf>
    <xf numFmtId="0" fontId="14" fillId="0" borderId="54" xfId="4495" applyFont="1" applyBorder="1" applyAlignment="1">
      <alignment horizontal="left" vertical="center" wrapText="1"/>
    </xf>
    <xf numFmtId="0" fontId="21" fillId="0" borderId="0" xfId="4495" applyFont="1" applyAlignment="1">
      <alignment horizontal="right"/>
    </xf>
    <xf numFmtId="0" fontId="120" fillId="0" borderId="50" xfId="4496" applyFont="1" applyBorder="1" applyAlignment="1">
      <alignment horizontal="left" vertical="top" wrapText="1"/>
    </xf>
    <xf numFmtId="0" fontId="120" fillId="0" borderId="51" xfId="4496" applyFont="1" applyBorder="1" applyAlignment="1">
      <alignment horizontal="left" vertical="top" wrapText="1"/>
    </xf>
    <xf numFmtId="0" fontId="120" fillId="0" borderId="52" xfId="4496" applyFont="1" applyBorder="1" applyAlignment="1">
      <alignment horizontal="left" vertical="top" wrapText="1"/>
    </xf>
    <xf numFmtId="0" fontId="120" fillId="0" borderId="53" xfId="4496" applyFont="1" applyBorder="1" applyAlignment="1">
      <alignment horizontal="left" vertical="top" wrapText="1"/>
    </xf>
    <xf numFmtId="0" fontId="120" fillId="0" borderId="0" xfId="4496" applyFont="1" applyAlignment="1">
      <alignment horizontal="left" vertical="top" wrapText="1"/>
    </xf>
    <xf numFmtId="0" fontId="120" fillId="0" borderId="54" xfId="4496" applyFont="1" applyBorder="1" applyAlignment="1">
      <alignment horizontal="left" vertical="top" wrapText="1"/>
    </xf>
    <xf numFmtId="0" fontId="120" fillId="0" borderId="57" xfId="4496" applyFont="1" applyBorder="1" applyAlignment="1">
      <alignment horizontal="left" vertical="top" wrapText="1"/>
    </xf>
    <xf numFmtId="0" fontId="120" fillId="0" borderId="58" xfId="4496" applyFont="1" applyBorder="1" applyAlignment="1">
      <alignment horizontal="left" vertical="top" wrapText="1"/>
    </xf>
    <xf numFmtId="0" fontId="120" fillId="0" borderId="59" xfId="4496" applyFont="1" applyBorder="1" applyAlignment="1">
      <alignment horizontal="left" vertical="top" wrapText="1"/>
    </xf>
    <xf numFmtId="0" fontId="120" fillId="5" borderId="55" xfId="4496" applyFont="1" applyFill="1" applyBorder="1" applyAlignment="1" applyProtection="1">
      <alignment horizontal="center"/>
      <protection locked="0"/>
    </xf>
    <xf numFmtId="0" fontId="120" fillId="0" borderId="47" xfId="4496" applyFont="1" applyBorder="1"/>
    <xf numFmtId="0" fontId="120" fillId="0" borderId="48" xfId="4496" applyFont="1" applyBorder="1"/>
    <xf numFmtId="0" fontId="120" fillId="0" borderId="49" xfId="4496" applyFont="1" applyBorder="1"/>
    <xf numFmtId="0" fontId="120" fillId="0" borderId="55" xfId="4496" applyFont="1" applyBorder="1" applyAlignment="1">
      <alignment horizontal="center" vertical="top" wrapText="1"/>
    </xf>
    <xf numFmtId="0" fontId="120" fillId="0" borderId="6" xfId="4496" applyFont="1" applyBorder="1" applyAlignment="1">
      <alignment horizontal="center" vertical="top" wrapText="1"/>
    </xf>
    <xf numFmtId="0" fontId="20" fillId="3" borderId="2" xfId="4495" applyFont="1" applyFill="1" applyBorder="1" applyAlignment="1">
      <alignment horizontal="center" vertical="center"/>
    </xf>
    <xf numFmtId="0" fontId="20" fillId="3" borderId="16" xfId="4495" applyFont="1" applyFill="1" applyBorder="1" applyAlignment="1">
      <alignment horizontal="center" vertical="center"/>
    </xf>
    <xf numFmtId="0" fontId="21" fillId="0" borderId="48" xfId="4495" applyFont="1" applyBorder="1" applyAlignment="1">
      <alignment horizontal="left" vertical="top"/>
    </xf>
    <xf numFmtId="0" fontId="21" fillId="0" borderId="49" xfId="4495" applyFont="1" applyBorder="1" applyAlignment="1">
      <alignment horizontal="left" vertical="top"/>
    </xf>
    <xf numFmtId="1" fontId="14" fillId="0" borderId="3" xfId="4495" applyNumberFormat="1" applyFont="1" applyBorder="1" applyAlignment="1">
      <alignment horizontal="center"/>
    </xf>
    <xf numFmtId="1" fontId="14" fillId="0" borderId="4" xfId="4495" applyNumberFormat="1" applyFont="1" applyBorder="1" applyAlignment="1">
      <alignment horizontal="center"/>
    </xf>
    <xf numFmtId="1" fontId="14" fillId="0" borderId="5" xfId="4495" applyNumberFormat="1" applyFont="1" applyBorder="1" applyAlignment="1">
      <alignment horizontal="center"/>
    </xf>
    <xf numFmtId="0" fontId="14" fillId="0" borderId="50" xfId="4495" applyFont="1" applyBorder="1" applyAlignment="1">
      <alignment vertical="center" wrapText="1"/>
    </xf>
    <xf numFmtId="0" fontId="14" fillId="0" borderId="51" xfId="4495" applyFont="1" applyBorder="1" applyAlignment="1">
      <alignment vertical="center" wrapText="1"/>
    </xf>
    <xf numFmtId="0" fontId="14" fillId="0" borderId="52" xfId="4495" applyFont="1" applyBorder="1" applyAlignment="1">
      <alignment vertical="center" wrapText="1"/>
    </xf>
    <xf numFmtId="0" fontId="14" fillId="0" borderId="57" xfId="4495" applyFont="1" applyBorder="1" applyAlignment="1">
      <alignment vertical="center" wrapText="1"/>
    </xf>
    <xf numFmtId="0" fontId="14" fillId="0" borderId="58" xfId="4495" applyFont="1" applyBorder="1" applyAlignment="1">
      <alignment vertical="center" wrapText="1"/>
    </xf>
    <xf numFmtId="0" fontId="14" fillId="0" borderId="59" xfId="4495" applyFont="1" applyBorder="1" applyAlignment="1">
      <alignment vertical="center" wrapText="1"/>
    </xf>
    <xf numFmtId="0" fontId="120" fillId="43" borderId="55" xfId="4496" applyFont="1" applyFill="1" applyBorder="1" applyAlignment="1" applyProtection="1">
      <alignment horizontal="left" vertical="top" wrapText="1"/>
      <protection locked="0"/>
    </xf>
    <xf numFmtId="0" fontId="120" fillId="43" borderId="6" xfId="4496" applyFont="1" applyFill="1" applyBorder="1" applyAlignment="1" applyProtection="1">
      <alignment horizontal="left" vertical="top" wrapText="1"/>
      <protection locked="0"/>
    </xf>
    <xf numFmtId="0" fontId="120" fillId="43" borderId="56" xfId="4496" applyFont="1" applyFill="1" applyBorder="1" applyAlignment="1" applyProtection="1">
      <alignment horizontal="left" vertical="top" wrapText="1"/>
      <protection locked="0"/>
    </xf>
    <xf numFmtId="0" fontId="21" fillId="0" borderId="0" xfId="4495" applyFont="1" applyAlignment="1">
      <alignment horizontal="center" vertical="top"/>
    </xf>
    <xf numFmtId="0" fontId="14" fillId="5" borderId="6" xfId="4495" applyFont="1" applyFill="1" applyBorder="1" applyAlignment="1" applyProtection="1">
      <alignment horizontal="left"/>
      <protection locked="0"/>
    </xf>
    <xf numFmtId="168" fontId="120" fillId="0" borderId="55" xfId="4496" applyNumberFormat="1" applyFont="1" applyBorder="1" applyAlignment="1">
      <alignment horizontal="center" vertical="top"/>
    </xf>
    <xf numFmtId="168" fontId="120" fillId="0" borderId="6" xfId="4496" applyNumberFormat="1" applyFont="1" applyBorder="1" applyAlignment="1">
      <alignment horizontal="center" vertical="top"/>
    </xf>
    <xf numFmtId="10" fontId="120" fillId="0" borderId="3" xfId="4496" applyNumberFormat="1" applyFont="1" applyBorder="1" applyAlignment="1">
      <alignment horizontal="center" vertical="top" wrapText="1"/>
    </xf>
    <xf numFmtId="10" fontId="120" fillId="0" borderId="4" xfId="4496" applyNumberFormat="1" applyFont="1" applyBorder="1" applyAlignment="1">
      <alignment horizontal="center" vertical="top" wrapText="1"/>
    </xf>
    <xf numFmtId="10" fontId="120" fillId="0" borderId="5" xfId="4496" applyNumberFormat="1" applyFont="1" applyBorder="1" applyAlignment="1">
      <alignment horizontal="center" vertical="top" wrapText="1"/>
    </xf>
    <xf numFmtId="1" fontId="120" fillId="0" borderId="55" xfId="4496" applyNumberFormat="1" applyFont="1" applyBorder="1" applyAlignment="1">
      <alignment horizontal="center" vertical="top" wrapText="1"/>
    </xf>
    <xf numFmtId="1" fontId="120" fillId="0" borderId="6" xfId="4496" applyNumberFormat="1" applyFont="1" applyBorder="1" applyAlignment="1">
      <alignment horizontal="center" vertical="top" wrapText="1"/>
    </xf>
    <xf numFmtId="168" fontId="120" fillId="43" borderId="55" xfId="4496" applyNumberFormat="1" applyFont="1" applyFill="1" applyBorder="1" applyAlignment="1" applyProtection="1">
      <alignment horizontal="center" vertical="top" wrapText="1"/>
      <protection locked="0"/>
    </xf>
    <xf numFmtId="168" fontId="120" fillId="43" borderId="6" xfId="4496" applyNumberFormat="1" applyFont="1" applyFill="1" applyBorder="1" applyAlignment="1" applyProtection="1">
      <alignment horizontal="center" vertical="top" wrapText="1"/>
      <protection locked="0"/>
    </xf>
    <xf numFmtId="0" fontId="14" fillId="0" borderId="0" xfId="1192" applyAlignment="1">
      <alignment horizontal="right"/>
    </xf>
    <xf numFmtId="0" fontId="14" fillId="5" borderId="6" xfId="1192" applyFill="1" applyBorder="1" applyAlignment="1" applyProtection="1">
      <alignment horizontal="left"/>
      <protection locked="0"/>
    </xf>
    <xf numFmtId="168" fontId="14" fillId="43" borderId="6" xfId="4495" applyNumberFormat="1" applyFont="1" applyFill="1" applyBorder="1" applyAlignment="1" applyProtection="1">
      <alignment horizontal="right"/>
      <protection locked="0"/>
    </xf>
    <xf numFmtId="9" fontId="14" fillId="0" borderId="6" xfId="1192" applyNumberFormat="1" applyBorder="1" applyAlignment="1">
      <alignment horizontal="center"/>
    </xf>
    <xf numFmtId="9" fontId="14" fillId="0" borderId="6" xfId="1192" quotePrefix="1" applyNumberFormat="1" applyBorder="1" applyAlignment="1">
      <alignment horizontal="center"/>
    </xf>
    <xf numFmtId="9" fontId="14" fillId="0" borderId="0" xfId="1192" quotePrefix="1" applyNumberFormat="1" applyAlignment="1">
      <alignment horizontal="center"/>
    </xf>
    <xf numFmtId="1" fontId="14" fillId="5" borderId="2" xfId="1192" applyNumberFormat="1" applyFill="1" applyBorder="1" applyAlignment="1" applyProtection="1">
      <alignment horizontal="center"/>
      <protection locked="0"/>
    </xf>
    <xf numFmtId="9" fontId="14" fillId="5" borderId="4" xfId="1192" applyNumberFormat="1" applyFill="1" applyBorder="1" applyAlignment="1" applyProtection="1">
      <alignment horizontal="left"/>
      <protection locked="0"/>
    </xf>
    <xf numFmtId="168" fontId="14" fillId="0" borderId="0" xfId="1192" applyNumberFormat="1" applyAlignment="1">
      <alignment horizontal="right"/>
    </xf>
    <xf numFmtId="1" fontId="14" fillId="5" borderId="4" xfId="1192" applyNumberFormat="1" applyFill="1" applyBorder="1" applyAlignment="1" applyProtection="1">
      <alignment horizontal="center"/>
      <protection locked="0"/>
    </xf>
    <xf numFmtId="0" fontId="140" fillId="0" borderId="6" xfId="1192" applyFont="1" applyBorder="1" applyAlignment="1">
      <alignment horizontal="center"/>
    </xf>
    <xf numFmtId="168" fontId="14" fillId="5" borderId="4" xfId="1192" applyNumberFormat="1" applyFill="1" applyBorder="1" applyAlignment="1" applyProtection="1">
      <alignment horizontal="center"/>
      <protection locked="0"/>
    </xf>
    <xf numFmtId="2" fontId="14" fillId="0" borderId="0" xfId="1192" applyNumberFormat="1" applyAlignment="1">
      <alignment horizontal="right"/>
    </xf>
    <xf numFmtId="0" fontId="22" fillId="5" borderId="6" xfId="4495" applyFont="1" applyFill="1" applyBorder="1" applyAlignment="1" applyProtection="1">
      <alignment horizontal="left"/>
      <protection locked="0"/>
    </xf>
    <xf numFmtId="0" fontId="14" fillId="0" borderId="0" xfId="4495" applyFont="1" applyAlignment="1">
      <alignment horizontal="left"/>
    </xf>
    <xf numFmtId="0" fontId="51" fillId="5" borderId="6" xfId="4495" applyFont="1" applyFill="1" applyBorder="1" applyAlignment="1" applyProtection="1">
      <alignment horizontal="left"/>
      <protection locked="0"/>
    </xf>
    <xf numFmtId="0" fontId="14" fillId="5" borderId="6" xfId="4495" applyFont="1" applyFill="1" applyBorder="1" applyAlignment="1" applyProtection="1">
      <alignment horizontal="center"/>
      <protection locked="0"/>
    </xf>
    <xf numFmtId="1" fontId="14" fillId="0" borderId="11" xfId="4495" applyNumberFormat="1" applyFont="1" applyBorder="1" applyAlignment="1">
      <alignment horizontal="center"/>
    </xf>
    <xf numFmtId="0" fontId="14" fillId="0" borderId="11" xfId="4495" applyFont="1" applyBorder="1" applyAlignment="1">
      <alignment horizontal="center"/>
    </xf>
    <xf numFmtId="0" fontId="118" fillId="5" borderId="6" xfId="4495" applyFill="1" applyBorder="1" applyAlignment="1" applyProtection="1">
      <alignment horizontal="center"/>
      <protection locked="0"/>
    </xf>
    <xf numFmtId="0" fontId="21" fillId="0" borderId="0" xfId="4495" applyFont="1" applyAlignment="1">
      <alignment horizontal="left" vertical="top"/>
    </xf>
    <xf numFmtId="0" fontId="118" fillId="0" borderId="0" xfId="4495" applyAlignment="1" applyProtection="1">
      <alignment horizontal="center"/>
      <protection locked="0"/>
    </xf>
    <xf numFmtId="0" fontId="14" fillId="0" borderId="3" xfId="4495" applyFont="1" applyBorder="1" applyAlignment="1">
      <alignment horizontal="center"/>
    </xf>
    <xf numFmtId="0" fontId="14" fillId="0" borderId="4" xfId="4495" applyFont="1" applyBorder="1" applyAlignment="1">
      <alignment horizontal="center"/>
    </xf>
    <xf numFmtId="0" fontId="14" fillId="0" borderId="5" xfId="4495" applyFont="1" applyBorder="1" applyAlignment="1">
      <alignment horizontal="center"/>
    </xf>
    <xf numFmtId="168" fontId="14" fillId="0" borderId="6" xfId="4496" applyNumberFormat="1" applyFont="1" applyBorder="1" applyAlignment="1">
      <alignment horizontal="center"/>
    </xf>
    <xf numFmtId="9" fontId="14" fillId="0" borderId="4" xfId="543" applyNumberFormat="1" applyBorder="1" applyAlignment="1">
      <alignment horizontal="center"/>
    </xf>
    <xf numFmtId="0" fontId="14" fillId="0" borderId="4" xfId="4496" applyFont="1" applyBorder="1" applyAlignment="1">
      <alignment horizontal="center"/>
    </xf>
    <xf numFmtId="0" fontId="14" fillId="0" borderId="5" xfId="4496" applyFont="1" applyBorder="1" applyAlignment="1">
      <alignment horizontal="center"/>
    </xf>
    <xf numFmtId="168" fontId="14" fillId="0" borderId="6" xfId="4495" applyNumberFormat="1" applyFont="1" applyBorder="1" applyAlignment="1">
      <alignment horizontal="right"/>
    </xf>
    <xf numFmtId="168" fontId="116" fillId="0" borderId="6" xfId="4495" applyNumberFormat="1" applyFont="1" applyBorder="1" applyAlignment="1">
      <alignment horizontal="right"/>
    </xf>
    <xf numFmtId="6" fontId="14" fillId="0" borderId="3" xfId="1192" applyNumberFormat="1" applyBorder="1" applyAlignment="1">
      <alignment horizontal="right"/>
    </xf>
    <xf numFmtId="6" fontId="14" fillId="0" borderId="4" xfId="1192" applyNumberFormat="1" applyBorder="1" applyAlignment="1">
      <alignment horizontal="right"/>
    </xf>
    <xf numFmtId="6" fontId="14" fillId="0" borderId="5" xfId="1192" applyNumberFormat="1" applyBorder="1" applyAlignment="1">
      <alignment horizontal="right"/>
    </xf>
    <xf numFmtId="168" fontId="14" fillId="0" borderId="4" xfId="4495" applyNumberFormat="1" applyFont="1" applyBorder="1" applyAlignment="1">
      <alignment horizontal="right"/>
    </xf>
    <xf numFmtId="165" fontId="14" fillId="43" borderId="3" xfId="4495" applyNumberFormat="1" applyFont="1" applyFill="1" applyBorder="1" applyAlignment="1" applyProtection="1">
      <alignment horizontal="center"/>
      <protection locked="0"/>
    </xf>
    <xf numFmtId="165" fontId="14" fillId="43" borderId="4" xfId="4495" applyNumberFormat="1" applyFont="1" applyFill="1" applyBorder="1" applyAlignment="1" applyProtection="1">
      <alignment horizontal="center"/>
      <protection locked="0"/>
    </xf>
    <xf numFmtId="165" fontId="14" fillId="43" borderId="5" xfId="4495" applyNumberFormat="1" applyFont="1" applyFill="1" applyBorder="1" applyAlignment="1" applyProtection="1">
      <alignment horizontal="center"/>
      <protection locked="0"/>
    </xf>
    <xf numFmtId="165" fontId="14" fillId="0" borderId="6" xfId="1192" applyNumberFormat="1" applyBorder="1" applyAlignment="1">
      <alignment horizontal="right"/>
    </xf>
    <xf numFmtId="168" fontId="14" fillId="0" borderId="2" xfId="1192" applyNumberFormat="1" applyBorder="1" applyAlignment="1">
      <alignment horizontal="right"/>
    </xf>
    <xf numFmtId="165" fontId="14" fillId="0" borderId="0" xfId="1192" applyNumberFormat="1" applyAlignment="1">
      <alignment horizontal="right"/>
    </xf>
    <xf numFmtId="0" fontId="14" fillId="0" borderId="53" xfId="4495" applyFont="1" applyBorder="1" applyAlignment="1">
      <alignment horizontal="left" vertical="top" wrapText="1"/>
    </xf>
    <xf numFmtId="0" fontId="14" fillId="0" borderId="0" xfId="4495" applyFont="1" applyAlignment="1">
      <alignment horizontal="left" vertical="top" wrapText="1"/>
    </xf>
    <xf numFmtId="0" fontId="14" fillId="0" borderId="54" xfId="4495" applyFont="1" applyBorder="1" applyAlignment="1">
      <alignment horizontal="left" vertical="top" wrapText="1"/>
    </xf>
    <xf numFmtId="0" fontId="14" fillId="0" borderId="57" xfId="4495" applyFont="1" applyBorder="1" applyAlignment="1">
      <alignment horizontal="left" vertical="top" wrapText="1"/>
    </xf>
    <xf numFmtId="0" fontId="14" fillId="0" borderId="58" xfId="4495" applyFont="1" applyBorder="1" applyAlignment="1">
      <alignment horizontal="left" vertical="top" wrapText="1"/>
    </xf>
    <xf numFmtId="0" fontId="14" fillId="0" borderId="59" xfId="4495" applyFont="1" applyBorder="1" applyAlignment="1">
      <alignment horizontal="left" vertical="top" wrapText="1"/>
    </xf>
    <xf numFmtId="0" fontId="14" fillId="0" borderId="50" xfId="4495" applyFont="1" applyBorder="1" applyAlignment="1">
      <alignment horizontal="left" vertical="top" wrapText="1"/>
    </xf>
    <xf numFmtId="0" fontId="14" fillId="0" borderId="51" xfId="4495" applyFont="1" applyBorder="1" applyAlignment="1">
      <alignment horizontal="left" vertical="top" wrapText="1"/>
    </xf>
    <xf numFmtId="0" fontId="14" fillId="0" borderId="52" xfId="4495" applyFont="1" applyBorder="1" applyAlignment="1">
      <alignment horizontal="left" vertical="top" wrapText="1"/>
    </xf>
    <xf numFmtId="0" fontId="21" fillId="0" borderId="0" xfId="4495" applyFont="1"/>
    <xf numFmtId="0" fontId="14" fillId="43" borderId="53" xfId="4495" applyFont="1" applyFill="1" applyBorder="1" applyAlignment="1" applyProtection="1">
      <alignment vertical="top" wrapText="1"/>
      <protection locked="0"/>
    </xf>
    <xf numFmtId="0" fontId="14" fillId="43" borderId="0" xfId="4495" applyFont="1" applyFill="1" applyAlignment="1" applyProtection="1">
      <alignment vertical="top" wrapText="1"/>
      <protection locked="0"/>
    </xf>
    <xf numFmtId="0" fontId="14" fillId="43" borderId="54" xfId="4495" applyFont="1" applyFill="1" applyBorder="1" applyAlignment="1" applyProtection="1">
      <alignment vertical="top" wrapText="1"/>
      <protection locked="0"/>
    </xf>
    <xf numFmtId="0" fontId="14" fillId="43" borderId="55" xfId="4495" applyFont="1" applyFill="1" applyBorder="1" applyAlignment="1" applyProtection="1">
      <alignment vertical="top" wrapText="1"/>
      <protection locked="0"/>
    </xf>
    <xf numFmtId="0" fontId="14" fillId="43" borderId="6" xfId="4495" applyFont="1" applyFill="1" applyBorder="1" applyAlignment="1" applyProtection="1">
      <alignment vertical="top" wrapText="1"/>
      <protection locked="0"/>
    </xf>
    <xf numFmtId="0" fontId="14" fillId="43" borderId="56" xfId="4495" applyFont="1" applyFill="1" applyBorder="1" applyAlignment="1" applyProtection="1">
      <alignment vertical="top" wrapText="1"/>
      <protection locked="0"/>
    </xf>
    <xf numFmtId="0" fontId="14" fillId="43" borderId="0" xfId="4495" applyFont="1" applyFill="1" applyAlignment="1" applyProtection="1">
      <alignment horizontal="left" vertical="center" wrapText="1"/>
      <protection locked="0"/>
    </xf>
    <xf numFmtId="0" fontId="14" fillId="43" borderId="54" xfId="4495" applyFont="1" applyFill="1" applyBorder="1" applyAlignment="1" applyProtection="1">
      <alignment horizontal="left" vertical="center" wrapText="1"/>
      <protection locked="0"/>
    </xf>
    <xf numFmtId="0" fontId="14" fillId="43" borderId="6" xfId="4495" applyFont="1" applyFill="1" applyBorder="1" applyAlignment="1" applyProtection="1">
      <alignment horizontal="left" vertical="center" wrapText="1"/>
      <protection locked="0"/>
    </xf>
    <xf numFmtId="0" fontId="14" fillId="43" borderId="56" xfId="4495" applyFont="1" applyFill="1" applyBorder="1" applyAlignment="1" applyProtection="1">
      <alignment horizontal="left" vertical="center" wrapText="1"/>
      <protection locked="0"/>
    </xf>
    <xf numFmtId="0" fontId="128" fillId="0" borderId="0" xfId="4495" applyFont="1" applyAlignment="1">
      <alignment horizontal="left" vertical="top" wrapText="1"/>
    </xf>
    <xf numFmtId="0" fontId="118" fillId="5" borderId="55" xfId="4495" applyFill="1" applyBorder="1" applyAlignment="1" applyProtection="1">
      <alignment horizontal="center"/>
      <protection locked="0"/>
    </xf>
    <xf numFmtId="0" fontId="21" fillId="0" borderId="0" xfId="4495" applyFont="1" applyAlignment="1">
      <alignment horizontal="center"/>
    </xf>
    <xf numFmtId="0" fontId="21" fillId="0" borderId="54" xfId="4495" applyFont="1" applyBorder="1" applyAlignment="1">
      <alignment horizontal="center"/>
    </xf>
    <xf numFmtId="0" fontId="22" fillId="0" borderId="51" xfId="4495" applyFont="1" applyBorder="1" applyAlignment="1">
      <alignment horizontal="left" vertical="top" wrapText="1"/>
    </xf>
    <xf numFmtId="0" fontId="22" fillId="0" borderId="0" xfId="4495" applyFont="1" applyAlignment="1">
      <alignment horizontal="left" vertical="top" wrapText="1"/>
    </xf>
    <xf numFmtId="0" fontId="21" fillId="0" borderId="54" xfId="4495" applyFont="1" applyBorder="1" applyAlignment="1">
      <alignment horizontal="center" vertical="top"/>
    </xf>
    <xf numFmtId="0" fontId="118" fillId="5" borderId="62" xfId="4495" applyFill="1" applyBorder="1" applyAlignment="1" applyProtection="1">
      <alignment horizontal="center"/>
      <protection locked="0"/>
    </xf>
    <xf numFmtId="0" fontId="118" fillId="5" borderId="63" xfId="4495" applyFill="1" applyBorder="1" applyAlignment="1" applyProtection="1">
      <alignment horizontal="center"/>
      <protection locked="0"/>
    </xf>
    <xf numFmtId="0" fontId="14" fillId="0" borderId="0" xfId="4495" applyFont="1" applyAlignment="1">
      <alignment horizontal="left" vertical="center" wrapText="1" shrinkToFit="1"/>
    </xf>
    <xf numFmtId="0" fontId="14" fillId="5" borderId="6" xfId="4495" applyFont="1" applyFill="1" applyBorder="1" applyAlignment="1" applyProtection="1">
      <alignment horizontal="center" vertical="center" wrapText="1" shrinkToFit="1"/>
      <protection locked="0"/>
    </xf>
    <xf numFmtId="0" fontId="14" fillId="5" borderId="6" xfId="4495" applyFont="1" applyFill="1" applyBorder="1" applyAlignment="1" applyProtection="1">
      <alignment horizontal="left" wrapText="1" shrinkToFit="1"/>
      <protection locked="0"/>
    </xf>
    <xf numFmtId="0" fontId="14" fillId="43" borderId="6" xfId="1192" applyFill="1" applyBorder="1" applyAlignment="1" applyProtection="1">
      <alignment horizontal="left" vertical="top"/>
      <protection locked="0"/>
    </xf>
    <xf numFmtId="0" fontId="173" fillId="0" borderId="0" xfId="0" applyFont="1" applyAlignment="1" applyProtection="1">
      <alignment horizontal="left"/>
      <protection locked="0"/>
    </xf>
    <xf numFmtId="168" fontId="170" fillId="0" borderId="0" xfId="0" applyNumberFormat="1" applyFont="1" applyAlignment="1">
      <alignment horizontal="center" vertical="top" wrapText="1"/>
    </xf>
    <xf numFmtId="168" fontId="170" fillId="0" borderId="12" xfId="0" applyNumberFormat="1" applyFont="1" applyBorder="1" applyAlignment="1">
      <alignment horizontal="center" vertical="top" wrapText="1"/>
    </xf>
    <xf numFmtId="0" fontId="22" fillId="0" borderId="0" xfId="4495" applyFont="1" applyAlignment="1">
      <alignment horizontal="center"/>
    </xf>
    <xf numFmtId="0" fontId="14" fillId="0" borderId="0" xfId="4495" applyFont="1" applyAlignment="1">
      <alignment wrapText="1"/>
    </xf>
    <xf numFmtId="0" fontId="14" fillId="0" borderId="0" xfId="4495" applyFont="1" applyAlignment="1">
      <alignment horizontal="left" vertical="top" wrapText="1" shrinkToFit="1"/>
    </xf>
    <xf numFmtId="44" fontId="14" fillId="0" borderId="0" xfId="707" applyFont="1" applyFill="1" applyBorder="1" applyAlignment="1" applyProtection="1">
      <alignment horizontal="left" vertical="top" wrapText="1"/>
    </xf>
    <xf numFmtId="0" fontId="21" fillId="0" borderId="0" xfId="4495" applyFont="1" applyAlignment="1">
      <alignment horizontal="left" vertical="top" wrapText="1"/>
    </xf>
    <xf numFmtId="0" fontId="14" fillId="45" borderId="11" xfId="4495" applyFont="1" applyFill="1" applyBorder="1" applyAlignment="1">
      <alignment horizontal="center"/>
    </xf>
    <xf numFmtId="0" fontId="128" fillId="0" borderId="0" xfId="4495" applyFont="1" applyAlignment="1">
      <alignment horizontal="left" vertical="center" wrapText="1"/>
    </xf>
    <xf numFmtId="0" fontId="21" fillId="0" borderId="11" xfId="4495" applyFont="1" applyBorder="1" applyAlignment="1">
      <alignment horizontal="center"/>
    </xf>
    <xf numFmtId="0" fontId="22" fillId="0" borderId="58" xfId="4495" applyFont="1" applyBorder="1" applyAlignment="1">
      <alignment horizontal="left" vertical="top" wrapText="1"/>
    </xf>
    <xf numFmtId="0" fontId="21" fillId="0" borderId="51" xfId="4495" applyFont="1" applyBorder="1" applyAlignment="1">
      <alignment horizontal="center" vertical="top"/>
    </xf>
    <xf numFmtId="0" fontId="21" fillId="0" borderId="52" xfId="4495" applyFont="1" applyBorder="1" applyAlignment="1">
      <alignment horizontal="center" vertical="top"/>
    </xf>
    <xf numFmtId="0" fontId="118" fillId="5" borderId="50" xfId="4495" applyFill="1" applyBorder="1" applyAlignment="1">
      <alignment horizontal="center"/>
    </xf>
    <xf numFmtId="0" fontId="118" fillId="5" borderId="51" xfId="4495" applyFill="1" applyBorder="1" applyAlignment="1">
      <alignment horizontal="center"/>
    </xf>
    <xf numFmtId="0" fontId="51" fillId="0" borderId="51" xfId="4495" applyFont="1" applyBorder="1" applyAlignment="1">
      <alignment horizontal="left" wrapText="1"/>
    </xf>
    <xf numFmtId="0" fontId="51" fillId="0" borderId="0" xfId="4495" applyFont="1" applyAlignment="1">
      <alignment horizontal="left" wrapText="1"/>
    </xf>
    <xf numFmtId="0" fontId="22" fillId="5" borderId="6" xfId="4495" applyFont="1" applyFill="1" applyBorder="1" applyAlignment="1">
      <alignment horizontal="left"/>
    </xf>
    <xf numFmtId="0" fontId="118" fillId="5" borderId="62" xfId="4495" applyFill="1" applyBorder="1" applyAlignment="1">
      <alignment horizontal="center"/>
    </xf>
    <xf numFmtId="0" fontId="118" fillId="5" borderId="63" xfId="4495" applyFill="1" applyBorder="1" applyAlignment="1">
      <alignment horizontal="center"/>
    </xf>
    <xf numFmtId="0" fontId="22" fillId="5" borderId="58" xfId="4495" applyFont="1" applyFill="1" applyBorder="1" applyAlignment="1">
      <alignment horizontal="left"/>
    </xf>
    <xf numFmtId="0" fontId="51" fillId="0" borderId="51" xfId="4495" applyFont="1" applyBorder="1" applyAlignment="1">
      <alignment horizontal="left" vertical="top" wrapText="1"/>
    </xf>
    <xf numFmtId="0" fontId="51" fillId="0" borderId="0" xfId="4495" applyFont="1" applyAlignment="1">
      <alignment horizontal="left" vertical="top" wrapText="1"/>
    </xf>
    <xf numFmtId="9" fontId="22" fillId="5" borderId="58" xfId="4495" applyNumberFormat="1" applyFont="1" applyFill="1" applyBorder="1" applyAlignment="1">
      <alignment horizontal="left"/>
    </xf>
    <xf numFmtId="0" fontId="118" fillId="0" borderId="0" xfId="4495" applyAlignment="1">
      <alignment horizontal="center"/>
    </xf>
    <xf numFmtId="9" fontId="22" fillId="5" borderId="6" xfId="4495" applyNumberFormat="1" applyFont="1" applyFill="1" applyBorder="1" applyAlignment="1">
      <alignment horizontal="left"/>
    </xf>
    <xf numFmtId="0" fontId="118" fillId="5" borderId="55" xfId="4495" applyFill="1" applyBorder="1" applyAlignment="1">
      <alignment horizontal="center"/>
    </xf>
    <xf numFmtId="0" fontId="118" fillId="5" borderId="6" xfId="4495" applyFill="1" applyBorder="1" applyAlignment="1">
      <alignment horizontal="center"/>
    </xf>
    <xf numFmtId="0" fontId="22" fillId="5" borderId="0" xfId="4495" applyFont="1" applyFill="1" applyAlignment="1">
      <alignment horizontal="left" vertical="top" wrapText="1"/>
    </xf>
    <xf numFmtId="0" fontId="22" fillId="5" borderId="58" xfId="4495" applyFont="1" applyFill="1" applyBorder="1" applyAlignment="1">
      <alignment horizontal="left" vertical="top" wrapText="1"/>
    </xf>
    <xf numFmtId="0" fontId="120" fillId="0" borderId="50" xfId="4496" applyFont="1" applyBorder="1" applyAlignment="1">
      <alignment horizontal="left" wrapText="1"/>
    </xf>
    <xf numFmtId="0" fontId="120" fillId="0" borderId="51" xfId="4496" applyFont="1" applyBorder="1" applyAlignment="1">
      <alignment horizontal="left" wrapText="1"/>
    </xf>
    <xf numFmtId="0" fontId="120" fillId="0" borderId="52" xfId="4496" applyFont="1" applyBorder="1" applyAlignment="1">
      <alignment horizontal="left" wrapText="1"/>
    </xf>
    <xf numFmtId="0" fontId="120" fillId="0" borderId="57" xfId="4496" applyFont="1" applyBorder="1" applyAlignment="1">
      <alignment horizontal="left" wrapText="1"/>
    </xf>
    <xf numFmtId="0" fontId="120" fillId="0" borderId="58" xfId="4496" applyFont="1" applyBorder="1" applyAlignment="1">
      <alignment horizontal="left" wrapText="1"/>
    </xf>
    <xf numFmtId="0" fontId="120" fillId="0" borderId="59" xfId="4496" applyFont="1" applyBorder="1" applyAlignment="1">
      <alignment horizontal="left" wrapText="1"/>
    </xf>
    <xf numFmtId="0" fontId="118" fillId="0" borderId="53" xfId="4495" applyBorder="1" applyAlignment="1">
      <alignment horizontal="center"/>
    </xf>
    <xf numFmtId="0" fontId="22" fillId="5" borderId="0" xfId="4495" applyFont="1" applyFill="1" applyAlignment="1">
      <alignment horizontal="left" vertical="top"/>
    </xf>
    <xf numFmtId="0" fontId="118" fillId="5" borderId="53" xfId="4495" applyFill="1" applyBorder="1" applyAlignment="1">
      <alignment horizontal="center"/>
    </xf>
    <xf numFmtId="0" fontId="118" fillId="5" borderId="0" xfId="4495" applyFill="1" applyAlignment="1">
      <alignment horizontal="center"/>
    </xf>
    <xf numFmtId="0" fontId="21" fillId="0" borderId="4" xfId="4495" applyFont="1" applyBorder="1" applyAlignment="1">
      <alignment horizontal="left"/>
    </xf>
    <xf numFmtId="0" fontId="21" fillId="0" borderId="5" xfId="4495" applyFont="1" applyBorder="1" applyAlignment="1">
      <alignment horizontal="left"/>
    </xf>
    <xf numFmtId="1" fontId="21" fillId="0" borderId="4" xfId="4495" applyNumberFormat="1" applyFont="1" applyBorder="1" applyAlignment="1">
      <alignment horizontal="center" wrapText="1"/>
    </xf>
    <xf numFmtId="0" fontId="21" fillId="0" borderId="4" xfId="4495" applyFont="1" applyBorder="1" applyAlignment="1">
      <alignment horizontal="center" wrapText="1"/>
    </xf>
    <xf numFmtId="0" fontId="21" fillId="0" borderId="5" xfId="4495" applyFont="1" applyBorder="1" applyAlignment="1">
      <alignment horizontal="center" wrapText="1"/>
    </xf>
    <xf numFmtId="0" fontId="21" fillId="0" borderId="3" xfId="4495" applyFont="1" applyBorder="1" applyAlignment="1">
      <alignment horizontal="center" wrapText="1"/>
    </xf>
    <xf numFmtId="0" fontId="14" fillId="0" borderId="50" xfId="4496" applyFont="1" applyBorder="1" applyAlignment="1">
      <alignment horizontal="left" wrapText="1"/>
    </xf>
    <xf numFmtId="0" fontId="14" fillId="0" borderId="51" xfId="4496" applyFont="1" applyBorder="1" applyAlignment="1">
      <alignment horizontal="left" wrapText="1"/>
    </xf>
    <xf numFmtId="0" fontId="14" fillId="0" borderId="52" xfId="4496" applyFont="1" applyBorder="1" applyAlignment="1">
      <alignment horizontal="left" wrapText="1"/>
    </xf>
    <xf numFmtId="0" fontId="14" fillId="0" borderId="53" xfId="4496" applyFont="1" applyBorder="1" applyAlignment="1">
      <alignment horizontal="left" wrapText="1"/>
    </xf>
    <xf numFmtId="0" fontId="14" fillId="0" borderId="0" xfId="4496" applyFont="1" applyAlignment="1">
      <alignment horizontal="left" wrapText="1"/>
    </xf>
    <xf numFmtId="0" fontId="14" fillId="0" borderId="54" xfId="4496" applyFont="1" applyBorder="1" applyAlignment="1">
      <alignment horizontal="left" wrapText="1"/>
    </xf>
    <xf numFmtId="0" fontId="14" fillId="0" borderId="57" xfId="4496" applyFont="1" applyBorder="1" applyAlignment="1">
      <alignment horizontal="left" wrapText="1"/>
    </xf>
    <xf numFmtId="0" fontId="14" fillId="0" borderId="58" xfId="4496" applyFont="1" applyBorder="1" applyAlignment="1">
      <alignment horizontal="left" wrapText="1"/>
    </xf>
    <xf numFmtId="0" fontId="14" fillId="0" borderId="59" xfId="4496" applyFont="1" applyBorder="1" applyAlignment="1">
      <alignment horizontal="left" wrapText="1"/>
    </xf>
    <xf numFmtId="1" fontId="14" fillId="0" borderId="4" xfId="4496" applyNumberFormat="1" applyFont="1" applyBorder="1" applyAlignment="1">
      <alignment horizontal="center"/>
    </xf>
    <xf numFmtId="1" fontId="14" fillId="0" borderId="5" xfId="4496" applyNumberFormat="1" applyFont="1" applyBorder="1" applyAlignment="1">
      <alignment horizontal="center"/>
    </xf>
    <xf numFmtId="49" fontId="20" fillId="3" borderId="2" xfId="4495" applyNumberFormat="1" applyFont="1" applyFill="1" applyBorder="1" applyAlignment="1">
      <alignment horizontal="center" vertical="center" wrapText="1"/>
    </xf>
    <xf numFmtId="49" fontId="20" fillId="3" borderId="2" xfId="4495" applyNumberFormat="1" applyFont="1" applyFill="1" applyBorder="1" applyAlignment="1">
      <alignment horizontal="center" vertical="center"/>
    </xf>
    <xf numFmtId="49" fontId="20" fillId="3" borderId="0" xfId="4495" applyNumberFormat="1" applyFont="1" applyFill="1" applyAlignment="1">
      <alignment horizontal="center" vertical="center"/>
    </xf>
    <xf numFmtId="0" fontId="21" fillId="0" borderId="1" xfId="4495" applyFont="1" applyBorder="1" applyAlignment="1">
      <alignment horizontal="center" wrapText="1"/>
    </xf>
    <xf numFmtId="0" fontId="21" fillId="0" borderId="2" xfId="4495" applyFont="1" applyBorder="1" applyAlignment="1">
      <alignment horizontal="center" wrapText="1"/>
    </xf>
    <xf numFmtId="0" fontId="21" fillId="0" borderId="7" xfId="4495" applyFont="1" applyBorder="1" applyAlignment="1">
      <alignment horizontal="center" wrapText="1"/>
    </xf>
    <xf numFmtId="0" fontId="21" fillId="0" borderId="9" xfId="4495" applyFont="1" applyBorder="1" applyAlignment="1">
      <alignment horizontal="center" wrapText="1"/>
    </xf>
    <xf numFmtId="0" fontId="21" fillId="0" borderId="6" xfId="4495" applyFont="1" applyBorder="1" applyAlignment="1">
      <alignment horizontal="center" wrapText="1"/>
    </xf>
    <xf numFmtId="0" fontId="21" fillId="0" borderId="10" xfId="4495" applyFont="1" applyBorder="1" applyAlignment="1">
      <alignment horizontal="center" wrapText="1"/>
    </xf>
    <xf numFmtId="1" fontId="21" fillId="0" borderId="11" xfId="4495" applyNumberFormat="1" applyFont="1" applyBorder="1" applyAlignment="1">
      <alignment horizontal="center"/>
    </xf>
    <xf numFmtId="0" fontId="14" fillId="0" borderId="4" xfId="4495" applyFont="1" applyBorder="1" applyAlignment="1">
      <alignment horizontal="left"/>
    </xf>
    <xf numFmtId="0" fontId="14" fillId="0" borderId="5" xfId="4495" applyFont="1" applyBorder="1" applyAlignment="1">
      <alignment horizontal="left"/>
    </xf>
    <xf numFmtId="1" fontId="14" fillId="46" borderId="11" xfId="4495" applyNumberFormat="1" applyFont="1" applyFill="1" applyBorder="1" applyAlignment="1">
      <alignment horizontal="center"/>
    </xf>
    <xf numFmtId="0" fontId="21" fillId="0" borderId="3" xfId="4495" applyFont="1" applyBorder="1" applyAlignment="1">
      <alignment horizontal="left"/>
    </xf>
    <xf numFmtId="0" fontId="14" fillId="5" borderId="11" xfId="4495" applyFont="1" applyFill="1" applyBorder="1" applyAlignment="1" applyProtection="1">
      <alignment horizontal="center"/>
      <protection locked="0"/>
    </xf>
    <xf numFmtId="0" fontId="21" fillId="0" borderId="3" xfId="4495" applyFont="1" applyBorder="1" applyAlignment="1">
      <alignment horizontal="center"/>
    </xf>
    <xf numFmtId="0" fontId="21" fillId="0" borderId="4" xfId="4495" applyFont="1" applyBorder="1" applyAlignment="1">
      <alignment horizontal="center"/>
    </xf>
    <xf numFmtId="0" fontId="21" fillId="0" borderId="5" xfId="4495" applyFont="1" applyBorder="1" applyAlignment="1">
      <alignment horizontal="center"/>
    </xf>
    <xf numFmtId="164" fontId="62" fillId="0" borderId="1" xfId="4495" applyNumberFormat="1" applyFont="1" applyBorder="1" applyAlignment="1">
      <alignment horizontal="right" vertical="center"/>
    </xf>
    <xf numFmtId="164" fontId="62" fillId="0" borderId="2" xfId="4495" applyNumberFormat="1" applyFont="1" applyBorder="1" applyAlignment="1">
      <alignment horizontal="right" vertical="center"/>
    </xf>
    <xf numFmtId="164" fontId="62" fillId="0" borderId="7" xfId="4495" applyNumberFormat="1" applyFont="1" applyBorder="1" applyAlignment="1">
      <alignment horizontal="right" vertical="center"/>
    </xf>
    <xf numFmtId="164" fontId="62" fillId="0" borderId="9" xfId="4495" applyNumberFormat="1" applyFont="1" applyBorder="1" applyAlignment="1">
      <alignment horizontal="right" vertical="center"/>
    </xf>
    <xf numFmtId="164" fontId="62" fillId="0" borderId="6" xfId="4495" applyNumberFormat="1" applyFont="1" applyBorder="1" applyAlignment="1">
      <alignment horizontal="right" vertical="center"/>
    </xf>
    <xf numFmtId="164" fontId="62" fillId="0" borderId="10" xfId="4495" applyNumberFormat="1" applyFont="1" applyBorder="1" applyAlignment="1">
      <alignment horizontal="right" vertical="center"/>
    </xf>
    <xf numFmtId="180" fontId="62" fillId="0" borderId="1" xfId="4495" applyNumberFormat="1" applyFont="1" applyBorder="1" applyAlignment="1">
      <alignment horizontal="center" vertical="center"/>
    </xf>
    <xf numFmtId="180" fontId="62" fillId="0" borderId="2" xfId="4495" applyNumberFormat="1" applyFont="1" applyBorder="1" applyAlignment="1">
      <alignment horizontal="center" vertical="center"/>
    </xf>
    <xf numFmtId="180" fontId="62" fillId="0" borderId="7" xfId="4495" applyNumberFormat="1" applyFont="1" applyBorder="1" applyAlignment="1">
      <alignment horizontal="center" vertical="center"/>
    </xf>
    <xf numFmtId="180" fontId="62" fillId="0" borderId="9" xfId="4495" applyNumberFormat="1" applyFont="1" applyBorder="1" applyAlignment="1">
      <alignment horizontal="center" vertical="center"/>
    </xf>
    <xf numFmtId="180" fontId="62" fillId="0" borderId="6" xfId="4495" applyNumberFormat="1" applyFont="1" applyBorder="1" applyAlignment="1">
      <alignment horizontal="center" vertical="center"/>
    </xf>
    <xf numFmtId="180" fontId="62" fillId="0" borderId="10" xfId="4495" applyNumberFormat="1" applyFont="1" applyBorder="1" applyAlignment="1">
      <alignment horizontal="center" vertical="center"/>
    </xf>
    <xf numFmtId="168" fontId="14" fillId="0" borderId="6" xfId="1192" applyNumberFormat="1" applyBorder="1" applyAlignment="1">
      <alignment horizontal="right"/>
    </xf>
    <xf numFmtId="0" fontId="116" fillId="0" borderId="4" xfId="1192" applyFont="1" applyBorder="1" applyAlignment="1">
      <alignment horizontal="left"/>
    </xf>
    <xf numFmtId="168" fontId="14" fillId="43" borderId="6" xfId="543" applyNumberFormat="1" applyFill="1" applyBorder="1" applyAlignment="1" applyProtection="1">
      <alignment horizontal="center"/>
      <protection locked="0"/>
    </xf>
    <xf numFmtId="0" fontId="14" fillId="0" borderId="6" xfId="1192" applyBorder="1" applyAlignment="1">
      <alignment horizontal="left"/>
    </xf>
    <xf numFmtId="0" fontId="14" fillId="0" borderId="6" xfId="1192" applyBorder="1" applyAlignment="1">
      <alignment horizontal="right"/>
    </xf>
    <xf numFmtId="168" fontId="14" fillId="43" borderId="6" xfId="1192" applyNumberFormat="1" applyFill="1" applyBorder="1" applyAlignment="1" applyProtection="1">
      <alignment horizontal="right"/>
      <protection locked="0"/>
    </xf>
    <xf numFmtId="10" fontId="22" fillId="0" borderId="2" xfId="4495" applyNumberFormat="1" applyFont="1" applyBorder="1" applyAlignment="1">
      <alignment horizontal="center"/>
    </xf>
    <xf numFmtId="4" fontId="22" fillId="0" borderId="0" xfId="4495" applyNumberFormat="1" applyFont="1" applyAlignment="1">
      <alignment horizontal="center"/>
    </xf>
    <xf numFmtId="0" fontId="30" fillId="42" borderId="2" xfId="4495" applyFont="1" applyFill="1" applyBorder="1" applyAlignment="1">
      <alignment horizontal="center"/>
    </xf>
    <xf numFmtId="0" fontId="30" fillId="42" borderId="6" xfId="4495" applyFont="1" applyFill="1" applyBorder="1" applyAlignment="1">
      <alignment horizontal="center"/>
    </xf>
    <xf numFmtId="4" fontId="22" fillId="0" borderId="6" xfId="4495" applyNumberFormat="1" applyFont="1" applyBorder="1" applyAlignment="1">
      <alignment horizontal="center"/>
    </xf>
    <xf numFmtId="168" fontId="14" fillId="0" borderId="4" xfId="1192" applyNumberFormat="1" applyBorder="1" applyAlignment="1">
      <alignment horizontal="right"/>
    </xf>
    <xf numFmtId="168" fontId="14" fillId="0" borderId="4" xfId="4496" applyNumberFormat="1" applyFont="1" applyBorder="1" applyAlignment="1">
      <alignment horizontal="center"/>
    </xf>
    <xf numFmtId="9" fontId="14" fillId="0" borderId="4" xfId="4496" applyNumberFormat="1" applyFont="1" applyBorder="1" applyAlignment="1">
      <alignment horizontal="center"/>
    </xf>
    <xf numFmtId="164" fontId="14" fillId="0" borderId="50" xfId="4495" applyNumberFormat="1" applyFont="1" applyBorder="1" applyAlignment="1">
      <alignment horizontal="left" vertical="top" wrapText="1"/>
    </xf>
    <xf numFmtId="164" fontId="14" fillId="0" borderId="51" xfId="4495" applyNumberFormat="1" applyFont="1" applyBorder="1" applyAlignment="1">
      <alignment horizontal="left" vertical="top" wrapText="1"/>
    </xf>
    <xf numFmtId="164" fontId="14" fillId="0" borderId="52" xfId="4495" applyNumberFormat="1" applyFont="1" applyBorder="1" applyAlignment="1">
      <alignment horizontal="left" vertical="top" wrapText="1"/>
    </xf>
    <xf numFmtId="164" fontId="14" fillId="0" borderId="53" xfId="4495" applyNumberFormat="1" applyFont="1" applyBorder="1" applyAlignment="1">
      <alignment horizontal="left" vertical="top" wrapText="1"/>
    </xf>
    <xf numFmtId="164" fontId="14" fillId="0" borderId="0" xfId="4495" applyNumberFormat="1" applyFont="1" applyAlignment="1">
      <alignment horizontal="left" vertical="top" wrapText="1"/>
    </xf>
    <xf numFmtId="164" fontId="14" fillId="0" borderId="54" xfId="4495" applyNumberFormat="1" applyFont="1" applyBorder="1" applyAlignment="1">
      <alignment horizontal="left" vertical="top" wrapText="1"/>
    </xf>
    <xf numFmtId="164" fontId="14" fillId="0" borderId="57" xfId="4495" applyNumberFormat="1" applyFont="1" applyBorder="1" applyAlignment="1">
      <alignment horizontal="left" vertical="top" wrapText="1"/>
    </xf>
    <xf numFmtId="164" fontId="14" fillId="0" borderId="58" xfId="4495" applyNumberFormat="1" applyFont="1" applyBorder="1" applyAlignment="1">
      <alignment horizontal="left" vertical="top" wrapText="1"/>
    </xf>
    <xf numFmtId="164" fontId="14" fillId="0" borderId="59" xfId="4495" applyNumberFormat="1" applyFont="1" applyBorder="1" applyAlignment="1">
      <alignment horizontal="left" vertical="top" wrapText="1"/>
    </xf>
    <xf numFmtId="4" fontId="22" fillId="0" borderId="3" xfId="4495" applyNumberFormat="1" applyFont="1" applyBorder="1" applyAlignment="1">
      <alignment horizontal="center"/>
    </xf>
    <xf numFmtId="4" fontId="22" fillId="0" borderId="4" xfId="4495" applyNumberFormat="1" applyFont="1" applyBorder="1" applyAlignment="1">
      <alignment horizontal="center"/>
    </xf>
    <xf numFmtId="4" fontId="22" fillId="0" borderId="5" xfId="4495" applyNumberFormat="1" applyFont="1" applyBorder="1" applyAlignment="1">
      <alignment horizontal="center"/>
    </xf>
    <xf numFmtId="165" fontId="120" fillId="0" borderId="3" xfId="4496" applyNumberFormat="1" applyFont="1" applyBorder="1" applyAlignment="1">
      <alignment horizontal="center" vertical="top" wrapText="1"/>
    </xf>
    <xf numFmtId="165" fontId="120" fillId="0" borderId="5" xfId="4496" applyNumberFormat="1" applyFont="1" applyBorder="1" applyAlignment="1">
      <alignment horizontal="center" vertical="top" wrapText="1"/>
    </xf>
    <xf numFmtId="3" fontId="14" fillId="43" borderId="6" xfId="1192" applyNumberFormat="1" applyFill="1" applyBorder="1" applyAlignment="1" applyProtection="1">
      <alignment horizontal="right"/>
      <protection locked="0"/>
    </xf>
    <xf numFmtId="0" fontId="140" fillId="0" borderId="0" xfId="1192" applyFont="1" applyAlignment="1">
      <alignment horizontal="center"/>
    </xf>
    <xf numFmtId="0" fontId="96" fillId="0" borderId="80" xfId="4496" applyFont="1" applyBorder="1" applyAlignment="1">
      <alignment horizontal="right"/>
    </xf>
    <xf numFmtId="0" fontId="96" fillId="0" borderId="11" xfId="4496" applyFont="1" applyBorder="1" applyAlignment="1">
      <alignment horizontal="right"/>
    </xf>
    <xf numFmtId="0" fontId="96" fillId="0" borderId="72" xfId="4496" applyFont="1" applyBorder="1" applyAlignment="1">
      <alignment horizontal="right"/>
    </xf>
    <xf numFmtId="0" fontId="96" fillId="0" borderId="73" xfId="4496" applyFont="1" applyBorder="1" applyAlignment="1">
      <alignment horizontal="right"/>
    </xf>
    <xf numFmtId="0" fontId="96" fillId="0" borderId="11" xfId="4496" applyFont="1" applyBorder="1"/>
    <xf numFmtId="0" fontId="96" fillId="0" borderId="91" xfId="4496" applyFont="1" applyBorder="1"/>
    <xf numFmtId="0" fontId="96" fillId="0" borderId="73" xfId="4496" applyFont="1" applyBorder="1"/>
    <xf numFmtId="0" fontId="96" fillId="0" borderId="93" xfId="4496" applyFont="1" applyBorder="1"/>
    <xf numFmtId="0" fontId="96" fillId="0" borderId="70" xfId="4496" applyFont="1" applyBorder="1" applyAlignment="1">
      <alignment horizontal="right"/>
    </xf>
    <xf numFmtId="0" fontId="96" fillId="0" borderId="71" xfId="4496" applyFont="1" applyBorder="1" applyAlignment="1">
      <alignment horizontal="right"/>
    </xf>
    <xf numFmtId="0" fontId="135" fillId="0" borderId="90" xfId="4496" applyFont="1" applyBorder="1" applyAlignment="1">
      <alignment horizontal="center" vertical="top" wrapText="1"/>
    </xf>
    <xf numFmtId="0" fontId="135" fillId="0" borderId="89" xfId="4496" applyFont="1" applyBorder="1" applyAlignment="1">
      <alignment horizontal="center" vertical="top" wrapText="1"/>
    </xf>
    <xf numFmtId="0" fontId="96" fillId="0" borderId="71" xfId="4496" applyFont="1" applyBorder="1"/>
    <xf numFmtId="0" fontId="96" fillId="0" borderId="74" xfId="4496" applyFont="1" applyBorder="1"/>
    <xf numFmtId="49" fontId="134" fillId="3" borderId="0" xfId="1192" applyNumberFormat="1" applyFont="1" applyFill="1" applyAlignment="1">
      <alignment horizontal="center" vertical="center"/>
    </xf>
    <xf numFmtId="0" fontId="96" fillId="0" borderId="11" xfId="4496" applyFont="1" applyBorder="1" applyAlignment="1">
      <alignment horizontal="left" indent="1"/>
    </xf>
    <xf numFmtId="0" fontId="135" fillId="45" borderId="3" xfId="4496" applyFont="1" applyFill="1" applyBorder="1" applyAlignment="1">
      <alignment horizontal="center" vertical="center"/>
    </xf>
    <xf numFmtId="0" fontId="135" fillId="45" borderId="4" xfId="4496" applyFont="1" applyFill="1" applyBorder="1" applyAlignment="1">
      <alignment horizontal="center" vertical="center"/>
    </xf>
    <xf numFmtId="0" fontId="135" fillId="45" borderId="5" xfId="4496" applyFont="1" applyFill="1" applyBorder="1" applyAlignment="1">
      <alignment horizontal="center" vertical="center"/>
    </xf>
    <xf numFmtId="9" fontId="135" fillId="45" borderId="3" xfId="4499" applyFont="1" applyFill="1" applyBorder="1" applyAlignment="1" applyProtection="1">
      <alignment horizontal="center" vertical="center"/>
    </xf>
    <xf numFmtId="9" fontId="135" fillId="45" borderId="4" xfId="4499" applyFont="1" applyFill="1" applyBorder="1" applyAlignment="1" applyProtection="1">
      <alignment horizontal="center" vertical="center"/>
    </xf>
    <xf numFmtId="9" fontId="135" fillId="45" borderId="5" xfId="4499" applyFont="1" applyFill="1" applyBorder="1" applyAlignment="1" applyProtection="1">
      <alignment horizontal="center" vertical="center"/>
    </xf>
    <xf numFmtId="0" fontId="96" fillId="0" borderId="15" xfId="4496" applyFont="1" applyBorder="1" applyAlignment="1">
      <alignment horizontal="left" indent="1"/>
    </xf>
    <xf numFmtId="0" fontId="135" fillId="0" borderId="71" xfId="4496" applyFont="1" applyBorder="1" applyAlignment="1">
      <alignment horizontal="left" indent="1"/>
    </xf>
    <xf numFmtId="168" fontId="96" fillId="0" borderId="11" xfId="4499" applyNumberFormat="1" applyFont="1" applyFill="1" applyBorder="1" applyAlignment="1" applyProtection="1">
      <alignment horizontal="left" vertical="center" indent="1"/>
    </xf>
    <xf numFmtId="168" fontId="96" fillId="0" borderId="13" xfId="4499" applyNumberFormat="1" applyFont="1" applyFill="1" applyBorder="1" applyAlignment="1" applyProtection="1">
      <alignment horizontal="left" vertical="center" indent="1"/>
    </xf>
    <xf numFmtId="49" fontId="96" fillId="45" borderId="15" xfId="4496" applyNumberFormat="1" applyFont="1" applyFill="1" applyBorder="1" applyAlignment="1">
      <alignment horizontal="center" vertical="center" wrapText="1"/>
    </xf>
    <xf numFmtId="49" fontId="96" fillId="45" borderId="13" xfId="4496" applyNumberFormat="1" applyFont="1" applyFill="1" applyBorder="1" applyAlignment="1">
      <alignment horizontal="center" vertical="center" wrapText="1"/>
    </xf>
    <xf numFmtId="168" fontId="96" fillId="0" borderId="84" xfId="4499" applyNumberFormat="1" applyFont="1" applyFill="1" applyBorder="1" applyAlignment="1" applyProtection="1">
      <alignment horizontal="left" vertical="center" indent="1"/>
    </xf>
    <xf numFmtId="168" fontId="96" fillId="0" borderId="83" xfId="4499" applyNumberFormat="1" applyFont="1" applyFill="1" applyBorder="1" applyAlignment="1" applyProtection="1">
      <alignment horizontal="left" vertical="center" indent="1"/>
    </xf>
    <xf numFmtId="43" fontId="144" fillId="53" borderId="80" xfId="698" applyFont="1" applyFill="1" applyBorder="1" applyAlignment="1" applyProtection="1">
      <alignment horizontal="right"/>
      <protection hidden="1"/>
    </xf>
    <xf numFmtId="43" fontId="144" fillId="53" borderId="11" xfId="698" applyFont="1" applyFill="1" applyBorder="1" applyAlignment="1" applyProtection="1">
      <alignment horizontal="right"/>
      <protection hidden="1"/>
    </xf>
    <xf numFmtId="44" fontId="144" fillId="0" borderId="11" xfId="700" applyFont="1" applyBorder="1" applyAlignment="1" applyProtection="1">
      <alignment horizontal="center"/>
      <protection hidden="1"/>
    </xf>
    <xf numFmtId="164" fontId="144" fillId="0" borderId="11" xfId="700" applyNumberFormat="1" applyFont="1" applyBorder="1" applyAlignment="1" applyProtection="1">
      <alignment horizontal="center"/>
      <protection hidden="1"/>
    </xf>
    <xf numFmtId="9" fontId="144" fillId="0" borderId="11" xfId="1022" applyFont="1" applyBorder="1" applyAlignment="1" applyProtection="1">
      <alignment horizontal="center"/>
      <protection hidden="1"/>
    </xf>
    <xf numFmtId="0" fontId="146" fillId="53" borderId="80" xfId="698" applyNumberFormat="1" applyFont="1" applyFill="1" applyBorder="1" applyAlignment="1" applyProtection="1">
      <alignment horizontal="center"/>
      <protection hidden="1"/>
    </xf>
    <xf numFmtId="0" fontId="146" fillId="53" borderId="11" xfId="698" applyNumberFormat="1" applyFont="1" applyFill="1" applyBorder="1" applyAlignment="1" applyProtection="1">
      <alignment horizontal="center"/>
      <protection hidden="1"/>
    </xf>
    <xf numFmtId="0" fontId="146" fillId="49" borderId="11" xfId="0" applyFont="1" applyFill="1" applyBorder="1" applyAlignment="1" applyProtection="1">
      <alignment horizontal="center"/>
      <protection locked="0"/>
    </xf>
    <xf numFmtId="14" fontId="176" fillId="49" borderId="11" xfId="700" applyNumberFormat="1" applyFont="1" applyFill="1" applyBorder="1" applyAlignment="1" applyProtection="1">
      <alignment horizontal="center"/>
      <protection locked="0"/>
    </xf>
    <xf numFmtId="164" fontId="146" fillId="49" borderId="11" xfId="700" applyNumberFormat="1" applyFont="1" applyFill="1" applyBorder="1" applyAlignment="1" applyProtection="1">
      <alignment horizontal="center"/>
      <protection locked="0"/>
    </xf>
    <xf numFmtId="9" fontId="146" fillId="49" borderId="11" xfId="1022" applyFont="1" applyFill="1" applyBorder="1" applyAlignment="1" applyProtection="1">
      <alignment horizontal="center"/>
      <protection locked="0"/>
    </xf>
    <xf numFmtId="0" fontId="146" fillId="49" borderId="3" xfId="0" applyFont="1" applyFill="1" applyBorder="1" applyAlignment="1" applyProtection="1">
      <alignment horizontal="center"/>
      <protection locked="0"/>
    </xf>
    <xf numFmtId="0" fontId="146" fillId="49" borderId="4" xfId="0" applyFont="1" applyFill="1" applyBorder="1" applyAlignment="1" applyProtection="1">
      <alignment horizontal="center"/>
      <protection locked="0"/>
    </xf>
    <xf numFmtId="0" fontId="146" fillId="49" borderId="5" xfId="0" applyFont="1" applyFill="1" applyBorder="1" applyAlignment="1" applyProtection="1">
      <alignment horizontal="center"/>
      <protection locked="0"/>
    </xf>
    <xf numFmtId="44" fontId="2" fillId="0" borderId="11" xfId="700" applyFont="1" applyBorder="1" applyAlignment="1" applyProtection="1">
      <alignment horizontal="center"/>
      <protection hidden="1"/>
    </xf>
    <xf numFmtId="44" fontId="2" fillId="49" borderId="11" xfId="700" applyFont="1" applyFill="1" applyBorder="1" applyAlignment="1" applyProtection="1">
      <alignment horizontal="center"/>
      <protection hidden="1"/>
    </xf>
    <xf numFmtId="44" fontId="2" fillId="44" borderId="11" xfId="700" applyFont="1" applyFill="1" applyBorder="1" applyAlignment="1" applyProtection="1">
      <alignment horizontal="center"/>
      <protection hidden="1"/>
    </xf>
    <xf numFmtId="168" fontId="146" fillId="49" borderId="11" xfId="8727" applyNumberFormat="1" applyFont="1" applyFill="1" applyBorder="1" applyAlignment="1">
      <alignment horizontal="center"/>
    </xf>
    <xf numFmtId="0" fontId="144" fillId="44" borderId="11" xfId="8726" applyFont="1" applyFill="1" applyBorder="1" applyAlignment="1">
      <alignment horizontal="left"/>
    </xf>
    <xf numFmtId="0" fontId="2" fillId="48" borderId="3" xfId="8726" applyFill="1" applyBorder="1" applyAlignment="1">
      <alignment horizontal="center"/>
    </xf>
    <xf numFmtId="0" fontId="2" fillId="48" borderId="4" xfId="8726" applyFill="1" applyBorder="1" applyAlignment="1">
      <alignment horizontal="center"/>
    </xf>
    <xf numFmtId="0" fontId="2" fillId="48" borderId="5" xfId="8726" applyFill="1" applyBorder="1" applyAlignment="1">
      <alignment horizontal="center"/>
    </xf>
    <xf numFmtId="0" fontId="161" fillId="48" borderId="3" xfId="8726" applyFont="1" applyFill="1" applyBorder="1" applyAlignment="1">
      <alignment horizontal="center"/>
    </xf>
    <xf numFmtId="0" fontId="161" fillId="48" borderId="4" xfId="8726" applyFont="1" applyFill="1" applyBorder="1" applyAlignment="1">
      <alignment horizontal="center"/>
    </xf>
    <xf numFmtId="0" fontId="161" fillId="48" borderId="5" xfId="8726" applyFont="1" applyFill="1" applyBorder="1" applyAlignment="1">
      <alignment horizontal="center"/>
    </xf>
    <xf numFmtId="43" fontId="146" fillId="53" borderId="11" xfId="698" applyFont="1" applyFill="1" applyBorder="1" applyAlignment="1" applyProtection="1">
      <alignment horizontal="left" wrapText="1"/>
      <protection hidden="1"/>
    </xf>
    <xf numFmtId="0" fontId="161" fillId="45" borderId="11" xfId="8726" applyFont="1" applyFill="1" applyBorder="1" applyAlignment="1">
      <alignment horizontal="left"/>
    </xf>
    <xf numFmtId="0" fontId="171" fillId="45" borderId="11" xfId="8726" applyFont="1" applyFill="1" applyBorder="1" applyAlignment="1">
      <alignment horizontal="left" wrapText="1"/>
    </xf>
    <xf numFmtId="0" fontId="148" fillId="45" borderId="13" xfId="0" applyFont="1" applyFill="1" applyBorder="1" applyAlignment="1" applyProtection="1">
      <alignment horizontal="left" wrapText="1"/>
      <protection hidden="1"/>
    </xf>
    <xf numFmtId="0" fontId="148" fillId="45" borderId="13" xfId="0" applyFont="1" applyFill="1" applyBorder="1" applyAlignment="1" applyProtection="1">
      <alignment horizontal="center" wrapText="1"/>
      <protection hidden="1"/>
    </xf>
    <xf numFmtId="182" fontId="2" fillId="0" borderId="13" xfId="8726" applyNumberFormat="1" applyBorder="1" applyAlignment="1">
      <alignment horizontal="center"/>
    </xf>
    <xf numFmtId="0" fontId="2" fillId="0" borderId="13" xfId="8726" applyBorder="1" applyAlignment="1">
      <alignment horizontal="center"/>
    </xf>
    <xf numFmtId="0" fontId="147" fillId="45" borderId="11" xfId="8726" applyFont="1" applyFill="1" applyBorder="1" applyAlignment="1">
      <alignment horizontal="center" wrapText="1"/>
    </xf>
    <xf numFmtId="0" fontId="148" fillId="45" borderId="11" xfId="8726" applyFont="1" applyFill="1" applyBorder="1" applyAlignment="1">
      <alignment horizontal="center"/>
    </xf>
    <xf numFmtId="0" fontId="148" fillId="45" borderId="91" xfId="8726" applyFont="1" applyFill="1" applyBorder="1" applyAlignment="1">
      <alignment horizontal="center"/>
    </xf>
    <xf numFmtId="0" fontId="147" fillId="45" borderId="80" xfId="8726" applyFont="1" applyFill="1" applyBorder="1" applyAlignment="1">
      <alignment horizontal="center"/>
    </xf>
    <xf numFmtId="0" fontId="147" fillId="45" borderId="11" xfId="8726" applyFont="1" applyFill="1" applyBorder="1" applyAlignment="1">
      <alignment horizontal="center"/>
    </xf>
    <xf numFmtId="0" fontId="2" fillId="49" borderId="11" xfId="8726" applyFill="1" applyBorder="1" applyAlignment="1" applyProtection="1">
      <alignment horizontal="center"/>
      <protection locked="0"/>
    </xf>
    <xf numFmtId="0" fontId="161" fillId="45" borderId="80" xfId="8726" applyFont="1" applyFill="1" applyBorder="1" applyAlignment="1">
      <alignment horizontal="right"/>
    </xf>
    <xf numFmtId="0" fontId="161" fillId="45" borderId="11" xfId="8726" applyFont="1" applyFill="1" applyBorder="1" applyAlignment="1">
      <alignment horizontal="right"/>
    </xf>
    <xf numFmtId="0" fontId="100" fillId="45" borderId="70" xfId="8726" applyFont="1" applyFill="1" applyBorder="1" applyAlignment="1">
      <alignment horizontal="center" wrapText="1"/>
    </xf>
    <xf numFmtId="0" fontId="100" fillId="45" borderId="71" xfId="8726" applyFont="1" applyFill="1" applyBorder="1" applyAlignment="1">
      <alignment horizontal="center" wrapText="1"/>
    </xf>
    <xf numFmtId="0" fontId="100" fillId="45" borderId="74" xfId="8726" applyFont="1" applyFill="1" applyBorder="1" applyAlignment="1">
      <alignment horizontal="center" wrapText="1"/>
    </xf>
    <xf numFmtId="0" fontId="2" fillId="49" borderId="91" xfId="8726" applyFill="1" applyBorder="1" applyAlignment="1" applyProtection="1">
      <alignment horizontal="center"/>
      <protection locked="0"/>
    </xf>
    <xf numFmtId="0" fontId="100" fillId="45" borderId="104" xfId="8726" applyFont="1" applyFill="1" applyBorder="1" applyAlignment="1">
      <alignment horizontal="center"/>
    </xf>
    <xf numFmtId="0" fontId="100" fillId="45" borderId="97" xfId="8726" applyFont="1" applyFill="1" applyBorder="1" applyAlignment="1">
      <alignment horizontal="center"/>
    </xf>
    <xf numFmtId="0" fontId="100" fillId="45" borderId="98" xfId="8726" applyFont="1" applyFill="1" applyBorder="1" applyAlignment="1">
      <alignment horizontal="center"/>
    </xf>
    <xf numFmtId="43" fontId="144" fillId="56" borderId="13" xfId="698" applyFont="1" applyFill="1" applyBorder="1" applyAlignment="1" applyProtection="1">
      <alignment horizontal="center"/>
      <protection hidden="1"/>
    </xf>
    <xf numFmtId="43" fontId="146" fillId="53" borderId="11" xfId="698" applyFont="1" applyFill="1" applyBorder="1" applyAlignment="1" applyProtection="1">
      <alignment horizontal="left"/>
      <protection hidden="1"/>
    </xf>
    <xf numFmtId="0" fontId="161" fillId="49" borderId="80" xfId="8726" applyFont="1" applyFill="1" applyBorder="1" applyAlignment="1">
      <alignment horizontal="left" vertical="top"/>
    </xf>
    <xf numFmtId="0" fontId="161" fillId="49" borderId="11" xfId="8726" applyFont="1" applyFill="1" applyBorder="1" applyAlignment="1">
      <alignment horizontal="left" vertical="top"/>
    </xf>
    <xf numFmtId="0" fontId="161" fillId="49" borderId="91" xfId="8726" applyFont="1" applyFill="1" applyBorder="1" applyAlignment="1">
      <alignment horizontal="left" vertical="top"/>
    </xf>
    <xf numFmtId="0" fontId="161" fillId="49" borderId="72" xfId="8726" applyFont="1" applyFill="1" applyBorder="1" applyAlignment="1">
      <alignment horizontal="left" vertical="top"/>
    </xf>
    <xf numFmtId="0" fontId="161" fillId="49" borderId="73" xfId="8726" applyFont="1" applyFill="1" applyBorder="1" applyAlignment="1">
      <alignment horizontal="left" vertical="top"/>
    </xf>
    <xf numFmtId="0" fontId="161" fillId="49" borderId="93" xfId="8726" applyFont="1" applyFill="1" applyBorder="1" applyAlignment="1">
      <alignment horizontal="left" vertical="top"/>
    </xf>
    <xf numFmtId="0" fontId="147" fillId="45" borderId="72" xfId="8726" applyFont="1" applyFill="1" applyBorder="1" applyAlignment="1">
      <alignment horizontal="center"/>
    </xf>
    <xf numFmtId="0" fontId="147" fillId="45" borderId="73" xfId="8726" applyFont="1" applyFill="1" applyBorder="1" applyAlignment="1">
      <alignment horizontal="center"/>
    </xf>
    <xf numFmtId="0" fontId="2" fillId="49" borderId="73" xfId="8726" applyFill="1" applyBorder="1" applyAlignment="1" applyProtection="1">
      <alignment horizontal="center"/>
      <protection locked="0"/>
    </xf>
    <xf numFmtId="0" fontId="2" fillId="49" borderId="93" xfId="8726" applyFill="1" applyBorder="1" applyAlignment="1" applyProtection="1">
      <alignment horizontal="center"/>
      <protection locked="0"/>
    </xf>
    <xf numFmtId="1" fontId="146" fillId="49" borderId="11" xfId="8726" applyNumberFormat="1" applyFont="1" applyFill="1" applyBorder="1" applyAlignment="1" applyProtection="1">
      <alignment horizontal="center"/>
      <protection locked="0"/>
    </xf>
    <xf numFmtId="0" fontId="143" fillId="47" borderId="65" xfId="8726" applyFont="1" applyFill="1" applyBorder="1" applyAlignment="1">
      <alignment horizontal="center"/>
    </xf>
    <xf numFmtId="0" fontId="143" fillId="47" borderId="29" xfId="8726" applyFont="1" applyFill="1" applyBorder="1" applyAlignment="1">
      <alignment horizontal="center"/>
    </xf>
    <xf numFmtId="0" fontId="143" fillId="47" borderId="31" xfId="8726" applyFont="1" applyFill="1" applyBorder="1" applyAlignment="1">
      <alignment horizontal="center"/>
    </xf>
    <xf numFmtId="0" fontId="144" fillId="49" borderId="66" xfId="8726" applyFont="1" applyFill="1" applyBorder="1" applyAlignment="1">
      <alignment horizontal="center"/>
    </xf>
    <xf numFmtId="0" fontId="144" fillId="49" borderId="0" xfId="8726" applyFont="1" applyFill="1" applyAlignment="1">
      <alignment horizontal="center"/>
    </xf>
    <xf numFmtId="0" fontId="144" fillId="49" borderId="41" xfId="8726" applyFont="1" applyFill="1" applyBorder="1" applyAlignment="1">
      <alignment horizontal="center"/>
    </xf>
    <xf numFmtId="0" fontId="146" fillId="44" borderId="67" xfId="8726" applyFont="1" applyFill="1" applyBorder="1" applyAlignment="1">
      <alignment horizontal="left"/>
    </xf>
    <xf numFmtId="0" fontId="146" fillId="44" borderId="68" xfId="8726" applyFont="1" applyFill="1" applyBorder="1" applyAlignment="1">
      <alignment horizontal="left"/>
    </xf>
    <xf numFmtId="0" fontId="146" fillId="44" borderId="69" xfId="8726" applyFont="1" applyFill="1" applyBorder="1" applyAlignment="1">
      <alignment horizontal="left"/>
    </xf>
    <xf numFmtId="0" fontId="159" fillId="45" borderId="11" xfId="8726" applyFont="1" applyFill="1" applyBorder="1" applyAlignment="1">
      <alignment horizontal="right"/>
    </xf>
    <xf numFmtId="14" fontId="146" fillId="49" borderId="11" xfId="8726" applyNumberFormat="1" applyFont="1" applyFill="1" applyBorder="1" applyAlignment="1" applyProtection="1">
      <alignment horizontal="center"/>
      <protection locked="0"/>
    </xf>
    <xf numFmtId="0" fontId="146" fillId="49" borderId="11" xfId="8726" applyFont="1" applyFill="1" applyBorder="1" applyAlignment="1" applyProtection="1">
      <alignment horizontal="center"/>
      <protection locked="0"/>
    </xf>
    <xf numFmtId="0" fontId="145" fillId="45" borderId="11" xfId="8726" applyFont="1" applyFill="1" applyBorder="1" applyAlignment="1">
      <alignment horizontal="right"/>
    </xf>
    <xf numFmtId="0" fontId="2" fillId="44" borderId="67" xfId="8726" applyFill="1" applyBorder="1" applyAlignment="1">
      <alignment horizontal="center"/>
    </xf>
    <xf numFmtId="0" fontId="2" fillId="44" borderId="68" xfId="8726" applyFill="1" applyBorder="1" applyAlignment="1">
      <alignment horizontal="center"/>
    </xf>
    <xf numFmtId="0" fontId="2" fillId="44" borderId="69" xfId="8726" applyFill="1" applyBorder="1" applyAlignment="1">
      <alignment horizontal="center"/>
    </xf>
    <xf numFmtId="0" fontId="100" fillId="45" borderId="70" xfId="8726" applyFont="1" applyFill="1" applyBorder="1" applyAlignment="1">
      <alignment horizontal="left" wrapText="1"/>
    </xf>
    <xf numFmtId="0" fontId="100" fillId="45" borderId="71" xfId="8726" applyFont="1" applyFill="1" applyBorder="1" applyAlignment="1">
      <alignment horizontal="left" wrapText="1"/>
    </xf>
    <xf numFmtId="0" fontId="100" fillId="45" borderId="80" xfId="8726" applyFont="1" applyFill="1" applyBorder="1" applyAlignment="1">
      <alignment horizontal="left" wrapText="1"/>
    </xf>
    <xf numFmtId="0" fontId="100" fillId="45" borderId="11" xfId="8726" applyFont="1" applyFill="1" applyBorder="1" applyAlignment="1">
      <alignment horizontal="left" wrapText="1"/>
    </xf>
    <xf numFmtId="0" fontId="146" fillId="49" borderId="71" xfId="8726" applyFont="1" applyFill="1" applyBorder="1" applyAlignment="1" applyProtection="1">
      <alignment horizontal="left" wrapText="1"/>
      <protection locked="0"/>
    </xf>
    <xf numFmtId="0" fontId="146" fillId="49" borderId="74" xfId="8726" applyFont="1" applyFill="1" applyBorder="1" applyAlignment="1" applyProtection="1">
      <alignment horizontal="left" wrapText="1"/>
      <protection locked="0"/>
    </xf>
    <xf numFmtId="0" fontId="146" fillId="49" borderId="11" xfId="8726" applyFont="1" applyFill="1" applyBorder="1" applyAlignment="1" applyProtection="1">
      <alignment horizontal="left" wrapText="1"/>
      <protection locked="0"/>
    </xf>
    <xf numFmtId="0" fontId="146" fillId="49" borderId="91" xfId="8726" applyFont="1" applyFill="1" applyBorder="1" applyAlignment="1" applyProtection="1">
      <alignment horizontal="left" wrapText="1"/>
      <protection locked="0"/>
    </xf>
    <xf numFmtId="168" fontId="163" fillId="44" borderId="11" xfId="8727" applyNumberFormat="1" applyFont="1" applyFill="1" applyBorder="1" applyAlignment="1" applyProtection="1">
      <alignment horizontal="left"/>
    </xf>
    <xf numFmtId="0" fontId="147" fillId="45" borderId="11" xfId="8726" applyFont="1" applyFill="1" applyBorder="1" applyAlignment="1">
      <alignment horizontal="right"/>
    </xf>
    <xf numFmtId="1" fontId="2" fillId="44" borderId="11" xfId="8726" applyNumberFormat="1" applyFill="1" applyBorder="1" applyAlignment="1">
      <alignment horizontal="center"/>
    </xf>
    <xf numFmtId="0" fontId="2" fillId="44" borderId="11" xfId="8726" applyFill="1" applyBorder="1" applyAlignment="1">
      <alignment horizontal="center"/>
    </xf>
    <xf numFmtId="0" fontId="145" fillId="45" borderId="11" xfId="8726" applyFont="1" applyFill="1" applyBorder="1" applyAlignment="1">
      <alignment horizontal="right" wrapText="1"/>
    </xf>
    <xf numFmtId="14" fontId="146" fillId="49" borderId="11" xfId="8726" applyNumberFormat="1" applyFont="1" applyFill="1" applyBorder="1" applyAlignment="1" applyProtection="1">
      <alignment horizontal="center" vertical="center"/>
      <protection locked="0"/>
    </xf>
    <xf numFmtId="0" fontId="146" fillId="49" borderId="11" xfId="8726" applyFont="1" applyFill="1" applyBorder="1" applyAlignment="1" applyProtection="1">
      <alignment horizontal="center" vertical="center"/>
      <protection locked="0"/>
    </xf>
    <xf numFmtId="0" fontId="100" fillId="45" borderId="67" xfId="8726" applyFont="1" applyFill="1" applyBorder="1" applyAlignment="1">
      <alignment horizontal="center"/>
    </xf>
    <xf numFmtId="0" fontId="100" fillId="45" borderId="68" xfId="8726" applyFont="1" applyFill="1" applyBorder="1" applyAlignment="1">
      <alignment horizontal="center"/>
    </xf>
    <xf numFmtId="0" fontId="100" fillId="45" borderId="69" xfId="8726" applyFont="1" applyFill="1" applyBorder="1" applyAlignment="1">
      <alignment horizontal="center"/>
    </xf>
    <xf numFmtId="0" fontId="146" fillId="49" borderId="67" xfId="8726" applyFont="1" applyFill="1" applyBorder="1" applyAlignment="1" applyProtection="1">
      <alignment horizontal="center"/>
      <protection locked="0"/>
    </xf>
    <xf numFmtId="0" fontId="146" fillId="49" borderId="68" xfId="8726" applyFont="1" applyFill="1" applyBorder="1" applyAlignment="1" applyProtection="1">
      <alignment horizontal="center"/>
      <protection locked="0"/>
    </xf>
    <xf numFmtId="0" fontId="146" fillId="49" borderId="69" xfId="8726" applyFont="1" applyFill="1" applyBorder="1" applyAlignment="1" applyProtection="1">
      <alignment horizontal="center"/>
      <protection locked="0"/>
    </xf>
    <xf numFmtId="0" fontId="100" fillId="45" borderId="67" xfId="8726" applyFont="1" applyFill="1" applyBorder="1" applyAlignment="1">
      <alignment horizontal="right"/>
    </xf>
    <xf numFmtId="0" fontId="100" fillId="45" borderId="68" xfId="8726" applyFont="1" applyFill="1" applyBorder="1" applyAlignment="1">
      <alignment horizontal="right"/>
    </xf>
    <xf numFmtId="0" fontId="100" fillId="45" borderId="99" xfId="8726" applyFont="1" applyFill="1" applyBorder="1" applyAlignment="1">
      <alignment horizontal="right"/>
    </xf>
    <xf numFmtId="0" fontId="2" fillId="44" borderId="97" xfId="8726" applyFill="1" applyBorder="1" applyAlignment="1">
      <alignment horizontal="center"/>
    </xf>
    <xf numFmtId="0" fontId="2" fillId="44" borderId="98" xfId="8726" applyFill="1" applyBorder="1" applyAlignment="1">
      <alignment horizontal="center"/>
    </xf>
    <xf numFmtId="0" fontId="144" fillId="45" borderId="75" xfId="8726" applyFont="1" applyFill="1" applyBorder="1" applyAlignment="1">
      <alignment horizontal="center"/>
    </xf>
    <xf numFmtId="0" fontId="144" fillId="45" borderId="76" xfId="8726" applyFont="1" applyFill="1" applyBorder="1" applyAlignment="1">
      <alignment horizontal="center"/>
    </xf>
    <xf numFmtId="0" fontId="144" fillId="45" borderId="77" xfId="8726" applyFont="1" applyFill="1" applyBorder="1" applyAlignment="1">
      <alignment horizontal="center"/>
    </xf>
    <xf numFmtId="0" fontId="147" fillId="45" borderId="78" xfId="8726" applyFont="1" applyFill="1" applyBorder="1" applyAlignment="1">
      <alignment horizontal="center"/>
    </xf>
    <xf numFmtId="0" fontId="147" fillId="45" borderId="2" xfId="8726" applyFont="1" applyFill="1" applyBorder="1" applyAlignment="1">
      <alignment horizontal="center"/>
    </xf>
    <xf numFmtId="0" fontId="147" fillId="45" borderId="7" xfId="8726" applyFont="1" applyFill="1" applyBorder="1" applyAlignment="1">
      <alignment horizontal="center"/>
    </xf>
    <xf numFmtId="0" fontId="147" fillId="45" borderId="3" xfId="8726" applyFont="1" applyFill="1" applyBorder="1" applyAlignment="1">
      <alignment horizontal="center"/>
    </xf>
    <xf numFmtId="0" fontId="147" fillId="45" borderId="4" xfId="8726" applyFont="1" applyFill="1" applyBorder="1" applyAlignment="1">
      <alignment horizontal="center"/>
    </xf>
    <xf numFmtId="0" fontId="147" fillId="45" borderId="5" xfId="8726" applyFont="1" applyFill="1" applyBorder="1" applyAlignment="1">
      <alignment horizontal="center"/>
    </xf>
    <xf numFmtId="0" fontId="147" fillId="45" borderId="79" xfId="8726" applyFont="1" applyFill="1" applyBorder="1" applyAlignment="1">
      <alignment horizontal="center"/>
    </xf>
    <xf numFmtId="9" fontId="161" fillId="49" borderId="92" xfId="8726" applyNumberFormat="1" applyFont="1" applyFill="1" applyBorder="1" applyAlignment="1">
      <alignment horizontal="center"/>
    </xf>
    <xf numFmtId="9" fontId="161" fillId="49" borderId="4" xfId="8726" applyNumberFormat="1" applyFont="1" applyFill="1" applyBorder="1" applyAlignment="1">
      <alignment horizontal="center"/>
    </xf>
    <xf numFmtId="9" fontId="161" fillId="49" borderId="5" xfId="8726" applyNumberFormat="1" applyFont="1" applyFill="1" applyBorder="1" applyAlignment="1">
      <alignment horizontal="center"/>
    </xf>
    <xf numFmtId="0" fontId="161" fillId="44" borderId="3" xfId="8726" applyFont="1" applyFill="1" applyBorder="1" applyAlignment="1">
      <alignment horizontal="center"/>
    </xf>
    <xf numFmtId="0" fontId="161" fillId="44" borderId="4" xfId="8726" applyFont="1" applyFill="1" applyBorder="1" applyAlignment="1">
      <alignment horizontal="center"/>
    </xf>
    <xf numFmtId="0" fontId="161" fillId="44" borderId="5" xfId="8726" applyFont="1" applyFill="1" applyBorder="1" applyAlignment="1">
      <alignment horizontal="center"/>
    </xf>
    <xf numFmtId="9" fontId="147" fillId="44" borderId="3" xfId="8726" applyNumberFormat="1" applyFont="1" applyFill="1" applyBorder="1" applyAlignment="1">
      <alignment horizontal="center"/>
    </xf>
    <xf numFmtId="9" fontId="147" fillId="44" borderId="4" xfId="8726" applyNumberFormat="1" applyFont="1" applyFill="1" applyBorder="1" applyAlignment="1">
      <alignment horizontal="center"/>
    </xf>
    <xf numFmtId="9" fontId="147" fillId="44" borderId="79" xfId="8726" applyNumberFormat="1" applyFont="1" applyFill="1" applyBorder="1" applyAlignment="1">
      <alignment horizontal="center"/>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9" fontId="148" fillId="49" borderId="9" xfId="8726" applyNumberFormat="1" applyFont="1" applyFill="1" applyBorder="1" applyAlignment="1" applyProtection="1">
      <alignment horizontal="center"/>
      <protection locked="0"/>
    </xf>
    <xf numFmtId="9" fontId="148" fillId="49" borderId="6" xfId="8726" applyNumberFormat="1" applyFont="1" applyFill="1" applyBorder="1" applyAlignment="1" applyProtection="1">
      <alignment horizontal="center"/>
      <protection locked="0"/>
    </xf>
    <xf numFmtId="9" fontId="148" fillId="49" borderId="10" xfId="8726" applyNumberFormat="1" applyFont="1" applyFill="1" applyBorder="1" applyAlignment="1" applyProtection="1">
      <alignment horizontal="center"/>
      <protection locked="0"/>
    </xf>
    <xf numFmtId="0" fontId="148" fillId="44" borderId="9" xfId="8726" applyFont="1" applyFill="1" applyBorder="1" applyAlignment="1">
      <alignment horizontal="center"/>
    </xf>
    <xf numFmtId="0" fontId="148" fillId="44" borderId="6" xfId="8726" applyFont="1" applyFill="1" applyBorder="1" applyAlignment="1">
      <alignment horizontal="center"/>
    </xf>
    <xf numFmtId="0" fontId="148" fillId="44" borderId="10" xfId="8726" applyFont="1" applyFill="1" applyBorder="1" applyAlignment="1">
      <alignment horizontal="center"/>
    </xf>
    <xf numFmtId="0" fontId="148" fillId="44" borderId="103" xfId="8726" applyFont="1" applyFill="1" applyBorder="1" applyAlignment="1">
      <alignment horizontal="center"/>
    </xf>
    <xf numFmtId="0" fontId="147" fillId="44" borderId="81" xfId="8726" applyFont="1" applyFill="1" applyBorder="1" applyAlignment="1">
      <alignment horizontal="center"/>
    </xf>
    <xf numFmtId="0" fontId="147" fillId="44" borderId="82" xfId="8726" applyFont="1" applyFill="1" applyBorder="1" applyAlignment="1">
      <alignment horizontal="center"/>
    </xf>
    <xf numFmtId="0" fontId="147" fillId="44" borderId="83" xfId="8726" applyFont="1" applyFill="1" applyBorder="1" applyAlignment="1">
      <alignment horizontal="center"/>
    </xf>
    <xf numFmtId="0" fontId="161" fillId="44" borderId="84" xfId="8726" applyFont="1" applyFill="1" applyBorder="1" applyAlignment="1">
      <alignment horizontal="center"/>
    </xf>
    <xf numFmtId="0" fontId="161" fillId="44" borderId="82" xfId="8726" applyFont="1" applyFill="1" applyBorder="1" applyAlignment="1">
      <alignment horizontal="center"/>
    </xf>
    <xf numFmtId="0" fontId="161" fillId="44" borderId="83" xfId="8726" applyFont="1" applyFill="1" applyBorder="1" applyAlignment="1">
      <alignment horizontal="center"/>
    </xf>
    <xf numFmtId="9" fontId="147" fillId="44" borderId="84" xfId="8726" applyNumberFormat="1" applyFont="1" applyFill="1" applyBorder="1" applyAlignment="1">
      <alignment horizontal="center"/>
    </xf>
    <xf numFmtId="9" fontId="147" fillId="44" borderId="82" xfId="8726" applyNumberFormat="1" applyFont="1" applyFill="1" applyBorder="1" applyAlignment="1">
      <alignment horizontal="center"/>
    </xf>
    <xf numFmtId="9" fontId="147" fillId="44" borderId="85" xfId="8726" applyNumberFormat="1" applyFont="1" applyFill="1" applyBorder="1" applyAlignment="1">
      <alignment horizontal="center"/>
    </xf>
    <xf numFmtId="0" fontId="147" fillId="45" borderId="13"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11" xfId="8726" applyFont="1" applyFill="1" applyBorder="1" applyAlignment="1">
      <alignment horizontal="center" vertical="center"/>
    </xf>
    <xf numFmtId="0" fontId="147" fillId="45" borderId="9" xfId="8726" applyFont="1" applyFill="1" applyBorder="1" applyAlignment="1">
      <alignment horizontal="center" vertical="center"/>
    </xf>
    <xf numFmtId="0" fontId="147" fillId="45" borderId="3" xfId="8726" applyFont="1" applyFill="1" applyBorder="1" applyAlignment="1">
      <alignment horizontal="center" vertical="center"/>
    </xf>
    <xf numFmtId="9" fontId="147" fillId="49" borderId="13" xfId="8726" applyNumberFormat="1" applyFont="1" applyFill="1" applyBorder="1" applyAlignment="1" applyProtection="1">
      <alignment horizontal="center"/>
      <protection locked="0"/>
    </xf>
    <xf numFmtId="0" fontId="147" fillId="44" borderId="86" xfId="8726" applyFont="1" applyFill="1" applyBorder="1" applyAlignment="1">
      <alignment horizontal="center"/>
    </xf>
    <xf numFmtId="0" fontId="147" fillId="44" borderId="42" xfId="8726" applyFont="1" applyFill="1" applyBorder="1" applyAlignment="1">
      <alignment horizontal="center"/>
    </xf>
    <xf numFmtId="0" fontId="147" fillId="44" borderId="87" xfId="8726" applyFont="1" applyFill="1" applyBorder="1" applyAlignment="1">
      <alignment horizontal="center"/>
    </xf>
    <xf numFmtId="0" fontId="147" fillId="44" borderId="88" xfId="8726" applyFont="1" applyFill="1" applyBorder="1" applyAlignment="1">
      <alignment horizontal="center"/>
    </xf>
    <xf numFmtId="0" fontId="163" fillId="49" borderId="80" xfId="8726" applyFont="1" applyFill="1" applyBorder="1" applyAlignment="1" applyProtection="1">
      <alignment horizontal="right"/>
      <protection locked="0"/>
    </xf>
    <xf numFmtId="0" fontId="163" fillId="49" borderId="11" xfId="8726" applyFont="1" applyFill="1" applyBorder="1" applyAlignment="1" applyProtection="1">
      <alignment horizontal="right"/>
      <protection locked="0"/>
    </xf>
    <xf numFmtId="0" fontId="162" fillId="49" borderId="11" xfId="8726" applyFont="1" applyFill="1" applyBorder="1" applyAlignment="1" applyProtection="1">
      <alignment horizontal="center"/>
      <protection locked="0"/>
    </xf>
    <xf numFmtId="1" fontId="162" fillId="49" borderId="11" xfId="8726" applyNumberFormat="1" applyFont="1" applyFill="1" applyBorder="1" applyAlignment="1" applyProtection="1">
      <alignment horizontal="center"/>
      <protection locked="0"/>
    </xf>
    <xf numFmtId="0" fontId="144" fillId="45" borderId="67" xfId="8726" applyFont="1" applyFill="1" applyBorder="1" applyAlignment="1">
      <alignment horizontal="center"/>
    </xf>
    <xf numFmtId="0" fontId="144" fillId="45" borderId="68" xfId="8726" applyFont="1" applyFill="1" applyBorder="1" applyAlignment="1">
      <alignment horizontal="center"/>
    </xf>
    <xf numFmtId="0" fontId="144" fillId="45" borderId="69" xfId="8726" applyFont="1" applyFill="1" applyBorder="1" applyAlignment="1">
      <alignment horizontal="center"/>
    </xf>
    <xf numFmtId="0" fontId="148" fillId="45" borderId="65" xfId="8726" applyFont="1" applyFill="1" applyBorder="1" applyAlignment="1">
      <alignment horizontal="center" vertical="center" wrapText="1"/>
    </xf>
    <xf numFmtId="0" fontId="148" fillId="45" borderId="29" xfId="8726" applyFont="1" applyFill="1" applyBorder="1" applyAlignment="1">
      <alignment horizontal="center" vertical="center" wrapText="1"/>
    </xf>
    <xf numFmtId="0" fontId="148" fillId="45" borderId="31" xfId="8726" applyFont="1" applyFill="1" applyBorder="1" applyAlignment="1">
      <alignment horizontal="center" vertical="center" wrapText="1"/>
    </xf>
    <xf numFmtId="0" fontId="148" fillId="45" borderId="86" xfId="8726" applyFont="1" applyFill="1" applyBorder="1" applyAlignment="1">
      <alignment horizontal="center" vertical="center" wrapText="1"/>
    </xf>
    <xf numFmtId="0" fontId="148" fillId="45" borderId="42" xfId="8726" applyFont="1" applyFill="1" applyBorder="1" applyAlignment="1">
      <alignment horizontal="center" vertical="center" wrapText="1"/>
    </xf>
    <xf numFmtId="0" fontId="148" fillId="45" borderId="44" xfId="8726" applyFont="1" applyFill="1" applyBorder="1" applyAlignment="1">
      <alignment horizontal="center" vertical="center" wrapText="1"/>
    </xf>
    <xf numFmtId="0" fontId="148" fillId="45" borderId="67" xfId="8726" applyFont="1" applyFill="1" applyBorder="1" applyAlignment="1">
      <alignment horizontal="center"/>
    </xf>
    <xf numFmtId="0" fontId="148" fillId="45" borderId="68" xfId="8726" applyFont="1" applyFill="1" applyBorder="1" applyAlignment="1">
      <alignment horizontal="center"/>
    </xf>
    <xf numFmtId="0" fontId="148" fillId="45" borderId="69" xfId="8726" applyFont="1" applyFill="1" applyBorder="1" applyAlignment="1">
      <alignment horizontal="center"/>
    </xf>
    <xf numFmtId="9" fontId="147" fillId="44" borderId="88"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148" fillId="45" borderId="95" xfId="8726" applyFont="1" applyFill="1" applyBorder="1" applyAlignment="1">
      <alignment horizontal="center" vertical="center" wrapText="1"/>
    </xf>
    <xf numFmtId="0" fontId="148" fillId="45" borderId="13" xfId="8726" applyFont="1" applyFill="1" applyBorder="1" applyAlignment="1">
      <alignment horizontal="center" vertical="center"/>
    </xf>
    <xf numFmtId="0" fontId="148" fillId="45" borderId="80" xfId="8726" applyFont="1" applyFill="1" applyBorder="1" applyAlignment="1">
      <alignment horizontal="center" vertical="center"/>
    </xf>
    <xf numFmtId="0" fontId="148" fillId="45" borderId="11" xfId="8726" applyFont="1" applyFill="1" applyBorder="1" applyAlignment="1">
      <alignment horizontal="center" vertical="center"/>
    </xf>
    <xf numFmtId="1" fontId="162" fillId="49" borderId="3" xfId="8726" applyNumberFormat="1" applyFont="1" applyFill="1" applyBorder="1" applyAlignment="1" applyProtection="1">
      <alignment horizontal="center"/>
      <protection locked="0"/>
    </xf>
    <xf numFmtId="1" fontId="162" fillId="49" borderId="4" xfId="8726" applyNumberFormat="1" applyFont="1" applyFill="1" applyBorder="1" applyAlignment="1" applyProtection="1">
      <alignment horizontal="center"/>
      <protection locked="0"/>
    </xf>
    <xf numFmtId="1" fontId="162" fillId="49" borderId="5" xfId="8726" applyNumberFormat="1" applyFont="1" applyFill="1" applyBorder="1" applyAlignment="1" applyProtection="1">
      <alignment horizontal="center"/>
      <protection locked="0"/>
    </xf>
    <xf numFmtId="1" fontId="148" fillId="44" borderId="3" xfId="8726" applyNumberFormat="1" applyFont="1" applyFill="1" applyBorder="1" applyAlignment="1">
      <alignment horizontal="center"/>
    </xf>
    <xf numFmtId="1" fontId="148" fillId="44" borderId="4" xfId="8726" applyNumberFormat="1" applyFont="1" applyFill="1" applyBorder="1" applyAlignment="1">
      <alignment horizontal="center"/>
    </xf>
    <xf numFmtId="1" fontId="148" fillId="44" borderId="5" xfId="8726" applyNumberFormat="1" applyFont="1" applyFill="1" applyBorder="1" applyAlignment="1">
      <alignment horizontal="center"/>
    </xf>
    <xf numFmtId="9" fontId="148" fillId="44" borderId="3" xfId="8728" applyFont="1" applyFill="1" applyBorder="1" applyAlignment="1">
      <alignment horizontal="center"/>
    </xf>
    <xf numFmtId="9" fontId="148" fillId="44" borderId="4" xfId="8728" applyFont="1" applyFill="1" applyBorder="1" applyAlignment="1">
      <alignment horizontal="center"/>
    </xf>
    <xf numFmtId="9" fontId="148" fillId="44" borderId="79" xfId="8728" applyFont="1" applyFill="1" applyBorder="1" applyAlignment="1">
      <alignment horizontal="center"/>
    </xf>
    <xf numFmtId="0" fontId="161" fillId="49" borderId="80" xfId="8726" applyFont="1" applyFill="1" applyBorder="1" applyAlignment="1" applyProtection="1">
      <alignment horizontal="right"/>
      <protection locked="0"/>
    </xf>
    <xf numFmtId="0" fontId="161" fillId="49" borderId="11" xfId="8726" applyFont="1" applyFill="1" applyBorder="1" applyAlignment="1" applyProtection="1">
      <alignment horizontal="right"/>
      <protection locked="0"/>
    </xf>
    <xf numFmtId="1" fontId="162" fillId="49" borderId="84" xfId="8726" applyNumberFormat="1" applyFont="1" applyFill="1" applyBorder="1" applyAlignment="1" applyProtection="1">
      <alignment horizontal="center"/>
      <protection locked="0"/>
    </xf>
    <xf numFmtId="1" fontId="162" fillId="49" borderId="82" xfId="8726" applyNumberFormat="1" applyFont="1" applyFill="1" applyBorder="1" applyAlignment="1" applyProtection="1">
      <alignment horizontal="center"/>
      <protection locked="0"/>
    </xf>
    <xf numFmtId="1" fontId="162" fillId="49" borderId="83" xfId="8726" applyNumberFormat="1" applyFont="1" applyFill="1" applyBorder="1" applyAlignment="1" applyProtection="1">
      <alignment horizontal="center"/>
      <protection locked="0"/>
    </xf>
    <xf numFmtId="9" fontId="148" fillId="44" borderId="84" xfId="8728" applyFont="1" applyFill="1" applyBorder="1" applyAlignment="1">
      <alignment horizontal="center"/>
    </xf>
    <xf numFmtId="9" fontId="148" fillId="44" borderId="82" xfId="8728" applyFont="1" applyFill="1" applyBorder="1" applyAlignment="1">
      <alignment horizontal="center"/>
    </xf>
    <xf numFmtId="9" fontId="148" fillId="44" borderId="85" xfId="8728" applyFont="1" applyFill="1" applyBorder="1" applyAlignment="1">
      <alignment horizontal="center"/>
    </xf>
    <xf numFmtId="0" fontId="144" fillId="45" borderId="70" xfId="8726" applyFont="1" applyFill="1" applyBorder="1" applyAlignment="1">
      <alignment horizontal="center"/>
    </xf>
    <xf numFmtId="0" fontId="144" fillId="45" borderId="71" xfId="8726" applyFont="1" applyFill="1" applyBorder="1" applyAlignment="1">
      <alignment horizontal="center"/>
    </xf>
    <xf numFmtId="0" fontId="144" fillId="45" borderId="74" xfId="8726" applyFont="1" applyFill="1" applyBorder="1" applyAlignment="1">
      <alignment horizontal="center"/>
    </xf>
    <xf numFmtId="0" fontId="148" fillId="45" borderId="11" xfId="8726" applyFont="1" applyFill="1" applyBorder="1" applyAlignment="1">
      <alignment horizontal="center" vertical="center" wrapText="1"/>
    </xf>
    <xf numFmtId="0" fontId="148" fillId="45" borderId="91" xfId="8726" applyFont="1" applyFill="1" applyBorder="1" applyAlignment="1">
      <alignment horizontal="center" vertical="center" wrapText="1"/>
    </xf>
    <xf numFmtId="1" fontId="162" fillId="49" borderId="73" xfId="8726" applyNumberFormat="1" applyFont="1" applyFill="1" applyBorder="1" applyAlignment="1" applyProtection="1">
      <alignment horizontal="center"/>
      <protection locked="0"/>
    </xf>
    <xf numFmtId="0" fontId="161" fillId="49" borderId="72" xfId="8726" applyFont="1" applyFill="1" applyBorder="1" applyAlignment="1" applyProtection="1">
      <alignment horizontal="right"/>
      <protection locked="0"/>
    </xf>
    <xf numFmtId="0" fontId="161" fillId="49" borderId="73" xfId="8726" applyFont="1" applyFill="1" applyBorder="1" applyAlignment="1" applyProtection="1">
      <alignment horizontal="right"/>
      <protection locked="0"/>
    </xf>
    <xf numFmtId="0" fontId="162"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168" fontId="161" fillId="49" borderId="11" xfId="8727" applyNumberFormat="1"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61" fillId="49" borderId="11" xfId="700" applyNumberFormat="1" applyFont="1" applyFill="1" applyBorder="1" applyAlignment="1" applyProtection="1">
      <alignment horizontal="left"/>
      <protection locked="0"/>
    </xf>
    <xf numFmtId="0" fontId="161" fillId="49" borderId="91" xfId="700" applyNumberFormat="1" applyFont="1" applyFill="1" applyBorder="1" applyAlignment="1" applyProtection="1">
      <alignment horizontal="left"/>
      <protection locked="0"/>
    </xf>
    <xf numFmtId="0" fontId="161" fillId="44" borderId="80" xfId="8726" applyFont="1" applyFill="1" applyBorder="1" applyAlignment="1" applyProtection="1">
      <alignment horizontal="right"/>
      <protection locked="0"/>
    </xf>
    <xf numFmtId="0" fontId="161" fillId="44" borderId="11" xfId="8726" applyFont="1" applyFill="1" applyBorder="1" applyAlignment="1" applyProtection="1">
      <alignment horizontal="right"/>
      <protection locked="0"/>
    </xf>
    <xf numFmtId="0" fontId="161" fillId="44" borderId="91" xfId="8726" applyFont="1" applyFill="1" applyBorder="1" applyAlignment="1" applyProtection="1">
      <alignment horizontal="right"/>
      <protection locked="0"/>
    </xf>
    <xf numFmtId="0" fontId="161" fillId="49" borderId="5" xfId="8726" applyFont="1" applyFill="1" applyBorder="1" applyAlignment="1" applyProtection="1">
      <alignment horizontal="left"/>
      <protection locked="0"/>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1" fillId="44" borderId="72" xfId="8726" applyFont="1" applyFill="1" applyBorder="1" applyAlignment="1" applyProtection="1">
      <alignment horizontal="right"/>
      <protection locked="0"/>
    </xf>
    <xf numFmtId="0" fontId="161" fillId="44" borderId="73" xfId="8726" applyFont="1" applyFill="1" applyBorder="1" applyAlignment="1" applyProtection="1">
      <alignment horizontal="right"/>
      <protection locked="0"/>
    </xf>
    <xf numFmtId="0" fontId="161" fillId="44" borderId="93" xfId="8726" applyFont="1" applyFill="1" applyBorder="1" applyAlignment="1" applyProtection="1">
      <alignment horizontal="right"/>
      <protection locked="0"/>
    </xf>
    <xf numFmtId="168" fontId="147" fillId="45" borderId="73" xfId="8727" applyNumberFormat="1" applyFont="1" applyFill="1" applyBorder="1" applyAlignment="1">
      <alignment horizontal="center"/>
    </xf>
    <xf numFmtId="1" fontId="147" fillId="45" borderId="73" xfId="8727" applyNumberFormat="1" applyFont="1" applyFill="1" applyBorder="1" applyAlignment="1">
      <alignment horizontal="center"/>
    </xf>
    <xf numFmtId="0" fontId="147" fillId="45" borderId="73" xfId="8727" applyNumberFormat="1" applyFont="1" applyFill="1" applyBorder="1" applyAlignment="1">
      <alignment horizontal="center"/>
    </xf>
    <xf numFmtId="0" fontId="147" fillId="45" borderId="93" xfId="8727" applyNumberFormat="1" applyFont="1" applyFill="1" applyBorder="1" applyAlignment="1">
      <alignment horizontal="center"/>
    </xf>
    <xf numFmtId="0" fontId="144" fillId="45" borderId="65" xfId="8726" applyFont="1" applyFill="1" applyBorder="1" applyAlignment="1">
      <alignment horizontal="center"/>
    </xf>
    <xf numFmtId="0" fontId="144" fillId="45" borderId="29" xfId="8726" applyFont="1" applyFill="1" applyBorder="1" applyAlignment="1">
      <alignment horizontal="center"/>
    </xf>
    <xf numFmtId="0" fontId="144" fillId="45" borderId="31" xfId="8726" applyFont="1" applyFill="1" applyBorder="1" applyAlignment="1">
      <alignment horizontal="center"/>
    </xf>
    <xf numFmtId="0" fontId="161" fillId="49" borderId="83" xfId="8726" applyFont="1" applyFill="1" applyBorder="1" applyAlignment="1" applyProtection="1">
      <alignment horizontal="left"/>
      <protection locked="0"/>
    </xf>
    <xf numFmtId="0" fontId="161" fillId="49" borderId="73" xfId="8726" applyFont="1" applyFill="1" applyBorder="1" applyAlignment="1" applyProtection="1">
      <alignment horizontal="left"/>
      <protection locked="0"/>
    </xf>
    <xf numFmtId="0" fontId="161" fillId="49" borderId="93" xfId="8726" applyFont="1" applyFill="1" applyBorder="1" applyAlignment="1" applyProtection="1">
      <alignment horizontal="left"/>
      <protection locked="0"/>
    </xf>
    <xf numFmtId="0" fontId="161" fillId="49" borderId="80" xfId="8726" applyFont="1" applyFill="1" applyBorder="1" applyAlignment="1" applyProtection="1">
      <alignment horizontal="left" vertical="top"/>
      <protection locked="0"/>
    </xf>
    <xf numFmtId="0" fontId="161" fillId="49" borderId="11" xfId="8726" applyFont="1" applyFill="1" applyBorder="1" applyAlignment="1" applyProtection="1">
      <alignment horizontal="left" vertical="top"/>
      <protection locked="0"/>
    </xf>
    <xf numFmtId="0" fontId="161" fillId="49" borderId="91" xfId="8726" applyFont="1" applyFill="1" applyBorder="1" applyAlignment="1" applyProtection="1">
      <alignment horizontal="left" vertical="top"/>
      <protection locked="0"/>
    </xf>
    <xf numFmtId="0" fontId="161" fillId="49" borderId="72" xfId="8726" applyFont="1" applyFill="1" applyBorder="1" applyAlignment="1" applyProtection="1">
      <alignment horizontal="left" vertical="top"/>
      <protection locked="0"/>
    </xf>
    <xf numFmtId="0" fontId="161" fillId="49" borderId="73" xfId="8726" applyFont="1" applyFill="1" applyBorder="1" applyAlignment="1" applyProtection="1">
      <alignment horizontal="left" vertical="top"/>
      <protection locked="0"/>
    </xf>
    <xf numFmtId="0" fontId="161" fillId="49" borderId="93" xfId="8726" applyFont="1" applyFill="1" applyBorder="1" applyAlignment="1" applyProtection="1">
      <alignment horizontal="left" vertical="top"/>
      <protection locked="0"/>
    </xf>
    <xf numFmtId="0" fontId="161" fillId="49" borderId="80" xfId="8726" applyFont="1" applyFill="1" applyBorder="1" applyAlignment="1" applyProtection="1">
      <alignment horizontal="center"/>
      <protection locked="0"/>
    </xf>
    <xf numFmtId="168" fontId="163" fillId="49" borderId="11" xfId="700" applyNumberFormat="1" applyFont="1" applyFill="1" applyBorder="1" applyAlignment="1" applyProtection="1">
      <alignment horizontal="left"/>
      <protection locked="0"/>
    </xf>
    <xf numFmtId="168" fontId="163" fillId="49" borderId="91" xfId="700" applyNumberFormat="1" applyFont="1" applyFill="1" applyBorder="1" applyAlignment="1" applyProtection="1">
      <alignment horizontal="left"/>
      <protection locked="0"/>
    </xf>
    <xf numFmtId="0" fontId="144" fillId="45" borderId="94" xfId="8726" applyFont="1" applyFill="1" applyBorder="1" applyAlignment="1">
      <alignment horizontal="right"/>
    </xf>
    <xf numFmtId="0" fontId="144" fillId="45" borderId="43" xfId="8726" applyFont="1" applyFill="1" applyBorder="1" applyAlignment="1">
      <alignment horizontal="right"/>
    </xf>
    <xf numFmtId="0" fontId="161" fillId="49" borderId="71" xfId="8726" applyFont="1" applyFill="1" applyBorder="1" applyAlignment="1" applyProtection="1">
      <alignment horizontal="left"/>
      <protection locked="0"/>
    </xf>
    <xf numFmtId="0" fontId="161" fillId="49" borderId="74" xfId="8726" applyFont="1" applyFill="1" applyBorder="1" applyAlignment="1" applyProtection="1">
      <alignment horizontal="left"/>
      <protection locked="0"/>
    </xf>
    <xf numFmtId="0" fontId="144" fillId="45" borderId="72" xfId="8726" applyFont="1" applyFill="1" applyBorder="1" applyAlignment="1">
      <alignment horizontal="center"/>
    </xf>
    <xf numFmtId="0" fontId="144" fillId="45" borderId="73" xfId="8726" applyFont="1" applyFill="1" applyBorder="1" applyAlignment="1">
      <alignment horizontal="center"/>
    </xf>
    <xf numFmtId="0" fontId="100" fillId="45" borderId="74" xfId="8726" applyFont="1" applyFill="1" applyBorder="1" applyAlignment="1">
      <alignment horizontal="left" wrapText="1"/>
    </xf>
    <xf numFmtId="0" fontId="100" fillId="45" borderId="91" xfId="8726" applyFont="1" applyFill="1" applyBorder="1" applyAlignment="1">
      <alignment horizontal="left" wrapText="1"/>
    </xf>
    <xf numFmtId="0" fontId="100" fillId="45" borderId="65" xfId="8726" applyFont="1" applyFill="1" applyBorder="1" applyAlignment="1">
      <alignment horizontal="center"/>
    </xf>
    <xf numFmtId="0" fontId="100" fillId="45" borderId="29" xfId="8726" applyFont="1" applyFill="1" applyBorder="1" applyAlignment="1">
      <alignment horizontal="center"/>
    </xf>
    <xf numFmtId="0" fontId="100" fillId="45" borderId="31" xfId="8726" applyFont="1" applyFill="1" applyBorder="1" applyAlignment="1">
      <alignment horizontal="center"/>
    </xf>
    <xf numFmtId="0" fontId="100" fillId="45" borderId="80" xfId="8726" applyFont="1" applyFill="1" applyBorder="1" applyAlignment="1">
      <alignment horizontal="center"/>
    </xf>
    <xf numFmtId="0" fontId="100" fillId="45" borderId="11" xfId="8726" applyFont="1" applyFill="1" applyBorder="1" applyAlignment="1">
      <alignment horizontal="center"/>
    </xf>
    <xf numFmtId="0" fontId="158" fillId="45" borderId="11" xfId="8726" applyFont="1" applyFill="1" applyBorder="1" applyAlignment="1">
      <alignment horizontal="left"/>
    </xf>
    <xf numFmtId="0" fontId="158" fillId="45" borderId="91" xfId="8726" applyFont="1" applyFill="1" applyBorder="1" applyAlignment="1">
      <alignment horizontal="left"/>
    </xf>
    <xf numFmtId="0" fontId="2" fillId="47" borderId="73" xfId="8726" applyFill="1" applyBorder="1" applyAlignment="1" applyProtection="1">
      <alignment horizontal="center"/>
      <protection locked="0"/>
    </xf>
    <xf numFmtId="0" fontId="2" fillId="47" borderId="93" xfId="8726" applyFill="1" applyBorder="1" applyAlignment="1" applyProtection="1">
      <alignment horizontal="center"/>
      <protection locked="0"/>
    </xf>
    <xf numFmtId="0" fontId="159" fillId="45" borderId="80" xfId="8726" applyFont="1" applyFill="1" applyBorder="1" applyAlignment="1">
      <alignment horizontal="left"/>
    </xf>
    <xf numFmtId="0" fontId="159" fillId="45" borderId="11" xfId="8726" applyFont="1" applyFill="1" applyBorder="1" applyAlignment="1">
      <alignment horizontal="left"/>
    </xf>
    <xf numFmtId="0" fontId="159" fillId="45" borderId="72" xfId="8726" applyFont="1" applyFill="1" applyBorder="1" applyAlignment="1">
      <alignment horizontal="left"/>
    </xf>
    <xf numFmtId="0" fontId="159" fillId="45" borderId="73" xfId="8726" applyFont="1" applyFill="1" applyBorder="1" applyAlignment="1">
      <alignment horizontal="left"/>
    </xf>
    <xf numFmtId="0" fontId="144" fillId="45" borderId="70" xfId="8726" applyFont="1" applyFill="1" applyBorder="1" applyAlignment="1">
      <alignment horizontal="left"/>
    </xf>
    <xf numFmtId="0" fontId="144" fillId="45" borderId="71" xfId="8726" applyFont="1" applyFill="1" applyBorder="1" applyAlignment="1">
      <alignment horizontal="left"/>
    </xf>
    <xf numFmtId="0" fontId="146" fillId="49" borderId="71" xfId="8726" applyFont="1" applyFill="1" applyBorder="1" applyAlignment="1" applyProtection="1">
      <alignment horizontal="left"/>
      <protection locked="0"/>
    </xf>
    <xf numFmtId="0" fontId="146" fillId="49" borderId="74" xfId="8726" applyFont="1" applyFill="1" applyBorder="1" applyAlignment="1" applyProtection="1">
      <alignment horizontal="left"/>
      <protection locked="0"/>
    </xf>
    <xf numFmtId="0" fontId="152" fillId="45" borderId="80" xfId="8726" applyFont="1" applyFill="1" applyBorder="1" applyAlignment="1">
      <alignment horizontal="left"/>
    </xf>
    <xf numFmtId="0" fontId="152" fillId="45" borderId="11" xfId="8726" applyFont="1" applyFill="1" applyBorder="1" applyAlignment="1">
      <alignment horizontal="left"/>
    </xf>
    <xf numFmtId="0" fontId="162" fillId="49" borderId="11" xfId="8726" applyFont="1" applyFill="1" applyBorder="1" applyAlignment="1" applyProtection="1">
      <alignment horizontal="left"/>
      <protection locked="0"/>
    </xf>
    <xf numFmtId="0" fontId="162" fillId="49" borderId="91" xfId="8726" applyFont="1" applyFill="1" applyBorder="1" applyAlignment="1" applyProtection="1">
      <alignment horizontal="left"/>
      <protection locked="0"/>
    </xf>
    <xf numFmtId="0" fontId="163" fillId="49" borderId="80" xfId="8726" applyFont="1" applyFill="1" applyBorder="1" applyAlignment="1" applyProtection="1">
      <alignment horizontal="left" vertical="top"/>
      <protection locked="0"/>
    </xf>
    <xf numFmtId="0" fontId="163" fillId="49" borderId="11" xfId="8726" applyFont="1" applyFill="1" applyBorder="1" applyAlignment="1" applyProtection="1">
      <alignment horizontal="left" vertical="top"/>
      <protection locked="0"/>
    </xf>
    <xf numFmtId="0" fontId="163" fillId="49" borderId="91" xfId="8726" applyFont="1" applyFill="1" applyBorder="1" applyAlignment="1" applyProtection="1">
      <alignment horizontal="left" vertical="top"/>
      <protection locked="0"/>
    </xf>
    <xf numFmtId="0" fontId="163" fillId="49" borderId="72" xfId="8726" applyFont="1" applyFill="1" applyBorder="1" applyAlignment="1" applyProtection="1">
      <alignment horizontal="left" vertical="top"/>
      <protection locked="0"/>
    </xf>
    <xf numFmtId="0" fontId="163" fillId="49" borderId="73" xfId="8726" applyFont="1" applyFill="1" applyBorder="1" applyAlignment="1" applyProtection="1">
      <alignment horizontal="left" vertical="top"/>
      <protection locked="0"/>
    </xf>
    <xf numFmtId="0" fontId="163" fillId="49" borderId="93" xfId="8726" applyFont="1" applyFill="1" applyBorder="1" applyAlignment="1" applyProtection="1">
      <alignment horizontal="left" vertical="top"/>
      <protection locked="0"/>
    </xf>
    <xf numFmtId="0" fontId="148" fillId="45" borderId="11" xfId="8726" applyFont="1" applyFill="1" applyBorder="1" applyAlignment="1">
      <alignment horizontal="center" wrapText="1"/>
    </xf>
    <xf numFmtId="0" fontId="148" fillId="45" borderId="91" xfId="8726" applyFont="1" applyFill="1" applyBorder="1" applyAlignment="1">
      <alignment horizontal="center" wrapText="1"/>
    </xf>
    <xf numFmtId="0" fontId="100" fillId="45" borderId="91" xfId="8726" applyFont="1" applyFill="1" applyBorder="1" applyAlignment="1">
      <alignment horizontal="center"/>
    </xf>
    <xf numFmtId="0" fontId="171" fillId="45" borderId="80" xfId="8726" applyFont="1" applyFill="1" applyBorder="1" applyAlignment="1">
      <alignment horizontal="center"/>
    </xf>
    <xf numFmtId="0" fontId="171" fillId="45" borderId="11" xfId="8726" applyFont="1" applyFill="1" applyBorder="1" applyAlignment="1">
      <alignment horizontal="center"/>
    </xf>
    <xf numFmtId="0" fontId="163" fillId="49" borderId="11" xfId="8726" applyFont="1" applyFill="1" applyBorder="1" applyAlignment="1" applyProtection="1">
      <alignment horizontal="center"/>
      <protection locked="0"/>
    </xf>
    <xf numFmtId="14" fontId="161" fillId="49" borderId="11" xfId="8726" applyNumberFormat="1" applyFont="1" applyFill="1" applyBorder="1" applyAlignment="1" applyProtection="1">
      <alignment horizontal="center"/>
      <protection locked="0"/>
    </xf>
    <xf numFmtId="168" fontId="163" fillId="49" borderId="11" xfId="8727" applyNumberFormat="1" applyFont="1" applyFill="1" applyBorder="1" applyAlignment="1" applyProtection="1">
      <alignment horizontal="center"/>
      <protection locked="0"/>
    </xf>
    <xf numFmtId="168" fontId="163" fillId="49" borderId="91" xfId="8727" applyNumberFormat="1" applyFont="1" applyFill="1" applyBorder="1" applyAlignment="1" applyProtection="1">
      <alignment horizontal="center"/>
      <protection locked="0"/>
    </xf>
    <xf numFmtId="14" fontId="163" fillId="49" borderId="11" xfId="8726" applyNumberFormat="1" applyFont="1" applyFill="1" applyBorder="1" applyAlignment="1" applyProtection="1">
      <alignment horizontal="center"/>
      <protection locked="0"/>
    </xf>
    <xf numFmtId="0" fontId="157" fillId="49" borderId="11" xfId="8726" applyFont="1" applyFill="1" applyBorder="1" applyAlignment="1" applyProtection="1">
      <alignment horizontal="left"/>
      <protection locked="0"/>
    </xf>
    <xf numFmtId="0" fontId="171" fillId="45" borderId="72" xfId="8726" applyFont="1" applyFill="1" applyBorder="1" applyAlignment="1">
      <alignment horizontal="center"/>
    </xf>
    <xf numFmtId="0" fontId="171" fillId="45" borderId="73" xfId="8726" applyFont="1" applyFill="1" applyBorder="1" applyAlignment="1">
      <alignment horizontal="center"/>
    </xf>
    <xf numFmtId="0" fontId="157" fillId="49" borderId="73" xfId="8726" applyFont="1" applyFill="1" applyBorder="1" applyAlignment="1" applyProtection="1">
      <alignment horizontal="left"/>
      <protection locked="0"/>
    </xf>
    <xf numFmtId="0" fontId="163" fillId="49" borderId="73" xfId="8726" applyFont="1" applyFill="1" applyBorder="1" applyAlignment="1" applyProtection="1">
      <alignment horizontal="center"/>
      <protection locked="0"/>
    </xf>
    <xf numFmtId="14" fontId="163" fillId="49" borderId="73" xfId="8726" applyNumberFormat="1" applyFont="1" applyFill="1" applyBorder="1" applyAlignment="1" applyProtection="1">
      <alignment horizontal="center"/>
      <protection locked="0"/>
    </xf>
    <xf numFmtId="168" fontId="163" fillId="49" borderId="73" xfId="8727" applyNumberFormat="1" applyFont="1" applyFill="1" applyBorder="1" applyAlignment="1" applyProtection="1">
      <alignment horizontal="center"/>
      <protection locked="0"/>
    </xf>
    <xf numFmtId="168" fontId="163" fillId="49" borderId="93" xfId="8727" applyNumberFormat="1" applyFont="1" applyFill="1" applyBorder="1" applyAlignment="1" applyProtection="1">
      <alignment horizontal="center"/>
      <protection locked="0"/>
    </xf>
    <xf numFmtId="0" fontId="161" fillId="49" borderId="72" xfId="8726" applyFont="1" applyFill="1" applyBorder="1" applyAlignment="1" applyProtection="1">
      <alignment horizontal="center"/>
      <protection locked="0"/>
    </xf>
    <xf numFmtId="0" fontId="161" fillId="49" borderId="73" xfId="8726" applyFont="1" applyFill="1" applyBorder="1" applyAlignment="1" applyProtection="1">
      <alignment horizontal="center"/>
      <protection locked="0"/>
    </xf>
    <xf numFmtId="14" fontId="161" fillId="49" borderId="73" xfId="8726" applyNumberFormat="1" applyFont="1" applyFill="1" applyBorder="1" applyAlignment="1" applyProtection="1">
      <alignment horizontal="center"/>
      <protection locked="0"/>
    </xf>
    <xf numFmtId="14" fontId="161" fillId="49" borderId="93" xfId="8726" applyNumberFormat="1" applyFont="1" applyFill="1" applyBorder="1" applyAlignment="1" applyProtection="1">
      <alignment horizontal="center"/>
      <protection locked="0"/>
    </xf>
    <xf numFmtId="0" fontId="100" fillId="45" borderId="65" xfId="8726" applyFont="1" applyFill="1" applyBorder="1" applyAlignment="1">
      <alignment horizontal="left" wrapText="1"/>
    </xf>
    <xf numFmtId="0" fontId="100" fillId="45" borderId="29" xfId="8726" applyFont="1" applyFill="1" applyBorder="1" applyAlignment="1">
      <alignment horizontal="left" wrapText="1"/>
    </xf>
    <xf numFmtId="0" fontId="100" fillId="45" borderId="31" xfId="8726" applyFont="1" applyFill="1" applyBorder="1" applyAlignment="1">
      <alignment horizontal="left" wrapText="1"/>
    </xf>
    <xf numFmtId="0" fontId="100" fillId="45" borderId="86" xfId="8726" applyFont="1" applyFill="1" applyBorder="1" applyAlignment="1">
      <alignment horizontal="left" wrapText="1"/>
    </xf>
    <xf numFmtId="0" fontId="100" fillId="45" borderId="42" xfId="8726" applyFont="1" applyFill="1" applyBorder="1" applyAlignment="1">
      <alignment horizontal="left" wrapText="1"/>
    </xf>
    <xf numFmtId="0" fontId="100" fillId="45" borderId="44" xfId="8726" applyFont="1" applyFill="1" applyBorder="1" applyAlignment="1">
      <alignment horizontal="left" wrapText="1"/>
    </xf>
    <xf numFmtId="0" fontId="100" fillId="45" borderId="70" xfId="8726" applyFont="1" applyFill="1" applyBorder="1" applyAlignment="1">
      <alignment horizontal="center"/>
    </xf>
    <xf numFmtId="0" fontId="100" fillId="45" borderId="71" xfId="8726" applyFont="1" applyFill="1" applyBorder="1" applyAlignment="1">
      <alignment horizontal="center"/>
    </xf>
    <xf numFmtId="0" fontId="100" fillId="45" borderId="74" xfId="8726" applyFont="1" applyFill="1" applyBorder="1" applyAlignment="1">
      <alignment horizontal="center"/>
    </xf>
    <xf numFmtId="0" fontId="144" fillId="45" borderId="74" xfId="8726" applyFont="1" applyFill="1" applyBorder="1" applyAlignment="1">
      <alignment horizontal="left"/>
    </xf>
    <xf numFmtId="14" fontId="161" fillId="49" borderId="91" xfId="8726" applyNumberFormat="1" applyFont="1" applyFill="1" applyBorder="1" applyAlignment="1" applyProtection="1">
      <alignment horizontal="center"/>
      <protection locked="0"/>
    </xf>
    <xf numFmtId="168" fontId="161" fillId="44" borderId="11" xfId="700" applyNumberFormat="1" applyFont="1" applyFill="1" applyBorder="1" applyAlignment="1">
      <alignment horizontal="left"/>
    </xf>
    <xf numFmtId="168" fontId="163" fillId="44" borderId="11" xfId="700" applyNumberFormat="1" applyFont="1" applyFill="1" applyBorder="1" applyAlignment="1">
      <alignment horizontal="left"/>
    </xf>
    <xf numFmtId="0" fontId="147" fillId="47" borderId="11" xfId="8726" applyFont="1" applyFill="1" applyBorder="1" applyAlignment="1">
      <alignment horizontal="center"/>
    </xf>
    <xf numFmtId="0" fontId="147" fillId="47" borderId="91" xfId="8726" applyFont="1" applyFill="1" applyBorder="1" applyAlignment="1">
      <alignment horizontal="center"/>
    </xf>
    <xf numFmtId="0" fontId="163" fillId="45" borderId="80" xfId="8726" applyFont="1" applyFill="1" applyBorder="1" applyAlignment="1">
      <alignment horizontal="right"/>
    </xf>
    <xf numFmtId="0" fontId="163" fillId="45" borderId="11" xfId="8726" applyFont="1" applyFill="1" applyBorder="1" applyAlignment="1">
      <alignment horizontal="right"/>
    </xf>
    <xf numFmtId="44" fontId="2" fillId="49" borderId="11" xfId="700" applyFont="1" applyFill="1" applyBorder="1" applyAlignment="1" applyProtection="1">
      <alignment horizontal="center"/>
      <protection locked="0"/>
    </xf>
    <xf numFmtId="43" fontId="144" fillId="55" borderId="104" xfId="698" applyFont="1" applyFill="1" applyBorder="1" applyAlignment="1" applyProtection="1">
      <alignment horizontal="center"/>
      <protection hidden="1"/>
    </xf>
    <xf numFmtId="43" fontId="144" fillId="55" borderId="97" xfId="698" applyFont="1" applyFill="1" applyBorder="1" applyAlignment="1" applyProtection="1">
      <alignment horizontal="center"/>
      <protection hidden="1"/>
    </xf>
    <xf numFmtId="43" fontId="144" fillId="55" borderId="98" xfId="698" applyFont="1" applyFill="1" applyBorder="1" applyAlignment="1" applyProtection="1">
      <alignment horizontal="center"/>
      <protection hidden="1"/>
    </xf>
    <xf numFmtId="43" fontId="146" fillId="53" borderId="13" xfId="698" applyFont="1" applyFill="1" applyBorder="1" applyAlignment="1" applyProtection="1">
      <alignment horizontal="left"/>
      <protection hidden="1"/>
    </xf>
    <xf numFmtId="44" fontId="2" fillId="49" borderId="13" xfId="700" applyFont="1" applyFill="1" applyBorder="1" applyAlignment="1" applyProtection="1">
      <alignment horizontal="center"/>
      <protection locked="0"/>
    </xf>
    <xf numFmtId="0" fontId="161" fillId="48" borderId="9" xfId="8726" applyFont="1" applyFill="1" applyBorder="1" applyAlignment="1">
      <alignment horizontal="center"/>
    </xf>
    <xf numFmtId="0" fontId="161" fillId="48" borderId="6" xfId="8726" applyFont="1" applyFill="1" applyBorder="1" applyAlignment="1">
      <alignment horizontal="center"/>
    </xf>
    <xf numFmtId="0" fontId="161" fillId="48" borderId="10" xfId="8726" applyFont="1" applyFill="1" applyBorder="1" applyAlignment="1">
      <alignment horizontal="center"/>
    </xf>
    <xf numFmtId="168" fontId="161" fillId="49" borderId="11" xfId="700" applyNumberFormat="1" applyFont="1" applyFill="1" applyBorder="1" applyAlignment="1" applyProtection="1">
      <alignment horizontal="left"/>
      <protection locked="0"/>
    </xf>
    <xf numFmtId="44" fontId="2" fillId="49" borderId="97" xfId="700" applyFont="1" applyFill="1" applyBorder="1" applyAlignment="1" applyProtection="1">
      <alignment horizontal="center"/>
      <protection locked="0"/>
    </xf>
    <xf numFmtId="168" fontId="145" fillId="48" borderId="0" xfId="700" applyNumberFormat="1" applyFont="1" applyFill="1" applyBorder="1" applyAlignment="1" applyProtection="1">
      <alignment horizontal="left"/>
      <protection locked="0"/>
    </xf>
    <xf numFmtId="0" fontId="148" fillId="45" borderId="67" xfId="0" applyFont="1" applyFill="1" applyBorder="1" applyAlignment="1" applyProtection="1">
      <alignment horizontal="center" wrapText="1"/>
      <protection hidden="1"/>
    </xf>
    <xf numFmtId="0" fontId="148" fillId="45" borderId="68" xfId="0" applyFont="1" applyFill="1" applyBorder="1" applyAlignment="1" applyProtection="1">
      <alignment horizontal="center" wrapText="1"/>
      <protection hidden="1"/>
    </xf>
    <xf numFmtId="0" fontId="148" fillId="45" borderId="69" xfId="0" applyFont="1" applyFill="1" applyBorder="1" applyAlignment="1" applyProtection="1">
      <alignment horizontal="center" wrapText="1"/>
      <protection hidden="1"/>
    </xf>
    <xf numFmtId="182" fontId="2" fillId="49" borderId="11" xfId="700" applyNumberFormat="1" applyFont="1" applyFill="1" applyBorder="1" applyAlignment="1" applyProtection="1">
      <alignment horizontal="center"/>
      <protection locked="0"/>
    </xf>
    <xf numFmtId="0" fontId="2" fillId="48" borderId="1" xfId="8726" applyFill="1" applyBorder="1" applyAlignment="1">
      <alignment horizontal="center"/>
    </xf>
    <xf numFmtId="0" fontId="2" fillId="48" borderId="2" xfId="8726" applyFill="1" applyBorder="1" applyAlignment="1">
      <alignment horizontal="center"/>
    </xf>
    <xf numFmtId="0" fontId="2" fillId="48" borderId="7" xfId="8726" applyFill="1" applyBorder="1" applyAlignment="1">
      <alignment horizontal="center"/>
    </xf>
    <xf numFmtId="0" fontId="163" fillId="45" borderId="70" xfId="8726" applyFont="1" applyFill="1" applyBorder="1" applyAlignment="1">
      <alignment horizontal="right"/>
    </xf>
    <xf numFmtId="0" fontId="163" fillId="45" borderId="71" xfId="8726" applyFont="1" applyFill="1" applyBorder="1" applyAlignment="1">
      <alignment horizontal="right"/>
    </xf>
    <xf numFmtId="168" fontId="146" fillId="44" borderId="71" xfId="700" applyNumberFormat="1" applyFont="1" applyFill="1" applyBorder="1" applyAlignment="1">
      <alignment horizontal="left"/>
    </xf>
    <xf numFmtId="168" fontId="146" fillId="44" borderId="74" xfId="700" applyNumberFormat="1" applyFont="1" applyFill="1" applyBorder="1" applyAlignment="1">
      <alignment horizontal="left"/>
    </xf>
    <xf numFmtId="0" fontId="161" fillId="49" borderId="81" xfId="8726" applyFont="1" applyFill="1" applyBorder="1" applyAlignment="1" applyProtection="1">
      <alignment horizontal="center"/>
      <protection locked="0"/>
    </xf>
    <xf numFmtId="0" fontId="161" fillId="49" borderId="82" xfId="8726" applyFont="1" applyFill="1" applyBorder="1" applyAlignment="1" applyProtection="1">
      <alignment horizontal="center"/>
      <protection locked="0"/>
    </xf>
    <xf numFmtId="0" fontId="163" fillId="49" borderId="73" xfId="8726" applyFont="1" applyFill="1" applyBorder="1" applyAlignment="1" applyProtection="1">
      <alignment horizontal="left"/>
      <protection locked="0"/>
    </xf>
    <xf numFmtId="0" fontId="163" fillId="49" borderId="93" xfId="8726" applyFont="1" applyFill="1" applyBorder="1" applyAlignment="1" applyProtection="1">
      <alignment horizontal="left"/>
      <protection locked="0"/>
    </xf>
    <xf numFmtId="168" fontId="161" fillId="49" borderId="82" xfId="700" applyNumberFormat="1" applyFont="1" applyFill="1" applyBorder="1" applyAlignment="1" applyProtection="1">
      <alignment horizontal="left"/>
      <protection locked="0"/>
    </xf>
    <xf numFmtId="168" fontId="161" fillId="49" borderId="85" xfId="700" applyNumberFormat="1" applyFont="1" applyFill="1" applyBorder="1" applyAlignment="1" applyProtection="1">
      <alignment horizontal="left"/>
      <protection locked="0"/>
    </xf>
    <xf numFmtId="0" fontId="161" fillId="49" borderId="81" xfId="8726" applyFont="1" applyFill="1" applyBorder="1" applyAlignment="1" applyProtection="1">
      <alignment horizontal="left"/>
      <protection locked="0"/>
    </xf>
    <xf numFmtId="0" fontId="161" fillId="49" borderId="82" xfId="8726" applyFont="1" applyFill="1" applyBorder="1" applyAlignment="1" applyProtection="1">
      <alignment horizontal="left"/>
      <protection locked="0"/>
    </xf>
    <xf numFmtId="0" fontId="161" fillId="49" borderId="85" xfId="8726" applyFont="1" applyFill="1" applyBorder="1" applyAlignment="1" applyProtection="1">
      <alignment horizontal="left"/>
      <protection locked="0"/>
    </xf>
    <xf numFmtId="0" fontId="171" fillId="48" borderId="0" xfId="8726" applyFont="1" applyFill="1" applyAlignment="1">
      <alignment horizontal="left" wrapText="1"/>
    </xf>
    <xf numFmtId="0" fontId="171" fillId="48" borderId="41" xfId="8726" applyFont="1" applyFill="1" applyBorder="1" applyAlignment="1">
      <alignment horizontal="left" wrapText="1"/>
    </xf>
    <xf numFmtId="0" fontId="163" fillId="49" borderId="11" xfId="8726" applyFont="1" applyFill="1" applyBorder="1" applyAlignment="1" applyProtection="1">
      <alignment horizontal="left"/>
      <protection locked="0"/>
    </xf>
    <xf numFmtId="0" fontId="163" fillId="49" borderId="80" xfId="8726" applyFont="1" applyFill="1" applyBorder="1" applyAlignment="1" applyProtection="1">
      <alignment horizontal="center"/>
      <protection locked="0"/>
    </xf>
    <xf numFmtId="10" fontId="161" fillId="49" borderId="11" xfId="1022" applyNumberFormat="1" applyFont="1" applyFill="1" applyBorder="1" applyAlignment="1" applyProtection="1">
      <alignment horizontal="center"/>
      <protection locked="0"/>
    </xf>
    <xf numFmtId="43" fontId="144" fillId="45" borderId="67" xfId="698" applyFont="1" applyFill="1" applyBorder="1" applyAlignment="1" applyProtection="1">
      <alignment horizontal="center"/>
      <protection hidden="1"/>
    </xf>
    <xf numFmtId="43" fontId="144" fillId="45" borderId="68" xfId="698" applyFont="1" applyFill="1" applyBorder="1" applyAlignment="1" applyProtection="1">
      <alignment horizontal="center"/>
      <protection hidden="1"/>
    </xf>
    <xf numFmtId="43" fontId="144" fillId="45" borderId="69" xfId="698" applyFont="1" applyFill="1" applyBorder="1" applyAlignment="1" applyProtection="1">
      <alignment horizontal="center"/>
      <protection hidden="1"/>
    </xf>
    <xf numFmtId="43" fontId="145" fillId="53" borderId="66" xfId="698" applyFont="1" applyFill="1" applyBorder="1" applyAlignment="1" applyProtection="1">
      <alignment horizontal="center" wrapText="1"/>
      <protection hidden="1"/>
    </xf>
    <xf numFmtId="43" fontId="145" fillId="53" borderId="0" xfId="698" applyFont="1" applyFill="1" applyBorder="1" applyAlignment="1" applyProtection="1">
      <alignment horizontal="center" wrapText="1"/>
      <protection hidden="1"/>
    </xf>
    <xf numFmtId="43" fontId="145" fillId="53" borderId="12" xfId="698" applyFont="1" applyFill="1" applyBorder="1" applyAlignment="1" applyProtection="1">
      <alignment horizontal="center" wrapText="1"/>
      <protection hidden="1"/>
    </xf>
    <xf numFmtId="43" fontId="145" fillId="53" borderId="102" xfId="698" applyFont="1" applyFill="1" applyBorder="1" applyAlignment="1" applyProtection="1">
      <alignment horizontal="center" wrapText="1"/>
      <protection hidden="1"/>
    </xf>
    <xf numFmtId="43" fontId="145" fillId="53" borderId="6" xfId="698" applyFont="1" applyFill="1" applyBorder="1" applyAlignment="1" applyProtection="1">
      <alignment horizontal="center" wrapText="1"/>
      <protection hidden="1"/>
    </xf>
    <xf numFmtId="43" fontId="145" fillId="53" borderId="10" xfId="698" applyFont="1" applyFill="1" applyBorder="1" applyAlignment="1" applyProtection="1">
      <alignment horizontal="center" wrapText="1"/>
      <protection hidden="1"/>
    </xf>
    <xf numFmtId="43" fontId="145" fillId="53" borderId="8" xfId="698" applyFont="1" applyFill="1" applyBorder="1" applyAlignment="1" applyProtection="1">
      <alignment horizontal="center" wrapText="1"/>
      <protection hidden="1"/>
    </xf>
    <xf numFmtId="43" fontId="145" fillId="53" borderId="9" xfId="698" applyFont="1" applyFill="1" applyBorder="1" applyAlignment="1" applyProtection="1">
      <alignment horizontal="center" wrapText="1"/>
      <protection hidden="1"/>
    </xf>
    <xf numFmtId="14" fontId="145" fillId="0" borderId="8" xfId="700" applyNumberFormat="1" applyFont="1" applyFill="1" applyBorder="1" applyAlignment="1" applyProtection="1">
      <alignment horizontal="center" wrapText="1"/>
      <protection hidden="1"/>
    </xf>
    <xf numFmtId="14" fontId="145" fillId="0" borderId="0" xfId="700" applyNumberFormat="1" applyFont="1" applyFill="1" applyBorder="1" applyAlignment="1" applyProtection="1">
      <alignment horizontal="center" wrapText="1"/>
      <protection hidden="1"/>
    </xf>
    <xf numFmtId="14" fontId="145" fillId="0" borderId="12" xfId="700" applyNumberFormat="1" applyFont="1" applyFill="1" applyBorder="1" applyAlignment="1" applyProtection="1">
      <alignment horizontal="center" wrapText="1"/>
      <protection hidden="1"/>
    </xf>
    <xf numFmtId="14" fontId="145" fillId="0" borderId="9" xfId="700" applyNumberFormat="1" applyFont="1" applyFill="1" applyBorder="1" applyAlignment="1" applyProtection="1">
      <alignment horizontal="center" wrapText="1"/>
      <protection hidden="1"/>
    </xf>
    <xf numFmtId="14" fontId="145" fillId="0" borderId="6" xfId="700" applyNumberFormat="1" applyFont="1" applyFill="1" applyBorder="1" applyAlignment="1" applyProtection="1">
      <alignment horizontal="center" wrapText="1"/>
      <protection hidden="1"/>
    </xf>
    <xf numFmtId="14" fontId="145" fillId="0" borderId="10" xfId="700" applyNumberFormat="1" applyFont="1" applyFill="1" applyBorder="1" applyAlignment="1" applyProtection="1">
      <alignment horizontal="center" wrapText="1"/>
      <protection hidden="1"/>
    </xf>
    <xf numFmtId="44" fontId="145" fillId="0" borderId="8" xfId="700" applyFont="1" applyBorder="1" applyAlignment="1" applyProtection="1">
      <alignment horizontal="center" wrapText="1"/>
      <protection hidden="1"/>
    </xf>
    <xf numFmtId="44" fontId="145" fillId="0" borderId="0" xfId="700" applyFont="1" applyBorder="1" applyAlignment="1" applyProtection="1">
      <alignment horizontal="center" wrapText="1"/>
      <protection hidden="1"/>
    </xf>
    <xf numFmtId="44" fontId="145" fillId="0" borderId="12" xfId="700" applyFont="1" applyBorder="1" applyAlignment="1" applyProtection="1">
      <alignment horizontal="center" wrapText="1"/>
      <protection hidden="1"/>
    </xf>
    <xf numFmtId="44" fontId="145" fillId="0" borderId="9" xfId="700" applyFont="1" applyBorder="1" applyAlignment="1" applyProtection="1">
      <alignment horizontal="center" wrapText="1"/>
      <protection hidden="1"/>
    </xf>
    <xf numFmtId="44" fontId="145" fillId="0" borderId="6" xfId="700" applyFont="1" applyBorder="1" applyAlignment="1" applyProtection="1">
      <alignment horizontal="center" wrapText="1"/>
      <protection hidden="1"/>
    </xf>
    <xf numFmtId="44" fontId="145" fillId="0" borderId="10" xfId="700" applyFont="1" applyBorder="1" applyAlignment="1" applyProtection="1">
      <alignment horizontal="center" wrapText="1"/>
      <protection hidden="1"/>
    </xf>
    <xf numFmtId="0" fontId="100" fillId="0" borderId="67" xfId="8726" applyFont="1" applyBorder="1" applyAlignment="1">
      <alignment horizontal="left"/>
    </xf>
    <xf numFmtId="0" fontId="100" fillId="0" borderId="68" xfId="8726" applyFont="1" applyBorder="1" applyAlignment="1">
      <alignment horizontal="left"/>
    </xf>
    <xf numFmtId="0" fontId="147" fillId="45" borderId="72" xfId="8726" applyFont="1" applyFill="1" applyBorder="1" applyAlignment="1">
      <alignment horizontal="right"/>
    </xf>
    <xf numFmtId="0" fontId="147" fillId="45" borderId="73" xfId="8726" applyFont="1" applyFill="1" applyBorder="1" applyAlignment="1">
      <alignment horizontal="right"/>
    </xf>
    <xf numFmtId="0" fontId="148" fillId="44" borderId="73" xfId="700" applyNumberFormat="1" applyFont="1" applyFill="1" applyBorder="1" applyAlignment="1">
      <alignment horizontal="left"/>
    </xf>
    <xf numFmtId="168" fontId="148" fillId="44" borderId="73" xfId="700" applyNumberFormat="1" applyFont="1" applyFill="1" applyBorder="1" applyAlignment="1">
      <alignment horizontal="left"/>
    </xf>
    <xf numFmtId="168" fontId="148" fillId="44" borderId="93" xfId="700" applyNumberFormat="1" applyFont="1" applyFill="1" applyBorder="1" applyAlignment="1">
      <alignment horizontal="left"/>
    </xf>
    <xf numFmtId="0" fontId="144" fillId="48" borderId="0" xfId="8726" applyFont="1" applyFill="1" applyAlignment="1">
      <alignment horizontal="right"/>
    </xf>
    <xf numFmtId="0" fontId="146" fillId="49" borderId="3" xfId="8726" applyFont="1" applyFill="1" applyBorder="1" applyAlignment="1" applyProtection="1">
      <alignment horizontal="center"/>
      <protection locked="0"/>
    </xf>
    <xf numFmtId="0" fontId="146" fillId="49" borderId="4" xfId="8726" applyFont="1" applyFill="1" applyBorder="1" applyAlignment="1" applyProtection="1">
      <alignment horizontal="center"/>
      <protection locked="0"/>
    </xf>
    <xf numFmtId="0" fontId="146" fillId="49" borderId="79" xfId="8726" applyFont="1" applyFill="1" applyBorder="1" applyAlignment="1" applyProtection="1">
      <alignment horizontal="center"/>
      <protection locked="0"/>
    </xf>
    <xf numFmtId="0" fontId="100" fillId="44" borderId="0" xfId="8726" applyFont="1" applyFill="1" applyAlignment="1">
      <alignment horizontal="left"/>
    </xf>
    <xf numFmtId="0" fontId="148" fillId="44" borderId="0" xfId="8726" applyFont="1" applyFill="1" applyAlignment="1">
      <alignment horizontal="left" vertical="top"/>
    </xf>
    <xf numFmtId="0" fontId="100" fillId="44" borderId="0" xfId="4503" applyFont="1" applyFill="1" applyBorder="1" applyAlignment="1">
      <alignment horizontal="left" vertical="top"/>
    </xf>
    <xf numFmtId="0" fontId="172" fillId="48" borderId="65" xfId="8726" applyFont="1" applyFill="1" applyBorder="1" applyAlignment="1">
      <alignment horizontal="center"/>
    </xf>
    <xf numFmtId="0" fontId="172" fillId="48" borderId="29" xfId="8726" applyFont="1" applyFill="1" applyBorder="1" applyAlignment="1">
      <alignment horizontal="center"/>
    </xf>
    <xf numFmtId="0" fontId="172" fillId="48" borderId="31" xfId="8726" applyFont="1" applyFill="1" applyBorder="1" applyAlignment="1">
      <alignment horizontal="center"/>
    </xf>
    <xf numFmtId="0" fontId="2" fillId="48" borderId="66" xfId="8726" applyFill="1" applyBorder="1" applyAlignment="1">
      <alignment horizontal="center"/>
    </xf>
    <xf numFmtId="0" fontId="2" fillId="48" borderId="0" xfId="8726" applyFill="1" applyAlignment="1">
      <alignment horizontal="center"/>
    </xf>
    <xf numFmtId="0" fontId="2" fillId="48" borderId="41" xfId="8726" applyFill="1" applyBorder="1" applyAlignment="1">
      <alignment horizontal="center"/>
    </xf>
    <xf numFmtId="0" fontId="144" fillId="48" borderId="66" xfId="8726" applyFont="1" applyFill="1" applyBorder="1" applyAlignment="1">
      <alignment horizontal="center"/>
    </xf>
    <xf numFmtId="0" fontId="144" fillId="48" borderId="0" xfId="8726" applyFont="1" applyFill="1" applyAlignment="1">
      <alignment horizontal="center"/>
    </xf>
    <xf numFmtId="0" fontId="144" fillId="48" borderId="41" xfId="8726" applyFont="1" applyFill="1" applyBorder="1" applyAlignment="1">
      <alignment horizontal="center"/>
    </xf>
    <xf numFmtId="0" fontId="100" fillId="48" borderId="66" xfId="8726" applyFont="1" applyFill="1" applyBorder="1" applyAlignment="1">
      <alignment horizontal="center"/>
    </xf>
    <xf numFmtId="0" fontId="100" fillId="48" borderId="0" xfId="8726" applyFont="1" applyFill="1" applyAlignment="1">
      <alignment horizontal="center"/>
    </xf>
    <xf numFmtId="0" fontId="100" fillId="48" borderId="41" xfId="8726" applyFont="1" applyFill="1" applyBorder="1" applyAlignment="1">
      <alignment horizontal="center"/>
    </xf>
    <xf numFmtId="14" fontId="2" fillId="49" borderId="67" xfId="8726" applyNumberFormat="1" applyFill="1" applyBorder="1" applyAlignment="1" applyProtection="1">
      <alignment horizontal="center"/>
      <protection locked="0"/>
    </xf>
    <xf numFmtId="14" fontId="2" fillId="49" borderId="68" xfId="8726" applyNumberFormat="1" applyFill="1" applyBorder="1" applyAlignment="1" applyProtection="1">
      <alignment horizontal="center"/>
      <protection locked="0"/>
    </xf>
    <xf numFmtId="14" fontId="2" fillId="49" borderId="69" xfId="8726" applyNumberFormat="1" applyFill="1" applyBorder="1" applyAlignment="1" applyProtection="1">
      <alignment horizontal="center"/>
      <protection locked="0"/>
    </xf>
    <xf numFmtId="0" fontId="2" fillId="49" borderId="67" xfId="8726" applyFill="1" applyBorder="1" applyAlignment="1" applyProtection="1">
      <alignment horizontal="left"/>
      <protection locked="0"/>
    </xf>
    <xf numFmtId="0" fontId="2" fillId="49" borderId="68" xfId="8726" applyFill="1" applyBorder="1" applyAlignment="1" applyProtection="1">
      <alignment horizontal="left"/>
      <protection locked="0"/>
    </xf>
    <xf numFmtId="0" fontId="2" fillId="49" borderId="69" xfId="8726" applyFill="1" applyBorder="1" applyAlignment="1" applyProtection="1">
      <alignment horizontal="left"/>
      <protection locked="0"/>
    </xf>
    <xf numFmtId="0" fontId="2" fillId="49" borderId="67" xfId="8726" applyFill="1" applyBorder="1" applyAlignment="1" applyProtection="1">
      <alignment horizontal="center"/>
      <protection locked="0"/>
    </xf>
    <xf numFmtId="0" fontId="2" fillId="49" borderId="68" xfId="8726" applyFill="1" applyBorder="1" applyAlignment="1" applyProtection="1">
      <alignment horizontal="center"/>
      <protection locked="0"/>
    </xf>
    <xf numFmtId="0" fontId="2" fillId="49" borderId="69" xfId="8726" applyFill="1" applyBorder="1" applyAlignment="1" applyProtection="1">
      <alignment horizontal="center"/>
      <protection locked="0"/>
    </xf>
    <xf numFmtId="0" fontId="100" fillId="48" borderId="42" xfId="8726" applyFont="1" applyFill="1" applyBorder="1" applyAlignment="1">
      <alignment horizontal="center"/>
    </xf>
    <xf numFmtId="0" fontId="144" fillId="48" borderId="0" xfId="8726" applyFont="1" applyFill="1" applyAlignment="1">
      <alignment horizontal="left" vertical="top" wrapText="1"/>
    </xf>
    <xf numFmtId="0" fontId="100" fillId="48" borderId="0" xfId="8726" applyFont="1" applyFill="1" applyAlignment="1">
      <alignment horizontal="left"/>
    </xf>
    <xf numFmtId="0" fontId="176" fillId="54" borderId="3" xfId="698" applyNumberFormat="1" applyFont="1" applyFill="1" applyBorder="1" applyAlignment="1" applyProtection="1">
      <alignment horizontal="center"/>
      <protection locked="0"/>
    </xf>
    <xf numFmtId="0" fontId="176" fillId="54" borderId="4" xfId="698" applyNumberFormat="1" applyFont="1" applyFill="1" applyBorder="1" applyAlignment="1" applyProtection="1">
      <alignment horizontal="center"/>
      <protection locked="0"/>
    </xf>
    <xf numFmtId="0" fontId="176" fillId="54" borderId="79" xfId="698" applyNumberFormat="1" applyFont="1" applyFill="1" applyBorder="1" applyAlignment="1" applyProtection="1">
      <alignment horizontal="center"/>
      <protection locked="0"/>
    </xf>
    <xf numFmtId="43" fontId="144" fillId="53" borderId="3" xfId="698" applyFont="1" applyFill="1" applyBorder="1" applyAlignment="1" applyProtection="1">
      <alignment horizontal="center"/>
      <protection hidden="1"/>
    </xf>
    <xf numFmtId="43" fontId="144" fillId="53" borderId="4" xfId="698" applyFont="1" applyFill="1" applyBorder="1" applyAlignment="1" applyProtection="1">
      <alignment horizontal="center"/>
      <protection hidden="1"/>
    </xf>
    <xf numFmtId="43" fontId="144" fillId="53" borderId="79" xfId="698" applyFont="1" applyFill="1" applyBorder="1" applyAlignment="1" applyProtection="1">
      <alignment horizontal="center"/>
      <protection hidden="1"/>
    </xf>
    <xf numFmtId="43" fontId="145" fillId="53" borderId="41" xfId="698" applyFont="1" applyFill="1" applyBorder="1" applyAlignment="1" applyProtection="1">
      <alignment horizontal="center" wrapText="1"/>
      <protection hidden="1"/>
    </xf>
    <xf numFmtId="43" fontId="145" fillId="53" borderId="103" xfId="698" applyFont="1" applyFill="1" applyBorder="1" applyAlignment="1" applyProtection="1">
      <alignment horizontal="center" wrapText="1"/>
      <protection hidden="1"/>
    </xf>
    <xf numFmtId="44" fontId="176" fillId="49" borderId="11" xfId="700" applyFont="1" applyFill="1" applyBorder="1" applyAlignment="1" applyProtection="1">
      <alignment horizontal="center"/>
      <protection locked="0"/>
    </xf>
    <xf numFmtId="168" fontId="144" fillId="45" borderId="43" xfId="8726" applyNumberFormat="1" applyFont="1" applyFill="1" applyBorder="1" applyAlignment="1">
      <alignment horizontal="left"/>
    </xf>
    <xf numFmtId="168" fontId="144" fillId="45" borderId="96" xfId="8726" applyNumberFormat="1" applyFont="1" applyFill="1" applyBorder="1" applyAlignment="1">
      <alignment horizontal="left"/>
    </xf>
    <xf numFmtId="0" fontId="2" fillId="49" borderId="1" xfId="8726" applyFill="1" applyBorder="1" applyAlignment="1" applyProtection="1">
      <alignment horizontal="center"/>
      <protection locked="0"/>
    </xf>
    <xf numFmtId="0" fontId="2" fillId="49" borderId="2" xfId="8726" applyFill="1" applyBorder="1" applyAlignment="1" applyProtection="1">
      <alignment horizontal="center"/>
      <protection locked="0"/>
    </xf>
    <xf numFmtId="0" fontId="2" fillId="49" borderId="4" xfId="8726" applyFill="1" applyBorder="1" applyAlignment="1" applyProtection="1">
      <alignment horizontal="center"/>
      <protection locked="0"/>
    </xf>
    <xf numFmtId="0" fontId="2" fillId="49" borderId="79" xfId="8726" applyFill="1" applyBorder="1" applyAlignment="1" applyProtection="1">
      <alignment horizontal="center"/>
      <protection locked="0"/>
    </xf>
    <xf numFmtId="10" fontId="2" fillId="0" borderId="84" xfId="8726" applyNumberFormat="1" applyBorder="1" applyAlignment="1">
      <alignment horizontal="center"/>
    </xf>
    <xf numFmtId="10" fontId="2" fillId="0" borderId="82" xfId="8726" applyNumberFormat="1" applyBorder="1" applyAlignment="1">
      <alignment horizontal="center"/>
    </xf>
    <xf numFmtId="10" fontId="2" fillId="0" borderId="85" xfId="8726" applyNumberFormat="1" applyBorder="1" applyAlignment="1">
      <alignment horizontal="center"/>
    </xf>
    <xf numFmtId="0" fontId="146" fillId="49" borderId="89" xfId="8726" applyFont="1" applyFill="1" applyBorder="1" applyAlignment="1" applyProtection="1">
      <alignment horizontal="left"/>
      <protection locked="0"/>
    </xf>
    <xf numFmtId="0" fontId="144" fillId="45" borderId="80" xfId="8726" applyFont="1" applyFill="1" applyBorder="1" applyAlignment="1">
      <alignment horizontal="center"/>
    </xf>
    <xf numFmtId="0" fontId="144" fillId="45" borderId="11" xfId="8726" applyFont="1" applyFill="1" applyBorder="1" applyAlignment="1">
      <alignment horizontal="center"/>
    </xf>
    <xf numFmtId="0" fontId="144" fillId="45" borderId="3" xfId="8726" applyFont="1" applyFill="1" applyBorder="1" applyAlignment="1">
      <alignment horizontal="center"/>
    </xf>
    <xf numFmtId="0" fontId="144" fillId="45" borderId="4" xfId="8726" applyFont="1" applyFill="1" applyBorder="1" applyAlignment="1">
      <alignment horizontal="center"/>
    </xf>
    <xf numFmtId="0" fontId="144" fillId="45" borderId="79" xfId="8726" applyFont="1" applyFill="1" applyBorder="1" applyAlignment="1">
      <alignment horizontal="center"/>
    </xf>
    <xf numFmtId="0" fontId="100" fillId="45" borderId="72" xfId="8726" applyFont="1" applyFill="1" applyBorder="1" applyAlignment="1">
      <alignment horizontal="center"/>
    </xf>
    <xf numFmtId="0" fontId="100" fillId="45" borderId="73" xfId="8726" applyFont="1" applyFill="1" applyBorder="1" applyAlignment="1">
      <alignment horizontal="center"/>
    </xf>
    <xf numFmtId="14" fontId="146" fillId="49" borderId="83" xfId="8726" applyNumberFormat="1" applyFont="1" applyFill="1" applyBorder="1" applyAlignment="1" applyProtection="1">
      <alignment horizontal="center"/>
      <protection locked="0"/>
    </xf>
    <xf numFmtId="0" fontId="146" fillId="49" borderId="73" xfId="8726" applyFont="1" applyFill="1" applyBorder="1" applyAlignment="1" applyProtection="1">
      <alignment horizontal="center"/>
      <protection locked="0"/>
    </xf>
    <xf numFmtId="0" fontId="146" fillId="49" borderId="93" xfId="8726" applyFont="1" applyFill="1" applyBorder="1" applyAlignment="1" applyProtection="1">
      <alignment horizontal="center"/>
      <protection locked="0"/>
    </xf>
    <xf numFmtId="10" fontId="2" fillId="49" borderId="84" xfId="8726" applyNumberFormat="1" applyFill="1" applyBorder="1" applyAlignment="1" applyProtection="1">
      <alignment horizontal="center"/>
      <protection locked="0"/>
    </xf>
    <xf numFmtId="10" fontId="2" fillId="49" borderId="82" xfId="8726" applyNumberFormat="1" applyFill="1" applyBorder="1" applyAlignment="1" applyProtection="1">
      <alignment horizontal="center"/>
      <protection locked="0"/>
    </xf>
    <xf numFmtId="10" fontId="2" fillId="49" borderId="85" xfId="8726" applyNumberFormat="1" applyFill="1" applyBorder="1" applyAlignment="1" applyProtection="1">
      <alignment horizontal="center"/>
      <protection locked="0"/>
    </xf>
    <xf numFmtId="0" fontId="2" fillId="49" borderId="3" xfId="8726" applyFill="1" applyBorder="1" applyAlignment="1" applyProtection="1">
      <alignment horizontal="center"/>
      <protection locked="0"/>
    </xf>
    <xf numFmtId="0" fontId="144" fillId="45" borderId="95" xfId="8726" applyFont="1" applyFill="1" applyBorder="1" applyAlignment="1">
      <alignment horizontal="center"/>
    </xf>
    <xf numFmtId="0" fontId="144" fillId="45" borderId="13" xfId="8726" applyFont="1" applyFill="1" applyBorder="1" applyAlignment="1">
      <alignment horizontal="center"/>
    </xf>
    <xf numFmtId="168" fontId="14" fillId="0" borderId="11" xfId="569" applyNumberFormat="1" applyBorder="1"/>
    <xf numFmtId="168" fontId="14" fillId="0" borderId="3" xfId="569" applyNumberFormat="1" applyBorder="1"/>
    <xf numFmtId="168" fontId="14" fillId="0" borderId="4" xfId="569" applyNumberFormat="1" applyBorder="1"/>
    <xf numFmtId="168" fontId="14" fillId="0" borderId="5" xfId="569" applyNumberFormat="1" applyBorder="1"/>
    <xf numFmtId="168" fontId="14" fillId="0" borderId="11" xfId="569" applyNumberFormat="1" applyBorder="1" applyAlignment="1">
      <alignment wrapText="1"/>
    </xf>
    <xf numFmtId="168" fontId="14" fillId="0" borderId="11" xfId="569" applyNumberFormat="1" applyBorder="1" applyAlignment="1">
      <alignment horizontal="right"/>
    </xf>
    <xf numFmtId="9" fontId="14" fillId="0" borderId="15" xfId="569" applyNumberFormat="1" applyBorder="1" applyAlignment="1">
      <alignment horizontal="center"/>
    </xf>
    <xf numFmtId="168" fontId="14" fillId="0" borderId="11" xfId="569" applyNumberFormat="1" applyBorder="1" applyAlignment="1">
      <alignment horizontal="center"/>
    </xf>
    <xf numFmtId="0" fontId="14" fillId="0" borderId="11" xfId="569" applyBorder="1" applyAlignment="1">
      <alignment horizontal="center"/>
    </xf>
    <xf numFmtId="176" fontId="14" fillId="5" borderId="3" xfId="569" applyNumberFormat="1" applyFill="1" applyBorder="1" applyAlignment="1" applyProtection="1">
      <alignment horizontal="right"/>
      <protection locked="0"/>
    </xf>
    <xf numFmtId="176" fontId="14" fillId="5" borderId="4" xfId="569" applyNumberFormat="1" applyFill="1" applyBorder="1" applyAlignment="1" applyProtection="1">
      <alignment horizontal="right"/>
      <protection locked="0"/>
    </xf>
    <xf numFmtId="176" fontId="14" fillId="5" borderId="5" xfId="569" applyNumberFormat="1" applyFill="1" applyBorder="1" applyAlignment="1" applyProtection="1">
      <alignment horizontal="right"/>
      <protection locked="0"/>
    </xf>
    <xf numFmtId="0" fontId="105" fillId="0" borderId="0" xfId="0" applyFont="1" applyAlignment="1">
      <alignment horizontal="left" vertical="top" wrapText="1"/>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21" fillId="0" borderId="6" xfId="569" applyFont="1" applyBorder="1" applyAlignment="1">
      <alignment horizontal="center"/>
    </xf>
    <xf numFmtId="168" fontId="14" fillId="0" borderId="3" xfId="569" applyNumberFormat="1" applyBorder="1" applyAlignment="1">
      <alignment horizontal="center"/>
    </xf>
    <xf numFmtId="0" fontId="14" fillId="0" borderId="4" xfId="569" applyBorder="1" applyAlignment="1">
      <alignment horizontal="center"/>
    </xf>
    <xf numFmtId="0" fontId="14" fillId="0" borderId="5" xfId="569" applyBorder="1" applyAlignment="1">
      <alignment horizontal="center"/>
    </xf>
    <xf numFmtId="0" fontId="105" fillId="0" borderId="0" xfId="569" applyFont="1" applyAlignment="1">
      <alignment horizontal="left" wrapText="1"/>
    </xf>
    <xf numFmtId="168" fontId="14" fillId="0" borderId="3" xfId="569" applyNumberFormat="1" applyBorder="1" applyAlignment="1">
      <alignment horizontal="right"/>
    </xf>
    <xf numFmtId="168" fontId="14" fillId="0" borderId="4" xfId="569" applyNumberFormat="1" applyBorder="1" applyAlignment="1">
      <alignment horizontal="right"/>
    </xf>
    <xf numFmtId="168" fontId="14" fillId="0" borderId="5" xfId="569" applyNumberFormat="1" applyBorder="1" applyAlignment="1">
      <alignment horizontal="right"/>
    </xf>
    <xf numFmtId="168" fontId="14" fillId="0" borderId="3" xfId="569" applyNumberFormat="1" applyBorder="1" applyAlignment="1" applyProtection="1">
      <alignment horizontal="right"/>
      <protection locked="0"/>
    </xf>
    <xf numFmtId="168" fontId="14" fillId="0" borderId="4" xfId="569" applyNumberFormat="1" applyBorder="1" applyAlignment="1" applyProtection="1">
      <alignment horizontal="right"/>
      <protection locked="0"/>
    </xf>
    <xf numFmtId="168" fontId="14" fillId="0" borderId="5" xfId="569" applyNumberFormat="1" applyBorder="1" applyAlignment="1" applyProtection="1">
      <alignment horizontal="right"/>
      <protection locked="0"/>
    </xf>
    <xf numFmtId="0" fontId="21" fillId="0" borderId="16" xfId="271" applyFont="1" applyBorder="1" applyAlignment="1">
      <alignment horizontal="center"/>
    </xf>
    <xf numFmtId="168" fontId="14" fillId="0" borderId="4" xfId="569" applyNumberFormat="1" applyBorder="1" applyAlignment="1">
      <alignment horizontal="center"/>
    </xf>
    <xf numFmtId="168" fontId="14" fillId="0" borderId="5" xfId="569" applyNumberFormat="1" applyBorder="1" applyAlignment="1">
      <alignment horizontal="center"/>
    </xf>
    <xf numFmtId="0" fontId="21" fillId="0" borderId="11" xfId="569" applyFont="1" applyBorder="1" applyAlignment="1">
      <alignment horizontal="center" wrapText="1"/>
    </xf>
    <xf numFmtId="0" fontId="21" fillId="0" borderId="11" xfId="569" applyFont="1" applyBorder="1" applyAlignment="1">
      <alignment horizontal="center"/>
    </xf>
    <xf numFmtId="165" fontId="14" fillId="0" borderId="11" xfId="569" applyNumberFormat="1" applyBorder="1" applyAlignment="1" applyProtection="1">
      <alignment horizontal="center"/>
      <protection locked="0"/>
    </xf>
    <xf numFmtId="0" fontId="51" fillId="0" borderId="0" xfId="569" applyFont="1" applyAlignment="1">
      <alignment horizontal="left"/>
    </xf>
    <xf numFmtId="5" fontId="14" fillId="0" borderId="5" xfId="569" applyNumberFormat="1" applyBorder="1" applyAlignment="1">
      <alignment horizontal="center"/>
    </xf>
    <xf numFmtId="5" fontId="14" fillId="0" borderId="11" xfId="569" applyNumberFormat="1" applyBorder="1" applyAlignment="1">
      <alignment horizontal="center"/>
    </xf>
    <xf numFmtId="5" fontId="14" fillId="0" borderId="3" xfId="569" applyNumberFormat="1" applyBorder="1" applyAlignment="1">
      <alignment horizontal="center"/>
    </xf>
    <xf numFmtId="5" fontId="14" fillId="0" borderId="4" xfId="569" applyNumberFormat="1" applyBorder="1" applyAlignment="1">
      <alignment horizontal="center"/>
    </xf>
    <xf numFmtId="168" fontId="14" fillId="5" borderId="5" xfId="569" applyNumberFormat="1" applyFill="1" applyBorder="1" applyAlignment="1" applyProtection="1">
      <alignment horizontal="center"/>
      <protection locked="0"/>
    </xf>
    <xf numFmtId="168" fontId="14" fillId="5" borderId="11" xfId="569" applyNumberFormat="1" applyFill="1" applyBorder="1" applyAlignment="1" applyProtection="1">
      <alignment horizontal="center"/>
      <protection locked="0"/>
    </xf>
    <xf numFmtId="9" fontId="14" fillId="0" borderId="5" xfId="569" applyNumberFormat="1" applyBorder="1" applyAlignment="1">
      <alignment horizontal="center"/>
    </xf>
    <xf numFmtId="9" fontId="14" fillId="0" borderId="11" xfId="569" applyNumberFormat="1" applyBorder="1" applyAlignment="1">
      <alignment horizontal="center"/>
    </xf>
    <xf numFmtId="9" fontId="14" fillId="0" borderId="9" xfId="569" applyNumberFormat="1" applyBorder="1" applyAlignment="1">
      <alignment horizontal="center" vertical="center"/>
    </xf>
    <xf numFmtId="9" fontId="14" fillId="0" borderId="6" xfId="569" applyNumberFormat="1" applyBorder="1" applyAlignment="1">
      <alignment horizontal="center" vertical="center"/>
    </xf>
    <xf numFmtId="9" fontId="14" fillId="0" borderId="10" xfId="569" applyNumberFormat="1" applyBorder="1" applyAlignment="1">
      <alignment horizontal="center" vertical="center"/>
    </xf>
    <xf numFmtId="168" fontId="14" fillId="2" borderId="3" xfId="569" applyNumberFormat="1" applyFill="1" applyBorder="1" applyAlignment="1">
      <alignment horizontal="center"/>
    </xf>
    <xf numFmtId="168" fontId="14" fillId="2" borderId="4" xfId="569" applyNumberFormat="1" applyFill="1" applyBorder="1" applyAlignment="1">
      <alignment horizontal="center"/>
    </xf>
    <xf numFmtId="168" fontId="14" fillId="2" borderId="5" xfId="569" applyNumberFormat="1" applyFill="1" applyBorder="1" applyAlignment="1">
      <alignment horizontal="center"/>
    </xf>
    <xf numFmtId="168" fontId="14" fillId="5" borderId="10" xfId="569" applyNumberFormat="1" applyFill="1" applyBorder="1" applyAlignment="1" applyProtection="1">
      <alignment horizontal="center"/>
      <protection locked="0"/>
    </xf>
    <xf numFmtId="168" fontId="14" fillId="5" borderId="13" xfId="569" applyNumberFormat="1" applyFill="1" applyBorder="1" applyAlignment="1" applyProtection="1">
      <alignment horizontal="center"/>
      <protection locked="0"/>
    </xf>
    <xf numFmtId="0" fontId="20" fillId="3" borderId="2" xfId="569" applyFont="1" applyFill="1" applyBorder="1" applyAlignment="1">
      <alignment horizontal="center" vertical="center"/>
    </xf>
    <xf numFmtId="0" fontId="20" fillId="3" borderId="16" xfId="569" applyFont="1" applyFill="1" applyBorder="1" applyAlignment="1">
      <alignment horizontal="center" vertical="center"/>
    </xf>
    <xf numFmtId="168" fontId="14" fillId="0" borderId="7" xfId="569" applyNumberFormat="1" applyBorder="1" applyAlignment="1">
      <alignment horizontal="center"/>
    </xf>
    <xf numFmtId="168" fontId="14" fillId="0" borderId="15" xfId="569" applyNumberFormat="1" applyBorder="1" applyAlignment="1">
      <alignment horizontal="center"/>
    </xf>
    <xf numFmtId="0" fontId="21" fillId="0" borderId="3" xfId="569" applyFont="1" applyBorder="1" applyAlignment="1">
      <alignment horizontal="left"/>
    </xf>
    <xf numFmtId="0" fontId="21" fillId="0" borderId="5" xfId="569" applyFont="1" applyBorder="1" applyAlignment="1">
      <alignment horizontal="left"/>
    </xf>
    <xf numFmtId="0" fontId="22" fillId="0" borderId="4" xfId="569" applyFont="1" applyBorder="1" applyAlignment="1">
      <alignment horizontal="left"/>
    </xf>
    <xf numFmtId="0" fontId="22" fillId="0" borderId="5" xfId="569" applyFont="1" applyBorder="1" applyAlignment="1">
      <alignment horizontal="left"/>
    </xf>
    <xf numFmtId="179" fontId="21" fillId="0" borderId="0" xfId="569" applyNumberFormat="1" applyFont="1" applyAlignment="1">
      <alignment horizontal="center" wrapText="1"/>
    </xf>
    <xf numFmtId="164" fontId="21" fillId="0" borderId="0" xfId="569" applyNumberFormat="1" applyFont="1" applyAlignment="1">
      <alignment horizontal="center" wrapText="1"/>
    </xf>
    <xf numFmtId="0" fontId="14" fillId="0" borderId="3" xfId="569" applyBorder="1" applyAlignment="1">
      <alignment horizontal="right"/>
    </xf>
    <xf numFmtId="0" fontId="14" fillId="0" borderId="4" xfId="569" applyBorder="1" applyAlignment="1">
      <alignment horizontal="right"/>
    </xf>
    <xf numFmtId="0" fontId="14" fillId="0" borderId="5" xfId="569" applyBorder="1" applyAlignment="1">
      <alignment horizontal="right"/>
    </xf>
    <xf numFmtId="0" fontId="22" fillId="0" borderId="3" xfId="569" applyFont="1" applyBorder="1" applyAlignment="1">
      <alignment horizontal="right"/>
    </xf>
    <xf numFmtId="0" fontId="22" fillId="0" borderId="4" xfId="569" applyFont="1" applyBorder="1" applyAlignment="1">
      <alignment horizontal="right"/>
    </xf>
    <xf numFmtId="0" fontId="22" fillId="0" borderId="5" xfId="569" applyFont="1" applyBorder="1" applyAlignment="1">
      <alignment horizontal="right"/>
    </xf>
    <xf numFmtId="0" fontId="19" fillId="0" borderId="6" xfId="271" applyFont="1" applyBorder="1" applyAlignment="1">
      <alignment horizontal="center"/>
    </xf>
    <xf numFmtId="3" fontId="14" fillId="0" borderId="0" xfId="0" applyNumberFormat="1" applyFont="1" applyAlignment="1">
      <alignment horizontal="left" vertical="top" wrapText="1"/>
    </xf>
    <xf numFmtId="3" fontId="23" fillId="0" borderId="0" xfId="0" applyNumberFormat="1" applyFont="1" applyAlignment="1">
      <alignment horizontal="left" vertical="top" wrapText="1"/>
    </xf>
    <xf numFmtId="0" fontId="14" fillId="43" borderId="0" xfId="0" applyFont="1" applyFill="1" applyAlignment="1">
      <alignment horizontal="left"/>
    </xf>
  </cellXfs>
  <cellStyles count="17170">
    <cellStyle name="20% - Accent1" xfId="1" builtinId="30" customBuiltin="1"/>
    <cellStyle name="20% - Accent1 10" xfId="4505" xr:uid="{00000000-0005-0000-0000-000001000000}"/>
    <cellStyle name="20% - Accent1 10 2" xfId="12947" xr:uid="{B73A0B36-ADD1-4CB7-9FCC-38E4573BF0EA}"/>
    <cellStyle name="20% - Accent1 11" xfId="8729" xr:uid="{F4838CC3-A652-4D20-AFBD-2B6E332660D2}"/>
    <cellStyle name="20% - Accent1 2" xfId="2" xr:uid="{00000000-0005-0000-0000-000002000000}"/>
    <cellStyle name="20% - Accent1 2 10" xfId="8730" xr:uid="{491CB5BD-7869-4027-9A19-21F8B00AD596}"/>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2 2 2" xfId="15509" xr:uid="{E2CB6182-573B-4F8F-9F00-1C768FCA09C5}"/>
    <cellStyle name="20% - Accent1 2 2 2 2 2 3" xfId="11291" xr:uid="{B4EBF1C3-5BA6-46EB-A922-4C3716F888AA}"/>
    <cellStyle name="20% - Accent1 2 2 2 2 3" xfId="4922" xr:uid="{00000000-0005-0000-0000-000008000000}"/>
    <cellStyle name="20% - Accent1 2 2 2 2 3 2" xfId="13364" xr:uid="{0C04D209-2A3C-4270-B06A-6AF120DDAC1B}"/>
    <cellStyle name="20% - Accent1 2 2 2 2 4" xfId="9146" xr:uid="{57F53DC5-D240-44A9-B2BE-8CBE5E5827FC}"/>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2 2 2" xfId="15922" xr:uid="{C7E41C60-19FD-4CDE-8D5F-1C8A047A2AF5}"/>
    <cellStyle name="20% - Accent1 2 2 2 3 2 3" xfId="11704" xr:uid="{D1365D78-2C48-4723-8264-49F73B342344}"/>
    <cellStyle name="20% - Accent1 2 2 2 3 3" xfId="5335" xr:uid="{00000000-0005-0000-0000-00000C000000}"/>
    <cellStyle name="20% - Accent1 2 2 2 3 3 2" xfId="13777" xr:uid="{800682CA-CD01-4A09-BBAE-6F7AA9F97101}"/>
    <cellStyle name="20% - Accent1 2 2 2 3 4" xfId="9559" xr:uid="{E8A262C3-2059-4434-ADF6-3B04ADF176CD}"/>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2 2 2" xfId="16335" xr:uid="{C73D5EF3-D936-4203-9846-7E9DB6AB6A46}"/>
    <cellStyle name="20% - Accent1 2 2 2 4 2 3" xfId="12117" xr:uid="{57560B34-6942-4780-8F87-B6A86A71EF84}"/>
    <cellStyle name="20% - Accent1 2 2 2 4 3" xfId="5748" xr:uid="{00000000-0005-0000-0000-000010000000}"/>
    <cellStyle name="20% - Accent1 2 2 2 4 3 2" xfId="14190" xr:uid="{591D097D-A3C7-42E3-9444-90E6481F09D4}"/>
    <cellStyle name="20% - Accent1 2 2 2 4 4" xfId="9972" xr:uid="{5D2D4F43-22E0-42C5-AA76-38D0BA12ABE2}"/>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2 2 2" xfId="16748" xr:uid="{2CFF853E-4593-4015-8ED7-A5B52EA5C5D4}"/>
    <cellStyle name="20% - Accent1 2 2 2 5 2 3" xfId="12530" xr:uid="{ECC3C32A-0B36-456F-B542-DA9EF629E9DE}"/>
    <cellStyle name="20% - Accent1 2 2 2 5 3" xfId="6161" xr:uid="{00000000-0005-0000-0000-000014000000}"/>
    <cellStyle name="20% - Accent1 2 2 2 5 3 2" xfId="14603" xr:uid="{36702EF7-480C-40AB-A0A0-4F4E211BA8FC}"/>
    <cellStyle name="20% - Accent1 2 2 2 5 4" xfId="10385" xr:uid="{A37821ED-B9CD-4AFD-BC46-FCD059D0BCEB}"/>
    <cellStyle name="20% - Accent1 2 2 2 6" xfId="2267" xr:uid="{00000000-0005-0000-0000-000015000000}"/>
    <cellStyle name="20% - Accent1 2 2 2 6 2" xfId="6574" xr:uid="{00000000-0005-0000-0000-000016000000}"/>
    <cellStyle name="20% - Accent1 2 2 2 6 2 2" xfId="15016" xr:uid="{90787CAB-A698-446F-873F-A07F3B101E56}"/>
    <cellStyle name="20% - Accent1 2 2 2 6 3" xfId="10798" xr:uid="{7597B5F8-3404-4AA8-BA5A-D8E6F0D5326D}"/>
    <cellStyle name="20% - Accent1 2 2 2 7" xfId="4508" xr:uid="{00000000-0005-0000-0000-000017000000}"/>
    <cellStyle name="20% - Accent1 2 2 2 7 2" xfId="12950" xr:uid="{5D7353FC-1622-4A29-A549-F527116728A5}"/>
    <cellStyle name="20% - Accent1 2 2 2 8" xfId="8732" xr:uid="{B6902E54-0169-4BE5-9685-1CF08837032A}"/>
    <cellStyle name="20% - Accent1 2 2 3" xfId="572" xr:uid="{00000000-0005-0000-0000-000018000000}"/>
    <cellStyle name="20% - Accent1 2 2 3 2" xfId="2843" xr:uid="{00000000-0005-0000-0000-000019000000}"/>
    <cellStyle name="20% - Accent1 2 2 3 2 2" xfId="7066" xr:uid="{00000000-0005-0000-0000-00001A000000}"/>
    <cellStyle name="20% - Accent1 2 2 3 2 2 2" xfId="15508" xr:uid="{3A92D00A-A74F-4CE9-A4EA-A4397D54FD3B}"/>
    <cellStyle name="20% - Accent1 2 2 3 2 3" xfId="11290" xr:uid="{C316EE84-302E-4CC0-9B40-E09B8535DF1B}"/>
    <cellStyle name="20% - Accent1 2 2 3 3" xfId="4921" xr:uid="{00000000-0005-0000-0000-00001B000000}"/>
    <cellStyle name="20% - Accent1 2 2 3 3 2" xfId="13363" xr:uid="{2085E9DA-84DE-4E33-BB0A-071949F25297}"/>
    <cellStyle name="20% - Accent1 2 2 3 4" xfId="9145" xr:uid="{9B3EC6CC-1749-41C2-92C8-72202191F685}"/>
    <cellStyle name="20% - Accent1 2 2 4" xfId="1025" xr:uid="{00000000-0005-0000-0000-00001C000000}"/>
    <cellStyle name="20% - Accent1 2 2 4 2" xfId="3256" xr:uid="{00000000-0005-0000-0000-00001D000000}"/>
    <cellStyle name="20% - Accent1 2 2 4 2 2" xfId="7479" xr:uid="{00000000-0005-0000-0000-00001E000000}"/>
    <cellStyle name="20% - Accent1 2 2 4 2 2 2" xfId="15921" xr:uid="{4F848C82-9E68-4300-825F-0265577F2809}"/>
    <cellStyle name="20% - Accent1 2 2 4 2 3" xfId="11703" xr:uid="{5D4F43D3-4215-40B9-8D3E-A3CBFE9C30D7}"/>
    <cellStyle name="20% - Accent1 2 2 4 3" xfId="5334" xr:uid="{00000000-0005-0000-0000-00001F000000}"/>
    <cellStyle name="20% - Accent1 2 2 4 3 2" xfId="13776" xr:uid="{A8837EFC-3002-4B89-95F4-0F37686A86EB}"/>
    <cellStyle name="20% - Accent1 2 2 4 4" xfId="9558" xr:uid="{81EA6E16-983E-41CB-A2CC-81AD934070C8}"/>
    <cellStyle name="20% - Accent1 2 2 5" xfId="1439" xr:uid="{00000000-0005-0000-0000-000020000000}"/>
    <cellStyle name="20% - Accent1 2 2 5 2" xfId="3669" xr:uid="{00000000-0005-0000-0000-000021000000}"/>
    <cellStyle name="20% - Accent1 2 2 5 2 2" xfId="7892" xr:uid="{00000000-0005-0000-0000-000022000000}"/>
    <cellStyle name="20% - Accent1 2 2 5 2 2 2" xfId="16334" xr:uid="{D939788D-9F15-4F65-9418-6A298473E0F4}"/>
    <cellStyle name="20% - Accent1 2 2 5 2 3" xfId="12116" xr:uid="{A9E5985E-397C-4FBA-AC67-56FBFD7A87D2}"/>
    <cellStyle name="20% - Accent1 2 2 5 3" xfId="5747" xr:uid="{00000000-0005-0000-0000-000023000000}"/>
    <cellStyle name="20% - Accent1 2 2 5 3 2" xfId="14189" xr:uid="{48346A25-909E-4F4A-8CC1-C0EADFE7B0E6}"/>
    <cellStyle name="20% - Accent1 2 2 5 4" xfId="9971" xr:uid="{6131DB79-DC2F-4377-B521-DE7D6E390BAB}"/>
    <cellStyle name="20% - Accent1 2 2 6" xfId="1853" xr:uid="{00000000-0005-0000-0000-000024000000}"/>
    <cellStyle name="20% - Accent1 2 2 6 2" xfId="4082" xr:uid="{00000000-0005-0000-0000-000025000000}"/>
    <cellStyle name="20% - Accent1 2 2 6 2 2" xfId="8305" xr:uid="{00000000-0005-0000-0000-000026000000}"/>
    <cellStyle name="20% - Accent1 2 2 6 2 2 2" xfId="16747" xr:uid="{3FF7FAD2-5916-444E-86C3-7FFDE1356F19}"/>
    <cellStyle name="20% - Accent1 2 2 6 2 3" xfId="12529" xr:uid="{546BE60C-D57C-4418-863E-5AB41B236D9C}"/>
    <cellStyle name="20% - Accent1 2 2 6 3" xfId="6160" xr:uid="{00000000-0005-0000-0000-000027000000}"/>
    <cellStyle name="20% - Accent1 2 2 6 3 2" xfId="14602" xr:uid="{3314B4AE-EADE-494B-AA16-EA5229C786E5}"/>
    <cellStyle name="20% - Accent1 2 2 6 4" xfId="10384" xr:uid="{57C8D3BC-3379-4F08-A219-1B6BC325FF28}"/>
    <cellStyle name="20% - Accent1 2 2 7" xfId="2266" xr:uid="{00000000-0005-0000-0000-000028000000}"/>
    <cellStyle name="20% - Accent1 2 2 7 2" xfId="6573" xr:uid="{00000000-0005-0000-0000-000029000000}"/>
    <cellStyle name="20% - Accent1 2 2 7 2 2" xfId="15015" xr:uid="{EFC9C16F-79D5-4199-8538-6B14F12E4A5D}"/>
    <cellStyle name="20% - Accent1 2 2 7 3" xfId="10797" xr:uid="{F4FEAE60-F700-4B7F-B2A6-376421B95F0F}"/>
    <cellStyle name="20% - Accent1 2 2 8" xfId="4507" xr:uid="{00000000-0005-0000-0000-00002A000000}"/>
    <cellStyle name="20% - Accent1 2 2 8 2" xfId="12949" xr:uid="{F5EB65A6-B6CB-4CBE-8AFC-1C027CB5D0D7}"/>
    <cellStyle name="20% - Accent1 2 2 9" xfId="8731" xr:uid="{E34CFDBD-D377-4C0E-A560-57145BEDF401}"/>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2 2 2" xfId="15510" xr:uid="{2E76E612-E1CD-4F40-99FC-261A48F90728}"/>
    <cellStyle name="20% - Accent1 2 3 2 2 3" xfId="11292" xr:uid="{A75495F7-E434-48F4-AE28-A5396E3C47B6}"/>
    <cellStyle name="20% - Accent1 2 3 2 3" xfId="4923" xr:uid="{00000000-0005-0000-0000-00002F000000}"/>
    <cellStyle name="20% - Accent1 2 3 2 3 2" xfId="13365" xr:uid="{750603ED-1EC3-4981-8761-289FE79545AE}"/>
    <cellStyle name="20% - Accent1 2 3 2 4" xfId="9147" xr:uid="{AEC566CE-678C-49FF-9441-2149C621EAEC}"/>
    <cellStyle name="20% - Accent1 2 3 3" xfId="1027" xr:uid="{00000000-0005-0000-0000-000030000000}"/>
    <cellStyle name="20% - Accent1 2 3 3 2" xfId="3258" xr:uid="{00000000-0005-0000-0000-000031000000}"/>
    <cellStyle name="20% - Accent1 2 3 3 2 2" xfId="7481" xr:uid="{00000000-0005-0000-0000-000032000000}"/>
    <cellStyle name="20% - Accent1 2 3 3 2 2 2" xfId="15923" xr:uid="{A0958452-E541-4BB3-8478-09E373511CFD}"/>
    <cellStyle name="20% - Accent1 2 3 3 2 3" xfId="11705" xr:uid="{222942A7-B2B2-4B5E-AD07-9F615B187A48}"/>
    <cellStyle name="20% - Accent1 2 3 3 3" xfId="5336" xr:uid="{00000000-0005-0000-0000-000033000000}"/>
    <cellStyle name="20% - Accent1 2 3 3 3 2" xfId="13778" xr:uid="{A35139EF-942A-4534-A9FE-131D19FA03BE}"/>
    <cellStyle name="20% - Accent1 2 3 3 4" xfId="9560" xr:uid="{880EE6CC-1F44-4DD9-BA0E-9ED04D8BFFBD}"/>
    <cellStyle name="20% - Accent1 2 3 4" xfId="1441" xr:uid="{00000000-0005-0000-0000-000034000000}"/>
    <cellStyle name="20% - Accent1 2 3 4 2" xfId="3671" xr:uid="{00000000-0005-0000-0000-000035000000}"/>
    <cellStyle name="20% - Accent1 2 3 4 2 2" xfId="7894" xr:uid="{00000000-0005-0000-0000-000036000000}"/>
    <cellStyle name="20% - Accent1 2 3 4 2 2 2" xfId="16336" xr:uid="{7F378D25-29DD-4B61-BF1C-B8269D09357E}"/>
    <cellStyle name="20% - Accent1 2 3 4 2 3" xfId="12118" xr:uid="{30E017FF-C120-4904-9CBD-293E14E72FA7}"/>
    <cellStyle name="20% - Accent1 2 3 4 3" xfId="5749" xr:uid="{00000000-0005-0000-0000-000037000000}"/>
    <cellStyle name="20% - Accent1 2 3 4 3 2" xfId="14191" xr:uid="{D252C560-658B-4BE1-8E6E-262D156EAE93}"/>
    <cellStyle name="20% - Accent1 2 3 4 4" xfId="9973" xr:uid="{36C3FFF0-7E68-4432-85F8-8805E5608D76}"/>
    <cellStyle name="20% - Accent1 2 3 5" xfId="1855" xr:uid="{00000000-0005-0000-0000-000038000000}"/>
    <cellStyle name="20% - Accent1 2 3 5 2" xfId="4084" xr:uid="{00000000-0005-0000-0000-000039000000}"/>
    <cellStyle name="20% - Accent1 2 3 5 2 2" xfId="8307" xr:uid="{00000000-0005-0000-0000-00003A000000}"/>
    <cellStyle name="20% - Accent1 2 3 5 2 2 2" xfId="16749" xr:uid="{52153EDB-CDD0-47FE-B16B-3E1E179C3452}"/>
    <cellStyle name="20% - Accent1 2 3 5 2 3" xfId="12531" xr:uid="{ABDAC9C2-45CC-4005-A95D-AFAB5C176D2F}"/>
    <cellStyle name="20% - Accent1 2 3 5 3" xfId="6162" xr:uid="{00000000-0005-0000-0000-00003B000000}"/>
    <cellStyle name="20% - Accent1 2 3 5 3 2" xfId="14604" xr:uid="{7CFE9BA5-E3C2-4EF0-B153-2F6F1A33D597}"/>
    <cellStyle name="20% - Accent1 2 3 5 4" xfId="10386" xr:uid="{8B1FDAB6-73DA-4F64-84DD-70A6A760531B}"/>
    <cellStyle name="20% - Accent1 2 3 6" xfId="2268" xr:uid="{00000000-0005-0000-0000-00003C000000}"/>
    <cellStyle name="20% - Accent1 2 3 6 2" xfId="6575" xr:uid="{00000000-0005-0000-0000-00003D000000}"/>
    <cellStyle name="20% - Accent1 2 3 6 2 2" xfId="15017" xr:uid="{F15265CC-6102-4D92-85CE-B8B5EB478386}"/>
    <cellStyle name="20% - Accent1 2 3 6 3" xfId="10799" xr:uid="{20ABE891-BBF2-49F3-96D6-3F1FF231E9AE}"/>
    <cellStyle name="20% - Accent1 2 3 7" xfId="4509" xr:uid="{00000000-0005-0000-0000-00003E000000}"/>
    <cellStyle name="20% - Accent1 2 3 7 2" xfId="12951" xr:uid="{B6B7DE7A-FC53-4544-9097-1BC7356F2E19}"/>
    <cellStyle name="20% - Accent1 2 3 8" xfId="8733" xr:uid="{5ADAC22E-5D4C-4836-A027-92BA878E339C}"/>
    <cellStyle name="20% - Accent1 2 4" xfId="571" xr:uid="{00000000-0005-0000-0000-00003F000000}"/>
    <cellStyle name="20% - Accent1 2 4 2" xfId="2842" xr:uid="{00000000-0005-0000-0000-000040000000}"/>
    <cellStyle name="20% - Accent1 2 4 2 2" xfId="7065" xr:uid="{00000000-0005-0000-0000-000041000000}"/>
    <cellStyle name="20% - Accent1 2 4 2 2 2" xfId="15507" xr:uid="{19F502E7-BCA3-42F3-8CA1-FD5128244B5D}"/>
    <cellStyle name="20% - Accent1 2 4 2 3" xfId="11289" xr:uid="{4325CA56-793E-4ACE-A4EF-7D01666B6343}"/>
    <cellStyle name="20% - Accent1 2 4 3" xfId="4920" xr:uid="{00000000-0005-0000-0000-000042000000}"/>
    <cellStyle name="20% - Accent1 2 4 3 2" xfId="13362" xr:uid="{AE5D9213-C9D0-44D9-97BD-95DE23CF9444}"/>
    <cellStyle name="20% - Accent1 2 4 4" xfId="9144" xr:uid="{34906407-2817-4C7B-A97D-FA0A07B28340}"/>
    <cellStyle name="20% - Accent1 2 5" xfId="1024" xr:uid="{00000000-0005-0000-0000-000043000000}"/>
    <cellStyle name="20% - Accent1 2 5 2" xfId="3255" xr:uid="{00000000-0005-0000-0000-000044000000}"/>
    <cellStyle name="20% - Accent1 2 5 2 2" xfId="7478" xr:uid="{00000000-0005-0000-0000-000045000000}"/>
    <cellStyle name="20% - Accent1 2 5 2 2 2" xfId="15920" xr:uid="{302FD922-2B97-46CC-A8A3-5E556D75B157}"/>
    <cellStyle name="20% - Accent1 2 5 2 3" xfId="11702" xr:uid="{3DFAEAAE-C9EC-4E1D-9CA9-4EA2EAD81D0F}"/>
    <cellStyle name="20% - Accent1 2 5 3" xfId="5333" xr:uid="{00000000-0005-0000-0000-000046000000}"/>
    <cellStyle name="20% - Accent1 2 5 3 2" xfId="13775" xr:uid="{7FD1EB3F-E1ED-43D1-A12B-17A26DFE3DD8}"/>
    <cellStyle name="20% - Accent1 2 5 4" xfId="9557" xr:uid="{2F9DC923-5CC3-428B-B07A-B80AB4D71943}"/>
    <cellStyle name="20% - Accent1 2 6" xfId="1438" xr:uid="{00000000-0005-0000-0000-000047000000}"/>
    <cellStyle name="20% - Accent1 2 6 2" xfId="3668" xr:uid="{00000000-0005-0000-0000-000048000000}"/>
    <cellStyle name="20% - Accent1 2 6 2 2" xfId="7891" xr:uid="{00000000-0005-0000-0000-000049000000}"/>
    <cellStyle name="20% - Accent1 2 6 2 2 2" xfId="16333" xr:uid="{2CB72309-4959-4175-A637-A7B4E2B4F14D}"/>
    <cellStyle name="20% - Accent1 2 6 2 3" xfId="12115" xr:uid="{9565D264-72DC-461B-84F8-DC7CAA7F0FDD}"/>
    <cellStyle name="20% - Accent1 2 6 3" xfId="5746" xr:uid="{00000000-0005-0000-0000-00004A000000}"/>
    <cellStyle name="20% - Accent1 2 6 3 2" xfId="14188" xr:uid="{3CC70433-3A11-4CC2-915B-C235FE111178}"/>
    <cellStyle name="20% - Accent1 2 6 4" xfId="9970" xr:uid="{D30BE096-5A5B-4F22-AA3F-7AD49B1EA742}"/>
    <cellStyle name="20% - Accent1 2 7" xfId="1852" xr:uid="{00000000-0005-0000-0000-00004B000000}"/>
    <cellStyle name="20% - Accent1 2 7 2" xfId="4081" xr:uid="{00000000-0005-0000-0000-00004C000000}"/>
    <cellStyle name="20% - Accent1 2 7 2 2" xfId="8304" xr:uid="{00000000-0005-0000-0000-00004D000000}"/>
    <cellStyle name="20% - Accent1 2 7 2 2 2" xfId="16746" xr:uid="{FE4E3B34-FFA7-4C53-9371-DBEF7FAEB636}"/>
    <cellStyle name="20% - Accent1 2 7 2 3" xfId="12528" xr:uid="{D8D5D007-7F0C-435D-AC25-4758B0C21C5A}"/>
    <cellStyle name="20% - Accent1 2 7 3" xfId="6159" xr:uid="{00000000-0005-0000-0000-00004E000000}"/>
    <cellStyle name="20% - Accent1 2 7 3 2" xfId="14601" xr:uid="{7EF50080-CD42-4D49-8FAB-97AC0110FCA6}"/>
    <cellStyle name="20% - Accent1 2 7 4" xfId="10383" xr:uid="{EF521A88-145A-494A-A5AE-3E54087400DE}"/>
    <cellStyle name="20% - Accent1 2 8" xfId="2265" xr:uid="{00000000-0005-0000-0000-00004F000000}"/>
    <cellStyle name="20% - Accent1 2 8 2" xfId="6572" xr:uid="{00000000-0005-0000-0000-000050000000}"/>
    <cellStyle name="20% - Accent1 2 8 2 2" xfId="15014" xr:uid="{9F933606-FDC1-4316-B62B-C537A9B1AEEF}"/>
    <cellStyle name="20% - Accent1 2 8 3" xfId="10796" xr:uid="{43E4FD9C-8060-487F-8AB9-04BFADAF87EE}"/>
    <cellStyle name="20% - Accent1 2 9" xfId="4506" xr:uid="{00000000-0005-0000-0000-000051000000}"/>
    <cellStyle name="20% - Accent1 2 9 2" xfId="12948" xr:uid="{39957384-DE0F-43A0-9781-0F1309F30209}"/>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2 2 2" xfId="15512" xr:uid="{B38DEC77-63A9-47C3-8B11-10500CE77361}"/>
    <cellStyle name="20% - Accent1 3 2 2 2 3" xfId="11294" xr:uid="{912CBD36-8525-44B2-B3D0-9A60F4A8CFEA}"/>
    <cellStyle name="20% - Accent1 3 2 2 3" xfId="4925" xr:uid="{00000000-0005-0000-0000-000057000000}"/>
    <cellStyle name="20% - Accent1 3 2 2 3 2" xfId="13367" xr:uid="{F51805DA-ACFB-445C-82F5-02F1158638AF}"/>
    <cellStyle name="20% - Accent1 3 2 2 4" xfId="9149" xr:uid="{B10C1BDE-325E-40E2-8B06-6F3B308CF2D2}"/>
    <cellStyle name="20% - Accent1 3 2 3" xfId="1029" xr:uid="{00000000-0005-0000-0000-000058000000}"/>
    <cellStyle name="20% - Accent1 3 2 3 2" xfId="3260" xr:uid="{00000000-0005-0000-0000-000059000000}"/>
    <cellStyle name="20% - Accent1 3 2 3 2 2" xfId="7483" xr:uid="{00000000-0005-0000-0000-00005A000000}"/>
    <cellStyle name="20% - Accent1 3 2 3 2 2 2" xfId="15925" xr:uid="{871703A1-E10B-4B20-AA33-91F017192D60}"/>
    <cellStyle name="20% - Accent1 3 2 3 2 3" xfId="11707" xr:uid="{D8018F92-42F5-4A75-8A66-437802AEA548}"/>
    <cellStyle name="20% - Accent1 3 2 3 3" xfId="5338" xr:uid="{00000000-0005-0000-0000-00005B000000}"/>
    <cellStyle name="20% - Accent1 3 2 3 3 2" xfId="13780" xr:uid="{5C163532-0EDE-43E2-AFB4-B1AEEF127F37}"/>
    <cellStyle name="20% - Accent1 3 2 3 4" xfId="9562" xr:uid="{EEB8D206-5A42-4DDD-B1A5-7BD95323D5E9}"/>
    <cellStyle name="20% - Accent1 3 2 4" xfId="1443" xr:uid="{00000000-0005-0000-0000-00005C000000}"/>
    <cellStyle name="20% - Accent1 3 2 4 2" xfId="3673" xr:uid="{00000000-0005-0000-0000-00005D000000}"/>
    <cellStyle name="20% - Accent1 3 2 4 2 2" xfId="7896" xr:uid="{00000000-0005-0000-0000-00005E000000}"/>
    <cellStyle name="20% - Accent1 3 2 4 2 2 2" xfId="16338" xr:uid="{B5E9427E-0365-4B16-9C2B-27567399FD4E}"/>
    <cellStyle name="20% - Accent1 3 2 4 2 3" xfId="12120" xr:uid="{2F967D01-5048-4A73-9625-1C343B5790A7}"/>
    <cellStyle name="20% - Accent1 3 2 4 3" xfId="5751" xr:uid="{00000000-0005-0000-0000-00005F000000}"/>
    <cellStyle name="20% - Accent1 3 2 4 3 2" xfId="14193" xr:uid="{196D649A-887E-4160-BB45-A34BE52AC2E7}"/>
    <cellStyle name="20% - Accent1 3 2 4 4" xfId="9975" xr:uid="{0A87E36B-5C31-4EFE-A42E-F324BEBD24C0}"/>
    <cellStyle name="20% - Accent1 3 2 5" xfId="1857" xr:uid="{00000000-0005-0000-0000-000060000000}"/>
    <cellStyle name="20% - Accent1 3 2 5 2" xfId="4086" xr:uid="{00000000-0005-0000-0000-000061000000}"/>
    <cellStyle name="20% - Accent1 3 2 5 2 2" xfId="8309" xr:uid="{00000000-0005-0000-0000-000062000000}"/>
    <cellStyle name="20% - Accent1 3 2 5 2 2 2" xfId="16751" xr:uid="{DFAC4610-A338-45C5-9A79-624D186EB6D9}"/>
    <cellStyle name="20% - Accent1 3 2 5 2 3" xfId="12533" xr:uid="{27EA894B-A02B-4CA5-B062-BBE08829DBC0}"/>
    <cellStyle name="20% - Accent1 3 2 5 3" xfId="6164" xr:uid="{00000000-0005-0000-0000-000063000000}"/>
    <cellStyle name="20% - Accent1 3 2 5 3 2" xfId="14606" xr:uid="{93DC6F64-EB08-4901-8C0D-182FC8D258E2}"/>
    <cellStyle name="20% - Accent1 3 2 5 4" xfId="10388" xr:uid="{89B52E93-6B21-457B-A756-732BD7711368}"/>
    <cellStyle name="20% - Accent1 3 2 6" xfId="2270" xr:uid="{00000000-0005-0000-0000-000064000000}"/>
    <cellStyle name="20% - Accent1 3 2 6 2" xfId="6577" xr:uid="{00000000-0005-0000-0000-000065000000}"/>
    <cellStyle name="20% - Accent1 3 2 6 2 2" xfId="15019" xr:uid="{3CF40A31-016A-4311-9E33-94D304783426}"/>
    <cellStyle name="20% - Accent1 3 2 6 3" xfId="10801" xr:uid="{7F69535F-605A-4CC8-8A0F-4959A259956E}"/>
    <cellStyle name="20% - Accent1 3 2 7" xfId="4511" xr:uid="{00000000-0005-0000-0000-000066000000}"/>
    <cellStyle name="20% - Accent1 3 2 7 2" xfId="12953" xr:uid="{F614DDB5-B471-49E8-B17B-916ADD7C06BF}"/>
    <cellStyle name="20% - Accent1 3 2 8" xfId="8735" xr:uid="{885F9FC1-CC48-4E8C-B8EB-8DD94813831E}"/>
    <cellStyle name="20% - Accent1 3 3" xfId="575" xr:uid="{00000000-0005-0000-0000-000067000000}"/>
    <cellStyle name="20% - Accent1 3 3 2" xfId="2846" xr:uid="{00000000-0005-0000-0000-000068000000}"/>
    <cellStyle name="20% - Accent1 3 3 2 2" xfId="7069" xr:uid="{00000000-0005-0000-0000-000069000000}"/>
    <cellStyle name="20% - Accent1 3 3 2 2 2" xfId="15511" xr:uid="{4A84A0C3-A03B-453B-ADF1-EEA05C3D9685}"/>
    <cellStyle name="20% - Accent1 3 3 2 3" xfId="11293" xr:uid="{74E5803A-6314-456F-AEDE-FEE20C2587D4}"/>
    <cellStyle name="20% - Accent1 3 3 3" xfId="4924" xr:uid="{00000000-0005-0000-0000-00006A000000}"/>
    <cellStyle name="20% - Accent1 3 3 3 2" xfId="13366" xr:uid="{94819149-B29C-4F4B-8FA8-E5B9A5D5E2A5}"/>
    <cellStyle name="20% - Accent1 3 3 4" xfId="9148" xr:uid="{CB2782C1-8AAC-4223-BFD8-196181B12821}"/>
    <cellStyle name="20% - Accent1 3 4" xfId="1028" xr:uid="{00000000-0005-0000-0000-00006B000000}"/>
    <cellStyle name="20% - Accent1 3 4 2" xfId="3259" xr:uid="{00000000-0005-0000-0000-00006C000000}"/>
    <cellStyle name="20% - Accent1 3 4 2 2" xfId="7482" xr:uid="{00000000-0005-0000-0000-00006D000000}"/>
    <cellStyle name="20% - Accent1 3 4 2 2 2" xfId="15924" xr:uid="{F2004AD3-2F34-4EF0-9B48-7C81CD50197B}"/>
    <cellStyle name="20% - Accent1 3 4 2 3" xfId="11706" xr:uid="{B75104F7-E446-4404-9D36-B004A2CC371E}"/>
    <cellStyle name="20% - Accent1 3 4 3" xfId="5337" xr:uid="{00000000-0005-0000-0000-00006E000000}"/>
    <cellStyle name="20% - Accent1 3 4 3 2" xfId="13779" xr:uid="{12712725-E1B2-4A3E-AC57-0C7F28D8F43D}"/>
    <cellStyle name="20% - Accent1 3 4 4" xfId="9561" xr:uid="{2DCC4286-990A-479B-AAB0-EE972443266E}"/>
    <cellStyle name="20% - Accent1 3 5" xfId="1442" xr:uid="{00000000-0005-0000-0000-00006F000000}"/>
    <cellStyle name="20% - Accent1 3 5 2" xfId="3672" xr:uid="{00000000-0005-0000-0000-000070000000}"/>
    <cellStyle name="20% - Accent1 3 5 2 2" xfId="7895" xr:uid="{00000000-0005-0000-0000-000071000000}"/>
    <cellStyle name="20% - Accent1 3 5 2 2 2" xfId="16337" xr:uid="{A7BC3C1F-B83E-417F-B73D-5F11F895B82C}"/>
    <cellStyle name="20% - Accent1 3 5 2 3" xfId="12119" xr:uid="{AED6935E-6514-4A19-8A5D-1BD53CCF8617}"/>
    <cellStyle name="20% - Accent1 3 5 3" xfId="5750" xr:uid="{00000000-0005-0000-0000-000072000000}"/>
    <cellStyle name="20% - Accent1 3 5 3 2" xfId="14192" xr:uid="{B4E406B9-448F-474C-8C16-FDB053EC06ED}"/>
    <cellStyle name="20% - Accent1 3 5 4" xfId="9974" xr:uid="{862E2610-EE95-4AD2-9F28-3E5241E91790}"/>
    <cellStyle name="20% - Accent1 3 6" xfId="1856" xr:uid="{00000000-0005-0000-0000-000073000000}"/>
    <cellStyle name="20% - Accent1 3 6 2" xfId="4085" xr:uid="{00000000-0005-0000-0000-000074000000}"/>
    <cellStyle name="20% - Accent1 3 6 2 2" xfId="8308" xr:uid="{00000000-0005-0000-0000-000075000000}"/>
    <cellStyle name="20% - Accent1 3 6 2 2 2" xfId="16750" xr:uid="{14411107-0165-4BFF-9E57-936DC6594911}"/>
    <cellStyle name="20% - Accent1 3 6 2 3" xfId="12532" xr:uid="{80877172-CF4F-47B6-BCB9-8A7F31030215}"/>
    <cellStyle name="20% - Accent1 3 6 3" xfId="6163" xr:uid="{00000000-0005-0000-0000-000076000000}"/>
    <cellStyle name="20% - Accent1 3 6 3 2" xfId="14605" xr:uid="{762BBFFF-E18A-44D9-8F05-65FA339A5885}"/>
    <cellStyle name="20% - Accent1 3 6 4" xfId="10387" xr:uid="{DB291940-91F0-4ECA-861E-665CD2884A60}"/>
    <cellStyle name="20% - Accent1 3 7" xfId="2269" xr:uid="{00000000-0005-0000-0000-000077000000}"/>
    <cellStyle name="20% - Accent1 3 7 2" xfId="6576" xr:uid="{00000000-0005-0000-0000-000078000000}"/>
    <cellStyle name="20% - Accent1 3 7 2 2" xfId="15018" xr:uid="{F5BD10BF-CDBF-4C5F-94EF-8062114D84F8}"/>
    <cellStyle name="20% - Accent1 3 7 3" xfId="10800" xr:uid="{59B6A908-9D80-4DD8-A532-6A105B865F8F}"/>
    <cellStyle name="20% - Accent1 3 8" xfId="4510" xr:uid="{00000000-0005-0000-0000-000079000000}"/>
    <cellStyle name="20% - Accent1 3 8 2" xfId="12952" xr:uid="{C856FFE6-FB8D-4D8D-9D69-AB48C498ADE8}"/>
    <cellStyle name="20% - Accent1 3 9" xfId="8734" xr:uid="{48EB4CAA-2D95-4C85-9A47-6DF91CC6CAB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2 2 2" xfId="15513" xr:uid="{E48CFD2A-9E72-4C46-8130-03EDA01A7585}"/>
    <cellStyle name="20% - Accent1 4 2 2 3" xfId="11295" xr:uid="{FEA0BB49-8337-4843-B78B-0704C99BDF76}"/>
    <cellStyle name="20% - Accent1 4 2 3" xfId="4926" xr:uid="{00000000-0005-0000-0000-00007E000000}"/>
    <cellStyle name="20% - Accent1 4 2 3 2" xfId="13368" xr:uid="{EF7A40BF-C5FC-4A8C-BE07-0339C40EBC47}"/>
    <cellStyle name="20% - Accent1 4 2 4" xfId="9150" xr:uid="{848F5746-06C4-49F4-8A61-3573F4937691}"/>
    <cellStyle name="20% - Accent1 4 3" xfId="1030" xr:uid="{00000000-0005-0000-0000-00007F000000}"/>
    <cellStyle name="20% - Accent1 4 3 2" xfId="3261" xr:uid="{00000000-0005-0000-0000-000080000000}"/>
    <cellStyle name="20% - Accent1 4 3 2 2" xfId="7484" xr:uid="{00000000-0005-0000-0000-000081000000}"/>
    <cellStyle name="20% - Accent1 4 3 2 2 2" xfId="15926" xr:uid="{8C1209D3-8826-4A2D-A3F9-7FB7DF8D7C69}"/>
    <cellStyle name="20% - Accent1 4 3 2 3" xfId="11708" xr:uid="{E685352B-1202-4EA7-856A-C550B020D94F}"/>
    <cellStyle name="20% - Accent1 4 3 3" xfId="5339" xr:uid="{00000000-0005-0000-0000-000082000000}"/>
    <cellStyle name="20% - Accent1 4 3 3 2" xfId="13781" xr:uid="{F3BE94BE-6C22-4A4B-9DA6-23B3D3579BF6}"/>
    <cellStyle name="20% - Accent1 4 3 4" xfId="9563" xr:uid="{A4402D1B-1CBE-40BD-918C-959C25956A4C}"/>
    <cellStyle name="20% - Accent1 4 4" xfId="1444" xr:uid="{00000000-0005-0000-0000-000083000000}"/>
    <cellStyle name="20% - Accent1 4 4 2" xfId="3674" xr:uid="{00000000-0005-0000-0000-000084000000}"/>
    <cellStyle name="20% - Accent1 4 4 2 2" xfId="7897" xr:uid="{00000000-0005-0000-0000-000085000000}"/>
    <cellStyle name="20% - Accent1 4 4 2 2 2" xfId="16339" xr:uid="{3CDCE02F-C3FF-456D-A106-B339DFE2C2E9}"/>
    <cellStyle name="20% - Accent1 4 4 2 3" xfId="12121" xr:uid="{046D69AA-9A78-4FF8-89D3-7B107AB769F2}"/>
    <cellStyle name="20% - Accent1 4 4 3" xfId="5752" xr:uid="{00000000-0005-0000-0000-000086000000}"/>
    <cellStyle name="20% - Accent1 4 4 3 2" xfId="14194" xr:uid="{08C3A48A-9B51-47A5-9171-349B427F1DD3}"/>
    <cellStyle name="20% - Accent1 4 4 4" xfId="9976" xr:uid="{1664E44A-D53A-4AF3-8C77-4B75789F2B72}"/>
    <cellStyle name="20% - Accent1 4 5" xfId="1858" xr:uid="{00000000-0005-0000-0000-000087000000}"/>
    <cellStyle name="20% - Accent1 4 5 2" xfId="4087" xr:uid="{00000000-0005-0000-0000-000088000000}"/>
    <cellStyle name="20% - Accent1 4 5 2 2" xfId="8310" xr:uid="{00000000-0005-0000-0000-000089000000}"/>
    <cellStyle name="20% - Accent1 4 5 2 2 2" xfId="16752" xr:uid="{406D2797-D721-40BC-97A3-2ADF29501134}"/>
    <cellStyle name="20% - Accent1 4 5 2 3" xfId="12534" xr:uid="{E68F022B-5DA9-4F55-A91A-6CA99AA41301}"/>
    <cellStyle name="20% - Accent1 4 5 3" xfId="6165" xr:uid="{00000000-0005-0000-0000-00008A000000}"/>
    <cellStyle name="20% - Accent1 4 5 3 2" xfId="14607" xr:uid="{14D80573-75D8-4D0E-A790-C4C34C2BA2FB}"/>
    <cellStyle name="20% - Accent1 4 5 4" xfId="10389" xr:uid="{D3325702-F977-47D2-A500-E0EBC58D6F0F}"/>
    <cellStyle name="20% - Accent1 4 6" xfId="2271" xr:uid="{00000000-0005-0000-0000-00008B000000}"/>
    <cellStyle name="20% - Accent1 4 6 2" xfId="6578" xr:uid="{00000000-0005-0000-0000-00008C000000}"/>
    <cellStyle name="20% - Accent1 4 6 2 2" xfId="15020" xr:uid="{979101EE-DD2C-4236-90C1-C1B484AE15B4}"/>
    <cellStyle name="20% - Accent1 4 6 3" xfId="10802" xr:uid="{6315AC6F-DF05-4B49-A73C-E04631C90122}"/>
    <cellStyle name="20% - Accent1 4 7" xfId="4512" xr:uid="{00000000-0005-0000-0000-00008D000000}"/>
    <cellStyle name="20% - Accent1 4 7 2" xfId="12954" xr:uid="{88785439-A874-4263-8331-9C09083735FB}"/>
    <cellStyle name="20% - Accent1 4 8" xfId="8736" xr:uid="{23216F35-FB0E-456C-997B-C713208ECE51}"/>
    <cellStyle name="20% - Accent1 5" xfId="570" xr:uid="{00000000-0005-0000-0000-00008E000000}"/>
    <cellStyle name="20% - Accent1 5 2" xfId="2841" xr:uid="{00000000-0005-0000-0000-00008F000000}"/>
    <cellStyle name="20% - Accent1 5 2 2" xfId="7064" xr:uid="{00000000-0005-0000-0000-000090000000}"/>
    <cellStyle name="20% - Accent1 5 2 2 2" xfId="15506" xr:uid="{8A439C96-9043-4FF4-B42E-64E1D8B8D6A2}"/>
    <cellStyle name="20% - Accent1 5 2 3" xfId="11288" xr:uid="{7374E8E6-EDA5-4693-817B-1993A26BFED1}"/>
    <cellStyle name="20% - Accent1 5 3" xfId="4919" xr:uid="{00000000-0005-0000-0000-000091000000}"/>
    <cellStyle name="20% - Accent1 5 3 2" xfId="13361" xr:uid="{A220C4BD-EED5-4E77-964F-BDD7E05DDD25}"/>
    <cellStyle name="20% - Accent1 5 4" xfId="9143" xr:uid="{5C738777-A8C0-4086-B5E8-E7BA73832B96}"/>
    <cellStyle name="20% - Accent1 6" xfId="1023" xr:uid="{00000000-0005-0000-0000-000092000000}"/>
    <cellStyle name="20% - Accent1 6 2" xfId="3254" xr:uid="{00000000-0005-0000-0000-000093000000}"/>
    <cellStyle name="20% - Accent1 6 2 2" xfId="7477" xr:uid="{00000000-0005-0000-0000-000094000000}"/>
    <cellStyle name="20% - Accent1 6 2 2 2" xfId="15919" xr:uid="{4F551013-C1E4-4592-9BDC-824006091C03}"/>
    <cellStyle name="20% - Accent1 6 2 3" xfId="11701" xr:uid="{1CBBF717-F35F-4E0A-BE46-040005CFAE9A}"/>
    <cellStyle name="20% - Accent1 6 3" xfId="5332" xr:uid="{00000000-0005-0000-0000-000095000000}"/>
    <cellStyle name="20% - Accent1 6 3 2" xfId="13774" xr:uid="{50615AA8-5E73-46E2-8719-E7508FCE8A52}"/>
    <cellStyle name="20% - Accent1 6 4" xfId="9556" xr:uid="{3DBD1F6B-F850-4816-8C04-DB9EF3743778}"/>
    <cellStyle name="20% - Accent1 7" xfId="1437" xr:uid="{00000000-0005-0000-0000-000096000000}"/>
    <cellStyle name="20% - Accent1 7 2" xfId="3667" xr:uid="{00000000-0005-0000-0000-000097000000}"/>
    <cellStyle name="20% - Accent1 7 2 2" xfId="7890" xr:uid="{00000000-0005-0000-0000-000098000000}"/>
    <cellStyle name="20% - Accent1 7 2 2 2" xfId="16332" xr:uid="{A3A34A08-9ED7-47BE-8095-2D152A8FA44A}"/>
    <cellStyle name="20% - Accent1 7 2 3" xfId="12114" xr:uid="{B7DFD808-B7A8-4600-947F-FB0F4882AD5F}"/>
    <cellStyle name="20% - Accent1 7 3" xfId="5745" xr:uid="{00000000-0005-0000-0000-000099000000}"/>
    <cellStyle name="20% - Accent1 7 3 2" xfId="14187" xr:uid="{59B38549-43AB-45EF-B856-6EA7144AEFC0}"/>
    <cellStyle name="20% - Accent1 7 4" xfId="9969" xr:uid="{D98D4DAB-6BB4-40D1-BFDB-15C9585528FD}"/>
    <cellStyle name="20% - Accent1 8" xfId="1851" xr:uid="{00000000-0005-0000-0000-00009A000000}"/>
    <cellStyle name="20% - Accent1 8 2" xfId="4080" xr:uid="{00000000-0005-0000-0000-00009B000000}"/>
    <cellStyle name="20% - Accent1 8 2 2" xfId="8303" xr:uid="{00000000-0005-0000-0000-00009C000000}"/>
    <cellStyle name="20% - Accent1 8 2 2 2" xfId="16745" xr:uid="{11FFE777-2A18-445F-92F9-86C70C210253}"/>
    <cellStyle name="20% - Accent1 8 2 3" xfId="12527" xr:uid="{F1473212-4FAE-4205-AC1F-8BC82FEAA18C}"/>
    <cellStyle name="20% - Accent1 8 3" xfId="6158" xr:uid="{00000000-0005-0000-0000-00009D000000}"/>
    <cellStyle name="20% - Accent1 8 3 2" xfId="14600" xr:uid="{B7B9A2C7-8AA4-4D3A-A078-7795F743E0EC}"/>
    <cellStyle name="20% - Accent1 8 4" xfId="10382" xr:uid="{3588A70C-5E35-4332-B955-97523690863C}"/>
    <cellStyle name="20% - Accent1 9" xfId="2264" xr:uid="{00000000-0005-0000-0000-00009E000000}"/>
    <cellStyle name="20% - Accent1 9 2" xfId="6571" xr:uid="{00000000-0005-0000-0000-00009F000000}"/>
    <cellStyle name="20% - Accent1 9 2 2" xfId="15013" xr:uid="{54290987-CF42-4087-A7DF-BAA77C720A46}"/>
    <cellStyle name="20% - Accent1 9 3" xfId="10795" xr:uid="{D95DB7CC-F980-4AB1-B474-8D4DA7A5BBFE}"/>
    <cellStyle name="20% - Accent2" xfId="9" builtinId="34" customBuiltin="1"/>
    <cellStyle name="20% - Accent2 10" xfId="4513" xr:uid="{00000000-0005-0000-0000-0000A1000000}"/>
    <cellStyle name="20% - Accent2 10 2" xfId="12955" xr:uid="{64DA6C6D-A935-488F-9236-B35B88429CEF}"/>
    <cellStyle name="20% - Accent2 11" xfId="8737" xr:uid="{EACD3CB7-D537-497A-8202-206117E618D8}"/>
    <cellStyle name="20% - Accent2 2" xfId="10" xr:uid="{00000000-0005-0000-0000-0000A2000000}"/>
    <cellStyle name="20% - Accent2 2 10" xfId="8738" xr:uid="{0251D5DA-A5CD-421E-B29D-D278931A5BBD}"/>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2 2 2" xfId="15517" xr:uid="{D4848F8C-3868-471B-AF91-E2069FB4D97B}"/>
    <cellStyle name="20% - Accent2 2 2 2 2 2 3" xfId="11299" xr:uid="{98D1B266-7D39-4F6E-8F72-E0182C5200C9}"/>
    <cellStyle name="20% - Accent2 2 2 2 2 3" xfId="4930" xr:uid="{00000000-0005-0000-0000-0000A8000000}"/>
    <cellStyle name="20% - Accent2 2 2 2 2 3 2" xfId="13372" xr:uid="{CFA3E63E-F523-4EFE-947F-28951695991B}"/>
    <cellStyle name="20% - Accent2 2 2 2 2 4" xfId="9154" xr:uid="{882A2F01-EA85-4E8E-B6A7-404DA1191E96}"/>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2 2 2" xfId="15930" xr:uid="{61DC69E3-991F-48E1-8301-AA28C34181C0}"/>
    <cellStyle name="20% - Accent2 2 2 2 3 2 3" xfId="11712" xr:uid="{B2EDB83D-2D62-4C12-AD95-CDF549A11AF9}"/>
    <cellStyle name="20% - Accent2 2 2 2 3 3" xfId="5343" xr:uid="{00000000-0005-0000-0000-0000AC000000}"/>
    <cellStyle name="20% - Accent2 2 2 2 3 3 2" xfId="13785" xr:uid="{F6D8A164-A1C6-4714-87F0-062A7004D74A}"/>
    <cellStyle name="20% - Accent2 2 2 2 3 4" xfId="9567" xr:uid="{7D0A8F02-705C-4817-86F0-469BECD25F03}"/>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2 2 2" xfId="16343" xr:uid="{0BF029D9-7982-46F2-B517-1C4CEE7DB5E6}"/>
    <cellStyle name="20% - Accent2 2 2 2 4 2 3" xfId="12125" xr:uid="{516EE498-E785-46EE-9FC2-53DC16B7C97B}"/>
    <cellStyle name="20% - Accent2 2 2 2 4 3" xfId="5756" xr:uid="{00000000-0005-0000-0000-0000B0000000}"/>
    <cellStyle name="20% - Accent2 2 2 2 4 3 2" xfId="14198" xr:uid="{19EB808A-DF1D-4EF0-8D8F-6B2032DE6CF9}"/>
    <cellStyle name="20% - Accent2 2 2 2 4 4" xfId="9980" xr:uid="{B6A33358-C353-480D-850D-B3987BE5CFDF}"/>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2 2 2" xfId="16756" xr:uid="{4E2917B7-0392-4998-8D88-DE31B2F7A137}"/>
    <cellStyle name="20% - Accent2 2 2 2 5 2 3" xfId="12538" xr:uid="{787433B1-77A3-40FA-8E2F-9F856240D92D}"/>
    <cellStyle name="20% - Accent2 2 2 2 5 3" xfId="6169" xr:uid="{00000000-0005-0000-0000-0000B4000000}"/>
    <cellStyle name="20% - Accent2 2 2 2 5 3 2" xfId="14611" xr:uid="{1B610BA7-DF5D-4FA2-8F50-1999DFA45DAD}"/>
    <cellStyle name="20% - Accent2 2 2 2 5 4" xfId="10393" xr:uid="{7604AC40-7B0B-47A1-8459-83454A91F370}"/>
    <cellStyle name="20% - Accent2 2 2 2 6" xfId="2275" xr:uid="{00000000-0005-0000-0000-0000B5000000}"/>
    <cellStyle name="20% - Accent2 2 2 2 6 2" xfId="6582" xr:uid="{00000000-0005-0000-0000-0000B6000000}"/>
    <cellStyle name="20% - Accent2 2 2 2 6 2 2" xfId="15024" xr:uid="{8FE320C8-FE7A-4AD2-A394-975AC1559857}"/>
    <cellStyle name="20% - Accent2 2 2 2 6 3" xfId="10806" xr:uid="{8EFA613C-C63C-45C8-9C02-0AEA9FE15129}"/>
    <cellStyle name="20% - Accent2 2 2 2 7" xfId="4516" xr:uid="{00000000-0005-0000-0000-0000B7000000}"/>
    <cellStyle name="20% - Accent2 2 2 2 7 2" xfId="12958" xr:uid="{60AC0B93-F743-4DE9-8784-A686D478944B}"/>
    <cellStyle name="20% - Accent2 2 2 2 8" xfId="8740" xr:uid="{33EFEA63-1BB3-43EB-8EF7-A0A7282F8CB0}"/>
    <cellStyle name="20% - Accent2 2 2 3" xfId="580" xr:uid="{00000000-0005-0000-0000-0000B8000000}"/>
    <cellStyle name="20% - Accent2 2 2 3 2" xfId="2851" xr:uid="{00000000-0005-0000-0000-0000B9000000}"/>
    <cellStyle name="20% - Accent2 2 2 3 2 2" xfId="7074" xr:uid="{00000000-0005-0000-0000-0000BA000000}"/>
    <cellStyle name="20% - Accent2 2 2 3 2 2 2" xfId="15516" xr:uid="{7659C330-3A28-4784-A1B5-E1EB086BD7AC}"/>
    <cellStyle name="20% - Accent2 2 2 3 2 3" xfId="11298" xr:uid="{535F7916-F048-48FD-A658-0ECBEEC3630B}"/>
    <cellStyle name="20% - Accent2 2 2 3 3" xfId="4929" xr:uid="{00000000-0005-0000-0000-0000BB000000}"/>
    <cellStyle name="20% - Accent2 2 2 3 3 2" xfId="13371" xr:uid="{C09EC08D-1D26-499A-9F0E-2D731428359F}"/>
    <cellStyle name="20% - Accent2 2 2 3 4" xfId="9153" xr:uid="{313C0BD4-D027-4AD7-8931-EC52D676D022}"/>
    <cellStyle name="20% - Accent2 2 2 4" xfId="1033" xr:uid="{00000000-0005-0000-0000-0000BC000000}"/>
    <cellStyle name="20% - Accent2 2 2 4 2" xfId="3264" xr:uid="{00000000-0005-0000-0000-0000BD000000}"/>
    <cellStyle name="20% - Accent2 2 2 4 2 2" xfId="7487" xr:uid="{00000000-0005-0000-0000-0000BE000000}"/>
    <cellStyle name="20% - Accent2 2 2 4 2 2 2" xfId="15929" xr:uid="{7667A033-8084-401E-9015-53D60816F7F6}"/>
    <cellStyle name="20% - Accent2 2 2 4 2 3" xfId="11711" xr:uid="{5A8DA59D-52C7-42B2-A95A-F5A5BDB7D32B}"/>
    <cellStyle name="20% - Accent2 2 2 4 3" xfId="5342" xr:uid="{00000000-0005-0000-0000-0000BF000000}"/>
    <cellStyle name="20% - Accent2 2 2 4 3 2" xfId="13784" xr:uid="{505B0CAE-4003-4918-A126-F7292D5D41CB}"/>
    <cellStyle name="20% - Accent2 2 2 4 4" xfId="9566" xr:uid="{2977E11B-2933-4575-B61C-4B0C356E8D91}"/>
    <cellStyle name="20% - Accent2 2 2 5" xfId="1447" xr:uid="{00000000-0005-0000-0000-0000C0000000}"/>
    <cellStyle name="20% - Accent2 2 2 5 2" xfId="3677" xr:uid="{00000000-0005-0000-0000-0000C1000000}"/>
    <cellStyle name="20% - Accent2 2 2 5 2 2" xfId="7900" xr:uid="{00000000-0005-0000-0000-0000C2000000}"/>
    <cellStyle name="20% - Accent2 2 2 5 2 2 2" xfId="16342" xr:uid="{79D6564D-066F-4805-BC06-0C01F70ADFA5}"/>
    <cellStyle name="20% - Accent2 2 2 5 2 3" xfId="12124" xr:uid="{63FD8E1E-20F7-45C7-8740-81A0CF267BD8}"/>
    <cellStyle name="20% - Accent2 2 2 5 3" xfId="5755" xr:uid="{00000000-0005-0000-0000-0000C3000000}"/>
    <cellStyle name="20% - Accent2 2 2 5 3 2" xfId="14197" xr:uid="{66668E62-E3CB-48D0-9732-BF48EE66212E}"/>
    <cellStyle name="20% - Accent2 2 2 5 4" xfId="9979" xr:uid="{2017A1AF-47CA-42B6-80C9-8188DD040A40}"/>
    <cellStyle name="20% - Accent2 2 2 6" xfId="1861" xr:uid="{00000000-0005-0000-0000-0000C4000000}"/>
    <cellStyle name="20% - Accent2 2 2 6 2" xfId="4090" xr:uid="{00000000-0005-0000-0000-0000C5000000}"/>
    <cellStyle name="20% - Accent2 2 2 6 2 2" xfId="8313" xr:uid="{00000000-0005-0000-0000-0000C6000000}"/>
    <cellStyle name="20% - Accent2 2 2 6 2 2 2" xfId="16755" xr:uid="{040A8F08-4D1D-4EBA-B8DF-839CC39445A0}"/>
    <cellStyle name="20% - Accent2 2 2 6 2 3" xfId="12537" xr:uid="{DF1BC28C-32A9-4288-B6D2-AE1A4CAF8306}"/>
    <cellStyle name="20% - Accent2 2 2 6 3" xfId="6168" xr:uid="{00000000-0005-0000-0000-0000C7000000}"/>
    <cellStyle name="20% - Accent2 2 2 6 3 2" xfId="14610" xr:uid="{C1BF8835-1F83-469C-A0F4-E506B9F96DFE}"/>
    <cellStyle name="20% - Accent2 2 2 6 4" xfId="10392" xr:uid="{D84CE70C-EEAF-4EA6-ABD2-DD928790640B}"/>
    <cellStyle name="20% - Accent2 2 2 7" xfId="2274" xr:uid="{00000000-0005-0000-0000-0000C8000000}"/>
    <cellStyle name="20% - Accent2 2 2 7 2" xfId="6581" xr:uid="{00000000-0005-0000-0000-0000C9000000}"/>
    <cellStyle name="20% - Accent2 2 2 7 2 2" xfId="15023" xr:uid="{34B088D3-AFCE-46B1-B2AC-95D4A6BE72D8}"/>
    <cellStyle name="20% - Accent2 2 2 7 3" xfId="10805" xr:uid="{7DDC3F96-9D1B-4987-8EC0-88D4AE2BFAC2}"/>
    <cellStyle name="20% - Accent2 2 2 8" xfId="4515" xr:uid="{00000000-0005-0000-0000-0000CA000000}"/>
    <cellStyle name="20% - Accent2 2 2 8 2" xfId="12957" xr:uid="{D43CCE3F-E6FF-4143-89A8-C43FA467F8C1}"/>
    <cellStyle name="20% - Accent2 2 2 9" xfId="8739" xr:uid="{45008886-4493-4DCB-B4A2-671DA0EDC182}"/>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2 2 2" xfId="15518" xr:uid="{17FEB814-84C8-4AF0-8952-38A4F9DB204B}"/>
    <cellStyle name="20% - Accent2 2 3 2 2 3" xfId="11300" xr:uid="{96CAEC0A-6A28-4B24-B3FF-BF0E1E44DD8B}"/>
    <cellStyle name="20% - Accent2 2 3 2 3" xfId="4931" xr:uid="{00000000-0005-0000-0000-0000CF000000}"/>
    <cellStyle name="20% - Accent2 2 3 2 3 2" xfId="13373" xr:uid="{C5D02B9B-EE8A-4FD6-B982-4855A720AD8A}"/>
    <cellStyle name="20% - Accent2 2 3 2 4" xfId="9155" xr:uid="{1581250E-1E69-409F-95BD-1F80E93B269E}"/>
    <cellStyle name="20% - Accent2 2 3 3" xfId="1035" xr:uid="{00000000-0005-0000-0000-0000D0000000}"/>
    <cellStyle name="20% - Accent2 2 3 3 2" xfId="3266" xr:uid="{00000000-0005-0000-0000-0000D1000000}"/>
    <cellStyle name="20% - Accent2 2 3 3 2 2" xfId="7489" xr:uid="{00000000-0005-0000-0000-0000D2000000}"/>
    <cellStyle name="20% - Accent2 2 3 3 2 2 2" xfId="15931" xr:uid="{6812A428-151D-4DEE-8FDA-AA6ED6DC862A}"/>
    <cellStyle name="20% - Accent2 2 3 3 2 3" xfId="11713" xr:uid="{4C38B7A6-F076-4D52-9DEA-018AC87F39E1}"/>
    <cellStyle name="20% - Accent2 2 3 3 3" xfId="5344" xr:uid="{00000000-0005-0000-0000-0000D3000000}"/>
    <cellStyle name="20% - Accent2 2 3 3 3 2" xfId="13786" xr:uid="{09D1F2AC-D2C9-4824-AAE2-A4E5D646CA85}"/>
    <cellStyle name="20% - Accent2 2 3 3 4" xfId="9568" xr:uid="{C3E83D82-C585-4E4B-B1D5-C5C164DEABDF}"/>
    <cellStyle name="20% - Accent2 2 3 4" xfId="1449" xr:uid="{00000000-0005-0000-0000-0000D4000000}"/>
    <cellStyle name="20% - Accent2 2 3 4 2" xfId="3679" xr:uid="{00000000-0005-0000-0000-0000D5000000}"/>
    <cellStyle name="20% - Accent2 2 3 4 2 2" xfId="7902" xr:uid="{00000000-0005-0000-0000-0000D6000000}"/>
    <cellStyle name="20% - Accent2 2 3 4 2 2 2" xfId="16344" xr:uid="{F66BCAD9-83F8-4111-AF45-28AA7AB32A8D}"/>
    <cellStyle name="20% - Accent2 2 3 4 2 3" xfId="12126" xr:uid="{4AD1D5AC-2CFB-4218-A05C-214A7AC968C3}"/>
    <cellStyle name="20% - Accent2 2 3 4 3" xfId="5757" xr:uid="{00000000-0005-0000-0000-0000D7000000}"/>
    <cellStyle name="20% - Accent2 2 3 4 3 2" xfId="14199" xr:uid="{7D331623-6730-46EC-B963-5AA8227205F7}"/>
    <cellStyle name="20% - Accent2 2 3 4 4" xfId="9981" xr:uid="{4A98758A-6D78-45AF-ACFF-3A5489786FDC}"/>
    <cellStyle name="20% - Accent2 2 3 5" xfId="1863" xr:uid="{00000000-0005-0000-0000-0000D8000000}"/>
    <cellStyle name="20% - Accent2 2 3 5 2" xfId="4092" xr:uid="{00000000-0005-0000-0000-0000D9000000}"/>
    <cellStyle name="20% - Accent2 2 3 5 2 2" xfId="8315" xr:uid="{00000000-0005-0000-0000-0000DA000000}"/>
    <cellStyle name="20% - Accent2 2 3 5 2 2 2" xfId="16757" xr:uid="{64232590-52E8-40AE-B444-65DD0674B8D7}"/>
    <cellStyle name="20% - Accent2 2 3 5 2 3" xfId="12539" xr:uid="{97212D83-5D6B-47DE-943B-13B40FCAD011}"/>
    <cellStyle name="20% - Accent2 2 3 5 3" xfId="6170" xr:uid="{00000000-0005-0000-0000-0000DB000000}"/>
    <cellStyle name="20% - Accent2 2 3 5 3 2" xfId="14612" xr:uid="{820CF4DF-FC17-4BD2-86A2-85742444322E}"/>
    <cellStyle name="20% - Accent2 2 3 5 4" xfId="10394" xr:uid="{F935706A-50BC-4247-B776-3FB263815FD4}"/>
    <cellStyle name="20% - Accent2 2 3 6" xfId="2276" xr:uid="{00000000-0005-0000-0000-0000DC000000}"/>
    <cellStyle name="20% - Accent2 2 3 6 2" xfId="6583" xr:uid="{00000000-0005-0000-0000-0000DD000000}"/>
    <cellStyle name="20% - Accent2 2 3 6 2 2" xfId="15025" xr:uid="{F2BF99E8-D4F9-427C-9DE0-0C446DE89DBE}"/>
    <cellStyle name="20% - Accent2 2 3 6 3" xfId="10807" xr:uid="{29B7DCFE-9C19-419A-9DDC-13AD55CC8DA5}"/>
    <cellStyle name="20% - Accent2 2 3 7" xfId="4517" xr:uid="{00000000-0005-0000-0000-0000DE000000}"/>
    <cellStyle name="20% - Accent2 2 3 7 2" xfId="12959" xr:uid="{2636852A-BF7E-4303-BFFD-90A5571C599B}"/>
    <cellStyle name="20% - Accent2 2 3 8" xfId="8741" xr:uid="{3B3F4463-04D2-4777-A8BE-5892A80AD276}"/>
    <cellStyle name="20% - Accent2 2 4" xfId="579" xr:uid="{00000000-0005-0000-0000-0000DF000000}"/>
    <cellStyle name="20% - Accent2 2 4 2" xfId="2850" xr:uid="{00000000-0005-0000-0000-0000E0000000}"/>
    <cellStyle name="20% - Accent2 2 4 2 2" xfId="7073" xr:uid="{00000000-0005-0000-0000-0000E1000000}"/>
    <cellStyle name="20% - Accent2 2 4 2 2 2" xfId="15515" xr:uid="{EFCC361C-DD5F-42DE-B3D3-A450866A0AB9}"/>
    <cellStyle name="20% - Accent2 2 4 2 3" xfId="11297" xr:uid="{C8844730-DEA2-4A21-8BEC-CE5AEDD38F4C}"/>
    <cellStyle name="20% - Accent2 2 4 3" xfId="4928" xr:uid="{00000000-0005-0000-0000-0000E2000000}"/>
    <cellStyle name="20% - Accent2 2 4 3 2" xfId="13370" xr:uid="{6EDD2F6B-B0CF-4109-A70D-6CC98B6DEC1A}"/>
    <cellStyle name="20% - Accent2 2 4 4" xfId="9152" xr:uid="{F3E0B0A8-0934-447B-BAD8-EEC024FD59AF}"/>
    <cellStyle name="20% - Accent2 2 5" xfId="1032" xr:uid="{00000000-0005-0000-0000-0000E3000000}"/>
    <cellStyle name="20% - Accent2 2 5 2" xfId="3263" xr:uid="{00000000-0005-0000-0000-0000E4000000}"/>
    <cellStyle name="20% - Accent2 2 5 2 2" xfId="7486" xr:uid="{00000000-0005-0000-0000-0000E5000000}"/>
    <cellStyle name="20% - Accent2 2 5 2 2 2" xfId="15928" xr:uid="{30DB87F8-E168-488C-8EC0-43796CFFD979}"/>
    <cellStyle name="20% - Accent2 2 5 2 3" xfId="11710" xr:uid="{9DE84031-F331-4322-A434-F1CE374E4A7B}"/>
    <cellStyle name="20% - Accent2 2 5 3" xfId="5341" xr:uid="{00000000-0005-0000-0000-0000E6000000}"/>
    <cellStyle name="20% - Accent2 2 5 3 2" xfId="13783" xr:uid="{4A9BECCE-CFFA-46B1-B391-393C3065DF59}"/>
    <cellStyle name="20% - Accent2 2 5 4" xfId="9565" xr:uid="{AABDE057-5567-4B32-A405-D8379E59619D}"/>
    <cellStyle name="20% - Accent2 2 6" xfId="1446" xr:uid="{00000000-0005-0000-0000-0000E7000000}"/>
    <cellStyle name="20% - Accent2 2 6 2" xfId="3676" xr:uid="{00000000-0005-0000-0000-0000E8000000}"/>
    <cellStyle name="20% - Accent2 2 6 2 2" xfId="7899" xr:uid="{00000000-0005-0000-0000-0000E9000000}"/>
    <cellStyle name="20% - Accent2 2 6 2 2 2" xfId="16341" xr:uid="{E13C9D65-1954-43F1-A34A-05983577C5A5}"/>
    <cellStyle name="20% - Accent2 2 6 2 3" xfId="12123" xr:uid="{EF8AB936-F097-42BA-9D98-B08E19A5A66F}"/>
    <cellStyle name="20% - Accent2 2 6 3" xfId="5754" xr:uid="{00000000-0005-0000-0000-0000EA000000}"/>
    <cellStyle name="20% - Accent2 2 6 3 2" xfId="14196" xr:uid="{E118E1AA-A58E-4944-A064-C13260CEEBA5}"/>
    <cellStyle name="20% - Accent2 2 6 4" xfId="9978" xr:uid="{07CAF797-7C97-4913-85E5-E5936773BB12}"/>
    <cellStyle name="20% - Accent2 2 7" xfId="1860" xr:uid="{00000000-0005-0000-0000-0000EB000000}"/>
    <cellStyle name="20% - Accent2 2 7 2" xfId="4089" xr:uid="{00000000-0005-0000-0000-0000EC000000}"/>
    <cellStyle name="20% - Accent2 2 7 2 2" xfId="8312" xr:uid="{00000000-0005-0000-0000-0000ED000000}"/>
    <cellStyle name="20% - Accent2 2 7 2 2 2" xfId="16754" xr:uid="{AC254FDE-CD60-4933-8317-DFE81624DC8A}"/>
    <cellStyle name="20% - Accent2 2 7 2 3" xfId="12536" xr:uid="{5C3A16DD-1EC2-4604-B51D-77FC60F7E3E6}"/>
    <cellStyle name="20% - Accent2 2 7 3" xfId="6167" xr:uid="{00000000-0005-0000-0000-0000EE000000}"/>
    <cellStyle name="20% - Accent2 2 7 3 2" xfId="14609" xr:uid="{C48D99ED-73F4-4747-8583-FA308C590BED}"/>
    <cellStyle name="20% - Accent2 2 7 4" xfId="10391" xr:uid="{917CAB7C-5B86-4871-A371-30417FF896AE}"/>
    <cellStyle name="20% - Accent2 2 8" xfId="2273" xr:uid="{00000000-0005-0000-0000-0000EF000000}"/>
    <cellStyle name="20% - Accent2 2 8 2" xfId="6580" xr:uid="{00000000-0005-0000-0000-0000F0000000}"/>
    <cellStyle name="20% - Accent2 2 8 2 2" xfId="15022" xr:uid="{0A52602B-4EA7-4C23-B281-A94B237A8EF1}"/>
    <cellStyle name="20% - Accent2 2 8 3" xfId="10804" xr:uid="{4B561C14-AF16-472C-A6B9-9B1DC8596BEC}"/>
    <cellStyle name="20% - Accent2 2 9" xfId="4514" xr:uid="{00000000-0005-0000-0000-0000F1000000}"/>
    <cellStyle name="20% - Accent2 2 9 2" xfId="12956" xr:uid="{AC548F62-960C-46E5-8684-6F439CB06FD7}"/>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2 2 2" xfId="15520" xr:uid="{FBF01058-8BB7-4709-BF3F-633156C04CDA}"/>
    <cellStyle name="20% - Accent2 3 2 2 2 3" xfId="11302" xr:uid="{E7AF2F0C-4A13-444F-8EBE-FEEE9F29149D}"/>
    <cellStyle name="20% - Accent2 3 2 2 3" xfId="4933" xr:uid="{00000000-0005-0000-0000-0000F7000000}"/>
    <cellStyle name="20% - Accent2 3 2 2 3 2" xfId="13375" xr:uid="{DD4FF26F-9E11-4FC8-BC10-7F655AEC37B3}"/>
    <cellStyle name="20% - Accent2 3 2 2 4" xfId="9157" xr:uid="{62BFC541-6669-4B9F-95F6-9737FDC2C140}"/>
    <cellStyle name="20% - Accent2 3 2 3" xfId="1037" xr:uid="{00000000-0005-0000-0000-0000F8000000}"/>
    <cellStyle name="20% - Accent2 3 2 3 2" xfId="3268" xr:uid="{00000000-0005-0000-0000-0000F9000000}"/>
    <cellStyle name="20% - Accent2 3 2 3 2 2" xfId="7491" xr:uid="{00000000-0005-0000-0000-0000FA000000}"/>
    <cellStyle name="20% - Accent2 3 2 3 2 2 2" xfId="15933" xr:uid="{B13B824F-E1A7-4D49-BA13-749BE01BEEDD}"/>
    <cellStyle name="20% - Accent2 3 2 3 2 3" xfId="11715" xr:uid="{7A6A9EBB-FF69-4AFB-9BE1-A1FE54E3AE8B}"/>
    <cellStyle name="20% - Accent2 3 2 3 3" xfId="5346" xr:uid="{00000000-0005-0000-0000-0000FB000000}"/>
    <cellStyle name="20% - Accent2 3 2 3 3 2" xfId="13788" xr:uid="{66B72164-DB1D-4130-991F-9DDA22174584}"/>
    <cellStyle name="20% - Accent2 3 2 3 4" xfId="9570" xr:uid="{571DEBBD-6496-4DBF-9064-0D12A844C935}"/>
    <cellStyle name="20% - Accent2 3 2 4" xfId="1451" xr:uid="{00000000-0005-0000-0000-0000FC000000}"/>
    <cellStyle name="20% - Accent2 3 2 4 2" xfId="3681" xr:uid="{00000000-0005-0000-0000-0000FD000000}"/>
    <cellStyle name="20% - Accent2 3 2 4 2 2" xfId="7904" xr:uid="{00000000-0005-0000-0000-0000FE000000}"/>
    <cellStyle name="20% - Accent2 3 2 4 2 2 2" xfId="16346" xr:uid="{1F3EFB4F-1086-42FB-92D6-FA6E7EA7FC20}"/>
    <cellStyle name="20% - Accent2 3 2 4 2 3" xfId="12128" xr:uid="{4DA65A05-1A81-4486-9921-BB7A8D4A35EE}"/>
    <cellStyle name="20% - Accent2 3 2 4 3" xfId="5759" xr:uid="{00000000-0005-0000-0000-0000FF000000}"/>
    <cellStyle name="20% - Accent2 3 2 4 3 2" xfId="14201" xr:uid="{05A1989B-8355-4DE6-B318-29A4DEB9CEC6}"/>
    <cellStyle name="20% - Accent2 3 2 4 4" xfId="9983" xr:uid="{4AEA6657-907E-4C44-9F27-2ED929B9F4F5}"/>
    <cellStyle name="20% - Accent2 3 2 5" xfId="1865" xr:uid="{00000000-0005-0000-0000-000000010000}"/>
    <cellStyle name="20% - Accent2 3 2 5 2" xfId="4094" xr:uid="{00000000-0005-0000-0000-000001010000}"/>
    <cellStyle name="20% - Accent2 3 2 5 2 2" xfId="8317" xr:uid="{00000000-0005-0000-0000-000002010000}"/>
    <cellStyle name="20% - Accent2 3 2 5 2 2 2" xfId="16759" xr:uid="{1D713DDC-F3CE-4137-AABB-903973434444}"/>
    <cellStyle name="20% - Accent2 3 2 5 2 3" xfId="12541" xr:uid="{B5D5D7E1-E66B-44E6-A9C0-204F10E5E6F7}"/>
    <cellStyle name="20% - Accent2 3 2 5 3" xfId="6172" xr:uid="{00000000-0005-0000-0000-000003010000}"/>
    <cellStyle name="20% - Accent2 3 2 5 3 2" xfId="14614" xr:uid="{46FC48FE-01D9-4945-8CB3-81B8A5031E1A}"/>
    <cellStyle name="20% - Accent2 3 2 5 4" xfId="10396" xr:uid="{776B2A03-7127-44DA-BF37-E7D013BDE723}"/>
    <cellStyle name="20% - Accent2 3 2 6" xfId="2278" xr:uid="{00000000-0005-0000-0000-000004010000}"/>
    <cellStyle name="20% - Accent2 3 2 6 2" xfId="6585" xr:uid="{00000000-0005-0000-0000-000005010000}"/>
    <cellStyle name="20% - Accent2 3 2 6 2 2" xfId="15027" xr:uid="{49E0EB5B-00EF-409C-A3F3-7C060E9C5F38}"/>
    <cellStyle name="20% - Accent2 3 2 6 3" xfId="10809" xr:uid="{C76927F7-F551-4E84-961A-70D86A761D0B}"/>
    <cellStyle name="20% - Accent2 3 2 7" xfId="4519" xr:uid="{00000000-0005-0000-0000-000006010000}"/>
    <cellStyle name="20% - Accent2 3 2 7 2" xfId="12961" xr:uid="{99AAA2BC-BAEF-483C-83AB-12F11D50D19A}"/>
    <cellStyle name="20% - Accent2 3 2 8" xfId="8743" xr:uid="{283A8CB0-ACB4-42DC-8CEB-7D0FE4518EF6}"/>
    <cellStyle name="20% - Accent2 3 3" xfId="583" xr:uid="{00000000-0005-0000-0000-000007010000}"/>
    <cellStyle name="20% - Accent2 3 3 2" xfId="2854" xr:uid="{00000000-0005-0000-0000-000008010000}"/>
    <cellStyle name="20% - Accent2 3 3 2 2" xfId="7077" xr:uid="{00000000-0005-0000-0000-000009010000}"/>
    <cellStyle name="20% - Accent2 3 3 2 2 2" xfId="15519" xr:uid="{1DD75959-E372-45A8-BD42-1D5445270B9F}"/>
    <cellStyle name="20% - Accent2 3 3 2 3" xfId="11301" xr:uid="{0F70FFAC-DF52-4B49-B380-67B3693C05F5}"/>
    <cellStyle name="20% - Accent2 3 3 3" xfId="4932" xr:uid="{00000000-0005-0000-0000-00000A010000}"/>
    <cellStyle name="20% - Accent2 3 3 3 2" xfId="13374" xr:uid="{DFEAD8A6-19B7-49F2-B9C2-731F82CFDB69}"/>
    <cellStyle name="20% - Accent2 3 3 4" xfId="9156" xr:uid="{5FC01A00-AD0C-4AA4-A80A-ABBA1E6DA84E}"/>
    <cellStyle name="20% - Accent2 3 4" xfId="1036" xr:uid="{00000000-0005-0000-0000-00000B010000}"/>
    <cellStyle name="20% - Accent2 3 4 2" xfId="3267" xr:uid="{00000000-0005-0000-0000-00000C010000}"/>
    <cellStyle name="20% - Accent2 3 4 2 2" xfId="7490" xr:uid="{00000000-0005-0000-0000-00000D010000}"/>
    <cellStyle name="20% - Accent2 3 4 2 2 2" xfId="15932" xr:uid="{B6CBB9B5-CC67-427A-9107-A555E279D6E9}"/>
    <cellStyle name="20% - Accent2 3 4 2 3" xfId="11714" xr:uid="{6B4442A4-2D08-4F37-9A59-56DAEF304D29}"/>
    <cellStyle name="20% - Accent2 3 4 3" xfId="5345" xr:uid="{00000000-0005-0000-0000-00000E010000}"/>
    <cellStyle name="20% - Accent2 3 4 3 2" xfId="13787" xr:uid="{0D716D8B-DF39-43CA-A34A-790A032C7C5A}"/>
    <cellStyle name="20% - Accent2 3 4 4" xfId="9569" xr:uid="{D4043CE5-5AB5-433F-BB6F-2040F2418C41}"/>
    <cellStyle name="20% - Accent2 3 5" xfId="1450" xr:uid="{00000000-0005-0000-0000-00000F010000}"/>
    <cellStyle name="20% - Accent2 3 5 2" xfId="3680" xr:uid="{00000000-0005-0000-0000-000010010000}"/>
    <cellStyle name="20% - Accent2 3 5 2 2" xfId="7903" xr:uid="{00000000-0005-0000-0000-000011010000}"/>
    <cellStyle name="20% - Accent2 3 5 2 2 2" xfId="16345" xr:uid="{6A607820-E453-4C36-81DD-1E42BCCAD713}"/>
    <cellStyle name="20% - Accent2 3 5 2 3" xfId="12127" xr:uid="{CE2EB963-DF7F-4EA0-9D3B-F266BEF9A7E8}"/>
    <cellStyle name="20% - Accent2 3 5 3" xfId="5758" xr:uid="{00000000-0005-0000-0000-000012010000}"/>
    <cellStyle name="20% - Accent2 3 5 3 2" xfId="14200" xr:uid="{55FAC363-197C-4129-A724-67C7868332BB}"/>
    <cellStyle name="20% - Accent2 3 5 4" xfId="9982" xr:uid="{5CCD8C3D-B15A-4669-B885-F826525D34BD}"/>
    <cellStyle name="20% - Accent2 3 6" xfId="1864" xr:uid="{00000000-0005-0000-0000-000013010000}"/>
    <cellStyle name="20% - Accent2 3 6 2" xfId="4093" xr:uid="{00000000-0005-0000-0000-000014010000}"/>
    <cellStyle name="20% - Accent2 3 6 2 2" xfId="8316" xr:uid="{00000000-0005-0000-0000-000015010000}"/>
    <cellStyle name="20% - Accent2 3 6 2 2 2" xfId="16758" xr:uid="{C8EC7A85-A762-46D3-A6EB-E337C7A2077B}"/>
    <cellStyle name="20% - Accent2 3 6 2 3" xfId="12540" xr:uid="{7C73D7BF-6A0E-4DF8-B9B4-070A09B48A21}"/>
    <cellStyle name="20% - Accent2 3 6 3" xfId="6171" xr:uid="{00000000-0005-0000-0000-000016010000}"/>
    <cellStyle name="20% - Accent2 3 6 3 2" xfId="14613" xr:uid="{5B05EDCF-A64D-4B43-A5D6-4BBF75BE54D6}"/>
    <cellStyle name="20% - Accent2 3 6 4" xfId="10395" xr:uid="{E842B205-193D-45F1-84F6-C6CB449A97C5}"/>
    <cellStyle name="20% - Accent2 3 7" xfId="2277" xr:uid="{00000000-0005-0000-0000-000017010000}"/>
    <cellStyle name="20% - Accent2 3 7 2" xfId="6584" xr:uid="{00000000-0005-0000-0000-000018010000}"/>
    <cellStyle name="20% - Accent2 3 7 2 2" xfId="15026" xr:uid="{60F5550C-7DED-4787-803C-48ECD9C5C12E}"/>
    <cellStyle name="20% - Accent2 3 7 3" xfId="10808" xr:uid="{E14A3795-5FF5-4E3C-A092-DAFE553E9F56}"/>
    <cellStyle name="20% - Accent2 3 8" xfId="4518" xr:uid="{00000000-0005-0000-0000-000019010000}"/>
    <cellStyle name="20% - Accent2 3 8 2" xfId="12960" xr:uid="{3BA10316-40C8-4532-BE43-6BBA7A1534EB}"/>
    <cellStyle name="20% - Accent2 3 9" xfId="8742" xr:uid="{B7013439-EF7B-4817-A07B-531A981E9488}"/>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2 2 2" xfId="15521" xr:uid="{6435B152-16D3-42BF-88F4-A4734EF351EF}"/>
    <cellStyle name="20% - Accent2 4 2 2 3" xfId="11303" xr:uid="{B9E04788-6F24-4EE9-9EA9-57B0316F7DA6}"/>
    <cellStyle name="20% - Accent2 4 2 3" xfId="4934" xr:uid="{00000000-0005-0000-0000-00001E010000}"/>
    <cellStyle name="20% - Accent2 4 2 3 2" xfId="13376" xr:uid="{8BEFAA73-96A2-4013-A38A-56D0A2251569}"/>
    <cellStyle name="20% - Accent2 4 2 4" xfId="9158" xr:uid="{0C593409-D501-42D1-A049-59A484C2CE32}"/>
    <cellStyle name="20% - Accent2 4 3" xfId="1038" xr:uid="{00000000-0005-0000-0000-00001F010000}"/>
    <cellStyle name="20% - Accent2 4 3 2" xfId="3269" xr:uid="{00000000-0005-0000-0000-000020010000}"/>
    <cellStyle name="20% - Accent2 4 3 2 2" xfId="7492" xr:uid="{00000000-0005-0000-0000-000021010000}"/>
    <cellStyle name="20% - Accent2 4 3 2 2 2" xfId="15934" xr:uid="{E9423331-F6B3-426F-AD6E-A7D95AF0BF69}"/>
    <cellStyle name="20% - Accent2 4 3 2 3" xfId="11716" xr:uid="{2B4ACC25-E1A3-45F0-8905-903F04305D60}"/>
    <cellStyle name="20% - Accent2 4 3 3" xfId="5347" xr:uid="{00000000-0005-0000-0000-000022010000}"/>
    <cellStyle name="20% - Accent2 4 3 3 2" xfId="13789" xr:uid="{F2E06409-7A2D-42DC-9E82-F349B443A4B4}"/>
    <cellStyle name="20% - Accent2 4 3 4" xfId="9571" xr:uid="{F1C88816-E15A-41DE-BF4A-D15F2B72553A}"/>
    <cellStyle name="20% - Accent2 4 4" xfId="1452" xr:uid="{00000000-0005-0000-0000-000023010000}"/>
    <cellStyle name="20% - Accent2 4 4 2" xfId="3682" xr:uid="{00000000-0005-0000-0000-000024010000}"/>
    <cellStyle name="20% - Accent2 4 4 2 2" xfId="7905" xr:uid="{00000000-0005-0000-0000-000025010000}"/>
    <cellStyle name="20% - Accent2 4 4 2 2 2" xfId="16347" xr:uid="{9CE144B9-D84A-484E-AD0B-34769688B03F}"/>
    <cellStyle name="20% - Accent2 4 4 2 3" xfId="12129" xr:uid="{7F4ECBB8-EBE5-458D-BA5C-7717B37EA521}"/>
    <cellStyle name="20% - Accent2 4 4 3" xfId="5760" xr:uid="{00000000-0005-0000-0000-000026010000}"/>
    <cellStyle name="20% - Accent2 4 4 3 2" xfId="14202" xr:uid="{E380FAAC-07DD-4595-9751-F9F224E2E7D2}"/>
    <cellStyle name="20% - Accent2 4 4 4" xfId="9984" xr:uid="{11F90BE1-1B57-4BBE-98A2-E8AC2AB07B74}"/>
    <cellStyle name="20% - Accent2 4 5" xfId="1866" xr:uid="{00000000-0005-0000-0000-000027010000}"/>
    <cellStyle name="20% - Accent2 4 5 2" xfId="4095" xr:uid="{00000000-0005-0000-0000-000028010000}"/>
    <cellStyle name="20% - Accent2 4 5 2 2" xfId="8318" xr:uid="{00000000-0005-0000-0000-000029010000}"/>
    <cellStyle name="20% - Accent2 4 5 2 2 2" xfId="16760" xr:uid="{1B822D94-898C-4830-8C32-3EA6C777390B}"/>
    <cellStyle name="20% - Accent2 4 5 2 3" xfId="12542" xr:uid="{4D9F7E27-4B12-4786-B811-C42D4048F288}"/>
    <cellStyle name="20% - Accent2 4 5 3" xfId="6173" xr:uid="{00000000-0005-0000-0000-00002A010000}"/>
    <cellStyle name="20% - Accent2 4 5 3 2" xfId="14615" xr:uid="{76337813-6665-49A1-8B4D-4DFBB119D42F}"/>
    <cellStyle name="20% - Accent2 4 5 4" xfId="10397" xr:uid="{2C371FDC-4265-4015-82DA-03CDD7F4BE75}"/>
    <cellStyle name="20% - Accent2 4 6" xfId="2279" xr:uid="{00000000-0005-0000-0000-00002B010000}"/>
    <cellStyle name="20% - Accent2 4 6 2" xfId="6586" xr:uid="{00000000-0005-0000-0000-00002C010000}"/>
    <cellStyle name="20% - Accent2 4 6 2 2" xfId="15028" xr:uid="{D706461F-5836-4892-AFF8-ABC856080B09}"/>
    <cellStyle name="20% - Accent2 4 6 3" xfId="10810" xr:uid="{C9731075-487E-4DE1-97A3-E877E8B46442}"/>
    <cellStyle name="20% - Accent2 4 7" xfId="4520" xr:uid="{00000000-0005-0000-0000-00002D010000}"/>
    <cellStyle name="20% - Accent2 4 7 2" xfId="12962" xr:uid="{6386D857-4B17-4C9F-9E78-238B5B42BCF8}"/>
    <cellStyle name="20% - Accent2 4 8" xfId="8744" xr:uid="{5F5F943C-22C4-4353-A51E-EA1BADEA084F}"/>
    <cellStyle name="20% - Accent2 5" xfId="578" xr:uid="{00000000-0005-0000-0000-00002E010000}"/>
    <cellStyle name="20% - Accent2 5 2" xfId="2849" xr:uid="{00000000-0005-0000-0000-00002F010000}"/>
    <cellStyle name="20% - Accent2 5 2 2" xfId="7072" xr:uid="{00000000-0005-0000-0000-000030010000}"/>
    <cellStyle name="20% - Accent2 5 2 2 2" xfId="15514" xr:uid="{CC958313-D026-4E24-91C8-2E14EC6CDED3}"/>
    <cellStyle name="20% - Accent2 5 2 3" xfId="11296" xr:uid="{1FB095C5-FE2A-4B5A-8686-B164940CBBC1}"/>
    <cellStyle name="20% - Accent2 5 3" xfId="4927" xr:uid="{00000000-0005-0000-0000-000031010000}"/>
    <cellStyle name="20% - Accent2 5 3 2" xfId="13369" xr:uid="{14910BFE-6555-4F7D-880B-21B40B934EF0}"/>
    <cellStyle name="20% - Accent2 5 4" xfId="9151" xr:uid="{2BAEF60A-A6D9-4B2B-AE88-123A6ABC8CF9}"/>
    <cellStyle name="20% - Accent2 6" xfId="1031" xr:uid="{00000000-0005-0000-0000-000032010000}"/>
    <cellStyle name="20% - Accent2 6 2" xfId="3262" xr:uid="{00000000-0005-0000-0000-000033010000}"/>
    <cellStyle name="20% - Accent2 6 2 2" xfId="7485" xr:uid="{00000000-0005-0000-0000-000034010000}"/>
    <cellStyle name="20% - Accent2 6 2 2 2" xfId="15927" xr:uid="{5C5ECA4F-7E5E-4E85-B5D4-437863069900}"/>
    <cellStyle name="20% - Accent2 6 2 3" xfId="11709" xr:uid="{11C23F30-1074-4FAF-A13D-2972E7B6D847}"/>
    <cellStyle name="20% - Accent2 6 3" xfId="5340" xr:uid="{00000000-0005-0000-0000-000035010000}"/>
    <cellStyle name="20% - Accent2 6 3 2" xfId="13782" xr:uid="{E06E2ADE-F385-4E44-BBE2-B060D9908EA6}"/>
    <cellStyle name="20% - Accent2 6 4" xfId="9564" xr:uid="{E9471F1E-CC68-47C2-BB4B-17A8956A85F6}"/>
    <cellStyle name="20% - Accent2 7" xfId="1445" xr:uid="{00000000-0005-0000-0000-000036010000}"/>
    <cellStyle name="20% - Accent2 7 2" xfId="3675" xr:uid="{00000000-0005-0000-0000-000037010000}"/>
    <cellStyle name="20% - Accent2 7 2 2" xfId="7898" xr:uid="{00000000-0005-0000-0000-000038010000}"/>
    <cellStyle name="20% - Accent2 7 2 2 2" xfId="16340" xr:uid="{F34E1E04-AC22-403D-AB40-3990E7F95C76}"/>
    <cellStyle name="20% - Accent2 7 2 3" xfId="12122" xr:uid="{089CDE9B-D889-4251-9AD5-2838C490EE3A}"/>
    <cellStyle name="20% - Accent2 7 3" xfId="5753" xr:uid="{00000000-0005-0000-0000-000039010000}"/>
    <cellStyle name="20% - Accent2 7 3 2" xfId="14195" xr:uid="{B48C44DC-A9E0-47A5-BA84-79E65AE9DADD}"/>
    <cellStyle name="20% - Accent2 7 4" xfId="9977" xr:uid="{7DD38124-59EE-4ED9-A412-E2A4AF84A4A9}"/>
    <cellStyle name="20% - Accent2 8" xfId="1859" xr:uid="{00000000-0005-0000-0000-00003A010000}"/>
    <cellStyle name="20% - Accent2 8 2" xfId="4088" xr:uid="{00000000-0005-0000-0000-00003B010000}"/>
    <cellStyle name="20% - Accent2 8 2 2" xfId="8311" xr:uid="{00000000-0005-0000-0000-00003C010000}"/>
    <cellStyle name="20% - Accent2 8 2 2 2" xfId="16753" xr:uid="{419F1F67-6B09-405E-B0FC-76054124C1D5}"/>
    <cellStyle name="20% - Accent2 8 2 3" xfId="12535" xr:uid="{8BACA298-1D1B-4A89-93C3-52F0974A104B}"/>
    <cellStyle name="20% - Accent2 8 3" xfId="6166" xr:uid="{00000000-0005-0000-0000-00003D010000}"/>
    <cellStyle name="20% - Accent2 8 3 2" xfId="14608" xr:uid="{004BF12E-2935-4334-9C6C-2FF8072A04BF}"/>
    <cellStyle name="20% - Accent2 8 4" xfId="10390" xr:uid="{EF9B9736-E9F6-4FA8-A39C-D82C3EDCC688}"/>
    <cellStyle name="20% - Accent2 9" xfId="2272" xr:uid="{00000000-0005-0000-0000-00003E010000}"/>
    <cellStyle name="20% - Accent2 9 2" xfId="6579" xr:uid="{00000000-0005-0000-0000-00003F010000}"/>
    <cellStyle name="20% - Accent2 9 2 2" xfId="15021" xr:uid="{E8033772-C5C2-49E4-97AD-A21EF1C7A9FE}"/>
    <cellStyle name="20% - Accent2 9 3" xfId="10803" xr:uid="{CFA16781-2046-4B96-A3F7-B8F3F53596FD}"/>
    <cellStyle name="20% - Accent3" xfId="17" builtinId="38" customBuiltin="1"/>
    <cellStyle name="20% - Accent3 10" xfId="4521" xr:uid="{00000000-0005-0000-0000-000041010000}"/>
    <cellStyle name="20% - Accent3 10 2" xfId="12963" xr:uid="{11885264-B676-42B8-89B7-B3B0D2AF8AA5}"/>
    <cellStyle name="20% - Accent3 11" xfId="8745" xr:uid="{6449DAFB-5311-49D9-A2FF-A3B8CB962E0A}"/>
    <cellStyle name="20% - Accent3 2" xfId="18" xr:uid="{00000000-0005-0000-0000-000042010000}"/>
    <cellStyle name="20% - Accent3 2 10" xfId="8746" xr:uid="{1CBA3CE5-A3BA-417F-9B8C-74199E3A346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2 2 2" xfId="15525" xr:uid="{0552769C-BF80-45BF-9114-46ACD47BB8CD}"/>
    <cellStyle name="20% - Accent3 2 2 2 2 2 3" xfId="11307" xr:uid="{373A1456-13A1-4C94-8D31-B2E5F9E212A7}"/>
    <cellStyle name="20% - Accent3 2 2 2 2 3" xfId="4938" xr:uid="{00000000-0005-0000-0000-000048010000}"/>
    <cellStyle name="20% - Accent3 2 2 2 2 3 2" xfId="13380" xr:uid="{C7D25638-3BA5-4D3F-BDBE-A5D9A38F85BA}"/>
    <cellStyle name="20% - Accent3 2 2 2 2 4" xfId="9162" xr:uid="{017494C6-81A7-42D6-974E-483BB58F3962}"/>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2 2 2" xfId="15938" xr:uid="{560BBE88-5143-494B-BAEF-B84ADB8C1906}"/>
    <cellStyle name="20% - Accent3 2 2 2 3 2 3" xfId="11720" xr:uid="{172BDD02-39F6-44DB-86FE-BAD57967C280}"/>
    <cellStyle name="20% - Accent3 2 2 2 3 3" xfId="5351" xr:uid="{00000000-0005-0000-0000-00004C010000}"/>
    <cellStyle name="20% - Accent3 2 2 2 3 3 2" xfId="13793" xr:uid="{90CB1FB9-C79C-4758-8E21-BA9F0FBEBAC0}"/>
    <cellStyle name="20% - Accent3 2 2 2 3 4" xfId="9575" xr:uid="{4397DC2E-476B-4C1D-B97C-3849E4A36CC3}"/>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2 2 2" xfId="16351" xr:uid="{40FD6664-8849-4CB4-BFC3-81171CA1F0B5}"/>
    <cellStyle name="20% - Accent3 2 2 2 4 2 3" xfId="12133" xr:uid="{3F47BD0D-07AC-4B7A-A35E-BC15AD567708}"/>
    <cellStyle name="20% - Accent3 2 2 2 4 3" xfId="5764" xr:uid="{00000000-0005-0000-0000-000050010000}"/>
    <cellStyle name="20% - Accent3 2 2 2 4 3 2" xfId="14206" xr:uid="{7B483344-7C46-428B-B7B1-8CEA6676C5B1}"/>
    <cellStyle name="20% - Accent3 2 2 2 4 4" xfId="9988" xr:uid="{8B5B44E4-3D5E-420D-9BB2-17CC0B246753}"/>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2 2 2" xfId="16764" xr:uid="{70F17CCE-CBBF-4FD5-8376-4B62B6ADD52C}"/>
    <cellStyle name="20% - Accent3 2 2 2 5 2 3" xfId="12546" xr:uid="{B45B306F-0C32-498A-A2CB-1C19594BFB44}"/>
    <cellStyle name="20% - Accent3 2 2 2 5 3" xfId="6177" xr:uid="{00000000-0005-0000-0000-000054010000}"/>
    <cellStyle name="20% - Accent3 2 2 2 5 3 2" xfId="14619" xr:uid="{C37F9011-D41A-4C4A-B355-27BF4AF5E697}"/>
    <cellStyle name="20% - Accent3 2 2 2 5 4" xfId="10401" xr:uid="{9FB96046-597C-4BE6-8FF3-714AFB9161B7}"/>
    <cellStyle name="20% - Accent3 2 2 2 6" xfId="2283" xr:uid="{00000000-0005-0000-0000-000055010000}"/>
    <cellStyle name="20% - Accent3 2 2 2 6 2" xfId="6590" xr:uid="{00000000-0005-0000-0000-000056010000}"/>
    <cellStyle name="20% - Accent3 2 2 2 6 2 2" xfId="15032" xr:uid="{C0736BE8-921D-4E07-9CB3-62889B9DC31A}"/>
    <cellStyle name="20% - Accent3 2 2 2 6 3" xfId="10814" xr:uid="{0A1F2F8D-26CF-4002-AAFC-A283185FCE10}"/>
    <cellStyle name="20% - Accent3 2 2 2 7" xfId="4524" xr:uid="{00000000-0005-0000-0000-000057010000}"/>
    <cellStyle name="20% - Accent3 2 2 2 7 2" xfId="12966" xr:uid="{88A76AB2-FB3F-4D53-9A09-3FBA919B93F1}"/>
    <cellStyle name="20% - Accent3 2 2 2 8" xfId="8748" xr:uid="{E32666F3-1E9B-4F86-8182-C8F2637BD954}"/>
    <cellStyle name="20% - Accent3 2 2 3" xfId="588" xr:uid="{00000000-0005-0000-0000-000058010000}"/>
    <cellStyle name="20% - Accent3 2 2 3 2" xfId="2859" xr:uid="{00000000-0005-0000-0000-000059010000}"/>
    <cellStyle name="20% - Accent3 2 2 3 2 2" xfId="7082" xr:uid="{00000000-0005-0000-0000-00005A010000}"/>
    <cellStyle name="20% - Accent3 2 2 3 2 2 2" xfId="15524" xr:uid="{61AC8AC6-D1E8-4B4E-BD68-AA9491B1EA0E}"/>
    <cellStyle name="20% - Accent3 2 2 3 2 3" xfId="11306" xr:uid="{0165C121-42DA-48CB-8157-EC7A30605426}"/>
    <cellStyle name="20% - Accent3 2 2 3 3" xfId="4937" xr:uid="{00000000-0005-0000-0000-00005B010000}"/>
    <cellStyle name="20% - Accent3 2 2 3 3 2" xfId="13379" xr:uid="{BC74382A-46DD-4710-B991-419633D53302}"/>
    <cellStyle name="20% - Accent3 2 2 3 4" xfId="9161" xr:uid="{437003DA-7B1B-4D55-BD60-B4B471603BC9}"/>
    <cellStyle name="20% - Accent3 2 2 4" xfId="1041" xr:uid="{00000000-0005-0000-0000-00005C010000}"/>
    <cellStyle name="20% - Accent3 2 2 4 2" xfId="3272" xr:uid="{00000000-0005-0000-0000-00005D010000}"/>
    <cellStyle name="20% - Accent3 2 2 4 2 2" xfId="7495" xr:uid="{00000000-0005-0000-0000-00005E010000}"/>
    <cellStyle name="20% - Accent3 2 2 4 2 2 2" xfId="15937" xr:uid="{D00CD5DA-BA63-43AB-B6DF-41C48704A265}"/>
    <cellStyle name="20% - Accent3 2 2 4 2 3" xfId="11719" xr:uid="{85F88957-869C-4D3A-ACE2-04827C2B94C9}"/>
    <cellStyle name="20% - Accent3 2 2 4 3" xfId="5350" xr:uid="{00000000-0005-0000-0000-00005F010000}"/>
    <cellStyle name="20% - Accent3 2 2 4 3 2" xfId="13792" xr:uid="{8896CCC2-B977-4B18-B5DC-B10F179143AB}"/>
    <cellStyle name="20% - Accent3 2 2 4 4" xfId="9574" xr:uid="{67EBBB86-6DB5-468F-B933-E1CF238FA831}"/>
    <cellStyle name="20% - Accent3 2 2 5" xfId="1455" xr:uid="{00000000-0005-0000-0000-000060010000}"/>
    <cellStyle name="20% - Accent3 2 2 5 2" xfId="3685" xr:uid="{00000000-0005-0000-0000-000061010000}"/>
    <cellStyle name="20% - Accent3 2 2 5 2 2" xfId="7908" xr:uid="{00000000-0005-0000-0000-000062010000}"/>
    <cellStyle name="20% - Accent3 2 2 5 2 2 2" xfId="16350" xr:uid="{D2466070-9E1F-4C3E-9B5F-D669DEFF641F}"/>
    <cellStyle name="20% - Accent3 2 2 5 2 3" xfId="12132" xr:uid="{C2E9A63E-8347-49D5-AD67-F883DE4997B5}"/>
    <cellStyle name="20% - Accent3 2 2 5 3" xfId="5763" xr:uid="{00000000-0005-0000-0000-000063010000}"/>
    <cellStyle name="20% - Accent3 2 2 5 3 2" xfId="14205" xr:uid="{20D5C4DC-2C8C-49B1-8184-6A06A0DD7B89}"/>
    <cellStyle name="20% - Accent3 2 2 5 4" xfId="9987" xr:uid="{2A992F4F-9888-451F-9745-9A3AB3BC0EE4}"/>
    <cellStyle name="20% - Accent3 2 2 6" xfId="1869" xr:uid="{00000000-0005-0000-0000-000064010000}"/>
    <cellStyle name="20% - Accent3 2 2 6 2" xfId="4098" xr:uid="{00000000-0005-0000-0000-000065010000}"/>
    <cellStyle name="20% - Accent3 2 2 6 2 2" xfId="8321" xr:uid="{00000000-0005-0000-0000-000066010000}"/>
    <cellStyle name="20% - Accent3 2 2 6 2 2 2" xfId="16763" xr:uid="{838CCEC1-3E85-4B74-BAAE-8F3539114B9E}"/>
    <cellStyle name="20% - Accent3 2 2 6 2 3" xfId="12545" xr:uid="{B107E4FD-B2C6-495C-8D20-93BBB7CBD085}"/>
    <cellStyle name="20% - Accent3 2 2 6 3" xfId="6176" xr:uid="{00000000-0005-0000-0000-000067010000}"/>
    <cellStyle name="20% - Accent3 2 2 6 3 2" xfId="14618" xr:uid="{C5BCF418-C88D-4651-A013-8AEE5BE10230}"/>
    <cellStyle name="20% - Accent3 2 2 6 4" xfId="10400" xr:uid="{1833F6CE-754C-4F52-A2D0-8584F7D1B56C}"/>
    <cellStyle name="20% - Accent3 2 2 7" xfId="2282" xr:uid="{00000000-0005-0000-0000-000068010000}"/>
    <cellStyle name="20% - Accent3 2 2 7 2" xfId="6589" xr:uid="{00000000-0005-0000-0000-000069010000}"/>
    <cellStyle name="20% - Accent3 2 2 7 2 2" xfId="15031" xr:uid="{94ECE9A8-A636-4A8A-ACB2-83733A45C5AC}"/>
    <cellStyle name="20% - Accent3 2 2 7 3" xfId="10813" xr:uid="{568D0D43-EC27-4A34-931F-B287CCF5C92B}"/>
    <cellStyle name="20% - Accent3 2 2 8" xfId="4523" xr:uid="{00000000-0005-0000-0000-00006A010000}"/>
    <cellStyle name="20% - Accent3 2 2 8 2" xfId="12965" xr:uid="{0DD49556-B59D-48CE-921C-A86F6FB897C5}"/>
    <cellStyle name="20% - Accent3 2 2 9" xfId="8747" xr:uid="{44F3D1DA-1AE9-44B4-B4BA-87C9DDF861F4}"/>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2 2 2" xfId="15526" xr:uid="{980D28E3-8939-4081-A651-1DC8E2F6BDB6}"/>
    <cellStyle name="20% - Accent3 2 3 2 2 3" xfId="11308" xr:uid="{3BE6969C-F05A-47A6-86A1-1C397969C497}"/>
    <cellStyle name="20% - Accent3 2 3 2 3" xfId="4939" xr:uid="{00000000-0005-0000-0000-00006F010000}"/>
    <cellStyle name="20% - Accent3 2 3 2 3 2" xfId="13381" xr:uid="{D3637774-6554-4025-868C-F4DDD53BE0C8}"/>
    <cellStyle name="20% - Accent3 2 3 2 4" xfId="9163" xr:uid="{552751C8-A110-40F4-9C0A-83FA445ACF0C}"/>
    <cellStyle name="20% - Accent3 2 3 3" xfId="1043" xr:uid="{00000000-0005-0000-0000-000070010000}"/>
    <cellStyle name="20% - Accent3 2 3 3 2" xfId="3274" xr:uid="{00000000-0005-0000-0000-000071010000}"/>
    <cellStyle name="20% - Accent3 2 3 3 2 2" xfId="7497" xr:uid="{00000000-0005-0000-0000-000072010000}"/>
    <cellStyle name="20% - Accent3 2 3 3 2 2 2" xfId="15939" xr:uid="{DC007BF8-AF78-40D0-962C-A4DD9C71830F}"/>
    <cellStyle name="20% - Accent3 2 3 3 2 3" xfId="11721" xr:uid="{FBDFFA2D-FBE5-42DD-9868-6D7405A9684D}"/>
    <cellStyle name="20% - Accent3 2 3 3 3" xfId="5352" xr:uid="{00000000-0005-0000-0000-000073010000}"/>
    <cellStyle name="20% - Accent3 2 3 3 3 2" xfId="13794" xr:uid="{899418B9-7CAB-4738-9B70-7FBD724EDDAB}"/>
    <cellStyle name="20% - Accent3 2 3 3 4" xfId="9576" xr:uid="{A7BFEEA5-1E7E-4FDB-8488-15EB9041E332}"/>
    <cellStyle name="20% - Accent3 2 3 4" xfId="1457" xr:uid="{00000000-0005-0000-0000-000074010000}"/>
    <cellStyle name="20% - Accent3 2 3 4 2" xfId="3687" xr:uid="{00000000-0005-0000-0000-000075010000}"/>
    <cellStyle name="20% - Accent3 2 3 4 2 2" xfId="7910" xr:uid="{00000000-0005-0000-0000-000076010000}"/>
    <cellStyle name="20% - Accent3 2 3 4 2 2 2" xfId="16352" xr:uid="{6B867F61-CCD1-4791-AB59-E1C97B031EF9}"/>
    <cellStyle name="20% - Accent3 2 3 4 2 3" xfId="12134" xr:uid="{1D5B43EF-232F-4691-87D4-BCE40BAA72BE}"/>
    <cellStyle name="20% - Accent3 2 3 4 3" xfId="5765" xr:uid="{00000000-0005-0000-0000-000077010000}"/>
    <cellStyle name="20% - Accent3 2 3 4 3 2" xfId="14207" xr:uid="{1B48501C-53D1-41A5-86C6-2EEBABBF6D37}"/>
    <cellStyle name="20% - Accent3 2 3 4 4" xfId="9989" xr:uid="{0D091B04-293A-4C5C-BCDB-E7621AD1E6C5}"/>
    <cellStyle name="20% - Accent3 2 3 5" xfId="1871" xr:uid="{00000000-0005-0000-0000-000078010000}"/>
    <cellStyle name="20% - Accent3 2 3 5 2" xfId="4100" xr:uid="{00000000-0005-0000-0000-000079010000}"/>
    <cellStyle name="20% - Accent3 2 3 5 2 2" xfId="8323" xr:uid="{00000000-0005-0000-0000-00007A010000}"/>
    <cellStyle name="20% - Accent3 2 3 5 2 2 2" xfId="16765" xr:uid="{8B0A7FC6-95E5-4D31-ACC5-59B8601E0DD6}"/>
    <cellStyle name="20% - Accent3 2 3 5 2 3" xfId="12547" xr:uid="{0CE659BF-BE58-44B6-8E74-A77A7B83D65E}"/>
    <cellStyle name="20% - Accent3 2 3 5 3" xfId="6178" xr:uid="{00000000-0005-0000-0000-00007B010000}"/>
    <cellStyle name="20% - Accent3 2 3 5 3 2" xfId="14620" xr:uid="{28E5DB1F-695E-46A9-8CC1-71F54E72B0C7}"/>
    <cellStyle name="20% - Accent3 2 3 5 4" xfId="10402" xr:uid="{9F9D01A7-346B-4FFE-8B13-243FC50B5E07}"/>
    <cellStyle name="20% - Accent3 2 3 6" xfId="2284" xr:uid="{00000000-0005-0000-0000-00007C010000}"/>
    <cellStyle name="20% - Accent3 2 3 6 2" xfId="6591" xr:uid="{00000000-0005-0000-0000-00007D010000}"/>
    <cellStyle name="20% - Accent3 2 3 6 2 2" xfId="15033" xr:uid="{D842415E-27D3-41F1-9272-CE5C0FACC51A}"/>
    <cellStyle name="20% - Accent3 2 3 6 3" xfId="10815" xr:uid="{6DE9339B-1E46-4486-8BF4-B1E18F89A33F}"/>
    <cellStyle name="20% - Accent3 2 3 7" xfId="4525" xr:uid="{00000000-0005-0000-0000-00007E010000}"/>
    <cellStyle name="20% - Accent3 2 3 7 2" xfId="12967" xr:uid="{D59F7D5D-F52A-4B76-BB92-A2A9EE767DA5}"/>
    <cellStyle name="20% - Accent3 2 3 8" xfId="8749" xr:uid="{84AB8437-96B9-4129-B8CB-4BC86E798F33}"/>
    <cellStyle name="20% - Accent3 2 4" xfId="587" xr:uid="{00000000-0005-0000-0000-00007F010000}"/>
    <cellStyle name="20% - Accent3 2 4 2" xfId="2858" xr:uid="{00000000-0005-0000-0000-000080010000}"/>
    <cellStyle name="20% - Accent3 2 4 2 2" xfId="7081" xr:uid="{00000000-0005-0000-0000-000081010000}"/>
    <cellStyle name="20% - Accent3 2 4 2 2 2" xfId="15523" xr:uid="{CE364B7E-B6AA-4A0D-8D4D-AE9C72878CFA}"/>
    <cellStyle name="20% - Accent3 2 4 2 3" xfId="11305" xr:uid="{852AC712-D941-444F-8B94-37CA94CC2DB9}"/>
    <cellStyle name="20% - Accent3 2 4 3" xfId="4936" xr:uid="{00000000-0005-0000-0000-000082010000}"/>
    <cellStyle name="20% - Accent3 2 4 3 2" xfId="13378" xr:uid="{3334784D-A8EC-4501-8712-5BE633B64935}"/>
    <cellStyle name="20% - Accent3 2 4 4" xfId="9160" xr:uid="{562133B5-FB26-477C-970E-F37244B91071}"/>
    <cellStyle name="20% - Accent3 2 5" xfId="1040" xr:uid="{00000000-0005-0000-0000-000083010000}"/>
    <cellStyle name="20% - Accent3 2 5 2" xfId="3271" xr:uid="{00000000-0005-0000-0000-000084010000}"/>
    <cellStyle name="20% - Accent3 2 5 2 2" xfId="7494" xr:uid="{00000000-0005-0000-0000-000085010000}"/>
    <cellStyle name="20% - Accent3 2 5 2 2 2" xfId="15936" xr:uid="{7F5F2A70-045A-44F7-960D-CDB621D69F5A}"/>
    <cellStyle name="20% - Accent3 2 5 2 3" xfId="11718" xr:uid="{37D8E7DC-A41B-4C93-8997-E7C26373BCF3}"/>
    <cellStyle name="20% - Accent3 2 5 3" xfId="5349" xr:uid="{00000000-0005-0000-0000-000086010000}"/>
    <cellStyle name="20% - Accent3 2 5 3 2" xfId="13791" xr:uid="{C8C3289B-CD28-4864-B5A7-0A959A42DA66}"/>
    <cellStyle name="20% - Accent3 2 5 4" xfId="9573" xr:uid="{2390AAC5-54A2-463B-8A53-718E67BA6FF7}"/>
    <cellStyle name="20% - Accent3 2 6" xfId="1454" xr:uid="{00000000-0005-0000-0000-000087010000}"/>
    <cellStyle name="20% - Accent3 2 6 2" xfId="3684" xr:uid="{00000000-0005-0000-0000-000088010000}"/>
    <cellStyle name="20% - Accent3 2 6 2 2" xfId="7907" xr:uid="{00000000-0005-0000-0000-000089010000}"/>
    <cellStyle name="20% - Accent3 2 6 2 2 2" xfId="16349" xr:uid="{527749D8-9B21-411B-B173-BBE5DB2F1406}"/>
    <cellStyle name="20% - Accent3 2 6 2 3" xfId="12131" xr:uid="{0FE7890F-C36A-405E-B73F-FCC4E943E9CE}"/>
    <cellStyle name="20% - Accent3 2 6 3" xfId="5762" xr:uid="{00000000-0005-0000-0000-00008A010000}"/>
    <cellStyle name="20% - Accent3 2 6 3 2" xfId="14204" xr:uid="{311B1177-3FD2-4898-8F31-9469B9DF8F37}"/>
    <cellStyle name="20% - Accent3 2 6 4" xfId="9986" xr:uid="{C14F8714-DE98-42D4-9764-3FF82FE20E40}"/>
    <cellStyle name="20% - Accent3 2 7" xfId="1868" xr:uid="{00000000-0005-0000-0000-00008B010000}"/>
    <cellStyle name="20% - Accent3 2 7 2" xfId="4097" xr:uid="{00000000-0005-0000-0000-00008C010000}"/>
    <cellStyle name="20% - Accent3 2 7 2 2" xfId="8320" xr:uid="{00000000-0005-0000-0000-00008D010000}"/>
    <cellStyle name="20% - Accent3 2 7 2 2 2" xfId="16762" xr:uid="{5D16049F-1791-487A-9C56-74047CB2640F}"/>
    <cellStyle name="20% - Accent3 2 7 2 3" xfId="12544" xr:uid="{949A5A10-524B-429D-9FDD-2E2533D788A0}"/>
    <cellStyle name="20% - Accent3 2 7 3" xfId="6175" xr:uid="{00000000-0005-0000-0000-00008E010000}"/>
    <cellStyle name="20% - Accent3 2 7 3 2" xfId="14617" xr:uid="{8CD2E192-075B-403E-82E5-A48791C61D3B}"/>
    <cellStyle name="20% - Accent3 2 7 4" xfId="10399" xr:uid="{00D11E24-9120-4806-BAE6-29A1EBBBA389}"/>
    <cellStyle name="20% - Accent3 2 8" xfId="2281" xr:uid="{00000000-0005-0000-0000-00008F010000}"/>
    <cellStyle name="20% - Accent3 2 8 2" xfId="6588" xr:uid="{00000000-0005-0000-0000-000090010000}"/>
    <cellStyle name="20% - Accent3 2 8 2 2" xfId="15030" xr:uid="{FE5E561D-74E5-45AA-B5BF-891B202A7DBD}"/>
    <cellStyle name="20% - Accent3 2 8 3" xfId="10812" xr:uid="{11B3309F-309F-451C-BA56-C0A6AB016D74}"/>
    <cellStyle name="20% - Accent3 2 9" xfId="4522" xr:uid="{00000000-0005-0000-0000-000091010000}"/>
    <cellStyle name="20% - Accent3 2 9 2" xfId="12964" xr:uid="{5FDDE9BE-F015-4FD3-9CD5-574463394127}"/>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2 2 2" xfId="15528" xr:uid="{2265DA57-7DDA-4438-97D0-EB1D6CC34229}"/>
    <cellStyle name="20% - Accent3 3 2 2 2 3" xfId="11310" xr:uid="{CD964394-696C-4832-B887-4F8688839E04}"/>
    <cellStyle name="20% - Accent3 3 2 2 3" xfId="4941" xr:uid="{00000000-0005-0000-0000-000097010000}"/>
    <cellStyle name="20% - Accent3 3 2 2 3 2" xfId="13383" xr:uid="{0424596A-8F38-40B9-A495-17351D9F2FC7}"/>
    <cellStyle name="20% - Accent3 3 2 2 4" xfId="9165" xr:uid="{A2BAE056-7A02-4885-92C5-36D0D4C1D901}"/>
    <cellStyle name="20% - Accent3 3 2 3" xfId="1045" xr:uid="{00000000-0005-0000-0000-000098010000}"/>
    <cellStyle name="20% - Accent3 3 2 3 2" xfId="3276" xr:uid="{00000000-0005-0000-0000-000099010000}"/>
    <cellStyle name="20% - Accent3 3 2 3 2 2" xfId="7499" xr:uid="{00000000-0005-0000-0000-00009A010000}"/>
    <cellStyle name="20% - Accent3 3 2 3 2 2 2" xfId="15941" xr:uid="{2652919A-D6A1-4307-88DC-F9A6D9B98A37}"/>
    <cellStyle name="20% - Accent3 3 2 3 2 3" xfId="11723" xr:uid="{D316FC30-764B-49ED-8C87-DE3A90A749EF}"/>
    <cellStyle name="20% - Accent3 3 2 3 3" xfId="5354" xr:uid="{00000000-0005-0000-0000-00009B010000}"/>
    <cellStyle name="20% - Accent3 3 2 3 3 2" xfId="13796" xr:uid="{38BBF62F-8540-4950-A32F-4C4B987B226E}"/>
    <cellStyle name="20% - Accent3 3 2 3 4" xfId="9578" xr:uid="{B5BFFFE6-D35C-4B08-9733-5737DEE68483}"/>
    <cellStyle name="20% - Accent3 3 2 4" xfId="1459" xr:uid="{00000000-0005-0000-0000-00009C010000}"/>
    <cellStyle name="20% - Accent3 3 2 4 2" xfId="3689" xr:uid="{00000000-0005-0000-0000-00009D010000}"/>
    <cellStyle name="20% - Accent3 3 2 4 2 2" xfId="7912" xr:uid="{00000000-0005-0000-0000-00009E010000}"/>
    <cellStyle name="20% - Accent3 3 2 4 2 2 2" xfId="16354" xr:uid="{B9D8254F-15AB-44A7-9FC3-A9AA766EE63D}"/>
    <cellStyle name="20% - Accent3 3 2 4 2 3" xfId="12136" xr:uid="{51A720E4-64BA-4F09-B01E-F9182D83D649}"/>
    <cellStyle name="20% - Accent3 3 2 4 3" xfId="5767" xr:uid="{00000000-0005-0000-0000-00009F010000}"/>
    <cellStyle name="20% - Accent3 3 2 4 3 2" xfId="14209" xr:uid="{8867BBBD-A8BC-4813-B647-EBD64364FD84}"/>
    <cellStyle name="20% - Accent3 3 2 4 4" xfId="9991" xr:uid="{2C64917B-E98F-4EDC-972A-B304F713FFEF}"/>
    <cellStyle name="20% - Accent3 3 2 5" xfId="1873" xr:uid="{00000000-0005-0000-0000-0000A0010000}"/>
    <cellStyle name="20% - Accent3 3 2 5 2" xfId="4102" xr:uid="{00000000-0005-0000-0000-0000A1010000}"/>
    <cellStyle name="20% - Accent3 3 2 5 2 2" xfId="8325" xr:uid="{00000000-0005-0000-0000-0000A2010000}"/>
    <cellStyle name="20% - Accent3 3 2 5 2 2 2" xfId="16767" xr:uid="{09CCA409-BD2D-43A6-988E-870E5C63AE27}"/>
    <cellStyle name="20% - Accent3 3 2 5 2 3" xfId="12549" xr:uid="{8F3DF325-1AE6-438C-8DB0-26BBF5D66E6D}"/>
    <cellStyle name="20% - Accent3 3 2 5 3" xfId="6180" xr:uid="{00000000-0005-0000-0000-0000A3010000}"/>
    <cellStyle name="20% - Accent3 3 2 5 3 2" xfId="14622" xr:uid="{1C55F291-5DC5-401C-BFCF-FF2121601A85}"/>
    <cellStyle name="20% - Accent3 3 2 5 4" xfId="10404" xr:uid="{50A956CC-62B3-4325-8A66-6EA22F25DF20}"/>
    <cellStyle name="20% - Accent3 3 2 6" xfId="2286" xr:uid="{00000000-0005-0000-0000-0000A4010000}"/>
    <cellStyle name="20% - Accent3 3 2 6 2" xfId="6593" xr:uid="{00000000-0005-0000-0000-0000A5010000}"/>
    <cellStyle name="20% - Accent3 3 2 6 2 2" xfId="15035" xr:uid="{F4738A33-E24E-4E6C-AAE8-B2F1590D3153}"/>
    <cellStyle name="20% - Accent3 3 2 6 3" xfId="10817" xr:uid="{EC3E8175-EAE4-46D3-985A-066921D324AD}"/>
    <cellStyle name="20% - Accent3 3 2 7" xfId="4527" xr:uid="{00000000-0005-0000-0000-0000A6010000}"/>
    <cellStyle name="20% - Accent3 3 2 7 2" xfId="12969" xr:uid="{E330BB75-1BA9-40EA-AB9D-648993B49D15}"/>
    <cellStyle name="20% - Accent3 3 2 8" xfId="8751" xr:uid="{DDC4A2F1-5FAF-4AF3-90EA-98DB821EC7FE}"/>
    <cellStyle name="20% - Accent3 3 3" xfId="591" xr:uid="{00000000-0005-0000-0000-0000A7010000}"/>
    <cellStyle name="20% - Accent3 3 3 2" xfId="2862" xr:uid="{00000000-0005-0000-0000-0000A8010000}"/>
    <cellStyle name="20% - Accent3 3 3 2 2" xfId="7085" xr:uid="{00000000-0005-0000-0000-0000A9010000}"/>
    <cellStyle name="20% - Accent3 3 3 2 2 2" xfId="15527" xr:uid="{7CB62F0C-E022-4BBF-B73C-BD0EA287C309}"/>
    <cellStyle name="20% - Accent3 3 3 2 3" xfId="11309" xr:uid="{154BEC4F-E03E-4F51-AA2B-D3D5BF733DA2}"/>
    <cellStyle name="20% - Accent3 3 3 3" xfId="4940" xr:uid="{00000000-0005-0000-0000-0000AA010000}"/>
    <cellStyle name="20% - Accent3 3 3 3 2" xfId="13382" xr:uid="{FE87A9BF-DB65-421E-8096-917AEE8645F7}"/>
    <cellStyle name="20% - Accent3 3 3 4" xfId="9164" xr:uid="{E0D8B206-43F8-42DE-A1BC-1EF060568893}"/>
    <cellStyle name="20% - Accent3 3 4" xfId="1044" xr:uid="{00000000-0005-0000-0000-0000AB010000}"/>
    <cellStyle name="20% - Accent3 3 4 2" xfId="3275" xr:uid="{00000000-0005-0000-0000-0000AC010000}"/>
    <cellStyle name="20% - Accent3 3 4 2 2" xfId="7498" xr:uid="{00000000-0005-0000-0000-0000AD010000}"/>
    <cellStyle name="20% - Accent3 3 4 2 2 2" xfId="15940" xr:uid="{DC823841-87CC-4700-972C-2F89E339B31C}"/>
    <cellStyle name="20% - Accent3 3 4 2 3" xfId="11722" xr:uid="{31565BED-7DDE-4725-A61D-BBB8178CD8C1}"/>
    <cellStyle name="20% - Accent3 3 4 3" xfId="5353" xr:uid="{00000000-0005-0000-0000-0000AE010000}"/>
    <cellStyle name="20% - Accent3 3 4 3 2" xfId="13795" xr:uid="{F023257D-2FED-4279-9AC4-7DB79A7671A2}"/>
    <cellStyle name="20% - Accent3 3 4 4" xfId="9577" xr:uid="{30E06474-0BB1-4720-85C0-E9D3AA16DC71}"/>
    <cellStyle name="20% - Accent3 3 5" xfId="1458" xr:uid="{00000000-0005-0000-0000-0000AF010000}"/>
    <cellStyle name="20% - Accent3 3 5 2" xfId="3688" xr:uid="{00000000-0005-0000-0000-0000B0010000}"/>
    <cellStyle name="20% - Accent3 3 5 2 2" xfId="7911" xr:uid="{00000000-0005-0000-0000-0000B1010000}"/>
    <cellStyle name="20% - Accent3 3 5 2 2 2" xfId="16353" xr:uid="{F7BFBA4F-FE3B-499F-962C-0B4F4E92F9F6}"/>
    <cellStyle name="20% - Accent3 3 5 2 3" xfId="12135" xr:uid="{E2043263-6F79-4D6A-9FCF-5A8FFAD26E1C}"/>
    <cellStyle name="20% - Accent3 3 5 3" xfId="5766" xr:uid="{00000000-0005-0000-0000-0000B2010000}"/>
    <cellStyle name="20% - Accent3 3 5 3 2" xfId="14208" xr:uid="{7CCD73AD-268C-4979-99EA-E55EC93BFED7}"/>
    <cellStyle name="20% - Accent3 3 5 4" xfId="9990" xr:uid="{E37F7588-D414-4E87-AA67-017926ECFE0C}"/>
    <cellStyle name="20% - Accent3 3 6" xfId="1872" xr:uid="{00000000-0005-0000-0000-0000B3010000}"/>
    <cellStyle name="20% - Accent3 3 6 2" xfId="4101" xr:uid="{00000000-0005-0000-0000-0000B4010000}"/>
    <cellStyle name="20% - Accent3 3 6 2 2" xfId="8324" xr:uid="{00000000-0005-0000-0000-0000B5010000}"/>
    <cellStyle name="20% - Accent3 3 6 2 2 2" xfId="16766" xr:uid="{E2AC611E-C455-4DD2-AF0E-614F0258E3BB}"/>
    <cellStyle name="20% - Accent3 3 6 2 3" xfId="12548" xr:uid="{281B92D3-FEA1-4A8D-B8FA-0DA06DB024AE}"/>
    <cellStyle name="20% - Accent3 3 6 3" xfId="6179" xr:uid="{00000000-0005-0000-0000-0000B6010000}"/>
    <cellStyle name="20% - Accent3 3 6 3 2" xfId="14621" xr:uid="{066DF8D8-B02C-4775-A267-6DF4A79D3941}"/>
    <cellStyle name="20% - Accent3 3 6 4" xfId="10403" xr:uid="{D82B516F-C20A-443B-B56C-77DD19660360}"/>
    <cellStyle name="20% - Accent3 3 7" xfId="2285" xr:uid="{00000000-0005-0000-0000-0000B7010000}"/>
    <cellStyle name="20% - Accent3 3 7 2" xfId="6592" xr:uid="{00000000-0005-0000-0000-0000B8010000}"/>
    <cellStyle name="20% - Accent3 3 7 2 2" xfId="15034" xr:uid="{8A1F8824-6F11-4CD5-8846-DF6B11E61E71}"/>
    <cellStyle name="20% - Accent3 3 7 3" xfId="10816" xr:uid="{5B6FC29F-3C58-437F-8D28-AF4E2803CEDC}"/>
    <cellStyle name="20% - Accent3 3 8" xfId="4526" xr:uid="{00000000-0005-0000-0000-0000B9010000}"/>
    <cellStyle name="20% - Accent3 3 8 2" xfId="12968" xr:uid="{A70D346D-FE60-4EA6-AA42-2F4B917CC69C}"/>
    <cellStyle name="20% - Accent3 3 9" xfId="8750" xr:uid="{02B64765-BCB2-4B66-A6D4-0601B1E3E3A3}"/>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2 2 2" xfId="15529" xr:uid="{F35005FD-119D-4404-8295-E62A6AD7C066}"/>
    <cellStyle name="20% - Accent3 4 2 2 3" xfId="11311" xr:uid="{6B366B09-5F39-4B1B-98B7-D7DC602D56D5}"/>
    <cellStyle name="20% - Accent3 4 2 3" xfId="4942" xr:uid="{00000000-0005-0000-0000-0000BE010000}"/>
    <cellStyle name="20% - Accent3 4 2 3 2" xfId="13384" xr:uid="{4A221BE1-1079-4399-BBE7-14674699528D}"/>
    <cellStyle name="20% - Accent3 4 2 4" xfId="9166" xr:uid="{BF347394-4408-4708-8380-5E327970D19F}"/>
    <cellStyle name="20% - Accent3 4 3" xfId="1046" xr:uid="{00000000-0005-0000-0000-0000BF010000}"/>
    <cellStyle name="20% - Accent3 4 3 2" xfId="3277" xr:uid="{00000000-0005-0000-0000-0000C0010000}"/>
    <cellStyle name="20% - Accent3 4 3 2 2" xfId="7500" xr:uid="{00000000-0005-0000-0000-0000C1010000}"/>
    <cellStyle name="20% - Accent3 4 3 2 2 2" xfId="15942" xr:uid="{147C8127-C511-4709-AE10-B746C35632C1}"/>
    <cellStyle name="20% - Accent3 4 3 2 3" xfId="11724" xr:uid="{E5C39626-7E79-48C1-9944-1AA923C8F3B9}"/>
    <cellStyle name="20% - Accent3 4 3 3" xfId="5355" xr:uid="{00000000-0005-0000-0000-0000C2010000}"/>
    <cellStyle name="20% - Accent3 4 3 3 2" xfId="13797" xr:uid="{74F105CD-E3CC-41DD-8912-A3D9685393CA}"/>
    <cellStyle name="20% - Accent3 4 3 4" xfId="9579" xr:uid="{F74107E9-0643-498E-BE5D-2E922FDADDE9}"/>
    <cellStyle name="20% - Accent3 4 4" xfId="1460" xr:uid="{00000000-0005-0000-0000-0000C3010000}"/>
    <cellStyle name="20% - Accent3 4 4 2" xfId="3690" xr:uid="{00000000-0005-0000-0000-0000C4010000}"/>
    <cellStyle name="20% - Accent3 4 4 2 2" xfId="7913" xr:uid="{00000000-0005-0000-0000-0000C5010000}"/>
    <cellStyle name="20% - Accent3 4 4 2 2 2" xfId="16355" xr:uid="{BCCA785D-4DD0-4B3D-8E46-1D98F7149F43}"/>
    <cellStyle name="20% - Accent3 4 4 2 3" xfId="12137" xr:uid="{44B99B2C-087C-4FA5-A844-44796EECA064}"/>
    <cellStyle name="20% - Accent3 4 4 3" xfId="5768" xr:uid="{00000000-0005-0000-0000-0000C6010000}"/>
    <cellStyle name="20% - Accent3 4 4 3 2" xfId="14210" xr:uid="{82082B93-CCF4-466D-9226-B60692A763C3}"/>
    <cellStyle name="20% - Accent3 4 4 4" xfId="9992" xr:uid="{6757A4ED-DD2A-4595-98EC-70876719B8AA}"/>
    <cellStyle name="20% - Accent3 4 5" xfId="1874" xr:uid="{00000000-0005-0000-0000-0000C7010000}"/>
    <cellStyle name="20% - Accent3 4 5 2" xfId="4103" xr:uid="{00000000-0005-0000-0000-0000C8010000}"/>
    <cellStyle name="20% - Accent3 4 5 2 2" xfId="8326" xr:uid="{00000000-0005-0000-0000-0000C9010000}"/>
    <cellStyle name="20% - Accent3 4 5 2 2 2" xfId="16768" xr:uid="{24C49FFC-7E00-4230-AD53-0CFDBB9D3041}"/>
    <cellStyle name="20% - Accent3 4 5 2 3" xfId="12550" xr:uid="{68BDA80F-D306-4998-8946-1DE45220E205}"/>
    <cellStyle name="20% - Accent3 4 5 3" xfId="6181" xr:uid="{00000000-0005-0000-0000-0000CA010000}"/>
    <cellStyle name="20% - Accent3 4 5 3 2" xfId="14623" xr:uid="{9F6C39E3-C94F-4ABA-8C56-D426D2E1158F}"/>
    <cellStyle name="20% - Accent3 4 5 4" xfId="10405" xr:uid="{9D55D97B-4A40-45C6-82DC-B7D550F73F81}"/>
    <cellStyle name="20% - Accent3 4 6" xfId="2287" xr:uid="{00000000-0005-0000-0000-0000CB010000}"/>
    <cellStyle name="20% - Accent3 4 6 2" xfId="6594" xr:uid="{00000000-0005-0000-0000-0000CC010000}"/>
    <cellStyle name="20% - Accent3 4 6 2 2" xfId="15036" xr:uid="{9DA9C889-E7BD-491C-A163-2B1972A8DBA2}"/>
    <cellStyle name="20% - Accent3 4 6 3" xfId="10818" xr:uid="{EE6E3FAF-7834-4D99-BE78-8A781C7DC0FA}"/>
    <cellStyle name="20% - Accent3 4 7" xfId="4528" xr:uid="{00000000-0005-0000-0000-0000CD010000}"/>
    <cellStyle name="20% - Accent3 4 7 2" xfId="12970" xr:uid="{3FDFFFC7-7D52-4EC0-BBC7-BE414A493197}"/>
    <cellStyle name="20% - Accent3 4 8" xfId="8752" xr:uid="{CFAD2FF6-A237-498A-B847-4B28A9D68D3E}"/>
    <cellStyle name="20% - Accent3 5" xfId="586" xr:uid="{00000000-0005-0000-0000-0000CE010000}"/>
    <cellStyle name="20% - Accent3 5 2" xfId="2857" xr:uid="{00000000-0005-0000-0000-0000CF010000}"/>
    <cellStyle name="20% - Accent3 5 2 2" xfId="7080" xr:uid="{00000000-0005-0000-0000-0000D0010000}"/>
    <cellStyle name="20% - Accent3 5 2 2 2" xfId="15522" xr:uid="{393AF991-A823-4902-BCA9-088AD81DFC31}"/>
    <cellStyle name="20% - Accent3 5 2 3" xfId="11304" xr:uid="{D61B3B05-5685-4D54-BCA7-4B4094D1CA5A}"/>
    <cellStyle name="20% - Accent3 5 3" xfId="4935" xr:uid="{00000000-0005-0000-0000-0000D1010000}"/>
    <cellStyle name="20% - Accent3 5 3 2" xfId="13377" xr:uid="{B7C06080-0300-446E-A088-92E3AD2E08E2}"/>
    <cellStyle name="20% - Accent3 5 4" xfId="9159" xr:uid="{138F6408-273A-4DFF-9EC4-599D3BAB024F}"/>
    <cellStyle name="20% - Accent3 6" xfId="1039" xr:uid="{00000000-0005-0000-0000-0000D2010000}"/>
    <cellStyle name="20% - Accent3 6 2" xfId="3270" xr:uid="{00000000-0005-0000-0000-0000D3010000}"/>
    <cellStyle name="20% - Accent3 6 2 2" xfId="7493" xr:uid="{00000000-0005-0000-0000-0000D4010000}"/>
    <cellStyle name="20% - Accent3 6 2 2 2" xfId="15935" xr:uid="{ADF1FAA5-A0A0-4FEC-9772-C94A35E1CE34}"/>
    <cellStyle name="20% - Accent3 6 2 3" xfId="11717" xr:uid="{2D9BB502-A24C-4C2E-BEED-7A370C70B3D8}"/>
    <cellStyle name="20% - Accent3 6 3" xfId="5348" xr:uid="{00000000-0005-0000-0000-0000D5010000}"/>
    <cellStyle name="20% - Accent3 6 3 2" xfId="13790" xr:uid="{6FA88CB2-2377-406F-A038-F4F66FC9C9B0}"/>
    <cellStyle name="20% - Accent3 6 4" xfId="9572" xr:uid="{164C1EBE-AADE-4208-9D18-6158B466BEFB}"/>
    <cellStyle name="20% - Accent3 7" xfId="1453" xr:uid="{00000000-0005-0000-0000-0000D6010000}"/>
    <cellStyle name="20% - Accent3 7 2" xfId="3683" xr:uid="{00000000-0005-0000-0000-0000D7010000}"/>
    <cellStyle name="20% - Accent3 7 2 2" xfId="7906" xr:uid="{00000000-0005-0000-0000-0000D8010000}"/>
    <cellStyle name="20% - Accent3 7 2 2 2" xfId="16348" xr:uid="{7F3D9735-4F2D-4769-8FFD-39A9AEA9C180}"/>
    <cellStyle name="20% - Accent3 7 2 3" xfId="12130" xr:uid="{5CFA247C-FC51-4ADF-889F-A6EF01665AF8}"/>
    <cellStyle name="20% - Accent3 7 3" xfId="5761" xr:uid="{00000000-0005-0000-0000-0000D9010000}"/>
    <cellStyle name="20% - Accent3 7 3 2" xfId="14203" xr:uid="{1333BE85-2E28-470A-BF96-6B111F537D3F}"/>
    <cellStyle name="20% - Accent3 7 4" xfId="9985" xr:uid="{DDFBE11B-3DB3-4361-A6BD-485626F3A26F}"/>
    <cellStyle name="20% - Accent3 8" xfId="1867" xr:uid="{00000000-0005-0000-0000-0000DA010000}"/>
    <cellStyle name="20% - Accent3 8 2" xfId="4096" xr:uid="{00000000-0005-0000-0000-0000DB010000}"/>
    <cellStyle name="20% - Accent3 8 2 2" xfId="8319" xr:uid="{00000000-0005-0000-0000-0000DC010000}"/>
    <cellStyle name="20% - Accent3 8 2 2 2" xfId="16761" xr:uid="{AFFE6CE7-90AD-416C-8D6C-47C9442AD06D}"/>
    <cellStyle name="20% - Accent3 8 2 3" xfId="12543" xr:uid="{D2D19B43-4133-4937-88F4-2BBB332945D5}"/>
    <cellStyle name="20% - Accent3 8 3" xfId="6174" xr:uid="{00000000-0005-0000-0000-0000DD010000}"/>
    <cellStyle name="20% - Accent3 8 3 2" xfId="14616" xr:uid="{F2F6757C-8773-4EC7-9F11-EFB3EA205B3C}"/>
    <cellStyle name="20% - Accent3 8 4" xfId="10398" xr:uid="{2AAD57A7-9A7D-4A69-A919-42E7DA72E2CE}"/>
    <cellStyle name="20% - Accent3 9" xfId="2280" xr:uid="{00000000-0005-0000-0000-0000DE010000}"/>
    <cellStyle name="20% - Accent3 9 2" xfId="6587" xr:uid="{00000000-0005-0000-0000-0000DF010000}"/>
    <cellStyle name="20% - Accent3 9 2 2" xfId="15029" xr:uid="{AD5861E9-73B3-48BE-88B6-0D21B04B7E2C}"/>
    <cellStyle name="20% - Accent3 9 3" xfId="10811" xr:uid="{DB3D79D5-59CA-491D-A72B-DCF2390E0209}"/>
    <cellStyle name="20% - Accent4" xfId="25" builtinId="42" customBuiltin="1"/>
    <cellStyle name="20% - Accent4 10" xfId="4529" xr:uid="{00000000-0005-0000-0000-0000E1010000}"/>
    <cellStyle name="20% - Accent4 10 2" xfId="12971" xr:uid="{82142277-3C1E-4DB4-AF99-D0682CAF61BE}"/>
    <cellStyle name="20% - Accent4 11" xfId="8753" xr:uid="{DE3A6F6D-FA27-472E-9228-53D71E4414F9}"/>
    <cellStyle name="20% - Accent4 2" xfId="26" xr:uid="{00000000-0005-0000-0000-0000E2010000}"/>
    <cellStyle name="20% - Accent4 2 10" xfId="8754" xr:uid="{E9D440BD-A155-4170-8F79-AFBA3D791EC1}"/>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2 2 2" xfId="15533" xr:uid="{FF96A316-92BB-4902-B49E-671D58B53AF3}"/>
    <cellStyle name="20% - Accent4 2 2 2 2 2 3" xfId="11315" xr:uid="{D453E136-3ADD-4DF5-A575-56EA624885D9}"/>
    <cellStyle name="20% - Accent4 2 2 2 2 3" xfId="4946" xr:uid="{00000000-0005-0000-0000-0000E8010000}"/>
    <cellStyle name="20% - Accent4 2 2 2 2 3 2" xfId="13388" xr:uid="{0198798E-9ADE-44CD-BC6A-374C1AF8F3F3}"/>
    <cellStyle name="20% - Accent4 2 2 2 2 4" xfId="9170" xr:uid="{773D501E-A4AB-4D3F-93EF-5BB58D7B737D}"/>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2 2 2" xfId="15946" xr:uid="{381BEDB4-3E94-4274-909F-84BDD5C20574}"/>
    <cellStyle name="20% - Accent4 2 2 2 3 2 3" xfId="11728" xr:uid="{3186DB2B-C00C-4D54-9CB7-FA488322D114}"/>
    <cellStyle name="20% - Accent4 2 2 2 3 3" xfId="5359" xr:uid="{00000000-0005-0000-0000-0000EC010000}"/>
    <cellStyle name="20% - Accent4 2 2 2 3 3 2" xfId="13801" xr:uid="{ED89B6D4-7107-4BF4-8B98-FEB6B842EB31}"/>
    <cellStyle name="20% - Accent4 2 2 2 3 4" xfId="9583" xr:uid="{A8D80652-F2E4-4809-97C2-B73BA243FDED}"/>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2 2 2" xfId="16359" xr:uid="{F508428D-6651-402A-8EAC-8D13C235E898}"/>
    <cellStyle name="20% - Accent4 2 2 2 4 2 3" xfId="12141" xr:uid="{7D4FA760-7C7B-4182-8D68-D9F182338279}"/>
    <cellStyle name="20% - Accent4 2 2 2 4 3" xfId="5772" xr:uid="{00000000-0005-0000-0000-0000F0010000}"/>
    <cellStyle name="20% - Accent4 2 2 2 4 3 2" xfId="14214" xr:uid="{6CBD22E7-BCDC-4A8C-B5B2-169946ECC4B0}"/>
    <cellStyle name="20% - Accent4 2 2 2 4 4" xfId="9996" xr:uid="{B5E73757-85F6-4F14-BE07-F50C4B038592}"/>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2 2 2" xfId="16772" xr:uid="{55D0E906-DC32-43C7-A7E6-0A53C7F2E52C}"/>
    <cellStyle name="20% - Accent4 2 2 2 5 2 3" xfId="12554" xr:uid="{CF4062F8-976F-4FED-873D-B8982DEBDE4F}"/>
    <cellStyle name="20% - Accent4 2 2 2 5 3" xfId="6185" xr:uid="{00000000-0005-0000-0000-0000F4010000}"/>
    <cellStyle name="20% - Accent4 2 2 2 5 3 2" xfId="14627" xr:uid="{D9C4C5D3-BDAE-4D28-8547-436F707A310F}"/>
    <cellStyle name="20% - Accent4 2 2 2 5 4" xfId="10409" xr:uid="{D74D04B3-B360-465E-829A-6AE72985FB11}"/>
    <cellStyle name="20% - Accent4 2 2 2 6" xfId="2291" xr:uid="{00000000-0005-0000-0000-0000F5010000}"/>
    <cellStyle name="20% - Accent4 2 2 2 6 2" xfId="6598" xr:uid="{00000000-0005-0000-0000-0000F6010000}"/>
    <cellStyle name="20% - Accent4 2 2 2 6 2 2" xfId="15040" xr:uid="{3160CB24-71E3-453C-9C71-62FB508B62C2}"/>
    <cellStyle name="20% - Accent4 2 2 2 6 3" xfId="10822" xr:uid="{A4D3421E-85FE-474D-8717-D5BFEF99ADB1}"/>
    <cellStyle name="20% - Accent4 2 2 2 7" xfId="4532" xr:uid="{00000000-0005-0000-0000-0000F7010000}"/>
    <cellStyle name="20% - Accent4 2 2 2 7 2" xfId="12974" xr:uid="{75CD3415-764F-4D42-9E27-5784425B0FFB}"/>
    <cellStyle name="20% - Accent4 2 2 2 8" xfId="8756" xr:uid="{315282F6-45BB-417B-A243-E45F6DB37172}"/>
    <cellStyle name="20% - Accent4 2 2 3" xfId="596" xr:uid="{00000000-0005-0000-0000-0000F8010000}"/>
    <cellStyle name="20% - Accent4 2 2 3 2" xfId="2867" xr:uid="{00000000-0005-0000-0000-0000F9010000}"/>
    <cellStyle name="20% - Accent4 2 2 3 2 2" xfId="7090" xr:uid="{00000000-0005-0000-0000-0000FA010000}"/>
    <cellStyle name="20% - Accent4 2 2 3 2 2 2" xfId="15532" xr:uid="{A6893F8B-D168-4BFE-B8E0-DE350CE336C9}"/>
    <cellStyle name="20% - Accent4 2 2 3 2 3" xfId="11314" xr:uid="{225FBE4A-EEE1-4EFB-B799-B436EF33BF08}"/>
    <cellStyle name="20% - Accent4 2 2 3 3" xfId="4945" xr:uid="{00000000-0005-0000-0000-0000FB010000}"/>
    <cellStyle name="20% - Accent4 2 2 3 3 2" xfId="13387" xr:uid="{920376D6-2FD9-4157-9695-219343A23860}"/>
    <cellStyle name="20% - Accent4 2 2 3 4" xfId="9169" xr:uid="{E0D4295A-D57E-4DD3-B2AD-DE7C41EE5DE7}"/>
    <cellStyle name="20% - Accent4 2 2 4" xfId="1049" xr:uid="{00000000-0005-0000-0000-0000FC010000}"/>
    <cellStyle name="20% - Accent4 2 2 4 2" xfId="3280" xr:uid="{00000000-0005-0000-0000-0000FD010000}"/>
    <cellStyle name="20% - Accent4 2 2 4 2 2" xfId="7503" xr:uid="{00000000-0005-0000-0000-0000FE010000}"/>
    <cellStyle name="20% - Accent4 2 2 4 2 2 2" xfId="15945" xr:uid="{FEDBA43F-2382-4950-BE91-E6BCC8A2A7DE}"/>
    <cellStyle name="20% - Accent4 2 2 4 2 3" xfId="11727" xr:uid="{6CE0E906-9211-46EF-858F-7E43EE7FB715}"/>
    <cellStyle name="20% - Accent4 2 2 4 3" xfId="5358" xr:uid="{00000000-0005-0000-0000-0000FF010000}"/>
    <cellStyle name="20% - Accent4 2 2 4 3 2" xfId="13800" xr:uid="{989DB011-29DD-4797-B20E-64D3B47B268A}"/>
    <cellStyle name="20% - Accent4 2 2 4 4" xfId="9582" xr:uid="{809134FA-E719-4202-BD68-67C394DE79DF}"/>
    <cellStyle name="20% - Accent4 2 2 5" xfId="1463" xr:uid="{00000000-0005-0000-0000-000000020000}"/>
    <cellStyle name="20% - Accent4 2 2 5 2" xfId="3693" xr:uid="{00000000-0005-0000-0000-000001020000}"/>
    <cellStyle name="20% - Accent4 2 2 5 2 2" xfId="7916" xr:uid="{00000000-0005-0000-0000-000002020000}"/>
    <cellStyle name="20% - Accent4 2 2 5 2 2 2" xfId="16358" xr:uid="{9AA8E508-83E4-41E7-87CD-A0DF9C4F2053}"/>
    <cellStyle name="20% - Accent4 2 2 5 2 3" xfId="12140" xr:uid="{C3760C5B-EE76-4D49-96C6-194AD8549ADF}"/>
    <cellStyle name="20% - Accent4 2 2 5 3" xfId="5771" xr:uid="{00000000-0005-0000-0000-000003020000}"/>
    <cellStyle name="20% - Accent4 2 2 5 3 2" xfId="14213" xr:uid="{37EC7B72-4831-4D91-8A82-59A5A70C05B1}"/>
    <cellStyle name="20% - Accent4 2 2 5 4" xfId="9995" xr:uid="{0C070936-F4FE-4586-8B89-21D2385041FC}"/>
    <cellStyle name="20% - Accent4 2 2 6" xfId="1877" xr:uid="{00000000-0005-0000-0000-000004020000}"/>
    <cellStyle name="20% - Accent4 2 2 6 2" xfId="4106" xr:uid="{00000000-0005-0000-0000-000005020000}"/>
    <cellStyle name="20% - Accent4 2 2 6 2 2" xfId="8329" xr:uid="{00000000-0005-0000-0000-000006020000}"/>
    <cellStyle name="20% - Accent4 2 2 6 2 2 2" xfId="16771" xr:uid="{B7DA63A3-B49E-4219-8853-0EBCB22935FF}"/>
    <cellStyle name="20% - Accent4 2 2 6 2 3" xfId="12553" xr:uid="{B45EDC0E-D4E4-4F67-B8B9-DD9A9D17EEC7}"/>
    <cellStyle name="20% - Accent4 2 2 6 3" xfId="6184" xr:uid="{00000000-0005-0000-0000-000007020000}"/>
    <cellStyle name="20% - Accent4 2 2 6 3 2" xfId="14626" xr:uid="{AA91B71D-2C0A-4258-AB9D-0E5A5872D6FA}"/>
    <cellStyle name="20% - Accent4 2 2 6 4" xfId="10408" xr:uid="{58157649-9DE4-4480-91E6-5A04488F9381}"/>
    <cellStyle name="20% - Accent4 2 2 7" xfId="2290" xr:uid="{00000000-0005-0000-0000-000008020000}"/>
    <cellStyle name="20% - Accent4 2 2 7 2" xfId="6597" xr:uid="{00000000-0005-0000-0000-000009020000}"/>
    <cellStyle name="20% - Accent4 2 2 7 2 2" xfId="15039" xr:uid="{3E1347D6-C9E2-4337-943F-0F87338F47A3}"/>
    <cellStyle name="20% - Accent4 2 2 7 3" xfId="10821" xr:uid="{F92398DA-8580-41C1-B706-C101426FB830}"/>
    <cellStyle name="20% - Accent4 2 2 8" xfId="4531" xr:uid="{00000000-0005-0000-0000-00000A020000}"/>
    <cellStyle name="20% - Accent4 2 2 8 2" xfId="12973" xr:uid="{C642E3F1-BB63-44BB-B122-0FB170C47E1F}"/>
    <cellStyle name="20% - Accent4 2 2 9" xfId="8755" xr:uid="{1D6C6E16-06C2-4F50-82A7-4C1F1C34F92F}"/>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2 2 2" xfId="15534" xr:uid="{6EF1CF7D-C801-46D9-92DE-CE17DC57BD23}"/>
    <cellStyle name="20% - Accent4 2 3 2 2 3" xfId="11316" xr:uid="{30010B12-F886-474B-A6DC-588057141416}"/>
    <cellStyle name="20% - Accent4 2 3 2 3" xfId="4947" xr:uid="{00000000-0005-0000-0000-00000F020000}"/>
    <cellStyle name="20% - Accent4 2 3 2 3 2" xfId="13389" xr:uid="{9924F7BB-9834-4CA5-85F8-ADB916D4F9C6}"/>
    <cellStyle name="20% - Accent4 2 3 2 4" xfId="9171" xr:uid="{933E7508-8E92-489C-A375-586147A924EB}"/>
    <cellStyle name="20% - Accent4 2 3 3" xfId="1051" xr:uid="{00000000-0005-0000-0000-000010020000}"/>
    <cellStyle name="20% - Accent4 2 3 3 2" xfId="3282" xr:uid="{00000000-0005-0000-0000-000011020000}"/>
    <cellStyle name="20% - Accent4 2 3 3 2 2" xfId="7505" xr:uid="{00000000-0005-0000-0000-000012020000}"/>
    <cellStyle name="20% - Accent4 2 3 3 2 2 2" xfId="15947" xr:uid="{A684FE77-B325-40A2-8E3C-ADE2E4D385DF}"/>
    <cellStyle name="20% - Accent4 2 3 3 2 3" xfId="11729" xr:uid="{1B02E933-A989-4229-AF36-A96093012B6E}"/>
    <cellStyle name="20% - Accent4 2 3 3 3" xfId="5360" xr:uid="{00000000-0005-0000-0000-000013020000}"/>
    <cellStyle name="20% - Accent4 2 3 3 3 2" xfId="13802" xr:uid="{A5C7FCF1-8037-4899-937D-3C920D654A24}"/>
    <cellStyle name="20% - Accent4 2 3 3 4" xfId="9584" xr:uid="{820434C0-42D6-444E-9311-719C191FDFEC}"/>
    <cellStyle name="20% - Accent4 2 3 4" xfId="1465" xr:uid="{00000000-0005-0000-0000-000014020000}"/>
    <cellStyle name="20% - Accent4 2 3 4 2" xfId="3695" xr:uid="{00000000-0005-0000-0000-000015020000}"/>
    <cellStyle name="20% - Accent4 2 3 4 2 2" xfId="7918" xr:uid="{00000000-0005-0000-0000-000016020000}"/>
    <cellStyle name="20% - Accent4 2 3 4 2 2 2" xfId="16360" xr:uid="{C42EABB9-3F79-4CCA-8E37-4621EA0B4972}"/>
    <cellStyle name="20% - Accent4 2 3 4 2 3" xfId="12142" xr:uid="{636B353D-0436-46F8-AB91-097C7C8A0DD8}"/>
    <cellStyle name="20% - Accent4 2 3 4 3" xfId="5773" xr:uid="{00000000-0005-0000-0000-000017020000}"/>
    <cellStyle name="20% - Accent4 2 3 4 3 2" xfId="14215" xr:uid="{8D93649D-AEF4-4E55-B517-978AF0E3858B}"/>
    <cellStyle name="20% - Accent4 2 3 4 4" xfId="9997" xr:uid="{C5A3DD37-E000-49F8-A829-DEEC855CDCE8}"/>
    <cellStyle name="20% - Accent4 2 3 5" xfId="1879" xr:uid="{00000000-0005-0000-0000-000018020000}"/>
    <cellStyle name="20% - Accent4 2 3 5 2" xfId="4108" xr:uid="{00000000-0005-0000-0000-000019020000}"/>
    <cellStyle name="20% - Accent4 2 3 5 2 2" xfId="8331" xr:uid="{00000000-0005-0000-0000-00001A020000}"/>
    <cellStyle name="20% - Accent4 2 3 5 2 2 2" xfId="16773" xr:uid="{09881109-B986-4E89-A4B5-541930515707}"/>
    <cellStyle name="20% - Accent4 2 3 5 2 3" xfId="12555" xr:uid="{85F2046E-8085-40D4-9E0B-206C3336626D}"/>
    <cellStyle name="20% - Accent4 2 3 5 3" xfId="6186" xr:uid="{00000000-0005-0000-0000-00001B020000}"/>
    <cellStyle name="20% - Accent4 2 3 5 3 2" xfId="14628" xr:uid="{D9DBCF8C-3F93-4CC0-AF93-FB26ED974216}"/>
    <cellStyle name="20% - Accent4 2 3 5 4" xfId="10410" xr:uid="{A78DCB70-2619-4E0C-9290-2F81AA348259}"/>
    <cellStyle name="20% - Accent4 2 3 6" xfId="2292" xr:uid="{00000000-0005-0000-0000-00001C020000}"/>
    <cellStyle name="20% - Accent4 2 3 6 2" xfId="6599" xr:uid="{00000000-0005-0000-0000-00001D020000}"/>
    <cellStyle name="20% - Accent4 2 3 6 2 2" xfId="15041" xr:uid="{AEE7119A-6595-4792-AE75-F4092DD95692}"/>
    <cellStyle name="20% - Accent4 2 3 6 3" xfId="10823" xr:uid="{D5E4B0B2-BF26-4B3E-82B7-90E8EB162D59}"/>
    <cellStyle name="20% - Accent4 2 3 7" xfId="4533" xr:uid="{00000000-0005-0000-0000-00001E020000}"/>
    <cellStyle name="20% - Accent4 2 3 7 2" xfId="12975" xr:uid="{6591F393-0E0D-4DB6-A736-FFEEB784DF3C}"/>
    <cellStyle name="20% - Accent4 2 3 8" xfId="8757" xr:uid="{3A148141-3DFA-49F3-A146-EE5E9F02BEB3}"/>
    <cellStyle name="20% - Accent4 2 4" xfId="595" xr:uid="{00000000-0005-0000-0000-00001F020000}"/>
    <cellStyle name="20% - Accent4 2 4 2" xfId="2866" xr:uid="{00000000-0005-0000-0000-000020020000}"/>
    <cellStyle name="20% - Accent4 2 4 2 2" xfId="7089" xr:uid="{00000000-0005-0000-0000-000021020000}"/>
    <cellStyle name="20% - Accent4 2 4 2 2 2" xfId="15531" xr:uid="{7E1D8C61-DFBB-4CE2-A928-5D284B0DD01B}"/>
    <cellStyle name="20% - Accent4 2 4 2 3" xfId="11313" xr:uid="{B620C019-04A3-43EB-B98C-ACDE5C5E4390}"/>
    <cellStyle name="20% - Accent4 2 4 3" xfId="4944" xr:uid="{00000000-0005-0000-0000-000022020000}"/>
    <cellStyle name="20% - Accent4 2 4 3 2" xfId="13386" xr:uid="{DCCD5A64-5AEA-49E4-AFAC-AF9A5EC542D2}"/>
    <cellStyle name="20% - Accent4 2 4 4" xfId="9168" xr:uid="{670B3933-8E38-4DFF-8873-718E2F18EDEF}"/>
    <cellStyle name="20% - Accent4 2 5" xfId="1048" xr:uid="{00000000-0005-0000-0000-000023020000}"/>
    <cellStyle name="20% - Accent4 2 5 2" xfId="3279" xr:uid="{00000000-0005-0000-0000-000024020000}"/>
    <cellStyle name="20% - Accent4 2 5 2 2" xfId="7502" xr:uid="{00000000-0005-0000-0000-000025020000}"/>
    <cellStyle name="20% - Accent4 2 5 2 2 2" xfId="15944" xr:uid="{C8C304E5-E51C-4EEF-8E42-D7F1CB831142}"/>
    <cellStyle name="20% - Accent4 2 5 2 3" xfId="11726" xr:uid="{CA99EF2A-04A1-408D-A9B9-8C819ADD5256}"/>
    <cellStyle name="20% - Accent4 2 5 3" xfId="5357" xr:uid="{00000000-0005-0000-0000-000026020000}"/>
    <cellStyle name="20% - Accent4 2 5 3 2" xfId="13799" xr:uid="{58DCD8AB-A14F-4AC6-B8D2-9642800A2048}"/>
    <cellStyle name="20% - Accent4 2 5 4" xfId="9581" xr:uid="{05A19AB1-DA6A-4774-9121-5229E05C12E1}"/>
    <cellStyle name="20% - Accent4 2 6" xfId="1462" xr:uid="{00000000-0005-0000-0000-000027020000}"/>
    <cellStyle name="20% - Accent4 2 6 2" xfId="3692" xr:uid="{00000000-0005-0000-0000-000028020000}"/>
    <cellStyle name="20% - Accent4 2 6 2 2" xfId="7915" xr:uid="{00000000-0005-0000-0000-000029020000}"/>
    <cellStyle name="20% - Accent4 2 6 2 2 2" xfId="16357" xr:uid="{B34FA66E-AD34-403B-9B0C-E1399C8A80B4}"/>
    <cellStyle name="20% - Accent4 2 6 2 3" xfId="12139" xr:uid="{2C72D0A2-9910-4769-8D8B-86BD165CD9D9}"/>
    <cellStyle name="20% - Accent4 2 6 3" xfId="5770" xr:uid="{00000000-0005-0000-0000-00002A020000}"/>
    <cellStyle name="20% - Accent4 2 6 3 2" xfId="14212" xr:uid="{DF8867FA-8C11-4FE9-BD16-38C3957C8B83}"/>
    <cellStyle name="20% - Accent4 2 6 4" xfId="9994" xr:uid="{3E7FD9BD-F42B-48FB-B184-0B0E38E1FE42}"/>
    <cellStyle name="20% - Accent4 2 7" xfId="1876" xr:uid="{00000000-0005-0000-0000-00002B020000}"/>
    <cellStyle name="20% - Accent4 2 7 2" xfId="4105" xr:uid="{00000000-0005-0000-0000-00002C020000}"/>
    <cellStyle name="20% - Accent4 2 7 2 2" xfId="8328" xr:uid="{00000000-0005-0000-0000-00002D020000}"/>
    <cellStyle name="20% - Accent4 2 7 2 2 2" xfId="16770" xr:uid="{E6888FB7-FC39-4925-A530-9E63FC02D4A2}"/>
    <cellStyle name="20% - Accent4 2 7 2 3" xfId="12552" xr:uid="{1C3A2E1E-74CA-4DB2-8824-7A4A14DD1B55}"/>
    <cellStyle name="20% - Accent4 2 7 3" xfId="6183" xr:uid="{00000000-0005-0000-0000-00002E020000}"/>
    <cellStyle name="20% - Accent4 2 7 3 2" xfId="14625" xr:uid="{9A529E7F-AABB-424D-A336-9AAC79C20993}"/>
    <cellStyle name="20% - Accent4 2 7 4" xfId="10407" xr:uid="{9D2F34F7-D9B2-415D-9B3E-E619862C90EE}"/>
    <cellStyle name="20% - Accent4 2 8" xfId="2289" xr:uid="{00000000-0005-0000-0000-00002F020000}"/>
    <cellStyle name="20% - Accent4 2 8 2" xfId="6596" xr:uid="{00000000-0005-0000-0000-000030020000}"/>
    <cellStyle name="20% - Accent4 2 8 2 2" xfId="15038" xr:uid="{A921E15B-0657-4C0D-A659-B9DB7C3B5462}"/>
    <cellStyle name="20% - Accent4 2 8 3" xfId="10820" xr:uid="{EF898E94-D117-45E6-94C3-C10C8846680D}"/>
    <cellStyle name="20% - Accent4 2 9" xfId="4530" xr:uid="{00000000-0005-0000-0000-000031020000}"/>
    <cellStyle name="20% - Accent4 2 9 2" xfId="12972" xr:uid="{03828543-9EA8-4B06-8DA6-E7AF6E138E61}"/>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2 2 2" xfId="15536" xr:uid="{BFD5B569-53EE-4524-928C-62A6F5B50F7C}"/>
    <cellStyle name="20% - Accent4 3 2 2 2 3" xfId="11318" xr:uid="{EB91ED27-A58D-470F-8376-6337E3729832}"/>
    <cellStyle name="20% - Accent4 3 2 2 3" xfId="4949" xr:uid="{00000000-0005-0000-0000-000037020000}"/>
    <cellStyle name="20% - Accent4 3 2 2 3 2" xfId="13391" xr:uid="{71F6F2F0-E6B0-458D-9C78-18E21D3BFCC5}"/>
    <cellStyle name="20% - Accent4 3 2 2 4" xfId="9173" xr:uid="{68735AA3-5C56-4944-9DE7-C9B5C7E67319}"/>
    <cellStyle name="20% - Accent4 3 2 3" xfId="1053" xr:uid="{00000000-0005-0000-0000-000038020000}"/>
    <cellStyle name="20% - Accent4 3 2 3 2" xfId="3284" xr:uid="{00000000-0005-0000-0000-000039020000}"/>
    <cellStyle name="20% - Accent4 3 2 3 2 2" xfId="7507" xr:uid="{00000000-0005-0000-0000-00003A020000}"/>
    <cellStyle name="20% - Accent4 3 2 3 2 2 2" xfId="15949" xr:uid="{7C233819-0743-4722-8672-C2A3CE30CECC}"/>
    <cellStyle name="20% - Accent4 3 2 3 2 3" xfId="11731" xr:uid="{B4C84720-74A1-42CC-BE2D-09A1FC3362E3}"/>
    <cellStyle name="20% - Accent4 3 2 3 3" xfId="5362" xr:uid="{00000000-0005-0000-0000-00003B020000}"/>
    <cellStyle name="20% - Accent4 3 2 3 3 2" xfId="13804" xr:uid="{60A46E17-1C99-4347-A555-6FD5EAC9CDED}"/>
    <cellStyle name="20% - Accent4 3 2 3 4" xfId="9586" xr:uid="{4E4857C6-E5D3-476E-AB19-AEF6D6F7B055}"/>
    <cellStyle name="20% - Accent4 3 2 4" xfId="1467" xr:uid="{00000000-0005-0000-0000-00003C020000}"/>
    <cellStyle name="20% - Accent4 3 2 4 2" xfId="3697" xr:uid="{00000000-0005-0000-0000-00003D020000}"/>
    <cellStyle name="20% - Accent4 3 2 4 2 2" xfId="7920" xr:uid="{00000000-0005-0000-0000-00003E020000}"/>
    <cellStyle name="20% - Accent4 3 2 4 2 2 2" xfId="16362" xr:uid="{0C987657-D62C-456A-815C-3161E4541EBC}"/>
    <cellStyle name="20% - Accent4 3 2 4 2 3" xfId="12144" xr:uid="{ADD51387-3444-4DA2-ABA4-22D8EE200BCB}"/>
    <cellStyle name="20% - Accent4 3 2 4 3" xfId="5775" xr:uid="{00000000-0005-0000-0000-00003F020000}"/>
    <cellStyle name="20% - Accent4 3 2 4 3 2" xfId="14217" xr:uid="{938017EC-0195-4B41-A2E7-5CE730510F67}"/>
    <cellStyle name="20% - Accent4 3 2 4 4" xfId="9999" xr:uid="{72E5F9DB-B262-4A62-8521-1AD25445A058}"/>
    <cellStyle name="20% - Accent4 3 2 5" xfId="1881" xr:uid="{00000000-0005-0000-0000-000040020000}"/>
    <cellStyle name="20% - Accent4 3 2 5 2" xfId="4110" xr:uid="{00000000-0005-0000-0000-000041020000}"/>
    <cellStyle name="20% - Accent4 3 2 5 2 2" xfId="8333" xr:uid="{00000000-0005-0000-0000-000042020000}"/>
    <cellStyle name="20% - Accent4 3 2 5 2 2 2" xfId="16775" xr:uid="{34452D03-2D7C-41C2-AF59-CD74AE588033}"/>
    <cellStyle name="20% - Accent4 3 2 5 2 3" xfId="12557" xr:uid="{BDFFFC6F-2E1E-4765-9E4F-DAA56F3FD57F}"/>
    <cellStyle name="20% - Accent4 3 2 5 3" xfId="6188" xr:uid="{00000000-0005-0000-0000-000043020000}"/>
    <cellStyle name="20% - Accent4 3 2 5 3 2" xfId="14630" xr:uid="{46F701D3-CBED-4E2B-AE03-4FA0101E47CF}"/>
    <cellStyle name="20% - Accent4 3 2 5 4" xfId="10412" xr:uid="{F996EADA-59B4-4496-98E5-B8DD0A2E1703}"/>
    <cellStyle name="20% - Accent4 3 2 6" xfId="2294" xr:uid="{00000000-0005-0000-0000-000044020000}"/>
    <cellStyle name="20% - Accent4 3 2 6 2" xfId="6601" xr:uid="{00000000-0005-0000-0000-000045020000}"/>
    <cellStyle name="20% - Accent4 3 2 6 2 2" xfId="15043" xr:uid="{5BD08D10-FEDB-4ACA-A335-6B88710C096C}"/>
    <cellStyle name="20% - Accent4 3 2 6 3" xfId="10825" xr:uid="{4259CA88-B874-4B82-A17D-D23411A5D1D4}"/>
    <cellStyle name="20% - Accent4 3 2 7" xfId="4535" xr:uid="{00000000-0005-0000-0000-000046020000}"/>
    <cellStyle name="20% - Accent4 3 2 7 2" xfId="12977" xr:uid="{CDDB9064-33A7-4C6F-9E4A-79844CBE0A40}"/>
    <cellStyle name="20% - Accent4 3 2 8" xfId="8759" xr:uid="{8C8F5063-27BD-43B2-A979-38A44A0D683F}"/>
    <cellStyle name="20% - Accent4 3 3" xfId="599" xr:uid="{00000000-0005-0000-0000-000047020000}"/>
    <cellStyle name="20% - Accent4 3 3 2" xfId="2870" xr:uid="{00000000-0005-0000-0000-000048020000}"/>
    <cellStyle name="20% - Accent4 3 3 2 2" xfId="7093" xr:uid="{00000000-0005-0000-0000-000049020000}"/>
    <cellStyle name="20% - Accent4 3 3 2 2 2" xfId="15535" xr:uid="{C0EE23F9-90C7-421A-8AD9-DB2A41A5A90F}"/>
    <cellStyle name="20% - Accent4 3 3 2 3" xfId="11317" xr:uid="{A1DF4CD6-74D6-47A7-85CF-9EDE83E62C8F}"/>
    <cellStyle name="20% - Accent4 3 3 3" xfId="4948" xr:uid="{00000000-0005-0000-0000-00004A020000}"/>
    <cellStyle name="20% - Accent4 3 3 3 2" xfId="13390" xr:uid="{E5E8FF7C-5D59-4EEB-B1EC-61A09F56FF69}"/>
    <cellStyle name="20% - Accent4 3 3 4" xfId="9172" xr:uid="{DB741045-A84E-4FC9-B4A5-1C06B1EFC475}"/>
    <cellStyle name="20% - Accent4 3 4" xfId="1052" xr:uid="{00000000-0005-0000-0000-00004B020000}"/>
    <cellStyle name="20% - Accent4 3 4 2" xfId="3283" xr:uid="{00000000-0005-0000-0000-00004C020000}"/>
    <cellStyle name="20% - Accent4 3 4 2 2" xfId="7506" xr:uid="{00000000-0005-0000-0000-00004D020000}"/>
    <cellStyle name="20% - Accent4 3 4 2 2 2" xfId="15948" xr:uid="{4CD1C54F-A2AF-407A-A152-BBB38AC0C4C0}"/>
    <cellStyle name="20% - Accent4 3 4 2 3" xfId="11730" xr:uid="{7B4113D5-562F-40A5-84BD-B9630B0763A1}"/>
    <cellStyle name="20% - Accent4 3 4 3" xfId="5361" xr:uid="{00000000-0005-0000-0000-00004E020000}"/>
    <cellStyle name="20% - Accent4 3 4 3 2" xfId="13803" xr:uid="{5DC77A91-E855-4BD1-9E93-4566CD9DEB9E}"/>
    <cellStyle name="20% - Accent4 3 4 4" xfId="9585" xr:uid="{0484BA4C-CCC6-4B0D-BB9C-50EC6DD9D4A6}"/>
    <cellStyle name="20% - Accent4 3 5" xfId="1466" xr:uid="{00000000-0005-0000-0000-00004F020000}"/>
    <cellStyle name="20% - Accent4 3 5 2" xfId="3696" xr:uid="{00000000-0005-0000-0000-000050020000}"/>
    <cellStyle name="20% - Accent4 3 5 2 2" xfId="7919" xr:uid="{00000000-0005-0000-0000-000051020000}"/>
    <cellStyle name="20% - Accent4 3 5 2 2 2" xfId="16361" xr:uid="{7451AABB-3731-43C9-B872-35B9EFEACF39}"/>
    <cellStyle name="20% - Accent4 3 5 2 3" xfId="12143" xr:uid="{6EF05EB1-245D-438A-AE9B-8C3EEE99C5B7}"/>
    <cellStyle name="20% - Accent4 3 5 3" xfId="5774" xr:uid="{00000000-0005-0000-0000-000052020000}"/>
    <cellStyle name="20% - Accent4 3 5 3 2" xfId="14216" xr:uid="{5A11B6EB-27EC-4F8A-AE5C-D6E9483F64ED}"/>
    <cellStyle name="20% - Accent4 3 5 4" xfId="9998" xr:uid="{D6C2E8B7-0F54-4A37-869D-31DA5F8F62EB}"/>
    <cellStyle name="20% - Accent4 3 6" xfId="1880" xr:uid="{00000000-0005-0000-0000-000053020000}"/>
    <cellStyle name="20% - Accent4 3 6 2" xfId="4109" xr:uid="{00000000-0005-0000-0000-000054020000}"/>
    <cellStyle name="20% - Accent4 3 6 2 2" xfId="8332" xr:uid="{00000000-0005-0000-0000-000055020000}"/>
    <cellStyle name="20% - Accent4 3 6 2 2 2" xfId="16774" xr:uid="{398FC450-6095-4D84-9D0C-513F68BCF129}"/>
    <cellStyle name="20% - Accent4 3 6 2 3" xfId="12556" xr:uid="{B15C3DB9-8FEF-4645-B88E-F39DE8AC4149}"/>
    <cellStyle name="20% - Accent4 3 6 3" xfId="6187" xr:uid="{00000000-0005-0000-0000-000056020000}"/>
    <cellStyle name="20% - Accent4 3 6 3 2" xfId="14629" xr:uid="{CDD6A5F7-074A-422A-BDA5-6E3F1505EF0D}"/>
    <cellStyle name="20% - Accent4 3 6 4" xfId="10411" xr:uid="{9E839854-74A3-44B7-95ED-666DB2E6687C}"/>
    <cellStyle name="20% - Accent4 3 7" xfId="2293" xr:uid="{00000000-0005-0000-0000-000057020000}"/>
    <cellStyle name="20% - Accent4 3 7 2" xfId="6600" xr:uid="{00000000-0005-0000-0000-000058020000}"/>
    <cellStyle name="20% - Accent4 3 7 2 2" xfId="15042" xr:uid="{F533B857-1316-4F61-B885-0E9625EA52F2}"/>
    <cellStyle name="20% - Accent4 3 7 3" xfId="10824" xr:uid="{86B57ED4-DCC1-4CF5-A91A-D9B0C776A4D0}"/>
    <cellStyle name="20% - Accent4 3 8" xfId="4534" xr:uid="{00000000-0005-0000-0000-000059020000}"/>
    <cellStyle name="20% - Accent4 3 8 2" xfId="12976" xr:uid="{8615D9D7-CAAF-4CAE-BF69-F64DDA75ECB8}"/>
    <cellStyle name="20% - Accent4 3 9" xfId="8758" xr:uid="{363B7659-C548-4ECF-992B-6B76507A4BBD}"/>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2 2 2" xfId="15537" xr:uid="{2F0C6E97-3392-4580-9E7B-41AD1032E82D}"/>
    <cellStyle name="20% - Accent4 4 2 2 3" xfId="11319" xr:uid="{A3B41E71-52E7-4EBC-8FCA-A20DBECB5333}"/>
    <cellStyle name="20% - Accent4 4 2 3" xfId="4950" xr:uid="{00000000-0005-0000-0000-00005E020000}"/>
    <cellStyle name="20% - Accent4 4 2 3 2" xfId="13392" xr:uid="{8EE1D5EE-1DB9-44DF-8A6D-2BF14469DC05}"/>
    <cellStyle name="20% - Accent4 4 2 4" xfId="9174" xr:uid="{E6AD90DF-506D-4607-8BBE-DDA92E0006C8}"/>
    <cellStyle name="20% - Accent4 4 3" xfId="1054" xr:uid="{00000000-0005-0000-0000-00005F020000}"/>
    <cellStyle name="20% - Accent4 4 3 2" xfId="3285" xr:uid="{00000000-0005-0000-0000-000060020000}"/>
    <cellStyle name="20% - Accent4 4 3 2 2" xfId="7508" xr:uid="{00000000-0005-0000-0000-000061020000}"/>
    <cellStyle name="20% - Accent4 4 3 2 2 2" xfId="15950" xr:uid="{A6890984-1A36-4C30-9866-75371551DF42}"/>
    <cellStyle name="20% - Accent4 4 3 2 3" xfId="11732" xr:uid="{B1B4CD51-850B-4B09-AA16-E88AE710D082}"/>
    <cellStyle name="20% - Accent4 4 3 3" xfId="5363" xr:uid="{00000000-0005-0000-0000-000062020000}"/>
    <cellStyle name="20% - Accent4 4 3 3 2" xfId="13805" xr:uid="{650D8B2C-4853-416A-9D37-CF560DB7C6BD}"/>
    <cellStyle name="20% - Accent4 4 3 4" xfId="9587" xr:uid="{FCE817A8-9131-4C0F-9F57-ABB0935E9B16}"/>
    <cellStyle name="20% - Accent4 4 4" xfId="1468" xr:uid="{00000000-0005-0000-0000-000063020000}"/>
    <cellStyle name="20% - Accent4 4 4 2" xfId="3698" xr:uid="{00000000-0005-0000-0000-000064020000}"/>
    <cellStyle name="20% - Accent4 4 4 2 2" xfId="7921" xr:uid="{00000000-0005-0000-0000-000065020000}"/>
    <cellStyle name="20% - Accent4 4 4 2 2 2" xfId="16363" xr:uid="{A1151159-5440-4EDB-A16B-C78ECD72C328}"/>
    <cellStyle name="20% - Accent4 4 4 2 3" xfId="12145" xr:uid="{1B9188CB-A303-4DE9-9DC6-0CEA96974746}"/>
    <cellStyle name="20% - Accent4 4 4 3" xfId="5776" xr:uid="{00000000-0005-0000-0000-000066020000}"/>
    <cellStyle name="20% - Accent4 4 4 3 2" xfId="14218" xr:uid="{8081F07B-1010-47C7-81E3-6F1A772B44AF}"/>
    <cellStyle name="20% - Accent4 4 4 4" xfId="10000" xr:uid="{323E6C97-8563-469E-8626-DE9048F0896D}"/>
    <cellStyle name="20% - Accent4 4 5" xfId="1882" xr:uid="{00000000-0005-0000-0000-000067020000}"/>
    <cellStyle name="20% - Accent4 4 5 2" xfId="4111" xr:uid="{00000000-0005-0000-0000-000068020000}"/>
    <cellStyle name="20% - Accent4 4 5 2 2" xfId="8334" xr:uid="{00000000-0005-0000-0000-000069020000}"/>
    <cellStyle name="20% - Accent4 4 5 2 2 2" xfId="16776" xr:uid="{B5E08B89-8258-4B6B-96AA-998CDA6E07F6}"/>
    <cellStyle name="20% - Accent4 4 5 2 3" xfId="12558" xr:uid="{984C5425-7BDD-4A4A-B0E2-ADD6C3C71277}"/>
    <cellStyle name="20% - Accent4 4 5 3" xfId="6189" xr:uid="{00000000-0005-0000-0000-00006A020000}"/>
    <cellStyle name="20% - Accent4 4 5 3 2" xfId="14631" xr:uid="{3E5D4E06-7944-4CF9-A363-B67717F99D43}"/>
    <cellStyle name="20% - Accent4 4 5 4" xfId="10413" xr:uid="{D2641BEA-5CE3-42A3-84B1-1C3714321ADF}"/>
    <cellStyle name="20% - Accent4 4 6" xfId="2295" xr:uid="{00000000-0005-0000-0000-00006B020000}"/>
    <cellStyle name="20% - Accent4 4 6 2" xfId="6602" xr:uid="{00000000-0005-0000-0000-00006C020000}"/>
    <cellStyle name="20% - Accent4 4 6 2 2" xfId="15044" xr:uid="{9D303DFC-2F56-4AB3-A7F5-D4D4D398E8D5}"/>
    <cellStyle name="20% - Accent4 4 6 3" xfId="10826" xr:uid="{79FE6B1C-0E9F-4594-B7C3-D255A3A307D3}"/>
    <cellStyle name="20% - Accent4 4 7" xfId="4536" xr:uid="{00000000-0005-0000-0000-00006D020000}"/>
    <cellStyle name="20% - Accent4 4 7 2" xfId="12978" xr:uid="{7B7E6312-6D19-495C-A4D8-822246430AA0}"/>
    <cellStyle name="20% - Accent4 4 8" xfId="8760" xr:uid="{BF573DFC-E0A8-4855-99FC-A8460A38553F}"/>
    <cellStyle name="20% - Accent4 5" xfId="594" xr:uid="{00000000-0005-0000-0000-00006E020000}"/>
    <cellStyle name="20% - Accent4 5 2" xfId="2865" xr:uid="{00000000-0005-0000-0000-00006F020000}"/>
    <cellStyle name="20% - Accent4 5 2 2" xfId="7088" xr:uid="{00000000-0005-0000-0000-000070020000}"/>
    <cellStyle name="20% - Accent4 5 2 2 2" xfId="15530" xr:uid="{C88FF933-9F7E-4565-B864-08A91ABAEDC1}"/>
    <cellStyle name="20% - Accent4 5 2 3" xfId="11312" xr:uid="{69F5D847-12E5-4AA2-B7ED-93633D35B1E1}"/>
    <cellStyle name="20% - Accent4 5 3" xfId="4943" xr:uid="{00000000-0005-0000-0000-000071020000}"/>
    <cellStyle name="20% - Accent4 5 3 2" xfId="13385" xr:uid="{2BB057D1-62C5-47F5-AE12-ECBCBFA37232}"/>
    <cellStyle name="20% - Accent4 5 4" xfId="9167" xr:uid="{6BFC844B-944E-4613-A850-743C390110B6}"/>
    <cellStyle name="20% - Accent4 6" xfId="1047" xr:uid="{00000000-0005-0000-0000-000072020000}"/>
    <cellStyle name="20% - Accent4 6 2" xfId="3278" xr:uid="{00000000-0005-0000-0000-000073020000}"/>
    <cellStyle name="20% - Accent4 6 2 2" xfId="7501" xr:uid="{00000000-0005-0000-0000-000074020000}"/>
    <cellStyle name="20% - Accent4 6 2 2 2" xfId="15943" xr:uid="{BEEA063F-127A-41C7-AC08-F3E7984D8A67}"/>
    <cellStyle name="20% - Accent4 6 2 3" xfId="11725" xr:uid="{D4D8E374-3A7C-4F04-8035-A07D8D32D48D}"/>
    <cellStyle name="20% - Accent4 6 3" xfId="5356" xr:uid="{00000000-0005-0000-0000-000075020000}"/>
    <cellStyle name="20% - Accent4 6 3 2" xfId="13798" xr:uid="{1A07826B-4128-4885-BCA2-83C8FC8672A6}"/>
    <cellStyle name="20% - Accent4 6 4" xfId="9580" xr:uid="{FC92EF44-5911-49F3-93F4-C1C44D0A142C}"/>
    <cellStyle name="20% - Accent4 7" xfId="1461" xr:uid="{00000000-0005-0000-0000-000076020000}"/>
    <cellStyle name="20% - Accent4 7 2" xfId="3691" xr:uid="{00000000-0005-0000-0000-000077020000}"/>
    <cellStyle name="20% - Accent4 7 2 2" xfId="7914" xr:uid="{00000000-0005-0000-0000-000078020000}"/>
    <cellStyle name="20% - Accent4 7 2 2 2" xfId="16356" xr:uid="{E17B9A32-4E1D-40F8-A981-32993418C471}"/>
    <cellStyle name="20% - Accent4 7 2 3" xfId="12138" xr:uid="{329A01F9-C31A-48CE-B898-406F09771D23}"/>
    <cellStyle name="20% - Accent4 7 3" xfId="5769" xr:uid="{00000000-0005-0000-0000-000079020000}"/>
    <cellStyle name="20% - Accent4 7 3 2" xfId="14211" xr:uid="{34619C56-CE24-45D7-A812-9A8E8FFC5AC0}"/>
    <cellStyle name="20% - Accent4 7 4" xfId="9993" xr:uid="{BE48EF4A-6BC5-40C2-A54B-D126CFEF35C1}"/>
    <cellStyle name="20% - Accent4 8" xfId="1875" xr:uid="{00000000-0005-0000-0000-00007A020000}"/>
    <cellStyle name="20% - Accent4 8 2" xfId="4104" xr:uid="{00000000-0005-0000-0000-00007B020000}"/>
    <cellStyle name="20% - Accent4 8 2 2" xfId="8327" xr:uid="{00000000-0005-0000-0000-00007C020000}"/>
    <cellStyle name="20% - Accent4 8 2 2 2" xfId="16769" xr:uid="{714DC5AE-90C3-4FC7-9A4D-AE37BD3C594B}"/>
    <cellStyle name="20% - Accent4 8 2 3" xfId="12551" xr:uid="{255A9CB7-6CE9-4393-8F47-6FEDF8C16D0F}"/>
    <cellStyle name="20% - Accent4 8 3" xfId="6182" xr:uid="{00000000-0005-0000-0000-00007D020000}"/>
    <cellStyle name="20% - Accent4 8 3 2" xfId="14624" xr:uid="{683F775E-D96B-4A03-A148-186677C6257D}"/>
    <cellStyle name="20% - Accent4 8 4" xfId="10406" xr:uid="{D6766482-8D72-43B3-BACF-0026E231B887}"/>
    <cellStyle name="20% - Accent4 9" xfId="2288" xr:uid="{00000000-0005-0000-0000-00007E020000}"/>
    <cellStyle name="20% - Accent4 9 2" xfId="6595" xr:uid="{00000000-0005-0000-0000-00007F020000}"/>
    <cellStyle name="20% - Accent4 9 2 2" xfId="15037" xr:uid="{53EA1FFB-EBD0-45B6-8DFB-63B4C92FA04C}"/>
    <cellStyle name="20% - Accent4 9 3" xfId="10819" xr:uid="{AB5EE3F4-9AF3-4FC6-B2F1-57CC16750F1E}"/>
    <cellStyle name="20% - Accent5" xfId="33" builtinId="46" customBuiltin="1"/>
    <cellStyle name="20% - Accent5 10" xfId="4537" xr:uid="{00000000-0005-0000-0000-000081020000}"/>
    <cellStyle name="20% - Accent5 10 2" xfId="12979" xr:uid="{300D5350-757B-40CA-BCD5-4B6037C68743}"/>
    <cellStyle name="20% - Accent5 11" xfId="8761" xr:uid="{4B36B2DF-ABCB-4B39-BBDD-20C88E77CC23}"/>
    <cellStyle name="20% - Accent5 2" xfId="34" xr:uid="{00000000-0005-0000-0000-000082020000}"/>
    <cellStyle name="20% - Accent5 2 10" xfId="8762" xr:uid="{BB7FAA5F-8D60-4331-8649-435D1F0D10E7}"/>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2 2 2" xfId="15541" xr:uid="{85AD9E16-B658-4DF7-83BB-3EA31BD95DDD}"/>
    <cellStyle name="20% - Accent5 2 2 2 2 2 3" xfId="11323" xr:uid="{94EE9116-CBCB-4C68-AA66-2929E17EC4EB}"/>
    <cellStyle name="20% - Accent5 2 2 2 2 3" xfId="4954" xr:uid="{00000000-0005-0000-0000-000088020000}"/>
    <cellStyle name="20% - Accent5 2 2 2 2 3 2" xfId="13396" xr:uid="{DC2156C6-92B8-478A-9E4B-9629CB41C0DF}"/>
    <cellStyle name="20% - Accent5 2 2 2 2 4" xfId="9178" xr:uid="{A8E4ECFD-AF57-4ECF-AA95-EAAE81EE0124}"/>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2 2 2" xfId="15954" xr:uid="{F8108853-51AB-4CD7-8270-FA4914C5C597}"/>
    <cellStyle name="20% - Accent5 2 2 2 3 2 3" xfId="11736" xr:uid="{A322842A-DBD7-446D-9526-B1A39F76B4B7}"/>
    <cellStyle name="20% - Accent5 2 2 2 3 3" xfId="5367" xr:uid="{00000000-0005-0000-0000-00008C020000}"/>
    <cellStyle name="20% - Accent5 2 2 2 3 3 2" xfId="13809" xr:uid="{E76684FF-4AC4-4672-BCE3-82654CD08D29}"/>
    <cellStyle name="20% - Accent5 2 2 2 3 4" xfId="9591" xr:uid="{2296766E-B428-491B-9B2B-ABB86BB0D2BF}"/>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2 2 2" xfId="16367" xr:uid="{A8AF4E69-0CD9-4B56-952B-C02977FE5A18}"/>
    <cellStyle name="20% - Accent5 2 2 2 4 2 3" xfId="12149" xr:uid="{0AAD05D2-16A3-4411-9A68-2F5C63D90153}"/>
    <cellStyle name="20% - Accent5 2 2 2 4 3" xfId="5780" xr:uid="{00000000-0005-0000-0000-000090020000}"/>
    <cellStyle name="20% - Accent5 2 2 2 4 3 2" xfId="14222" xr:uid="{F37DB861-0562-435D-8E25-9192F18C1E4C}"/>
    <cellStyle name="20% - Accent5 2 2 2 4 4" xfId="10004" xr:uid="{F1B20609-E0CF-4F51-8567-F7C8163934D1}"/>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2 2 2" xfId="16780" xr:uid="{759DE152-AE15-4BD9-A6DC-8D83BD09CE38}"/>
    <cellStyle name="20% - Accent5 2 2 2 5 2 3" xfId="12562" xr:uid="{077B7D10-AB3E-4648-B8F9-840DEE22FA34}"/>
    <cellStyle name="20% - Accent5 2 2 2 5 3" xfId="6193" xr:uid="{00000000-0005-0000-0000-000094020000}"/>
    <cellStyle name="20% - Accent5 2 2 2 5 3 2" xfId="14635" xr:uid="{78117A62-9B91-49D3-B672-B35F28547AEA}"/>
    <cellStyle name="20% - Accent5 2 2 2 5 4" xfId="10417" xr:uid="{051C88D4-1A71-4518-833C-74189A30A15E}"/>
    <cellStyle name="20% - Accent5 2 2 2 6" xfId="2299" xr:uid="{00000000-0005-0000-0000-000095020000}"/>
    <cellStyle name="20% - Accent5 2 2 2 6 2" xfId="6606" xr:uid="{00000000-0005-0000-0000-000096020000}"/>
    <cellStyle name="20% - Accent5 2 2 2 6 2 2" xfId="15048" xr:uid="{344DF66D-2CB6-4F19-B5C9-45A2AC2F55DD}"/>
    <cellStyle name="20% - Accent5 2 2 2 6 3" xfId="10830" xr:uid="{8422BA69-2A65-47BD-8AF8-5D59F95E1C0C}"/>
    <cellStyle name="20% - Accent5 2 2 2 7" xfId="4540" xr:uid="{00000000-0005-0000-0000-000097020000}"/>
    <cellStyle name="20% - Accent5 2 2 2 7 2" xfId="12982" xr:uid="{04589340-0A4C-4545-B440-C2D1B857CB90}"/>
    <cellStyle name="20% - Accent5 2 2 2 8" xfId="8764" xr:uid="{6ED2CDF3-BEDD-4754-AD9B-0274D94BDC90}"/>
    <cellStyle name="20% - Accent5 2 2 3" xfId="604" xr:uid="{00000000-0005-0000-0000-000098020000}"/>
    <cellStyle name="20% - Accent5 2 2 3 2" xfId="2875" xr:uid="{00000000-0005-0000-0000-000099020000}"/>
    <cellStyle name="20% - Accent5 2 2 3 2 2" xfId="7098" xr:uid="{00000000-0005-0000-0000-00009A020000}"/>
    <cellStyle name="20% - Accent5 2 2 3 2 2 2" xfId="15540" xr:uid="{69B4447E-16A1-4660-AA8F-37BF9D13A0C5}"/>
    <cellStyle name="20% - Accent5 2 2 3 2 3" xfId="11322" xr:uid="{A527305D-D4C5-40E5-BA34-F801DE71045B}"/>
    <cellStyle name="20% - Accent5 2 2 3 3" xfId="4953" xr:uid="{00000000-0005-0000-0000-00009B020000}"/>
    <cellStyle name="20% - Accent5 2 2 3 3 2" xfId="13395" xr:uid="{F024F4BC-E164-401A-ABBB-E744D6950E87}"/>
    <cellStyle name="20% - Accent5 2 2 3 4" xfId="9177" xr:uid="{159D942F-DCFB-4C9B-994B-A82D05AC528A}"/>
    <cellStyle name="20% - Accent5 2 2 4" xfId="1057" xr:uid="{00000000-0005-0000-0000-00009C020000}"/>
    <cellStyle name="20% - Accent5 2 2 4 2" xfId="3288" xr:uid="{00000000-0005-0000-0000-00009D020000}"/>
    <cellStyle name="20% - Accent5 2 2 4 2 2" xfId="7511" xr:uid="{00000000-0005-0000-0000-00009E020000}"/>
    <cellStyle name="20% - Accent5 2 2 4 2 2 2" xfId="15953" xr:uid="{2BACF7CE-4090-4529-ABBE-459EDA28D146}"/>
    <cellStyle name="20% - Accent5 2 2 4 2 3" xfId="11735" xr:uid="{ED8532C1-2C51-4A32-AAA9-955104469007}"/>
    <cellStyle name="20% - Accent5 2 2 4 3" xfId="5366" xr:uid="{00000000-0005-0000-0000-00009F020000}"/>
    <cellStyle name="20% - Accent5 2 2 4 3 2" xfId="13808" xr:uid="{1F41DC0C-267C-435B-A236-3E76344A8931}"/>
    <cellStyle name="20% - Accent5 2 2 4 4" xfId="9590" xr:uid="{7C9AFAA1-097D-473F-A7A9-3D7713E32769}"/>
    <cellStyle name="20% - Accent5 2 2 5" xfId="1471" xr:uid="{00000000-0005-0000-0000-0000A0020000}"/>
    <cellStyle name="20% - Accent5 2 2 5 2" xfId="3701" xr:uid="{00000000-0005-0000-0000-0000A1020000}"/>
    <cellStyle name="20% - Accent5 2 2 5 2 2" xfId="7924" xr:uid="{00000000-0005-0000-0000-0000A2020000}"/>
    <cellStyle name="20% - Accent5 2 2 5 2 2 2" xfId="16366" xr:uid="{8851EAAF-1F00-422C-82A9-43E100D9D902}"/>
    <cellStyle name="20% - Accent5 2 2 5 2 3" xfId="12148" xr:uid="{38B2C3FB-DF5E-4CAC-8E7A-3A30F5BD2B96}"/>
    <cellStyle name="20% - Accent5 2 2 5 3" xfId="5779" xr:uid="{00000000-0005-0000-0000-0000A3020000}"/>
    <cellStyle name="20% - Accent5 2 2 5 3 2" xfId="14221" xr:uid="{254264B0-7073-4AD1-808E-D4FC57A3C92A}"/>
    <cellStyle name="20% - Accent5 2 2 5 4" xfId="10003" xr:uid="{BA39A450-82A6-4892-88ED-FF8DB761B56D}"/>
    <cellStyle name="20% - Accent5 2 2 6" xfId="1885" xr:uid="{00000000-0005-0000-0000-0000A4020000}"/>
    <cellStyle name="20% - Accent5 2 2 6 2" xfId="4114" xr:uid="{00000000-0005-0000-0000-0000A5020000}"/>
    <cellStyle name="20% - Accent5 2 2 6 2 2" xfId="8337" xr:uid="{00000000-0005-0000-0000-0000A6020000}"/>
    <cellStyle name="20% - Accent5 2 2 6 2 2 2" xfId="16779" xr:uid="{356E6710-8622-4090-A749-52F535226279}"/>
    <cellStyle name="20% - Accent5 2 2 6 2 3" xfId="12561" xr:uid="{763FB444-D5F3-4B93-AB84-DE4BBB4DBF9A}"/>
    <cellStyle name="20% - Accent5 2 2 6 3" xfId="6192" xr:uid="{00000000-0005-0000-0000-0000A7020000}"/>
    <cellStyle name="20% - Accent5 2 2 6 3 2" xfId="14634" xr:uid="{3C7B9CD0-3A9A-4ED2-A7D2-1DFC030271DD}"/>
    <cellStyle name="20% - Accent5 2 2 6 4" xfId="10416" xr:uid="{B56546E1-E538-440D-ABFE-A83CEF7A9077}"/>
    <cellStyle name="20% - Accent5 2 2 7" xfId="2298" xr:uid="{00000000-0005-0000-0000-0000A8020000}"/>
    <cellStyle name="20% - Accent5 2 2 7 2" xfId="6605" xr:uid="{00000000-0005-0000-0000-0000A9020000}"/>
    <cellStyle name="20% - Accent5 2 2 7 2 2" xfId="15047" xr:uid="{69406796-F612-4EC1-9156-D05C7252DB45}"/>
    <cellStyle name="20% - Accent5 2 2 7 3" xfId="10829" xr:uid="{329D30B0-4A7B-4844-BDBA-6D5D85E63F69}"/>
    <cellStyle name="20% - Accent5 2 2 8" xfId="4539" xr:uid="{00000000-0005-0000-0000-0000AA020000}"/>
    <cellStyle name="20% - Accent5 2 2 8 2" xfId="12981" xr:uid="{5655472D-0642-4263-87A7-182CD238DEB2}"/>
    <cellStyle name="20% - Accent5 2 2 9" xfId="8763" xr:uid="{12DAE906-90F9-4100-AA8A-2C1B6E6507C3}"/>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2 2 2" xfId="15542" xr:uid="{C3604FE3-5391-4548-AD7A-AFBDBBE23062}"/>
    <cellStyle name="20% - Accent5 2 3 2 2 3" xfId="11324" xr:uid="{B85C17AC-1814-4AAB-BE05-0C5BCDA0962E}"/>
    <cellStyle name="20% - Accent5 2 3 2 3" xfId="4955" xr:uid="{00000000-0005-0000-0000-0000AF020000}"/>
    <cellStyle name="20% - Accent5 2 3 2 3 2" xfId="13397" xr:uid="{3631B125-D1FB-460A-859F-7CECE1C7B54C}"/>
    <cellStyle name="20% - Accent5 2 3 2 4" xfId="9179" xr:uid="{439F0E29-B0D9-47DA-82FA-F2CD9DBBFA47}"/>
    <cellStyle name="20% - Accent5 2 3 3" xfId="1059" xr:uid="{00000000-0005-0000-0000-0000B0020000}"/>
    <cellStyle name="20% - Accent5 2 3 3 2" xfId="3290" xr:uid="{00000000-0005-0000-0000-0000B1020000}"/>
    <cellStyle name="20% - Accent5 2 3 3 2 2" xfId="7513" xr:uid="{00000000-0005-0000-0000-0000B2020000}"/>
    <cellStyle name="20% - Accent5 2 3 3 2 2 2" xfId="15955" xr:uid="{673509C7-5E49-4602-8800-003AC7601FCC}"/>
    <cellStyle name="20% - Accent5 2 3 3 2 3" xfId="11737" xr:uid="{E5C9CCDE-43CC-4BAD-8FDC-2596B90884AC}"/>
    <cellStyle name="20% - Accent5 2 3 3 3" xfId="5368" xr:uid="{00000000-0005-0000-0000-0000B3020000}"/>
    <cellStyle name="20% - Accent5 2 3 3 3 2" xfId="13810" xr:uid="{042DF384-FB6F-45F2-89B8-26CA518CAC06}"/>
    <cellStyle name="20% - Accent5 2 3 3 4" xfId="9592" xr:uid="{30262A46-3AFD-44D8-A249-329918C68EA6}"/>
    <cellStyle name="20% - Accent5 2 3 4" xfId="1473" xr:uid="{00000000-0005-0000-0000-0000B4020000}"/>
    <cellStyle name="20% - Accent5 2 3 4 2" xfId="3703" xr:uid="{00000000-0005-0000-0000-0000B5020000}"/>
    <cellStyle name="20% - Accent5 2 3 4 2 2" xfId="7926" xr:uid="{00000000-0005-0000-0000-0000B6020000}"/>
    <cellStyle name="20% - Accent5 2 3 4 2 2 2" xfId="16368" xr:uid="{A49C43ED-0DD3-41A5-AFD5-E1FB9C53BBF5}"/>
    <cellStyle name="20% - Accent5 2 3 4 2 3" xfId="12150" xr:uid="{C692D006-B06F-4501-8FC1-E9E5689EABCF}"/>
    <cellStyle name="20% - Accent5 2 3 4 3" xfId="5781" xr:uid="{00000000-0005-0000-0000-0000B7020000}"/>
    <cellStyle name="20% - Accent5 2 3 4 3 2" xfId="14223" xr:uid="{5971FEBC-0AB9-4E9E-9678-4B6A29ADA29A}"/>
    <cellStyle name="20% - Accent5 2 3 4 4" xfId="10005" xr:uid="{86A0CDB3-4CE0-4795-8530-45074357FC60}"/>
    <cellStyle name="20% - Accent5 2 3 5" xfId="1887" xr:uid="{00000000-0005-0000-0000-0000B8020000}"/>
    <cellStyle name="20% - Accent5 2 3 5 2" xfId="4116" xr:uid="{00000000-0005-0000-0000-0000B9020000}"/>
    <cellStyle name="20% - Accent5 2 3 5 2 2" xfId="8339" xr:uid="{00000000-0005-0000-0000-0000BA020000}"/>
    <cellStyle name="20% - Accent5 2 3 5 2 2 2" xfId="16781" xr:uid="{C8ADBC28-B397-4A94-927E-0043D569699C}"/>
    <cellStyle name="20% - Accent5 2 3 5 2 3" xfId="12563" xr:uid="{A863C9CE-247D-44E6-8F30-EDA92ECC505C}"/>
    <cellStyle name="20% - Accent5 2 3 5 3" xfId="6194" xr:uid="{00000000-0005-0000-0000-0000BB020000}"/>
    <cellStyle name="20% - Accent5 2 3 5 3 2" xfId="14636" xr:uid="{DDC0D832-FE60-4FE9-A2D7-0FC1BA2B0B82}"/>
    <cellStyle name="20% - Accent5 2 3 5 4" xfId="10418" xr:uid="{64778690-8829-426B-B526-EC6945133045}"/>
    <cellStyle name="20% - Accent5 2 3 6" xfId="2300" xr:uid="{00000000-0005-0000-0000-0000BC020000}"/>
    <cellStyle name="20% - Accent5 2 3 6 2" xfId="6607" xr:uid="{00000000-0005-0000-0000-0000BD020000}"/>
    <cellStyle name="20% - Accent5 2 3 6 2 2" xfId="15049" xr:uid="{B4A66EE3-D82D-400E-984D-6885773FFF87}"/>
    <cellStyle name="20% - Accent5 2 3 6 3" xfId="10831" xr:uid="{CFFFCA19-940D-4547-B1E3-98F3EB598FB5}"/>
    <cellStyle name="20% - Accent5 2 3 7" xfId="4541" xr:uid="{00000000-0005-0000-0000-0000BE020000}"/>
    <cellStyle name="20% - Accent5 2 3 7 2" xfId="12983" xr:uid="{EDE05D84-6497-4F32-959E-E141AA702044}"/>
    <cellStyle name="20% - Accent5 2 3 8" xfId="8765" xr:uid="{FD3800F0-DD33-4D8E-974A-0DC96A5A2E26}"/>
    <cellStyle name="20% - Accent5 2 4" xfId="603" xr:uid="{00000000-0005-0000-0000-0000BF020000}"/>
    <cellStyle name="20% - Accent5 2 4 2" xfId="2874" xr:uid="{00000000-0005-0000-0000-0000C0020000}"/>
    <cellStyle name="20% - Accent5 2 4 2 2" xfId="7097" xr:uid="{00000000-0005-0000-0000-0000C1020000}"/>
    <cellStyle name="20% - Accent5 2 4 2 2 2" xfId="15539" xr:uid="{89018DF0-EFAE-41D4-9615-117A64EFF3C3}"/>
    <cellStyle name="20% - Accent5 2 4 2 3" xfId="11321" xr:uid="{74A3CA87-3373-4D30-83C5-328D32243F28}"/>
    <cellStyle name="20% - Accent5 2 4 3" xfId="4952" xr:uid="{00000000-0005-0000-0000-0000C2020000}"/>
    <cellStyle name="20% - Accent5 2 4 3 2" xfId="13394" xr:uid="{AF353AAE-F5A8-411A-AA11-67DF74E3BF30}"/>
    <cellStyle name="20% - Accent5 2 4 4" xfId="9176" xr:uid="{4DF5FA95-17A1-4FAE-8DDA-23F3A4395D22}"/>
    <cellStyle name="20% - Accent5 2 5" xfId="1056" xr:uid="{00000000-0005-0000-0000-0000C3020000}"/>
    <cellStyle name="20% - Accent5 2 5 2" xfId="3287" xr:uid="{00000000-0005-0000-0000-0000C4020000}"/>
    <cellStyle name="20% - Accent5 2 5 2 2" xfId="7510" xr:uid="{00000000-0005-0000-0000-0000C5020000}"/>
    <cellStyle name="20% - Accent5 2 5 2 2 2" xfId="15952" xr:uid="{38677781-492D-48FC-BDFC-58828BC880B4}"/>
    <cellStyle name="20% - Accent5 2 5 2 3" xfId="11734" xr:uid="{B60B3580-C195-4555-852F-A55E7D78893C}"/>
    <cellStyle name="20% - Accent5 2 5 3" xfId="5365" xr:uid="{00000000-0005-0000-0000-0000C6020000}"/>
    <cellStyle name="20% - Accent5 2 5 3 2" xfId="13807" xr:uid="{C7730F71-F3BB-4B97-A1D4-BF99AF95D6A9}"/>
    <cellStyle name="20% - Accent5 2 5 4" xfId="9589" xr:uid="{5BB2FB95-CBC0-47D5-A52A-6E329A880099}"/>
    <cellStyle name="20% - Accent5 2 6" xfId="1470" xr:uid="{00000000-0005-0000-0000-0000C7020000}"/>
    <cellStyle name="20% - Accent5 2 6 2" xfId="3700" xr:uid="{00000000-0005-0000-0000-0000C8020000}"/>
    <cellStyle name="20% - Accent5 2 6 2 2" xfId="7923" xr:uid="{00000000-0005-0000-0000-0000C9020000}"/>
    <cellStyle name="20% - Accent5 2 6 2 2 2" xfId="16365" xr:uid="{33579A7C-6002-4E26-B57E-4A5529580389}"/>
    <cellStyle name="20% - Accent5 2 6 2 3" xfId="12147" xr:uid="{1200BADE-CE81-4822-A9FA-B542BEE0205D}"/>
    <cellStyle name="20% - Accent5 2 6 3" xfId="5778" xr:uid="{00000000-0005-0000-0000-0000CA020000}"/>
    <cellStyle name="20% - Accent5 2 6 3 2" xfId="14220" xr:uid="{9E420EAE-3B62-4B1E-B88D-CF09D4A63165}"/>
    <cellStyle name="20% - Accent5 2 6 4" xfId="10002" xr:uid="{56F3D364-9C22-4BA5-99A3-CAAF2860614F}"/>
    <cellStyle name="20% - Accent5 2 7" xfId="1884" xr:uid="{00000000-0005-0000-0000-0000CB020000}"/>
    <cellStyle name="20% - Accent5 2 7 2" xfId="4113" xr:uid="{00000000-0005-0000-0000-0000CC020000}"/>
    <cellStyle name="20% - Accent5 2 7 2 2" xfId="8336" xr:uid="{00000000-0005-0000-0000-0000CD020000}"/>
    <cellStyle name="20% - Accent5 2 7 2 2 2" xfId="16778" xr:uid="{5DAD5E23-642E-40DD-BD4A-06C835BF9065}"/>
    <cellStyle name="20% - Accent5 2 7 2 3" xfId="12560" xr:uid="{0EEFE0E5-50F8-4888-A17B-C7E0668C2DA0}"/>
    <cellStyle name="20% - Accent5 2 7 3" xfId="6191" xr:uid="{00000000-0005-0000-0000-0000CE020000}"/>
    <cellStyle name="20% - Accent5 2 7 3 2" xfId="14633" xr:uid="{189E6DAC-CC82-46DC-90A1-A75C21A00D9B}"/>
    <cellStyle name="20% - Accent5 2 7 4" xfId="10415" xr:uid="{8FD4F1E8-FFFB-40B0-AD11-4293B1A6AB39}"/>
    <cellStyle name="20% - Accent5 2 8" xfId="2297" xr:uid="{00000000-0005-0000-0000-0000CF020000}"/>
    <cellStyle name="20% - Accent5 2 8 2" xfId="6604" xr:uid="{00000000-0005-0000-0000-0000D0020000}"/>
    <cellStyle name="20% - Accent5 2 8 2 2" xfId="15046" xr:uid="{94B4EDB2-7D21-440A-B602-30692CE2118D}"/>
    <cellStyle name="20% - Accent5 2 8 3" xfId="10828" xr:uid="{2E756027-B474-4CF0-879C-3AEA888B47C3}"/>
    <cellStyle name="20% - Accent5 2 9" xfId="4538" xr:uid="{00000000-0005-0000-0000-0000D1020000}"/>
    <cellStyle name="20% - Accent5 2 9 2" xfId="12980" xr:uid="{A86ACF2B-E689-43FA-A86C-F15B07F1945E}"/>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2 2 2" xfId="15544" xr:uid="{714832D6-83E8-4C99-A4A9-7959098023BF}"/>
    <cellStyle name="20% - Accent5 3 2 2 2 3" xfId="11326" xr:uid="{7CF8CCF1-8E1C-4512-9ED6-400402E28CE3}"/>
    <cellStyle name="20% - Accent5 3 2 2 3" xfId="4957" xr:uid="{00000000-0005-0000-0000-0000D7020000}"/>
    <cellStyle name="20% - Accent5 3 2 2 3 2" xfId="13399" xr:uid="{4E461158-E0A1-4E36-AC3C-BA0E49C47503}"/>
    <cellStyle name="20% - Accent5 3 2 2 4" xfId="9181" xr:uid="{977A80AE-B264-48BE-958F-21B37A748164}"/>
    <cellStyle name="20% - Accent5 3 2 3" xfId="1061" xr:uid="{00000000-0005-0000-0000-0000D8020000}"/>
    <cellStyle name="20% - Accent5 3 2 3 2" xfId="3292" xr:uid="{00000000-0005-0000-0000-0000D9020000}"/>
    <cellStyle name="20% - Accent5 3 2 3 2 2" xfId="7515" xr:uid="{00000000-0005-0000-0000-0000DA020000}"/>
    <cellStyle name="20% - Accent5 3 2 3 2 2 2" xfId="15957" xr:uid="{EFE556B4-449E-48F3-88D8-1F8F3761E6B9}"/>
    <cellStyle name="20% - Accent5 3 2 3 2 3" xfId="11739" xr:uid="{65485604-93AA-4FC2-B5F5-018EBC9F6000}"/>
    <cellStyle name="20% - Accent5 3 2 3 3" xfId="5370" xr:uid="{00000000-0005-0000-0000-0000DB020000}"/>
    <cellStyle name="20% - Accent5 3 2 3 3 2" xfId="13812" xr:uid="{D8D7D901-B359-4081-9ED8-6816A4B19DFD}"/>
    <cellStyle name="20% - Accent5 3 2 3 4" xfId="9594" xr:uid="{706EB72B-F14D-4A26-B278-3B78BC7055BE}"/>
    <cellStyle name="20% - Accent5 3 2 4" xfId="1475" xr:uid="{00000000-0005-0000-0000-0000DC020000}"/>
    <cellStyle name="20% - Accent5 3 2 4 2" xfId="3705" xr:uid="{00000000-0005-0000-0000-0000DD020000}"/>
    <cellStyle name="20% - Accent5 3 2 4 2 2" xfId="7928" xr:uid="{00000000-0005-0000-0000-0000DE020000}"/>
    <cellStyle name="20% - Accent5 3 2 4 2 2 2" xfId="16370" xr:uid="{80802C66-FB24-403F-8560-C4A3E5824F99}"/>
    <cellStyle name="20% - Accent5 3 2 4 2 3" xfId="12152" xr:uid="{31067BC7-438E-47C1-9CFE-AE616F3B75F1}"/>
    <cellStyle name="20% - Accent5 3 2 4 3" xfId="5783" xr:uid="{00000000-0005-0000-0000-0000DF020000}"/>
    <cellStyle name="20% - Accent5 3 2 4 3 2" xfId="14225" xr:uid="{8C646AF5-888C-408C-B388-30FD85E5622E}"/>
    <cellStyle name="20% - Accent5 3 2 4 4" xfId="10007" xr:uid="{85E8A709-2F92-4F0B-A8F8-357EA15EF112}"/>
    <cellStyle name="20% - Accent5 3 2 5" xfId="1889" xr:uid="{00000000-0005-0000-0000-0000E0020000}"/>
    <cellStyle name="20% - Accent5 3 2 5 2" xfId="4118" xr:uid="{00000000-0005-0000-0000-0000E1020000}"/>
    <cellStyle name="20% - Accent5 3 2 5 2 2" xfId="8341" xr:uid="{00000000-0005-0000-0000-0000E2020000}"/>
    <cellStyle name="20% - Accent5 3 2 5 2 2 2" xfId="16783" xr:uid="{6C51065C-9E82-43DF-837A-7FFBD8188DD9}"/>
    <cellStyle name="20% - Accent5 3 2 5 2 3" xfId="12565" xr:uid="{3D1E3FF5-D307-4746-A80F-63C442FFEBB5}"/>
    <cellStyle name="20% - Accent5 3 2 5 3" xfId="6196" xr:uid="{00000000-0005-0000-0000-0000E3020000}"/>
    <cellStyle name="20% - Accent5 3 2 5 3 2" xfId="14638" xr:uid="{C3A7371A-4AE9-4D37-B8FD-F938D9E8C625}"/>
    <cellStyle name="20% - Accent5 3 2 5 4" xfId="10420" xr:uid="{CB04B6E5-3021-4B45-92F6-EF86C18EDEE2}"/>
    <cellStyle name="20% - Accent5 3 2 6" xfId="2302" xr:uid="{00000000-0005-0000-0000-0000E4020000}"/>
    <cellStyle name="20% - Accent5 3 2 6 2" xfId="6609" xr:uid="{00000000-0005-0000-0000-0000E5020000}"/>
    <cellStyle name="20% - Accent5 3 2 6 2 2" xfId="15051" xr:uid="{9606696B-8B12-4D3E-BD72-CC707E804999}"/>
    <cellStyle name="20% - Accent5 3 2 6 3" xfId="10833" xr:uid="{CCB6A595-906D-4B9A-939F-390D457EA929}"/>
    <cellStyle name="20% - Accent5 3 2 7" xfId="4543" xr:uid="{00000000-0005-0000-0000-0000E6020000}"/>
    <cellStyle name="20% - Accent5 3 2 7 2" xfId="12985" xr:uid="{FBEE1EA1-67BE-4EB8-88DB-9DE68EB7072A}"/>
    <cellStyle name="20% - Accent5 3 2 8" xfId="8767" xr:uid="{9A711925-169F-4B33-9FD1-55E8501A9778}"/>
    <cellStyle name="20% - Accent5 3 3" xfId="607" xr:uid="{00000000-0005-0000-0000-0000E7020000}"/>
    <cellStyle name="20% - Accent5 3 3 2" xfId="2878" xr:uid="{00000000-0005-0000-0000-0000E8020000}"/>
    <cellStyle name="20% - Accent5 3 3 2 2" xfId="7101" xr:uid="{00000000-0005-0000-0000-0000E9020000}"/>
    <cellStyle name="20% - Accent5 3 3 2 2 2" xfId="15543" xr:uid="{BCFE05A6-4D99-4F4E-9D28-13985D04945C}"/>
    <cellStyle name="20% - Accent5 3 3 2 3" xfId="11325" xr:uid="{1EAB5776-5074-49DC-9FAF-261B428DCE8E}"/>
    <cellStyle name="20% - Accent5 3 3 3" xfId="4956" xr:uid="{00000000-0005-0000-0000-0000EA020000}"/>
    <cellStyle name="20% - Accent5 3 3 3 2" xfId="13398" xr:uid="{3A1042B2-8449-4AB4-8036-C66B85A96802}"/>
    <cellStyle name="20% - Accent5 3 3 4" xfId="9180" xr:uid="{30EEFB17-C94F-4363-A1DF-BA6CB0D89E4B}"/>
    <cellStyle name="20% - Accent5 3 4" xfId="1060" xr:uid="{00000000-0005-0000-0000-0000EB020000}"/>
    <cellStyle name="20% - Accent5 3 4 2" xfId="3291" xr:uid="{00000000-0005-0000-0000-0000EC020000}"/>
    <cellStyle name="20% - Accent5 3 4 2 2" xfId="7514" xr:uid="{00000000-0005-0000-0000-0000ED020000}"/>
    <cellStyle name="20% - Accent5 3 4 2 2 2" xfId="15956" xr:uid="{8836BEAF-209B-4F80-8480-A85AB5554A11}"/>
    <cellStyle name="20% - Accent5 3 4 2 3" xfId="11738" xr:uid="{215204AC-615E-4F83-BD4D-358A26906EA4}"/>
    <cellStyle name="20% - Accent5 3 4 3" xfId="5369" xr:uid="{00000000-0005-0000-0000-0000EE020000}"/>
    <cellStyle name="20% - Accent5 3 4 3 2" xfId="13811" xr:uid="{F018A2E8-5078-4E36-B33A-AD81CDFC5A2E}"/>
    <cellStyle name="20% - Accent5 3 4 4" xfId="9593" xr:uid="{3AEE53D9-D681-4F5E-A258-C7B50F6D58B4}"/>
    <cellStyle name="20% - Accent5 3 5" xfId="1474" xr:uid="{00000000-0005-0000-0000-0000EF020000}"/>
    <cellStyle name="20% - Accent5 3 5 2" xfId="3704" xr:uid="{00000000-0005-0000-0000-0000F0020000}"/>
    <cellStyle name="20% - Accent5 3 5 2 2" xfId="7927" xr:uid="{00000000-0005-0000-0000-0000F1020000}"/>
    <cellStyle name="20% - Accent5 3 5 2 2 2" xfId="16369" xr:uid="{25A42A28-4C6F-410B-8AAE-9FC1D1926891}"/>
    <cellStyle name="20% - Accent5 3 5 2 3" xfId="12151" xr:uid="{CF4C7342-B331-4785-A7F6-EF367C080BAF}"/>
    <cellStyle name="20% - Accent5 3 5 3" xfId="5782" xr:uid="{00000000-0005-0000-0000-0000F2020000}"/>
    <cellStyle name="20% - Accent5 3 5 3 2" xfId="14224" xr:uid="{37253C2E-E9A5-4744-8EC7-415B2BB34CD1}"/>
    <cellStyle name="20% - Accent5 3 5 4" xfId="10006" xr:uid="{9872B80D-4C3A-4F8E-9454-1FAEEFA187A4}"/>
    <cellStyle name="20% - Accent5 3 6" xfId="1888" xr:uid="{00000000-0005-0000-0000-0000F3020000}"/>
    <cellStyle name="20% - Accent5 3 6 2" xfId="4117" xr:uid="{00000000-0005-0000-0000-0000F4020000}"/>
    <cellStyle name="20% - Accent5 3 6 2 2" xfId="8340" xr:uid="{00000000-0005-0000-0000-0000F5020000}"/>
    <cellStyle name="20% - Accent5 3 6 2 2 2" xfId="16782" xr:uid="{43568D26-AA75-42DE-BF88-E8F00C3EA2FA}"/>
    <cellStyle name="20% - Accent5 3 6 2 3" xfId="12564" xr:uid="{FE01F398-FF0B-495F-A1EC-EF78AD3A5549}"/>
    <cellStyle name="20% - Accent5 3 6 3" xfId="6195" xr:uid="{00000000-0005-0000-0000-0000F6020000}"/>
    <cellStyle name="20% - Accent5 3 6 3 2" xfId="14637" xr:uid="{15625F3D-281A-482D-B136-26ED5C28E8B6}"/>
    <cellStyle name="20% - Accent5 3 6 4" xfId="10419" xr:uid="{3EC9BEC8-F642-4582-AB8F-FEBF11B5CEA0}"/>
    <cellStyle name="20% - Accent5 3 7" xfId="2301" xr:uid="{00000000-0005-0000-0000-0000F7020000}"/>
    <cellStyle name="20% - Accent5 3 7 2" xfId="6608" xr:uid="{00000000-0005-0000-0000-0000F8020000}"/>
    <cellStyle name="20% - Accent5 3 7 2 2" xfId="15050" xr:uid="{390FF2BE-B1EE-4132-9845-0C751AF8A890}"/>
    <cellStyle name="20% - Accent5 3 7 3" xfId="10832" xr:uid="{A06BE7B6-F98D-4A11-9755-65482EEAF96E}"/>
    <cellStyle name="20% - Accent5 3 8" xfId="4542" xr:uid="{00000000-0005-0000-0000-0000F9020000}"/>
    <cellStyle name="20% - Accent5 3 8 2" xfId="12984" xr:uid="{991ACFD3-F72D-41DA-A870-FA0F5B028E8E}"/>
    <cellStyle name="20% - Accent5 3 9" xfId="8766" xr:uid="{FFFC06F5-9329-4873-A9F8-BCC4E7FCDCD6}"/>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2 2 2" xfId="15545" xr:uid="{20D15406-2F61-49ED-B98B-D2C2142DDAF4}"/>
    <cellStyle name="20% - Accent5 4 2 2 3" xfId="11327" xr:uid="{C913D02C-2678-424F-B44E-333CC8D78CA9}"/>
    <cellStyle name="20% - Accent5 4 2 3" xfId="4958" xr:uid="{00000000-0005-0000-0000-0000FE020000}"/>
    <cellStyle name="20% - Accent5 4 2 3 2" xfId="13400" xr:uid="{B7C4E7BA-AC3F-43AE-A0C8-6CA5D8D6A496}"/>
    <cellStyle name="20% - Accent5 4 2 4" xfId="9182" xr:uid="{43DC4299-C96C-41D3-8E4F-DA7A2D6A5E4D}"/>
    <cellStyle name="20% - Accent5 4 3" xfId="1062" xr:uid="{00000000-0005-0000-0000-0000FF020000}"/>
    <cellStyle name="20% - Accent5 4 3 2" xfId="3293" xr:uid="{00000000-0005-0000-0000-000000030000}"/>
    <cellStyle name="20% - Accent5 4 3 2 2" xfId="7516" xr:uid="{00000000-0005-0000-0000-000001030000}"/>
    <cellStyle name="20% - Accent5 4 3 2 2 2" xfId="15958" xr:uid="{A7A8A7BF-1EDD-486D-A002-848399E10421}"/>
    <cellStyle name="20% - Accent5 4 3 2 3" xfId="11740" xr:uid="{D51FF99E-53F4-4FBA-894A-8AC13B243D24}"/>
    <cellStyle name="20% - Accent5 4 3 3" xfId="5371" xr:uid="{00000000-0005-0000-0000-000002030000}"/>
    <cellStyle name="20% - Accent5 4 3 3 2" xfId="13813" xr:uid="{6B87AB97-4BA8-4B29-88AB-D1455F69202B}"/>
    <cellStyle name="20% - Accent5 4 3 4" xfId="9595" xr:uid="{78E56690-E8D5-4B1D-BF9F-B4B83410CF13}"/>
    <cellStyle name="20% - Accent5 4 4" xfId="1476" xr:uid="{00000000-0005-0000-0000-000003030000}"/>
    <cellStyle name="20% - Accent5 4 4 2" xfId="3706" xr:uid="{00000000-0005-0000-0000-000004030000}"/>
    <cellStyle name="20% - Accent5 4 4 2 2" xfId="7929" xr:uid="{00000000-0005-0000-0000-000005030000}"/>
    <cellStyle name="20% - Accent5 4 4 2 2 2" xfId="16371" xr:uid="{599C6D95-B421-4EBA-B397-281164554CAC}"/>
    <cellStyle name="20% - Accent5 4 4 2 3" xfId="12153" xr:uid="{6349B917-72EC-42A8-B65F-33E9EF699D7A}"/>
    <cellStyle name="20% - Accent5 4 4 3" xfId="5784" xr:uid="{00000000-0005-0000-0000-000006030000}"/>
    <cellStyle name="20% - Accent5 4 4 3 2" xfId="14226" xr:uid="{35BD9E7F-4579-4FCC-99DB-950F3CDE88F5}"/>
    <cellStyle name="20% - Accent5 4 4 4" xfId="10008" xr:uid="{BEC856AC-56FD-432E-B8B2-CA6288BF3607}"/>
    <cellStyle name="20% - Accent5 4 5" xfId="1890" xr:uid="{00000000-0005-0000-0000-000007030000}"/>
    <cellStyle name="20% - Accent5 4 5 2" xfId="4119" xr:uid="{00000000-0005-0000-0000-000008030000}"/>
    <cellStyle name="20% - Accent5 4 5 2 2" xfId="8342" xr:uid="{00000000-0005-0000-0000-000009030000}"/>
    <cellStyle name="20% - Accent5 4 5 2 2 2" xfId="16784" xr:uid="{724AB6F6-4EC7-4DE6-B7B6-C3D44B19166E}"/>
    <cellStyle name="20% - Accent5 4 5 2 3" xfId="12566" xr:uid="{76D83EBB-4105-4C52-9F96-28E04EC612B5}"/>
    <cellStyle name="20% - Accent5 4 5 3" xfId="6197" xr:uid="{00000000-0005-0000-0000-00000A030000}"/>
    <cellStyle name="20% - Accent5 4 5 3 2" xfId="14639" xr:uid="{DD185EB8-ED35-4CC6-A813-EBF8BAEDD3B3}"/>
    <cellStyle name="20% - Accent5 4 5 4" xfId="10421" xr:uid="{CDE28736-5574-4BC9-904C-21EEE5CCABE0}"/>
    <cellStyle name="20% - Accent5 4 6" xfId="2303" xr:uid="{00000000-0005-0000-0000-00000B030000}"/>
    <cellStyle name="20% - Accent5 4 6 2" xfId="6610" xr:uid="{00000000-0005-0000-0000-00000C030000}"/>
    <cellStyle name="20% - Accent5 4 6 2 2" xfId="15052" xr:uid="{83BEBD96-6EFB-4121-858C-6016FFBC7EE2}"/>
    <cellStyle name="20% - Accent5 4 6 3" xfId="10834" xr:uid="{1FFB7126-7362-48EA-9790-43918EFBC3A4}"/>
    <cellStyle name="20% - Accent5 4 7" xfId="4544" xr:uid="{00000000-0005-0000-0000-00000D030000}"/>
    <cellStyle name="20% - Accent5 4 7 2" xfId="12986" xr:uid="{5111A111-6B6E-4ED5-B5D3-E2BFD0EA9D62}"/>
    <cellStyle name="20% - Accent5 4 8" xfId="8768" xr:uid="{54819C8E-6FDA-43C1-9114-6CFAA4DC0BE9}"/>
    <cellStyle name="20% - Accent5 5" xfId="602" xr:uid="{00000000-0005-0000-0000-00000E030000}"/>
    <cellStyle name="20% - Accent5 5 2" xfId="2873" xr:uid="{00000000-0005-0000-0000-00000F030000}"/>
    <cellStyle name="20% - Accent5 5 2 2" xfId="7096" xr:uid="{00000000-0005-0000-0000-000010030000}"/>
    <cellStyle name="20% - Accent5 5 2 2 2" xfId="15538" xr:uid="{D8C04818-4E5A-4311-A30B-95C577B07FFE}"/>
    <cellStyle name="20% - Accent5 5 2 3" xfId="11320" xr:uid="{DADC2751-D6DB-42B3-8179-4EBFED219126}"/>
    <cellStyle name="20% - Accent5 5 3" xfId="4951" xr:uid="{00000000-0005-0000-0000-000011030000}"/>
    <cellStyle name="20% - Accent5 5 3 2" xfId="13393" xr:uid="{9EB95F8A-4669-45A3-81EC-D9630E6C6B35}"/>
    <cellStyle name="20% - Accent5 5 4" xfId="9175" xr:uid="{705DA175-7E5C-4B81-BC73-091794090F3E}"/>
    <cellStyle name="20% - Accent5 6" xfId="1055" xr:uid="{00000000-0005-0000-0000-000012030000}"/>
    <cellStyle name="20% - Accent5 6 2" xfId="3286" xr:uid="{00000000-0005-0000-0000-000013030000}"/>
    <cellStyle name="20% - Accent5 6 2 2" xfId="7509" xr:uid="{00000000-0005-0000-0000-000014030000}"/>
    <cellStyle name="20% - Accent5 6 2 2 2" xfId="15951" xr:uid="{3D110AA3-E259-4C58-B666-0A2524AED260}"/>
    <cellStyle name="20% - Accent5 6 2 3" xfId="11733" xr:uid="{8AF86A9F-1208-40E1-B856-B6B7B00903CA}"/>
    <cellStyle name="20% - Accent5 6 3" xfId="5364" xr:uid="{00000000-0005-0000-0000-000015030000}"/>
    <cellStyle name="20% - Accent5 6 3 2" xfId="13806" xr:uid="{AA1A1698-996F-4388-BAA7-CA5C0D050167}"/>
    <cellStyle name="20% - Accent5 6 4" xfId="9588" xr:uid="{AAD44A2D-E4EA-4C1A-B248-DB6F80139100}"/>
    <cellStyle name="20% - Accent5 7" xfId="1469" xr:uid="{00000000-0005-0000-0000-000016030000}"/>
    <cellStyle name="20% - Accent5 7 2" xfId="3699" xr:uid="{00000000-0005-0000-0000-000017030000}"/>
    <cellStyle name="20% - Accent5 7 2 2" xfId="7922" xr:uid="{00000000-0005-0000-0000-000018030000}"/>
    <cellStyle name="20% - Accent5 7 2 2 2" xfId="16364" xr:uid="{CB9026C3-E334-4EC1-B261-5A538535FB09}"/>
    <cellStyle name="20% - Accent5 7 2 3" xfId="12146" xr:uid="{BCFC5CF6-D651-421D-AC17-6D4DBFCD46AC}"/>
    <cellStyle name="20% - Accent5 7 3" xfId="5777" xr:uid="{00000000-0005-0000-0000-000019030000}"/>
    <cellStyle name="20% - Accent5 7 3 2" xfId="14219" xr:uid="{33A9603A-55FC-45D6-BF63-C47FED736CF5}"/>
    <cellStyle name="20% - Accent5 7 4" xfId="10001" xr:uid="{6C6ACA9C-0DE2-4EAE-832B-410B22EF187A}"/>
    <cellStyle name="20% - Accent5 8" xfId="1883" xr:uid="{00000000-0005-0000-0000-00001A030000}"/>
    <cellStyle name="20% - Accent5 8 2" xfId="4112" xr:uid="{00000000-0005-0000-0000-00001B030000}"/>
    <cellStyle name="20% - Accent5 8 2 2" xfId="8335" xr:uid="{00000000-0005-0000-0000-00001C030000}"/>
    <cellStyle name="20% - Accent5 8 2 2 2" xfId="16777" xr:uid="{B1F479EA-7689-42FC-8A82-E46669ACA56C}"/>
    <cellStyle name="20% - Accent5 8 2 3" xfId="12559" xr:uid="{F46526E4-76B5-426D-B9E1-8DD84034C311}"/>
    <cellStyle name="20% - Accent5 8 3" xfId="6190" xr:uid="{00000000-0005-0000-0000-00001D030000}"/>
    <cellStyle name="20% - Accent5 8 3 2" xfId="14632" xr:uid="{C0B1F16D-BF34-4FEE-A69A-AC3F585FAB38}"/>
    <cellStyle name="20% - Accent5 8 4" xfId="10414" xr:uid="{9D14485F-BADB-4EF0-A246-2FECD4C95673}"/>
    <cellStyle name="20% - Accent5 9" xfId="2296" xr:uid="{00000000-0005-0000-0000-00001E030000}"/>
    <cellStyle name="20% - Accent5 9 2" xfId="6603" xr:uid="{00000000-0005-0000-0000-00001F030000}"/>
    <cellStyle name="20% - Accent5 9 2 2" xfId="15045" xr:uid="{7BB05840-B44C-42D8-A7E0-EA611262CF5B}"/>
    <cellStyle name="20% - Accent5 9 3" xfId="10827" xr:uid="{88D7A924-6A43-4F1C-A8DE-91BA4B831245}"/>
    <cellStyle name="20% - Accent6" xfId="41" builtinId="50" customBuiltin="1"/>
    <cellStyle name="20% - Accent6 10" xfId="4545" xr:uid="{00000000-0005-0000-0000-000021030000}"/>
    <cellStyle name="20% - Accent6 10 2" xfId="12987" xr:uid="{E329B485-9EE6-4E66-B259-22109D166428}"/>
    <cellStyle name="20% - Accent6 11" xfId="8769" xr:uid="{C8894549-C91E-483D-9F9A-DB07F024B4B2}"/>
    <cellStyle name="20% - Accent6 2" xfId="42" xr:uid="{00000000-0005-0000-0000-000022030000}"/>
    <cellStyle name="20% - Accent6 2 10" xfId="8770" xr:uid="{4808DD9D-FCD6-457F-AA3D-20463DD559FA}"/>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2 2 2" xfId="15549" xr:uid="{CE9B5207-7043-4570-A494-85814790E720}"/>
    <cellStyle name="20% - Accent6 2 2 2 2 2 3" xfId="11331" xr:uid="{2D94AE72-F1BC-4FF1-A6DC-5BF95E6050F6}"/>
    <cellStyle name="20% - Accent6 2 2 2 2 3" xfId="4962" xr:uid="{00000000-0005-0000-0000-000028030000}"/>
    <cellStyle name="20% - Accent6 2 2 2 2 3 2" xfId="13404" xr:uid="{75B702F9-8EBC-4B67-8DCD-B1254E0014AA}"/>
    <cellStyle name="20% - Accent6 2 2 2 2 4" xfId="9186" xr:uid="{7197A02A-AECC-4ACC-BB2A-B27EFCE2C022}"/>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2 2 2" xfId="15962" xr:uid="{EADC5093-BD3D-4582-B8FC-A16AA7931F92}"/>
    <cellStyle name="20% - Accent6 2 2 2 3 2 3" xfId="11744" xr:uid="{486E3E00-E0AA-4ED3-9377-550B921A866B}"/>
    <cellStyle name="20% - Accent6 2 2 2 3 3" xfId="5375" xr:uid="{00000000-0005-0000-0000-00002C030000}"/>
    <cellStyle name="20% - Accent6 2 2 2 3 3 2" xfId="13817" xr:uid="{DC5CFCD0-718B-4DCB-99B7-BF8AB4E545FC}"/>
    <cellStyle name="20% - Accent6 2 2 2 3 4" xfId="9599" xr:uid="{E882F782-0E7B-4C9F-A199-A9670732003E}"/>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2 2 2" xfId="16375" xr:uid="{F65C2752-FA71-4C3B-9074-8C3F4FB108BC}"/>
    <cellStyle name="20% - Accent6 2 2 2 4 2 3" xfId="12157" xr:uid="{8027CC18-D037-49F0-B3FA-00B4F270CDB7}"/>
    <cellStyle name="20% - Accent6 2 2 2 4 3" xfId="5788" xr:uid="{00000000-0005-0000-0000-000030030000}"/>
    <cellStyle name="20% - Accent6 2 2 2 4 3 2" xfId="14230" xr:uid="{875ABD56-6818-48F6-8AA4-09A71B5FAF8B}"/>
    <cellStyle name="20% - Accent6 2 2 2 4 4" xfId="10012" xr:uid="{0E6357DF-0D6E-47F4-9363-A9CE44E9AC64}"/>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2 2 2" xfId="16788" xr:uid="{902BE1A9-887E-48B9-ACF6-18ACD162CDCD}"/>
    <cellStyle name="20% - Accent6 2 2 2 5 2 3" xfId="12570" xr:uid="{2C1B42EF-3899-4BA5-BC3B-D918F6B2A598}"/>
    <cellStyle name="20% - Accent6 2 2 2 5 3" xfId="6201" xr:uid="{00000000-0005-0000-0000-000034030000}"/>
    <cellStyle name="20% - Accent6 2 2 2 5 3 2" xfId="14643" xr:uid="{57FD0E28-B5E6-4791-8D71-64352D898BE8}"/>
    <cellStyle name="20% - Accent6 2 2 2 5 4" xfId="10425" xr:uid="{364B80FC-C58D-4F25-8EC1-7E97B1904E33}"/>
    <cellStyle name="20% - Accent6 2 2 2 6" xfId="2307" xr:uid="{00000000-0005-0000-0000-000035030000}"/>
    <cellStyle name="20% - Accent6 2 2 2 6 2" xfId="6614" xr:uid="{00000000-0005-0000-0000-000036030000}"/>
    <cellStyle name="20% - Accent6 2 2 2 6 2 2" xfId="15056" xr:uid="{0630EB97-4E30-4FD6-9200-C94CB3673CD4}"/>
    <cellStyle name="20% - Accent6 2 2 2 6 3" xfId="10838" xr:uid="{DEB736EF-F5DC-4BD9-A44A-272044B9FFA1}"/>
    <cellStyle name="20% - Accent6 2 2 2 7" xfId="4548" xr:uid="{00000000-0005-0000-0000-000037030000}"/>
    <cellStyle name="20% - Accent6 2 2 2 7 2" xfId="12990" xr:uid="{9F383F25-C8ED-4712-8460-4D7AD6726E77}"/>
    <cellStyle name="20% - Accent6 2 2 2 8" xfId="8772" xr:uid="{C6B501F4-E68A-46D1-976C-67F3DAA7BD82}"/>
    <cellStyle name="20% - Accent6 2 2 3" xfId="612" xr:uid="{00000000-0005-0000-0000-000038030000}"/>
    <cellStyle name="20% - Accent6 2 2 3 2" xfId="2883" xr:uid="{00000000-0005-0000-0000-000039030000}"/>
    <cellStyle name="20% - Accent6 2 2 3 2 2" xfId="7106" xr:uid="{00000000-0005-0000-0000-00003A030000}"/>
    <cellStyle name="20% - Accent6 2 2 3 2 2 2" xfId="15548" xr:uid="{D2E7BD88-2396-4C1D-B1A3-65492D91B1F3}"/>
    <cellStyle name="20% - Accent6 2 2 3 2 3" xfId="11330" xr:uid="{DA95E9C1-BC10-4930-9CB3-BD70ADC5FD09}"/>
    <cellStyle name="20% - Accent6 2 2 3 3" xfId="4961" xr:uid="{00000000-0005-0000-0000-00003B030000}"/>
    <cellStyle name="20% - Accent6 2 2 3 3 2" xfId="13403" xr:uid="{97EFF9E8-B93F-400B-8D86-450681A0A1FF}"/>
    <cellStyle name="20% - Accent6 2 2 3 4" xfId="9185" xr:uid="{ABE537ED-03C5-4B1A-B073-5F5DC8E8867B}"/>
    <cellStyle name="20% - Accent6 2 2 4" xfId="1065" xr:uid="{00000000-0005-0000-0000-00003C030000}"/>
    <cellStyle name="20% - Accent6 2 2 4 2" xfId="3296" xr:uid="{00000000-0005-0000-0000-00003D030000}"/>
    <cellStyle name="20% - Accent6 2 2 4 2 2" xfId="7519" xr:uid="{00000000-0005-0000-0000-00003E030000}"/>
    <cellStyle name="20% - Accent6 2 2 4 2 2 2" xfId="15961" xr:uid="{2F7527C9-E4CC-4AE8-BE92-DDDBA2E17957}"/>
    <cellStyle name="20% - Accent6 2 2 4 2 3" xfId="11743" xr:uid="{471BC513-C1A4-4729-BC82-71B27E2A857A}"/>
    <cellStyle name="20% - Accent6 2 2 4 3" xfId="5374" xr:uid="{00000000-0005-0000-0000-00003F030000}"/>
    <cellStyle name="20% - Accent6 2 2 4 3 2" xfId="13816" xr:uid="{A5EAFEDF-DAC1-438A-9B3D-B61513E756A5}"/>
    <cellStyle name="20% - Accent6 2 2 4 4" xfId="9598" xr:uid="{4809FC08-7300-4717-8582-EA01D3CF8AD1}"/>
    <cellStyle name="20% - Accent6 2 2 5" xfId="1479" xr:uid="{00000000-0005-0000-0000-000040030000}"/>
    <cellStyle name="20% - Accent6 2 2 5 2" xfId="3709" xr:uid="{00000000-0005-0000-0000-000041030000}"/>
    <cellStyle name="20% - Accent6 2 2 5 2 2" xfId="7932" xr:uid="{00000000-0005-0000-0000-000042030000}"/>
    <cellStyle name="20% - Accent6 2 2 5 2 2 2" xfId="16374" xr:uid="{8123A27F-C29B-4B3C-B2C7-C0BBF021AB98}"/>
    <cellStyle name="20% - Accent6 2 2 5 2 3" xfId="12156" xr:uid="{FB9942D8-84B4-4925-9808-782F705BDD72}"/>
    <cellStyle name="20% - Accent6 2 2 5 3" xfId="5787" xr:uid="{00000000-0005-0000-0000-000043030000}"/>
    <cellStyle name="20% - Accent6 2 2 5 3 2" xfId="14229" xr:uid="{382158B3-2593-48D0-B8B0-CE9DCBCC98B4}"/>
    <cellStyle name="20% - Accent6 2 2 5 4" xfId="10011" xr:uid="{D727F237-D0FD-4FAF-8BBC-703865756115}"/>
    <cellStyle name="20% - Accent6 2 2 6" xfId="1893" xr:uid="{00000000-0005-0000-0000-000044030000}"/>
    <cellStyle name="20% - Accent6 2 2 6 2" xfId="4122" xr:uid="{00000000-0005-0000-0000-000045030000}"/>
    <cellStyle name="20% - Accent6 2 2 6 2 2" xfId="8345" xr:uid="{00000000-0005-0000-0000-000046030000}"/>
    <cellStyle name="20% - Accent6 2 2 6 2 2 2" xfId="16787" xr:uid="{C82F37CB-7DC4-4006-9E36-649522B2AD05}"/>
    <cellStyle name="20% - Accent6 2 2 6 2 3" xfId="12569" xr:uid="{2D72BC8D-E773-49A9-97EF-68435F0EEF03}"/>
    <cellStyle name="20% - Accent6 2 2 6 3" xfId="6200" xr:uid="{00000000-0005-0000-0000-000047030000}"/>
    <cellStyle name="20% - Accent6 2 2 6 3 2" xfId="14642" xr:uid="{A0D70815-F54A-411D-A82D-8873C9DE1B47}"/>
    <cellStyle name="20% - Accent6 2 2 6 4" xfId="10424" xr:uid="{F0B1805A-4E36-4E7C-9DEB-C50BDCF6CBF8}"/>
    <cellStyle name="20% - Accent6 2 2 7" xfId="2306" xr:uid="{00000000-0005-0000-0000-000048030000}"/>
    <cellStyle name="20% - Accent6 2 2 7 2" xfId="6613" xr:uid="{00000000-0005-0000-0000-000049030000}"/>
    <cellStyle name="20% - Accent6 2 2 7 2 2" xfId="15055" xr:uid="{A2AE09AC-327F-4439-A71E-2F03DE631A22}"/>
    <cellStyle name="20% - Accent6 2 2 7 3" xfId="10837" xr:uid="{B11F2BDE-200C-4652-AD90-2D2081BBC3A8}"/>
    <cellStyle name="20% - Accent6 2 2 8" xfId="4547" xr:uid="{00000000-0005-0000-0000-00004A030000}"/>
    <cellStyle name="20% - Accent6 2 2 8 2" xfId="12989" xr:uid="{3B1CE026-CF5C-4B73-B05B-96E309BA7B1F}"/>
    <cellStyle name="20% - Accent6 2 2 9" xfId="8771" xr:uid="{F9984C1C-6CB5-49E2-88A7-248E3DE7ABAC}"/>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2 2 2" xfId="15550" xr:uid="{A9EA1E12-E954-406B-8191-BD373258D10E}"/>
    <cellStyle name="20% - Accent6 2 3 2 2 3" xfId="11332" xr:uid="{A905AFF2-A454-43F7-BEC5-C49F5802D542}"/>
    <cellStyle name="20% - Accent6 2 3 2 3" xfId="4963" xr:uid="{00000000-0005-0000-0000-00004F030000}"/>
    <cellStyle name="20% - Accent6 2 3 2 3 2" xfId="13405" xr:uid="{869A25C9-4532-4C13-BA2C-6B3CAAE83D62}"/>
    <cellStyle name="20% - Accent6 2 3 2 4" xfId="9187" xr:uid="{2CC2CB4A-AFEF-4C4A-8EB4-8EA02B35A408}"/>
    <cellStyle name="20% - Accent6 2 3 3" xfId="1067" xr:uid="{00000000-0005-0000-0000-000050030000}"/>
    <cellStyle name="20% - Accent6 2 3 3 2" xfId="3298" xr:uid="{00000000-0005-0000-0000-000051030000}"/>
    <cellStyle name="20% - Accent6 2 3 3 2 2" xfId="7521" xr:uid="{00000000-0005-0000-0000-000052030000}"/>
    <cellStyle name="20% - Accent6 2 3 3 2 2 2" xfId="15963" xr:uid="{11809A8C-14F3-4FF1-84F6-A1560C9021D7}"/>
    <cellStyle name="20% - Accent6 2 3 3 2 3" xfId="11745" xr:uid="{5322E264-9FC0-49B7-8B03-2860A7943537}"/>
    <cellStyle name="20% - Accent6 2 3 3 3" xfId="5376" xr:uid="{00000000-0005-0000-0000-000053030000}"/>
    <cellStyle name="20% - Accent6 2 3 3 3 2" xfId="13818" xr:uid="{E9A551B0-6F81-42D7-8CAD-73D781C78607}"/>
    <cellStyle name="20% - Accent6 2 3 3 4" xfId="9600" xr:uid="{2E4C357C-5919-4099-BFE4-46B88917FDB6}"/>
    <cellStyle name="20% - Accent6 2 3 4" xfId="1481" xr:uid="{00000000-0005-0000-0000-000054030000}"/>
    <cellStyle name="20% - Accent6 2 3 4 2" xfId="3711" xr:uid="{00000000-0005-0000-0000-000055030000}"/>
    <cellStyle name="20% - Accent6 2 3 4 2 2" xfId="7934" xr:uid="{00000000-0005-0000-0000-000056030000}"/>
    <cellStyle name="20% - Accent6 2 3 4 2 2 2" xfId="16376" xr:uid="{02D30CDD-2887-422F-90DF-EBF4C31C1604}"/>
    <cellStyle name="20% - Accent6 2 3 4 2 3" xfId="12158" xr:uid="{A99C465B-BDBC-42FE-A344-1E31904EF300}"/>
    <cellStyle name="20% - Accent6 2 3 4 3" xfId="5789" xr:uid="{00000000-0005-0000-0000-000057030000}"/>
    <cellStyle name="20% - Accent6 2 3 4 3 2" xfId="14231" xr:uid="{0638AC43-B16D-479B-924F-BD4DAF6D1565}"/>
    <cellStyle name="20% - Accent6 2 3 4 4" xfId="10013" xr:uid="{A40F92CF-2071-4BE7-9BC6-D665DCD18DA9}"/>
    <cellStyle name="20% - Accent6 2 3 5" xfId="1895" xr:uid="{00000000-0005-0000-0000-000058030000}"/>
    <cellStyle name="20% - Accent6 2 3 5 2" xfId="4124" xr:uid="{00000000-0005-0000-0000-000059030000}"/>
    <cellStyle name="20% - Accent6 2 3 5 2 2" xfId="8347" xr:uid="{00000000-0005-0000-0000-00005A030000}"/>
    <cellStyle name="20% - Accent6 2 3 5 2 2 2" xfId="16789" xr:uid="{BBA4A7BA-C0EF-4D6C-88FD-8CF362C630F6}"/>
    <cellStyle name="20% - Accent6 2 3 5 2 3" xfId="12571" xr:uid="{6E8BABAB-2A98-43AC-8889-52F6CAD1D51F}"/>
    <cellStyle name="20% - Accent6 2 3 5 3" xfId="6202" xr:uid="{00000000-0005-0000-0000-00005B030000}"/>
    <cellStyle name="20% - Accent6 2 3 5 3 2" xfId="14644" xr:uid="{BD4C4C35-0565-4B7E-AB4D-7ADABA0B76BA}"/>
    <cellStyle name="20% - Accent6 2 3 5 4" xfId="10426" xr:uid="{D0379804-9933-4AAC-8BC8-26CD5C1D430C}"/>
    <cellStyle name="20% - Accent6 2 3 6" xfId="2308" xr:uid="{00000000-0005-0000-0000-00005C030000}"/>
    <cellStyle name="20% - Accent6 2 3 6 2" xfId="6615" xr:uid="{00000000-0005-0000-0000-00005D030000}"/>
    <cellStyle name="20% - Accent6 2 3 6 2 2" xfId="15057" xr:uid="{5A1ECFD6-384D-43B2-BF17-2A7B73BAC156}"/>
    <cellStyle name="20% - Accent6 2 3 6 3" xfId="10839" xr:uid="{87034F4E-81C5-43C5-B2E3-75F6ADD466D0}"/>
    <cellStyle name="20% - Accent6 2 3 7" xfId="4549" xr:uid="{00000000-0005-0000-0000-00005E030000}"/>
    <cellStyle name="20% - Accent6 2 3 7 2" xfId="12991" xr:uid="{B02D9159-E277-44FE-B841-A2F8646A9D96}"/>
    <cellStyle name="20% - Accent6 2 3 8" xfId="8773" xr:uid="{D3A3BEF0-62E5-4027-8C13-28B385988DC9}"/>
    <cellStyle name="20% - Accent6 2 4" xfId="611" xr:uid="{00000000-0005-0000-0000-00005F030000}"/>
    <cellStyle name="20% - Accent6 2 4 2" xfId="2882" xr:uid="{00000000-0005-0000-0000-000060030000}"/>
    <cellStyle name="20% - Accent6 2 4 2 2" xfId="7105" xr:uid="{00000000-0005-0000-0000-000061030000}"/>
    <cellStyle name="20% - Accent6 2 4 2 2 2" xfId="15547" xr:uid="{56070264-7820-4C67-BCDB-4B6D816BD242}"/>
    <cellStyle name="20% - Accent6 2 4 2 3" xfId="11329" xr:uid="{4328244D-2896-42F3-9869-4494D21E90BC}"/>
    <cellStyle name="20% - Accent6 2 4 3" xfId="4960" xr:uid="{00000000-0005-0000-0000-000062030000}"/>
    <cellStyle name="20% - Accent6 2 4 3 2" xfId="13402" xr:uid="{521070ED-9C02-4179-A1BD-A7D5EF0D47A7}"/>
    <cellStyle name="20% - Accent6 2 4 4" xfId="9184" xr:uid="{A00797D7-B45E-4043-8195-E45F6A6AF945}"/>
    <cellStyle name="20% - Accent6 2 5" xfId="1064" xr:uid="{00000000-0005-0000-0000-000063030000}"/>
    <cellStyle name="20% - Accent6 2 5 2" xfId="3295" xr:uid="{00000000-0005-0000-0000-000064030000}"/>
    <cellStyle name="20% - Accent6 2 5 2 2" xfId="7518" xr:uid="{00000000-0005-0000-0000-000065030000}"/>
    <cellStyle name="20% - Accent6 2 5 2 2 2" xfId="15960" xr:uid="{78CA9524-1795-418E-B4F3-4D29EC6606DA}"/>
    <cellStyle name="20% - Accent6 2 5 2 3" xfId="11742" xr:uid="{9874B18B-5271-499E-9980-B69B742545AC}"/>
    <cellStyle name="20% - Accent6 2 5 3" xfId="5373" xr:uid="{00000000-0005-0000-0000-000066030000}"/>
    <cellStyle name="20% - Accent6 2 5 3 2" xfId="13815" xr:uid="{7E47C611-3C7B-4D74-8BD1-89B428E3F8B9}"/>
    <cellStyle name="20% - Accent6 2 5 4" xfId="9597" xr:uid="{3688A621-A942-48D3-85DF-D7AE720D9484}"/>
    <cellStyle name="20% - Accent6 2 6" xfId="1478" xr:uid="{00000000-0005-0000-0000-000067030000}"/>
    <cellStyle name="20% - Accent6 2 6 2" xfId="3708" xr:uid="{00000000-0005-0000-0000-000068030000}"/>
    <cellStyle name="20% - Accent6 2 6 2 2" xfId="7931" xr:uid="{00000000-0005-0000-0000-000069030000}"/>
    <cellStyle name="20% - Accent6 2 6 2 2 2" xfId="16373" xr:uid="{304798EE-BB7E-4092-894E-1B8DCFAA0C36}"/>
    <cellStyle name="20% - Accent6 2 6 2 3" xfId="12155" xr:uid="{E3C9AE39-8FC1-4566-B316-4783908C643F}"/>
    <cellStyle name="20% - Accent6 2 6 3" xfId="5786" xr:uid="{00000000-0005-0000-0000-00006A030000}"/>
    <cellStyle name="20% - Accent6 2 6 3 2" xfId="14228" xr:uid="{17553085-2C64-4A0E-A004-E25D8CA7E8E5}"/>
    <cellStyle name="20% - Accent6 2 6 4" xfId="10010" xr:uid="{DF325329-B1FC-4B29-9F36-10A927463D26}"/>
    <cellStyle name="20% - Accent6 2 7" xfId="1892" xr:uid="{00000000-0005-0000-0000-00006B030000}"/>
    <cellStyle name="20% - Accent6 2 7 2" xfId="4121" xr:uid="{00000000-0005-0000-0000-00006C030000}"/>
    <cellStyle name="20% - Accent6 2 7 2 2" xfId="8344" xr:uid="{00000000-0005-0000-0000-00006D030000}"/>
    <cellStyle name="20% - Accent6 2 7 2 2 2" xfId="16786" xr:uid="{D4897764-1A75-48BA-81B5-C850CAC9F57F}"/>
    <cellStyle name="20% - Accent6 2 7 2 3" xfId="12568" xr:uid="{5A05AD3C-D486-40D7-8679-3769974BBE9C}"/>
    <cellStyle name="20% - Accent6 2 7 3" xfId="6199" xr:uid="{00000000-0005-0000-0000-00006E030000}"/>
    <cellStyle name="20% - Accent6 2 7 3 2" xfId="14641" xr:uid="{039D9088-AFA2-4EC7-B156-BC96D8BD3002}"/>
    <cellStyle name="20% - Accent6 2 7 4" xfId="10423" xr:uid="{88F735D5-C153-4D3D-806E-E2735D7E1B87}"/>
    <cellStyle name="20% - Accent6 2 8" xfId="2305" xr:uid="{00000000-0005-0000-0000-00006F030000}"/>
    <cellStyle name="20% - Accent6 2 8 2" xfId="6612" xr:uid="{00000000-0005-0000-0000-000070030000}"/>
    <cellStyle name="20% - Accent6 2 8 2 2" xfId="15054" xr:uid="{C1DD33FD-3D5B-4E7E-BA88-00AABB00EC85}"/>
    <cellStyle name="20% - Accent6 2 8 3" xfId="10836" xr:uid="{34275D02-1FED-40F1-9981-2D940C91A329}"/>
    <cellStyle name="20% - Accent6 2 9" xfId="4546" xr:uid="{00000000-0005-0000-0000-000071030000}"/>
    <cellStyle name="20% - Accent6 2 9 2" xfId="12988" xr:uid="{4C1AE0A6-965F-4B95-8260-6AB7FC958D5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2 2 2" xfId="15552" xr:uid="{BCC5D9B4-67C5-4D4F-9677-760F237392A1}"/>
    <cellStyle name="20% - Accent6 3 2 2 2 3" xfId="11334" xr:uid="{1F6DDF5E-CCF4-4FDD-B7EB-0FD5EC6E0648}"/>
    <cellStyle name="20% - Accent6 3 2 2 3" xfId="4965" xr:uid="{00000000-0005-0000-0000-000077030000}"/>
    <cellStyle name="20% - Accent6 3 2 2 3 2" xfId="13407" xr:uid="{520BCAE5-9FD6-4220-A328-0EE3FC085FCD}"/>
    <cellStyle name="20% - Accent6 3 2 2 4" xfId="9189" xr:uid="{F165DFBB-042E-4F05-A26E-CEE8F2287D0A}"/>
    <cellStyle name="20% - Accent6 3 2 3" xfId="1069" xr:uid="{00000000-0005-0000-0000-000078030000}"/>
    <cellStyle name="20% - Accent6 3 2 3 2" xfId="3300" xr:uid="{00000000-0005-0000-0000-000079030000}"/>
    <cellStyle name="20% - Accent6 3 2 3 2 2" xfId="7523" xr:uid="{00000000-0005-0000-0000-00007A030000}"/>
    <cellStyle name="20% - Accent6 3 2 3 2 2 2" xfId="15965" xr:uid="{52B993D8-10D1-4253-90B6-38C17A64E644}"/>
    <cellStyle name="20% - Accent6 3 2 3 2 3" xfId="11747" xr:uid="{C9717473-0491-4C09-9B6F-2902657B9790}"/>
    <cellStyle name="20% - Accent6 3 2 3 3" xfId="5378" xr:uid="{00000000-0005-0000-0000-00007B030000}"/>
    <cellStyle name="20% - Accent6 3 2 3 3 2" xfId="13820" xr:uid="{A8CB1574-68BF-4EE7-9584-93C45CAEADDF}"/>
    <cellStyle name="20% - Accent6 3 2 3 4" xfId="9602" xr:uid="{5FD4BE46-DFF5-40F8-90E7-F2540096DA78}"/>
    <cellStyle name="20% - Accent6 3 2 4" xfId="1483" xr:uid="{00000000-0005-0000-0000-00007C030000}"/>
    <cellStyle name="20% - Accent6 3 2 4 2" xfId="3713" xr:uid="{00000000-0005-0000-0000-00007D030000}"/>
    <cellStyle name="20% - Accent6 3 2 4 2 2" xfId="7936" xr:uid="{00000000-0005-0000-0000-00007E030000}"/>
    <cellStyle name="20% - Accent6 3 2 4 2 2 2" xfId="16378" xr:uid="{74CB0983-8D72-441F-9960-7FD82E1AB230}"/>
    <cellStyle name="20% - Accent6 3 2 4 2 3" xfId="12160" xr:uid="{F5C4EF6C-0C5D-4137-A834-281A50DA9D54}"/>
    <cellStyle name="20% - Accent6 3 2 4 3" xfId="5791" xr:uid="{00000000-0005-0000-0000-00007F030000}"/>
    <cellStyle name="20% - Accent6 3 2 4 3 2" xfId="14233" xr:uid="{805E2371-D1B7-4428-8598-C35053B44029}"/>
    <cellStyle name="20% - Accent6 3 2 4 4" xfId="10015" xr:uid="{3A75DCFE-53E8-4153-B5E7-0DB3E8B95970}"/>
    <cellStyle name="20% - Accent6 3 2 5" xfId="1897" xr:uid="{00000000-0005-0000-0000-000080030000}"/>
    <cellStyle name="20% - Accent6 3 2 5 2" xfId="4126" xr:uid="{00000000-0005-0000-0000-000081030000}"/>
    <cellStyle name="20% - Accent6 3 2 5 2 2" xfId="8349" xr:uid="{00000000-0005-0000-0000-000082030000}"/>
    <cellStyle name="20% - Accent6 3 2 5 2 2 2" xfId="16791" xr:uid="{3BEB793A-2D01-4398-A752-FD7E533B9E71}"/>
    <cellStyle name="20% - Accent6 3 2 5 2 3" xfId="12573" xr:uid="{007B3FC7-D2D9-4826-B01A-A8E6117F8E0D}"/>
    <cellStyle name="20% - Accent6 3 2 5 3" xfId="6204" xr:uid="{00000000-0005-0000-0000-000083030000}"/>
    <cellStyle name="20% - Accent6 3 2 5 3 2" xfId="14646" xr:uid="{2ADF632C-FACE-42FD-BE9B-E1A4AF5DF8DD}"/>
    <cellStyle name="20% - Accent6 3 2 5 4" xfId="10428" xr:uid="{DB7B5A65-84ED-44E7-A0E0-37027B8E4284}"/>
    <cellStyle name="20% - Accent6 3 2 6" xfId="2310" xr:uid="{00000000-0005-0000-0000-000084030000}"/>
    <cellStyle name="20% - Accent6 3 2 6 2" xfId="6617" xr:uid="{00000000-0005-0000-0000-000085030000}"/>
    <cellStyle name="20% - Accent6 3 2 6 2 2" xfId="15059" xr:uid="{690066ED-F29D-4543-A251-9785D910CB54}"/>
    <cellStyle name="20% - Accent6 3 2 6 3" xfId="10841" xr:uid="{E4D151E8-A813-413D-966D-A91A911D2030}"/>
    <cellStyle name="20% - Accent6 3 2 7" xfId="4551" xr:uid="{00000000-0005-0000-0000-000086030000}"/>
    <cellStyle name="20% - Accent6 3 2 7 2" xfId="12993" xr:uid="{1369B72A-FFFE-4237-9ED6-2EDC1FD0E2C7}"/>
    <cellStyle name="20% - Accent6 3 2 8" xfId="8775" xr:uid="{240AC194-EE3A-4F8E-BA2A-5E1945E67CFE}"/>
    <cellStyle name="20% - Accent6 3 3" xfId="615" xr:uid="{00000000-0005-0000-0000-000087030000}"/>
    <cellStyle name="20% - Accent6 3 3 2" xfId="2886" xr:uid="{00000000-0005-0000-0000-000088030000}"/>
    <cellStyle name="20% - Accent6 3 3 2 2" xfId="7109" xr:uid="{00000000-0005-0000-0000-000089030000}"/>
    <cellStyle name="20% - Accent6 3 3 2 2 2" xfId="15551" xr:uid="{FCF86D26-CB3C-445B-BCD2-D520037F9FC4}"/>
    <cellStyle name="20% - Accent6 3 3 2 3" xfId="11333" xr:uid="{A2638B7F-8BD8-43B1-8835-D2A8043F87DD}"/>
    <cellStyle name="20% - Accent6 3 3 3" xfId="4964" xr:uid="{00000000-0005-0000-0000-00008A030000}"/>
    <cellStyle name="20% - Accent6 3 3 3 2" xfId="13406" xr:uid="{2EC968FB-7E97-4D41-AEEF-4DD3AEC65520}"/>
    <cellStyle name="20% - Accent6 3 3 4" xfId="9188" xr:uid="{0DA3B9DB-EA5C-4108-8EE2-CC5D92B4980D}"/>
    <cellStyle name="20% - Accent6 3 4" xfId="1068" xr:uid="{00000000-0005-0000-0000-00008B030000}"/>
    <cellStyle name="20% - Accent6 3 4 2" xfId="3299" xr:uid="{00000000-0005-0000-0000-00008C030000}"/>
    <cellStyle name="20% - Accent6 3 4 2 2" xfId="7522" xr:uid="{00000000-0005-0000-0000-00008D030000}"/>
    <cellStyle name="20% - Accent6 3 4 2 2 2" xfId="15964" xr:uid="{CAEFA202-1468-4F82-8590-50B861D1E0A7}"/>
    <cellStyle name="20% - Accent6 3 4 2 3" xfId="11746" xr:uid="{D15E410F-D238-474B-A8A0-0D10A0747007}"/>
    <cellStyle name="20% - Accent6 3 4 3" xfId="5377" xr:uid="{00000000-0005-0000-0000-00008E030000}"/>
    <cellStyle name="20% - Accent6 3 4 3 2" xfId="13819" xr:uid="{B4349F3D-D51D-49D2-8C42-BC5424F36AF7}"/>
    <cellStyle name="20% - Accent6 3 4 4" xfId="9601" xr:uid="{50603461-D265-4DF5-A7B7-217B3B3E3F0F}"/>
    <cellStyle name="20% - Accent6 3 5" xfId="1482" xr:uid="{00000000-0005-0000-0000-00008F030000}"/>
    <cellStyle name="20% - Accent6 3 5 2" xfId="3712" xr:uid="{00000000-0005-0000-0000-000090030000}"/>
    <cellStyle name="20% - Accent6 3 5 2 2" xfId="7935" xr:uid="{00000000-0005-0000-0000-000091030000}"/>
    <cellStyle name="20% - Accent6 3 5 2 2 2" xfId="16377" xr:uid="{CAF1560A-0703-4A54-8272-534AC9199BC1}"/>
    <cellStyle name="20% - Accent6 3 5 2 3" xfId="12159" xr:uid="{8A9DB779-5CCC-48F9-A96E-68D6ED2F98AC}"/>
    <cellStyle name="20% - Accent6 3 5 3" xfId="5790" xr:uid="{00000000-0005-0000-0000-000092030000}"/>
    <cellStyle name="20% - Accent6 3 5 3 2" xfId="14232" xr:uid="{B3F9EB93-5E8F-44B2-A47E-3524BF3F0E7D}"/>
    <cellStyle name="20% - Accent6 3 5 4" xfId="10014" xr:uid="{6E80DE0B-0618-4CCF-A858-80170ADCCF0A}"/>
    <cellStyle name="20% - Accent6 3 6" xfId="1896" xr:uid="{00000000-0005-0000-0000-000093030000}"/>
    <cellStyle name="20% - Accent6 3 6 2" xfId="4125" xr:uid="{00000000-0005-0000-0000-000094030000}"/>
    <cellStyle name="20% - Accent6 3 6 2 2" xfId="8348" xr:uid="{00000000-0005-0000-0000-000095030000}"/>
    <cellStyle name="20% - Accent6 3 6 2 2 2" xfId="16790" xr:uid="{6EBB5029-F4B3-4A45-9C35-68B0897D7918}"/>
    <cellStyle name="20% - Accent6 3 6 2 3" xfId="12572" xr:uid="{8111C6A7-F4AE-499C-AC68-222701039EB7}"/>
    <cellStyle name="20% - Accent6 3 6 3" xfId="6203" xr:uid="{00000000-0005-0000-0000-000096030000}"/>
    <cellStyle name="20% - Accent6 3 6 3 2" xfId="14645" xr:uid="{6E633E71-0FCD-4B54-A176-D3801B1473FE}"/>
    <cellStyle name="20% - Accent6 3 6 4" xfId="10427" xr:uid="{431E3CF6-CEF8-468F-8763-E53ABAF57BCF}"/>
    <cellStyle name="20% - Accent6 3 7" xfId="2309" xr:uid="{00000000-0005-0000-0000-000097030000}"/>
    <cellStyle name="20% - Accent6 3 7 2" xfId="6616" xr:uid="{00000000-0005-0000-0000-000098030000}"/>
    <cellStyle name="20% - Accent6 3 7 2 2" xfId="15058" xr:uid="{9E2BCCD9-9AA7-4FB6-B464-4134E3A86A15}"/>
    <cellStyle name="20% - Accent6 3 7 3" xfId="10840" xr:uid="{F81D8FE1-BA4C-4174-ABC4-E1AB0831D1D6}"/>
    <cellStyle name="20% - Accent6 3 8" xfId="4550" xr:uid="{00000000-0005-0000-0000-000099030000}"/>
    <cellStyle name="20% - Accent6 3 8 2" xfId="12992" xr:uid="{E2746368-62C4-4B23-9781-FCCDF44C00D8}"/>
    <cellStyle name="20% - Accent6 3 9" xfId="8774" xr:uid="{889BEEE5-7A97-45D0-9ED0-205446BBA5F6}"/>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2 2 2" xfId="15553" xr:uid="{36B534D4-B62C-44AD-9467-EF51DC5DA6BC}"/>
    <cellStyle name="20% - Accent6 4 2 2 3" xfId="11335" xr:uid="{EF81AD02-723D-42F4-A4EF-C9DB9A41DCA6}"/>
    <cellStyle name="20% - Accent6 4 2 3" xfId="4966" xr:uid="{00000000-0005-0000-0000-00009E030000}"/>
    <cellStyle name="20% - Accent6 4 2 3 2" xfId="13408" xr:uid="{D82E6B03-C604-4C00-812A-53D72C076577}"/>
    <cellStyle name="20% - Accent6 4 2 4" xfId="9190" xr:uid="{754BB2F4-5F42-43EA-B59D-EC8C8A00A24A}"/>
    <cellStyle name="20% - Accent6 4 3" xfId="1070" xr:uid="{00000000-0005-0000-0000-00009F030000}"/>
    <cellStyle name="20% - Accent6 4 3 2" xfId="3301" xr:uid="{00000000-0005-0000-0000-0000A0030000}"/>
    <cellStyle name="20% - Accent6 4 3 2 2" xfId="7524" xr:uid="{00000000-0005-0000-0000-0000A1030000}"/>
    <cellStyle name="20% - Accent6 4 3 2 2 2" xfId="15966" xr:uid="{B7E28BAD-8C69-4109-8B5C-0383E1F87A90}"/>
    <cellStyle name="20% - Accent6 4 3 2 3" xfId="11748" xr:uid="{3BA6B91E-113F-4576-A101-3C433AFA3057}"/>
    <cellStyle name="20% - Accent6 4 3 3" xfId="5379" xr:uid="{00000000-0005-0000-0000-0000A2030000}"/>
    <cellStyle name="20% - Accent6 4 3 3 2" xfId="13821" xr:uid="{DEE25E98-BF8C-4017-BAC6-C88F0E9E1BA5}"/>
    <cellStyle name="20% - Accent6 4 3 4" xfId="9603" xr:uid="{71DB1308-3F87-4024-826F-55F4D521DE21}"/>
    <cellStyle name="20% - Accent6 4 4" xfId="1484" xr:uid="{00000000-0005-0000-0000-0000A3030000}"/>
    <cellStyle name="20% - Accent6 4 4 2" xfId="3714" xr:uid="{00000000-0005-0000-0000-0000A4030000}"/>
    <cellStyle name="20% - Accent6 4 4 2 2" xfId="7937" xr:uid="{00000000-0005-0000-0000-0000A5030000}"/>
    <cellStyle name="20% - Accent6 4 4 2 2 2" xfId="16379" xr:uid="{941C4C85-285C-4B50-B404-E529EBE26E95}"/>
    <cellStyle name="20% - Accent6 4 4 2 3" xfId="12161" xr:uid="{E4DFEFDA-C07B-4709-9B86-EADA2D2E03CE}"/>
    <cellStyle name="20% - Accent6 4 4 3" xfId="5792" xr:uid="{00000000-0005-0000-0000-0000A6030000}"/>
    <cellStyle name="20% - Accent6 4 4 3 2" xfId="14234" xr:uid="{C34B875C-DF25-43C6-BD05-EB119593B6C7}"/>
    <cellStyle name="20% - Accent6 4 4 4" xfId="10016" xr:uid="{49D3981F-D971-46E8-A0BC-62605BE25D52}"/>
    <cellStyle name="20% - Accent6 4 5" xfId="1898" xr:uid="{00000000-0005-0000-0000-0000A7030000}"/>
    <cellStyle name="20% - Accent6 4 5 2" xfId="4127" xr:uid="{00000000-0005-0000-0000-0000A8030000}"/>
    <cellStyle name="20% - Accent6 4 5 2 2" xfId="8350" xr:uid="{00000000-0005-0000-0000-0000A9030000}"/>
    <cellStyle name="20% - Accent6 4 5 2 2 2" xfId="16792" xr:uid="{E4717300-8F2E-48C8-B537-16E5D891A668}"/>
    <cellStyle name="20% - Accent6 4 5 2 3" xfId="12574" xr:uid="{9E5BECFA-8FE4-4474-803B-8E6E198947A3}"/>
    <cellStyle name="20% - Accent6 4 5 3" xfId="6205" xr:uid="{00000000-0005-0000-0000-0000AA030000}"/>
    <cellStyle name="20% - Accent6 4 5 3 2" xfId="14647" xr:uid="{9D0BB92D-3A50-4E3F-AA76-DF9141E69C68}"/>
    <cellStyle name="20% - Accent6 4 5 4" xfId="10429" xr:uid="{819C7884-F171-468A-A089-4EBFD87A8EA4}"/>
    <cellStyle name="20% - Accent6 4 6" xfId="2311" xr:uid="{00000000-0005-0000-0000-0000AB030000}"/>
    <cellStyle name="20% - Accent6 4 6 2" xfId="6618" xr:uid="{00000000-0005-0000-0000-0000AC030000}"/>
    <cellStyle name="20% - Accent6 4 6 2 2" xfId="15060" xr:uid="{1753ACBB-9E2A-411A-B3E5-72DA7E8FB5EE}"/>
    <cellStyle name="20% - Accent6 4 6 3" xfId="10842" xr:uid="{6B7CBE09-EFD2-4E8E-98E3-5BE6DE00C63A}"/>
    <cellStyle name="20% - Accent6 4 7" xfId="4552" xr:uid="{00000000-0005-0000-0000-0000AD030000}"/>
    <cellStyle name="20% - Accent6 4 7 2" xfId="12994" xr:uid="{FA44F670-97D4-41CB-8505-FCD21EF49E21}"/>
    <cellStyle name="20% - Accent6 4 8" xfId="8776" xr:uid="{3ED2EAA4-AD48-42A2-8FBC-2747A7AA888B}"/>
    <cellStyle name="20% - Accent6 5" xfId="610" xr:uid="{00000000-0005-0000-0000-0000AE030000}"/>
    <cellStyle name="20% - Accent6 5 2" xfId="2881" xr:uid="{00000000-0005-0000-0000-0000AF030000}"/>
    <cellStyle name="20% - Accent6 5 2 2" xfId="7104" xr:uid="{00000000-0005-0000-0000-0000B0030000}"/>
    <cellStyle name="20% - Accent6 5 2 2 2" xfId="15546" xr:uid="{3ED6477C-B2A8-46C3-B487-F5CD458F1902}"/>
    <cellStyle name="20% - Accent6 5 2 3" xfId="11328" xr:uid="{28AC8CD2-F93B-4BCC-90A2-4DA3F6DD9D92}"/>
    <cellStyle name="20% - Accent6 5 3" xfId="4959" xr:uid="{00000000-0005-0000-0000-0000B1030000}"/>
    <cellStyle name="20% - Accent6 5 3 2" xfId="13401" xr:uid="{10592F1F-AE27-424C-AADD-DA82ED30E640}"/>
    <cellStyle name="20% - Accent6 5 4" xfId="9183" xr:uid="{C74FEA8F-3E62-4A73-8A62-1FA3615D824A}"/>
    <cellStyle name="20% - Accent6 6" xfId="1063" xr:uid="{00000000-0005-0000-0000-0000B2030000}"/>
    <cellStyle name="20% - Accent6 6 2" xfId="3294" xr:uid="{00000000-0005-0000-0000-0000B3030000}"/>
    <cellStyle name="20% - Accent6 6 2 2" xfId="7517" xr:uid="{00000000-0005-0000-0000-0000B4030000}"/>
    <cellStyle name="20% - Accent6 6 2 2 2" xfId="15959" xr:uid="{6DD1CA57-FA2A-4C06-857A-A240AA9605D5}"/>
    <cellStyle name="20% - Accent6 6 2 3" xfId="11741" xr:uid="{B8481131-9378-4DEE-931B-89BA9DD97E6B}"/>
    <cellStyle name="20% - Accent6 6 3" xfId="5372" xr:uid="{00000000-0005-0000-0000-0000B5030000}"/>
    <cellStyle name="20% - Accent6 6 3 2" xfId="13814" xr:uid="{58188446-2A5E-42B7-9F4C-894797FE7794}"/>
    <cellStyle name="20% - Accent6 6 4" xfId="9596" xr:uid="{C5F8D7B1-5552-4580-BFF2-E02C6A944472}"/>
    <cellStyle name="20% - Accent6 7" xfId="1477" xr:uid="{00000000-0005-0000-0000-0000B6030000}"/>
    <cellStyle name="20% - Accent6 7 2" xfId="3707" xr:uid="{00000000-0005-0000-0000-0000B7030000}"/>
    <cellStyle name="20% - Accent6 7 2 2" xfId="7930" xr:uid="{00000000-0005-0000-0000-0000B8030000}"/>
    <cellStyle name="20% - Accent6 7 2 2 2" xfId="16372" xr:uid="{E6082F14-3453-4227-A833-D882EF489FE0}"/>
    <cellStyle name="20% - Accent6 7 2 3" xfId="12154" xr:uid="{789D2D1D-6059-4A07-97E2-ECB363D7FF4D}"/>
    <cellStyle name="20% - Accent6 7 3" xfId="5785" xr:uid="{00000000-0005-0000-0000-0000B9030000}"/>
    <cellStyle name="20% - Accent6 7 3 2" xfId="14227" xr:uid="{69621254-73FC-4E28-8E8F-B3F78FE29E59}"/>
    <cellStyle name="20% - Accent6 7 4" xfId="10009" xr:uid="{F1AA18E3-1B00-4944-AAEB-8F330026D437}"/>
    <cellStyle name="20% - Accent6 8" xfId="1891" xr:uid="{00000000-0005-0000-0000-0000BA030000}"/>
    <cellStyle name="20% - Accent6 8 2" xfId="4120" xr:uid="{00000000-0005-0000-0000-0000BB030000}"/>
    <cellStyle name="20% - Accent6 8 2 2" xfId="8343" xr:uid="{00000000-0005-0000-0000-0000BC030000}"/>
    <cellStyle name="20% - Accent6 8 2 2 2" xfId="16785" xr:uid="{E32E8231-2098-472B-9C62-1E62AE195D7A}"/>
    <cellStyle name="20% - Accent6 8 2 3" xfId="12567" xr:uid="{322C125E-8F79-48CF-A237-AC265479437A}"/>
    <cellStyle name="20% - Accent6 8 3" xfId="6198" xr:uid="{00000000-0005-0000-0000-0000BD030000}"/>
    <cellStyle name="20% - Accent6 8 3 2" xfId="14640" xr:uid="{A30F0ABD-8D45-4A69-A87F-9F6E88E8CBB2}"/>
    <cellStyle name="20% - Accent6 8 4" xfId="10422" xr:uid="{2338BA75-AB3E-4E5E-8900-AAAE41657C9B}"/>
    <cellStyle name="20% - Accent6 9" xfId="2304" xr:uid="{00000000-0005-0000-0000-0000BE030000}"/>
    <cellStyle name="20% - Accent6 9 2" xfId="6611" xr:uid="{00000000-0005-0000-0000-0000BF030000}"/>
    <cellStyle name="20% - Accent6 9 2 2" xfId="15053" xr:uid="{C9126FB5-BCA1-40E3-B0E9-3B54AC9079DC}"/>
    <cellStyle name="20% - Accent6 9 3" xfId="10835" xr:uid="{8CE4621C-F937-4687-B147-0E6A9344DDE3}"/>
    <cellStyle name="40% - Accent1" xfId="49" builtinId="31" customBuiltin="1"/>
    <cellStyle name="40% - Accent1 10" xfId="4553" xr:uid="{00000000-0005-0000-0000-0000C1030000}"/>
    <cellStyle name="40% - Accent1 10 2" xfId="12995" xr:uid="{899F6F06-F7B6-402B-97C7-63CD5F472534}"/>
    <cellStyle name="40% - Accent1 11" xfId="8777" xr:uid="{252394F6-3256-4363-AE65-1F4A2A497402}"/>
    <cellStyle name="40% - Accent1 2" xfId="50" xr:uid="{00000000-0005-0000-0000-0000C2030000}"/>
    <cellStyle name="40% - Accent1 2 10" xfId="8778" xr:uid="{B5B8A6CC-357A-4FA5-9E6C-69C0CD97E1F4}"/>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2 2 2" xfId="15557" xr:uid="{D44159C3-4B30-457E-B106-6D53222ECA12}"/>
    <cellStyle name="40% - Accent1 2 2 2 2 2 3" xfId="11339" xr:uid="{DB2CE3E7-9320-46B3-A3BB-810705A49F34}"/>
    <cellStyle name="40% - Accent1 2 2 2 2 3" xfId="4970" xr:uid="{00000000-0005-0000-0000-0000C8030000}"/>
    <cellStyle name="40% - Accent1 2 2 2 2 3 2" xfId="13412" xr:uid="{1977B610-C725-413E-9A93-CF3F3D280D63}"/>
    <cellStyle name="40% - Accent1 2 2 2 2 4" xfId="9194" xr:uid="{4E52EF58-AAD5-45F4-817E-BA62E804CDF8}"/>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2 2 2" xfId="15970" xr:uid="{C548221C-4460-421B-B82A-A744B8946C63}"/>
    <cellStyle name="40% - Accent1 2 2 2 3 2 3" xfId="11752" xr:uid="{75D7BE85-9796-470E-A51B-D23DE1AC3C2A}"/>
    <cellStyle name="40% - Accent1 2 2 2 3 3" xfId="5383" xr:uid="{00000000-0005-0000-0000-0000CC030000}"/>
    <cellStyle name="40% - Accent1 2 2 2 3 3 2" xfId="13825" xr:uid="{6F18D265-FCF1-4FF3-9EF3-4A0ACB466B3C}"/>
    <cellStyle name="40% - Accent1 2 2 2 3 4" xfId="9607" xr:uid="{7440EE3E-15B8-4C83-B9C6-27C1EF2D1CDE}"/>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2 2 2" xfId="16383" xr:uid="{37506B01-8EF5-4647-B71D-9DE0A7A0490F}"/>
    <cellStyle name="40% - Accent1 2 2 2 4 2 3" xfId="12165" xr:uid="{F8D5ABC0-684B-4949-A538-270148AC345A}"/>
    <cellStyle name="40% - Accent1 2 2 2 4 3" xfId="5796" xr:uid="{00000000-0005-0000-0000-0000D0030000}"/>
    <cellStyle name="40% - Accent1 2 2 2 4 3 2" xfId="14238" xr:uid="{B362AB94-1E28-4307-B1F8-475CD8DFBA26}"/>
    <cellStyle name="40% - Accent1 2 2 2 4 4" xfId="10020" xr:uid="{3C7FF307-61F6-4F3B-82B0-FB544CBE56E2}"/>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2 2 2" xfId="16796" xr:uid="{5D90BE67-7366-4A0B-86E3-EE6171569048}"/>
    <cellStyle name="40% - Accent1 2 2 2 5 2 3" xfId="12578" xr:uid="{64F24179-DFBA-45D1-AEAB-BD5F66492A88}"/>
    <cellStyle name="40% - Accent1 2 2 2 5 3" xfId="6209" xr:uid="{00000000-0005-0000-0000-0000D4030000}"/>
    <cellStyle name="40% - Accent1 2 2 2 5 3 2" xfId="14651" xr:uid="{2D4AAFE0-5559-42BD-B352-17A7BB41DC3D}"/>
    <cellStyle name="40% - Accent1 2 2 2 5 4" xfId="10433" xr:uid="{BCD20834-1E9F-46FF-A1D2-9F10DA6CC01C}"/>
    <cellStyle name="40% - Accent1 2 2 2 6" xfId="2315" xr:uid="{00000000-0005-0000-0000-0000D5030000}"/>
    <cellStyle name="40% - Accent1 2 2 2 6 2" xfId="6622" xr:uid="{00000000-0005-0000-0000-0000D6030000}"/>
    <cellStyle name="40% - Accent1 2 2 2 6 2 2" xfId="15064" xr:uid="{EABE7EE2-83C4-4751-8062-EA5D5C7626FF}"/>
    <cellStyle name="40% - Accent1 2 2 2 6 3" xfId="10846" xr:uid="{546F2F3D-6B60-4BE0-9610-599AB20F7774}"/>
    <cellStyle name="40% - Accent1 2 2 2 7" xfId="4556" xr:uid="{00000000-0005-0000-0000-0000D7030000}"/>
    <cellStyle name="40% - Accent1 2 2 2 7 2" xfId="12998" xr:uid="{09C120B2-3AB1-46F1-A3A6-B13C50B853FC}"/>
    <cellStyle name="40% - Accent1 2 2 2 8" xfId="8780" xr:uid="{F922832F-978A-49BB-BBF8-4B35F7893CCE}"/>
    <cellStyle name="40% - Accent1 2 2 3" xfId="620" xr:uid="{00000000-0005-0000-0000-0000D8030000}"/>
    <cellStyle name="40% - Accent1 2 2 3 2" xfId="2891" xr:uid="{00000000-0005-0000-0000-0000D9030000}"/>
    <cellStyle name="40% - Accent1 2 2 3 2 2" xfId="7114" xr:uid="{00000000-0005-0000-0000-0000DA030000}"/>
    <cellStyle name="40% - Accent1 2 2 3 2 2 2" xfId="15556" xr:uid="{9E3AA4F3-25F9-4730-A444-9A8181770DA6}"/>
    <cellStyle name="40% - Accent1 2 2 3 2 3" xfId="11338" xr:uid="{E916C5B8-FB1D-4557-8EA0-9282F2A840B6}"/>
    <cellStyle name="40% - Accent1 2 2 3 3" xfId="4969" xr:uid="{00000000-0005-0000-0000-0000DB030000}"/>
    <cellStyle name="40% - Accent1 2 2 3 3 2" xfId="13411" xr:uid="{40CB6130-64BA-4B5E-AAB9-E8A195862ABD}"/>
    <cellStyle name="40% - Accent1 2 2 3 4" xfId="9193" xr:uid="{DE0A0DB7-663E-4B40-903F-402BC94FC20F}"/>
    <cellStyle name="40% - Accent1 2 2 4" xfId="1073" xr:uid="{00000000-0005-0000-0000-0000DC030000}"/>
    <cellStyle name="40% - Accent1 2 2 4 2" xfId="3304" xr:uid="{00000000-0005-0000-0000-0000DD030000}"/>
    <cellStyle name="40% - Accent1 2 2 4 2 2" xfId="7527" xr:uid="{00000000-0005-0000-0000-0000DE030000}"/>
    <cellStyle name="40% - Accent1 2 2 4 2 2 2" xfId="15969" xr:uid="{2D092844-1070-455F-B663-617C51B4BE56}"/>
    <cellStyle name="40% - Accent1 2 2 4 2 3" xfId="11751" xr:uid="{3C5180FF-4E2D-48D7-A656-A1D69AB811AD}"/>
    <cellStyle name="40% - Accent1 2 2 4 3" xfId="5382" xr:uid="{00000000-0005-0000-0000-0000DF030000}"/>
    <cellStyle name="40% - Accent1 2 2 4 3 2" xfId="13824" xr:uid="{7EB15639-E46F-43A0-A9C5-864303A9540F}"/>
    <cellStyle name="40% - Accent1 2 2 4 4" xfId="9606" xr:uid="{EE1835BD-13FA-41AE-900F-301CE26C4DF9}"/>
    <cellStyle name="40% - Accent1 2 2 5" xfId="1487" xr:uid="{00000000-0005-0000-0000-0000E0030000}"/>
    <cellStyle name="40% - Accent1 2 2 5 2" xfId="3717" xr:uid="{00000000-0005-0000-0000-0000E1030000}"/>
    <cellStyle name="40% - Accent1 2 2 5 2 2" xfId="7940" xr:uid="{00000000-0005-0000-0000-0000E2030000}"/>
    <cellStyle name="40% - Accent1 2 2 5 2 2 2" xfId="16382" xr:uid="{6A18183D-19D9-4402-9E31-DC6E43EAF460}"/>
    <cellStyle name="40% - Accent1 2 2 5 2 3" xfId="12164" xr:uid="{B18D668C-BBA4-4AA2-AD03-10C917ED787C}"/>
    <cellStyle name="40% - Accent1 2 2 5 3" xfId="5795" xr:uid="{00000000-0005-0000-0000-0000E3030000}"/>
    <cellStyle name="40% - Accent1 2 2 5 3 2" xfId="14237" xr:uid="{41798982-ADA9-4329-A0F3-C9CC840229A4}"/>
    <cellStyle name="40% - Accent1 2 2 5 4" xfId="10019" xr:uid="{649B605C-62FB-45AE-BDE2-30378BE90B71}"/>
    <cellStyle name="40% - Accent1 2 2 6" xfId="1901" xr:uid="{00000000-0005-0000-0000-0000E4030000}"/>
    <cellStyle name="40% - Accent1 2 2 6 2" xfId="4130" xr:uid="{00000000-0005-0000-0000-0000E5030000}"/>
    <cellStyle name="40% - Accent1 2 2 6 2 2" xfId="8353" xr:uid="{00000000-0005-0000-0000-0000E6030000}"/>
    <cellStyle name="40% - Accent1 2 2 6 2 2 2" xfId="16795" xr:uid="{4C12B40F-864F-421C-9CE1-FDFFD7F496DA}"/>
    <cellStyle name="40% - Accent1 2 2 6 2 3" xfId="12577" xr:uid="{ADA26E59-E396-4E64-9777-0D4DEC0CC9CB}"/>
    <cellStyle name="40% - Accent1 2 2 6 3" xfId="6208" xr:uid="{00000000-0005-0000-0000-0000E7030000}"/>
    <cellStyle name="40% - Accent1 2 2 6 3 2" xfId="14650" xr:uid="{8DF9BAF1-D707-4E02-8AD1-1D979739C0A1}"/>
    <cellStyle name="40% - Accent1 2 2 6 4" xfId="10432" xr:uid="{334C539C-9300-45D2-B0ED-14D45E83EE56}"/>
    <cellStyle name="40% - Accent1 2 2 7" xfId="2314" xr:uid="{00000000-0005-0000-0000-0000E8030000}"/>
    <cellStyle name="40% - Accent1 2 2 7 2" xfId="6621" xr:uid="{00000000-0005-0000-0000-0000E9030000}"/>
    <cellStyle name="40% - Accent1 2 2 7 2 2" xfId="15063" xr:uid="{FE3FC23B-A55B-4C79-9F1A-E103201B602A}"/>
    <cellStyle name="40% - Accent1 2 2 7 3" xfId="10845" xr:uid="{3DB5DFE4-6EFB-460D-92A3-991F72A901F0}"/>
    <cellStyle name="40% - Accent1 2 2 8" xfId="4555" xr:uid="{00000000-0005-0000-0000-0000EA030000}"/>
    <cellStyle name="40% - Accent1 2 2 8 2" xfId="12997" xr:uid="{16733475-D6D4-4BCE-A5CC-21BB860F9349}"/>
    <cellStyle name="40% - Accent1 2 2 9" xfId="8779" xr:uid="{9B2B5B30-CE3C-4408-80EB-049BD40F1C49}"/>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2 2 2" xfId="15558" xr:uid="{472852B7-36AC-41E6-BE23-0F8F3FCAA29E}"/>
    <cellStyle name="40% - Accent1 2 3 2 2 3" xfId="11340" xr:uid="{A9615CBB-405A-4A2E-8B8D-EDFE95CE2B81}"/>
    <cellStyle name="40% - Accent1 2 3 2 3" xfId="4971" xr:uid="{00000000-0005-0000-0000-0000EF030000}"/>
    <cellStyle name="40% - Accent1 2 3 2 3 2" xfId="13413" xr:uid="{34C20980-A4A5-4CF8-92BA-4DDC0ECB5E8B}"/>
    <cellStyle name="40% - Accent1 2 3 2 4" xfId="9195" xr:uid="{DCAC9B9C-809D-41B3-BF11-80B018B1E66C}"/>
    <cellStyle name="40% - Accent1 2 3 3" xfId="1075" xr:uid="{00000000-0005-0000-0000-0000F0030000}"/>
    <cellStyle name="40% - Accent1 2 3 3 2" xfId="3306" xr:uid="{00000000-0005-0000-0000-0000F1030000}"/>
    <cellStyle name="40% - Accent1 2 3 3 2 2" xfId="7529" xr:uid="{00000000-0005-0000-0000-0000F2030000}"/>
    <cellStyle name="40% - Accent1 2 3 3 2 2 2" xfId="15971" xr:uid="{796EA9F3-B290-4EF9-A913-D6062B056B76}"/>
    <cellStyle name="40% - Accent1 2 3 3 2 3" xfId="11753" xr:uid="{D67A638C-36FD-4609-8784-908729EE5687}"/>
    <cellStyle name="40% - Accent1 2 3 3 3" xfId="5384" xr:uid="{00000000-0005-0000-0000-0000F3030000}"/>
    <cellStyle name="40% - Accent1 2 3 3 3 2" xfId="13826" xr:uid="{79DC6C73-CD9E-419B-9626-934B8DDB3AD5}"/>
    <cellStyle name="40% - Accent1 2 3 3 4" xfId="9608" xr:uid="{2934C101-C4F8-44F8-8ADA-6E9D0A411D0A}"/>
    <cellStyle name="40% - Accent1 2 3 4" xfId="1489" xr:uid="{00000000-0005-0000-0000-0000F4030000}"/>
    <cellStyle name="40% - Accent1 2 3 4 2" xfId="3719" xr:uid="{00000000-0005-0000-0000-0000F5030000}"/>
    <cellStyle name="40% - Accent1 2 3 4 2 2" xfId="7942" xr:uid="{00000000-0005-0000-0000-0000F6030000}"/>
    <cellStyle name="40% - Accent1 2 3 4 2 2 2" xfId="16384" xr:uid="{9B57636F-09ED-4AD2-BB2C-C51B1463CB9B}"/>
    <cellStyle name="40% - Accent1 2 3 4 2 3" xfId="12166" xr:uid="{EC6767BB-EE94-4104-B304-09A1909E68D9}"/>
    <cellStyle name="40% - Accent1 2 3 4 3" xfId="5797" xr:uid="{00000000-0005-0000-0000-0000F7030000}"/>
    <cellStyle name="40% - Accent1 2 3 4 3 2" xfId="14239" xr:uid="{7EB9B182-4636-4E92-AE9D-384C668D7BD2}"/>
    <cellStyle name="40% - Accent1 2 3 4 4" xfId="10021" xr:uid="{24583943-DFFF-4AEF-A629-CD1EB5D99BBC}"/>
    <cellStyle name="40% - Accent1 2 3 5" xfId="1903" xr:uid="{00000000-0005-0000-0000-0000F8030000}"/>
    <cellStyle name="40% - Accent1 2 3 5 2" xfId="4132" xr:uid="{00000000-0005-0000-0000-0000F9030000}"/>
    <cellStyle name="40% - Accent1 2 3 5 2 2" xfId="8355" xr:uid="{00000000-0005-0000-0000-0000FA030000}"/>
    <cellStyle name="40% - Accent1 2 3 5 2 2 2" xfId="16797" xr:uid="{D1699ABC-828B-4BD7-B8AC-51376A878D86}"/>
    <cellStyle name="40% - Accent1 2 3 5 2 3" xfId="12579" xr:uid="{500F3EC5-9EC3-4630-A09A-B2AEEB276F7D}"/>
    <cellStyle name="40% - Accent1 2 3 5 3" xfId="6210" xr:uid="{00000000-0005-0000-0000-0000FB030000}"/>
    <cellStyle name="40% - Accent1 2 3 5 3 2" xfId="14652" xr:uid="{DE71D4E6-0941-4F07-8116-FA7753A451BB}"/>
    <cellStyle name="40% - Accent1 2 3 5 4" xfId="10434" xr:uid="{0AFAA430-680A-498A-8666-4163EB509F77}"/>
    <cellStyle name="40% - Accent1 2 3 6" xfId="2316" xr:uid="{00000000-0005-0000-0000-0000FC030000}"/>
    <cellStyle name="40% - Accent1 2 3 6 2" xfId="6623" xr:uid="{00000000-0005-0000-0000-0000FD030000}"/>
    <cellStyle name="40% - Accent1 2 3 6 2 2" xfId="15065" xr:uid="{7971FD65-70F7-43A7-BDFB-C46156FA4086}"/>
    <cellStyle name="40% - Accent1 2 3 6 3" xfId="10847" xr:uid="{D1D4A125-44B8-4325-8351-8A9DBA185BAF}"/>
    <cellStyle name="40% - Accent1 2 3 7" xfId="4557" xr:uid="{00000000-0005-0000-0000-0000FE030000}"/>
    <cellStyle name="40% - Accent1 2 3 7 2" xfId="12999" xr:uid="{69EE84E9-2EB4-41D9-A077-D7F264C343CE}"/>
    <cellStyle name="40% - Accent1 2 3 8" xfId="8781" xr:uid="{DC48B88F-7C36-4B6A-8CC3-4FB9C2B64A27}"/>
    <cellStyle name="40% - Accent1 2 4" xfId="619" xr:uid="{00000000-0005-0000-0000-0000FF030000}"/>
    <cellStyle name="40% - Accent1 2 4 2" xfId="2890" xr:uid="{00000000-0005-0000-0000-000000040000}"/>
    <cellStyle name="40% - Accent1 2 4 2 2" xfId="7113" xr:uid="{00000000-0005-0000-0000-000001040000}"/>
    <cellStyle name="40% - Accent1 2 4 2 2 2" xfId="15555" xr:uid="{1CA43CA0-2583-49BE-A55D-71C3CDDCB827}"/>
    <cellStyle name="40% - Accent1 2 4 2 3" xfId="11337" xr:uid="{89E837A9-BCDA-4935-BD2C-17D705396B9F}"/>
    <cellStyle name="40% - Accent1 2 4 3" xfId="4968" xr:uid="{00000000-0005-0000-0000-000002040000}"/>
    <cellStyle name="40% - Accent1 2 4 3 2" xfId="13410" xr:uid="{1FE5CAE9-B170-4CCE-A0E4-26125641A857}"/>
    <cellStyle name="40% - Accent1 2 4 4" xfId="9192" xr:uid="{449BEAFC-8004-41F2-A4F6-C3552FC0036B}"/>
    <cellStyle name="40% - Accent1 2 5" xfId="1072" xr:uid="{00000000-0005-0000-0000-000003040000}"/>
    <cellStyle name="40% - Accent1 2 5 2" xfId="3303" xr:uid="{00000000-0005-0000-0000-000004040000}"/>
    <cellStyle name="40% - Accent1 2 5 2 2" xfId="7526" xr:uid="{00000000-0005-0000-0000-000005040000}"/>
    <cellStyle name="40% - Accent1 2 5 2 2 2" xfId="15968" xr:uid="{82997063-F871-447D-B4A6-1701C264E38A}"/>
    <cellStyle name="40% - Accent1 2 5 2 3" xfId="11750" xr:uid="{EB2B3BEB-26A1-44C9-9F08-EFB9DEBA2801}"/>
    <cellStyle name="40% - Accent1 2 5 3" xfId="5381" xr:uid="{00000000-0005-0000-0000-000006040000}"/>
    <cellStyle name="40% - Accent1 2 5 3 2" xfId="13823" xr:uid="{80E43296-16AF-4FFE-B55C-2FC1F6EF16FE}"/>
    <cellStyle name="40% - Accent1 2 5 4" xfId="9605" xr:uid="{FC1D4807-B62C-477D-93F3-DC3471676A05}"/>
    <cellStyle name="40% - Accent1 2 6" xfId="1486" xr:uid="{00000000-0005-0000-0000-000007040000}"/>
    <cellStyle name="40% - Accent1 2 6 2" xfId="3716" xr:uid="{00000000-0005-0000-0000-000008040000}"/>
    <cellStyle name="40% - Accent1 2 6 2 2" xfId="7939" xr:uid="{00000000-0005-0000-0000-000009040000}"/>
    <cellStyle name="40% - Accent1 2 6 2 2 2" xfId="16381" xr:uid="{A334CB38-5C86-4C9E-A5D0-AE299B1BCCC1}"/>
    <cellStyle name="40% - Accent1 2 6 2 3" xfId="12163" xr:uid="{83F21C27-2FF6-40AB-AE1A-11D226A60AE4}"/>
    <cellStyle name="40% - Accent1 2 6 3" xfId="5794" xr:uid="{00000000-0005-0000-0000-00000A040000}"/>
    <cellStyle name="40% - Accent1 2 6 3 2" xfId="14236" xr:uid="{846EA2CE-8143-4FDB-9EE8-964D8DA605D8}"/>
    <cellStyle name="40% - Accent1 2 6 4" xfId="10018" xr:uid="{F36273F2-69F4-4448-8DC4-BC89FC04A02F}"/>
    <cellStyle name="40% - Accent1 2 7" xfId="1900" xr:uid="{00000000-0005-0000-0000-00000B040000}"/>
    <cellStyle name="40% - Accent1 2 7 2" xfId="4129" xr:uid="{00000000-0005-0000-0000-00000C040000}"/>
    <cellStyle name="40% - Accent1 2 7 2 2" xfId="8352" xr:uid="{00000000-0005-0000-0000-00000D040000}"/>
    <cellStyle name="40% - Accent1 2 7 2 2 2" xfId="16794" xr:uid="{12D0C7D7-0CC8-4763-A4C2-BFAA5F9B1C4A}"/>
    <cellStyle name="40% - Accent1 2 7 2 3" xfId="12576" xr:uid="{8AFB7E74-93F0-448D-93FE-5C4B0D219364}"/>
    <cellStyle name="40% - Accent1 2 7 3" xfId="6207" xr:uid="{00000000-0005-0000-0000-00000E040000}"/>
    <cellStyle name="40% - Accent1 2 7 3 2" xfId="14649" xr:uid="{99CAC4CA-517D-47F2-9FC3-09C26C25F831}"/>
    <cellStyle name="40% - Accent1 2 7 4" xfId="10431" xr:uid="{3228C933-359B-4F90-841A-EB19A4BCD896}"/>
    <cellStyle name="40% - Accent1 2 8" xfId="2313" xr:uid="{00000000-0005-0000-0000-00000F040000}"/>
    <cellStyle name="40% - Accent1 2 8 2" xfId="6620" xr:uid="{00000000-0005-0000-0000-000010040000}"/>
    <cellStyle name="40% - Accent1 2 8 2 2" xfId="15062" xr:uid="{9D7C7965-39C4-4721-9F3D-0B8125A05294}"/>
    <cellStyle name="40% - Accent1 2 8 3" xfId="10844" xr:uid="{FEC5C120-69D1-4D18-B2F1-4CBEC2D1BC20}"/>
    <cellStyle name="40% - Accent1 2 9" xfId="4554" xr:uid="{00000000-0005-0000-0000-000011040000}"/>
    <cellStyle name="40% - Accent1 2 9 2" xfId="12996" xr:uid="{447BCCB7-38FD-4F10-987B-3BA20EF6DC08}"/>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2 2 2" xfId="15560" xr:uid="{5E82F731-6EBC-429C-89C2-563A721FA9AF}"/>
    <cellStyle name="40% - Accent1 3 2 2 2 3" xfId="11342" xr:uid="{B3C5367D-AC40-41EE-A2B0-5E76867C3FF1}"/>
    <cellStyle name="40% - Accent1 3 2 2 3" xfId="4973" xr:uid="{00000000-0005-0000-0000-000017040000}"/>
    <cellStyle name="40% - Accent1 3 2 2 3 2" xfId="13415" xr:uid="{6646AEAD-0CED-4A33-95F1-09E0C207509E}"/>
    <cellStyle name="40% - Accent1 3 2 2 4" xfId="9197" xr:uid="{07D5B8BA-1E8F-4316-B2B7-89091D491FE4}"/>
    <cellStyle name="40% - Accent1 3 2 3" xfId="1077" xr:uid="{00000000-0005-0000-0000-000018040000}"/>
    <cellStyle name="40% - Accent1 3 2 3 2" xfId="3308" xr:uid="{00000000-0005-0000-0000-000019040000}"/>
    <cellStyle name="40% - Accent1 3 2 3 2 2" xfId="7531" xr:uid="{00000000-0005-0000-0000-00001A040000}"/>
    <cellStyle name="40% - Accent1 3 2 3 2 2 2" xfId="15973" xr:uid="{C2CF9F54-46F1-4A3A-9EDF-9C73C458E9FC}"/>
    <cellStyle name="40% - Accent1 3 2 3 2 3" xfId="11755" xr:uid="{F5C5D1F7-8994-4F04-B23F-53CEC65D5D80}"/>
    <cellStyle name="40% - Accent1 3 2 3 3" xfId="5386" xr:uid="{00000000-0005-0000-0000-00001B040000}"/>
    <cellStyle name="40% - Accent1 3 2 3 3 2" xfId="13828" xr:uid="{DCD4E48A-4E49-461B-8CD9-CF10E15E930D}"/>
    <cellStyle name="40% - Accent1 3 2 3 4" xfId="9610" xr:uid="{B5CD04C0-364D-4524-BB9F-8C4EBF10E904}"/>
    <cellStyle name="40% - Accent1 3 2 4" xfId="1491" xr:uid="{00000000-0005-0000-0000-00001C040000}"/>
    <cellStyle name="40% - Accent1 3 2 4 2" xfId="3721" xr:uid="{00000000-0005-0000-0000-00001D040000}"/>
    <cellStyle name="40% - Accent1 3 2 4 2 2" xfId="7944" xr:uid="{00000000-0005-0000-0000-00001E040000}"/>
    <cellStyle name="40% - Accent1 3 2 4 2 2 2" xfId="16386" xr:uid="{80E4CD58-1406-49D3-9EDF-1E553B062825}"/>
    <cellStyle name="40% - Accent1 3 2 4 2 3" xfId="12168" xr:uid="{F9ED287A-9294-48E0-872F-B4CD0A0AA12F}"/>
    <cellStyle name="40% - Accent1 3 2 4 3" xfId="5799" xr:uid="{00000000-0005-0000-0000-00001F040000}"/>
    <cellStyle name="40% - Accent1 3 2 4 3 2" xfId="14241" xr:uid="{78176044-4794-4EDB-ACFF-5BEFE9B56AF4}"/>
    <cellStyle name="40% - Accent1 3 2 4 4" xfId="10023" xr:uid="{85EF3F4F-0175-4FB9-9E56-A2D141D6D463}"/>
    <cellStyle name="40% - Accent1 3 2 5" xfId="1905" xr:uid="{00000000-0005-0000-0000-000020040000}"/>
    <cellStyle name="40% - Accent1 3 2 5 2" xfId="4134" xr:uid="{00000000-0005-0000-0000-000021040000}"/>
    <cellStyle name="40% - Accent1 3 2 5 2 2" xfId="8357" xr:uid="{00000000-0005-0000-0000-000022040000}"/>
    <cellStyle name="40% - Accent1 3 2 5 2 2 2" xfId="16799" xr:uid="{549CEAD9-0F6C-4ED7-A05C-10206039728C}"/>
    <cellStyle name="40% - Accent1 3 2 5 2 3" xfId="12581" xr:uid="{4B5C9D3D-270E-4DB1-96AF-E23DF03DF79E}"/>
    <cellStyle name="40% - Accent1 3 2 5 3" xfId="6212" xr:uid="{00000000-0005-0000-0000-000023040000}"/>
    <cellStyle name="40% - Accent1 3 2 5 3 2" xfId="14654" xr:uid="{07A77DD0-94CD-431D-B5E8-89FDB9561C51}"/>
    <cellStyle name="40% - Accent1 3 2 5 4" xfId="10436" xr:uid="{96B0667D-6854-491F-A8B5-59F42F49AD38}"/>
    <cellStyle name="40% - Accent1 3 2 6" xfId="2318" xr:uid="{00000000-0005-0000-0000-000024040000}"/>
    <cellStyle name="40% - Accent1 3 2 6 2" xfId="6625" xr:uid="{00000000-0005-0000-0000-000025040000}"/>
    <cellStyle name="40% - Accent1 3 2 6 2 2" xfId="15067" xr:uid="{033F0195-A160-4D44-A94A-DDDABBE470E0}"/>
    <cellStyle name="40% - Accent1 3 2 6 3" xfId="10849" xr:uid="{005352C8-0B9B-4CB3-A4A7-2C03B099E77A}"/>
    <cellStyle name="40% - Accent1 3 2 7" xfId="4559" xr:uid="{00000000-0005-0000-0000-000026040000}"/>
    <cellStyle name="40% - Accent1 3 2 7 2" xfId="13001" xr:uid="{F130C280-05B7-4B48-94CB-26C4DCA13AA3}"/>
    <cellStyle name="40% - Accent1 3 2 8" xfId="8783" xr:uid="{90295817-19DA-43F7-ADEB-8BEB12216155}"/>
    <cellStyle name="40% - Accent1 3 3" xfId="623" xr:uid="{00000000-0005-0000-0000-000027040000}"/>
    <cellStyle name="40% - Accent1 3 3 2" xfId="2894" xr:uid="{00000000-0005-0000-0000-000028040000}"/>
    <cellStyle name="40% - Accent1 3 3 2 2" xfId="7117" xr:uid="{00000000-0005-0000-0000-000029040000}"/>
    <cellStyle name="40% - Accent1 3 3 2 2 2" xfId="15559" xr:uid="{5754382D-2C3C-4A71-B1DF-91E229FBD751}"/>
    <cellStyle name="40% - Accent1 3 3 2 3" xfId="11341" xr:uid="{33C17837-64B5-4F39-A278-4F13C3F6BB18}"/>
    <cellStyle name="40% - Accent1 3 3 3" xfId="4972" xr:uid="{00000000-0005-0000-0000-00002A040000}"/>
    <cellStyle name="40% - Accent1 3 3 3 2" xfId="13414" xr:uid="{31428611-210C-4F23-9493-71EE9DEE2F05}"/>
    <cellStyle name="40% - Accent1 3 3 4" xfId="9196" xr:uid="{65446F01-F4C4-4F0B-ACA7-178955009E65}"/>
    <cellStyle name="40% - Accent1 3 4" xfId="1076" xr:uid="{00000000-0005-0000-0000-00002B040000}"/>
    <cellStyle name="40% - Accent1 3 4 2" xfId="3307" xr:uid="{00000000-0005-0000-0000-00002C040000}"/>
    <cellStyle name="40% - Accent1 3 4 2 2" xfId="7530" xr:uid="{00000000-0005-0000-0000-00002D040000}"/>
    <cellStyle name="40% - Accent1 3 4 2 2 2" xfId="15972" xr:uid="{A6178D94-3966-4C32-86E3-C35F0F2EFAA2}"/>
    <cellStyle name="40% - Accent1 3 4 2 3" xfId="11754" xr:uid="{ECCCCC8C-27DD-4EA1-8E8F-0B5D477A2AC8}"/>
    <cellStyle name="40% - Accent1 3 4 3" xfId="5385" xr:uid="{00000000-0005-0000-0000-00002E040000}"/>
    <cellStyle name="40% - Accent1 3 4 3 2" xfId="13827" xr:uid="{92A62E92-E21F-4D45-985C-17BDDC3E095B}"/>
    <cellStyle name="40% - Accent1 3 4 4" xfId="9609" xr:uid="{A9A333F4-D2CA-419D-B99F-EBDB20D5C28D}"/>
    <cellStyle name="40% - Accent1 3 5" xfId="1490" xr:uid="{00000000-0005-0000-0000-00002F040000}"/>
    <cellStyle name="40% - Accent1 3 5 2" xfId="3720" xr:uid="{00000000-0005-0000-0000-000030040000}"/>
    <cellStyle name="40% - Accent1 3 5 2 2" xfId="7943" xr:uid="{00000000-0005-0000-0000-000031040000}"/>
    <cellStyle name="40% - Accent1 3 5 2 2 2" xfId="16385" xr:uid="{8B17D6B3-FC44-4901-B536-229209D9261E}"/>
    <cellStyle name="40% - Accent1 3 5 2 3" xfId="12167" xr:uid="{0CF1316C-03F4-4B34-9331-21DA387AA191}"/>
    <cellStyle name="40% - Accent1 3 5 3" xfId="5798" xr:uid="{00000000-0005-0000-0000-000032040000}"/>
    <cellStyle name="40% - Accent1 3 5 3 2" xfId="14240" xr:uid="{373F4017-AA0B-4232-87DE-6969E77A0339}"/>
    <cellStyle name="40% - Accent1 3 5 4" xfId="10022" xr:uid="{B7B9CBA7-1A8B-4A6D-BDEA-7D1A2D31EB00}"/>
    <cellStyle name="40% - Accent1 3 6" xfId="1904" xr:uid="{00000000-0005-0000-0000-000033040000}"/>
    <cellStyle name="40% - Accent1 3 6 2" xfId="4133" xr:uid="{00000000-0005-0000-0000-000034040000}"/>
    <cellStyle name="40% - Accent1 3 6 2 2" xfId="8356" xr:uid="{00000000-0005-0000-0000-000035040000}"/>
    <cellStyle name="40% - Accent1 3 6 2 2 2" xfId="16798" xr:uid="{E59C69A2-2B77-4CDD-937A-9E378B43C6A0}"/>
    <cellStyle name="40% - Accent1 3 6 2 3" xfId="12580" xr:uid="{8982B373-DCFD-421B-B9A2-59783F65A66C}"/>
    <cellStyle name="40% - Accent1 3 6 3" xfId="6211" xr:uid="{00000000-0005-0000-0000-000036040000}"/>
    <cellStyle name="40% - Accent1 3 6 3 2" xfId="14653" xr:uid="{0A96292A-5C7C-4613-9BCB-8D40F65DA24F}"/>
    <cellStyle name="40% - Accent1 3 6 4" xfId="10435" xr:uid="{4E692311-1207-4448-A24A-5135E3E3FFB0}"/>
    <cellStyle name="40% - Accent1 3 7" xfId="2317" xr:uid="{00000000-0005-0000-0000-000037040000}"/>
    <cellStyle name="40% - Accent1 3 7 2" xfId="6624" xr:uid="{00000000-0005-0000-0000-000038040000}"/>
    <cellStyle name="40% - Accent1 3 7 2 2" xfId="15066" xr:uid="{3D81FDD7-2148-40F3-9B99-EE8A7C3E4A9D}"/>
    <cellStyle name="40% - Accent1 3 7 3" xfId="10848" xr:uid="{20653E71-8E59-438D-B059-C6E9ED4F24D9}"/>
    <cellStyle name="40% - Accent1 3 8" xfId="4558" xr:uid="{00000000-0005-0000-0000-000039040000}"/>
    <cellStyle name="40% - Accent1 3 8 2" xfId="13000" xr:uid="{52AAFF05-A628-4F02-8711-854EFBE63903}"/>
    <cellStyle name="40% - Accent1 3 9" xfId="8782" xr:uid="{A7E61AB6-FCB3-414F-BB08-675059903C5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2 2 2" xfId="15561" xr:uid="{E430CBE2-48DC-4313-B462-DD088282D9CC}"/>
    <cellStyle name="40% - Accent1 4 2 2 3" xfId="11343" xr:uid="{2A7C1C2C-9AAD-4589-8F43-A7FE108A5C03}"/>
    <cellStyle name="40% - Accent1 4 2 3" xfId="4974" xr:uid="{00000000-0005-0000-0000-00003E040000}"/>
    <cellStyle name="40% - Accent1 4 2 3 2" xfId="13416" xr:uid="{FB49EC7F-C830-4255-A906-10192F5793B9}"/>
    <cellStyle name="40% - Accent1 4 2 4" xfId="9198" xr:uid="{4808F5CC-6DB7-4DDD-8959-29AC0970A34B}"/>
    <cellStyle name="40% - Accent1 4 3" xfId="1078" xr:uid="{00000000-0005-0000-0000-00003F040000}"/>
    <cellStyle name="40% - Accent1 4 3 2" xfId="3309" xr:uid="{00000000-0005-0000-0000-000040040000}"/>
    <cellStyle name="40% - Accent1 4 3 2 2" xfId="7532" xr:uid="{00000000-0005-0000-0000-000041040000}"/>
    <cellStyle name="40% - Accent1 4 3 2 2 2" xfId="15974" xr:uid="{41443C7F-25A7-4C4B-AF03-72A7C26E5269}"/>
    <cellStyle name="40% - Accent1 4 3 2 3" xfId="11756" xr:uid="{6B2AAA65-36B5-4A18-98CC-43FF00EE75F8}"/>
    <cellStyle name="40% - Accent1 4 3 3" xfId="5387" xr:uid="{00000000-0005-0000-0000-000042040000}"/>
    <cellStyle name="40% - Accent1 4 3 3 2" xfId="13829" xr:uid="{F2C56D73-CF56-4498-BD54-3011BA339A9F}"/>
    <cellStyle name="40% - Accent1 4 3 4" xfId="9611" xr:uid="{37DAF5C0-3EA1-4C7C-B285-2106E6EF7E31}"/>
    <cellStyle name="40% - Accent1 4 4" xfId="1492" xr:uid="{00000000-0005-0000-0000-000043040000}"/>
    <cellStyle name="40% - Accent1 4 4 2" xfId="3722" xr:uid="{00000000-0005-0000-0000-000044040000}"/>
    <cellStyle name="40% - Accent1 4 4 2 2" xfId="7945" xr:uid="{00000000-0005-0000-0000-000045040000}"/>
    <cellStyle name="40% - Accent1 4 4 2 2 2" xfId="16387" xr:uid="{20D72475-81A3-43D8-AB72-7A68F70972D7}"/>
    <cellStyle name="40% - Accent1 4 4 2 3" xfId="12169" xr:uid="{FE6285DF-157C-451E-A71D-33F276BC547F}"/>
    <cellStyle name="40% - Accent1 4 4 3" xfId="5800" xr:uid="{00000000-0005-0000-0000-000046040000}"/>
    <cellStyle name="40% - Accent1 4 4 3 2" xfId="14242" xr:uid="{300A7689-68C0-46DB-8561-322DBDECFB66}"/>
    <cellStyle name="40% - Accent1 4 4 4" xfId="10024" xr:uid="{58D7528D-00C8-4073-934A-8FFA68770B17}"/>
    <cellStyle name="40% - Accent1 4 5" xfId="1906" xr:uid="{00000000-0005-0000-0000-000047040000}"/>
    <cellStyle name="40% - Accent1 4 5 2" xfId="4135" xr:uid="{00000000-0005-0000-0000-000048040000}"/>
    <cellStyle name="40% - Accent1 4 5 2 2" xfId="8358" xr:uid="{00000000-0005-0000-0000-000049040000}"/>
    <cellStyle name="40% - Accent1 4 5 2 2 2" xfId="16800" xr:uid="{53769748-CABA-47F0-8BA0-7EE4E1B4EA3A}"/>
    <cellStyle name="40% - Accent1 4 5 2 3" xfId="12582" xr:uid="{41C581D0-0676-42F1-A672-320354A303D9}"/>
    <cellStyle name="40% - Accent1 4 5 3" xfId="6213" xr:uid="{00000000-0005-0000-0000-00004A040000}"/>
    <cellStyle name="40% - Accent1 4 5 3 2" xfId="14655" xr:uid="{FB08C1ED-572D-4230-91EA-927D33B5EB48}"/>
    <cellStyle name="40% - Accent1 4 5 4" xfId="10437" xr:uid="{D6FBB76D-C187-4E8E-8A88-FED2E8E01279}"/>
    <cellStyle name="40% - Accent1 4 6" xfId="2319" xr:uid="{00000000-0005-0000-0000-00004B040000}"/>
    <cellStyle name="40% - Accent1 4 6 2" xfId="6626" xr:uid="{00000000-0005-0000-0000-00004C040000}"/>
    <cellStyle name="40% - Accent1 4 6 2 2" xfId="15068" xr:uid="{B421C6C9-6732-4BAD-B337-874DBE4E6021}"/>
    <cellStyle name="40% - Accent1 4 6 3" xfId="10850" xr:uid="{D019A987-D6E7-4E2C-9143-971277936011}"/>
    <cellStyle name="40% - Accent1 4 7" xfId="4560" xr:uid="{00000000-0005-0000-0000-00004D040000}"/>
    <cellStyle name="40% - Accent1 4 7 2" xfId="13002" xr:uid="{6015C483-DABF-47FC-90C5-775E41B2308A}"/>
    <cellStyle name="40% - Accent1 4 8" xfId="8784" xr:uid="{D6F5B658-21D6-4FE8-9EC6-B66FE151B7CA}"/>
    <cellStyle name="40% - Accent1 5" xfId="618" xr:uid="{00000000-0005-0000-0000-00004E040000}"/>
    <cellStyle name="40% - Accent1 5 2" xfId="2889" xr:uid="{00000000-0005-0000-0000-00004F040000}"/>
    <cellStyle name="40% - Accent1 5 2 2" xfId="7112" xr:uid="{00000000-0005-0000-0000-000050040000}"/>
    <cellStyle name="40% - Accent1 5 2 2 2" xfId="15554" xr:uid="{4BD15E49-67A6-4167-920E-8148943BE086}"/>
    <cellStyle name="40% - Accent1 5 2 3" xfId="11336" xr:uid="{491522E4-2E50-4545-9BCF-3EE1461D2A23}"/>
    <cellStyle name="40% - Accent1 5 3" xfId="4967" xr:uid="{00000000-0005-0000-0000-000051040000}"/>
    <cellStyle name="40% - Accent1 5 3 2" xfId="13409" xr:uid="{BB8E9AB6-A6A5-429C-83F3-EAB7D2AFF09D}"/>
    <cellStyle name="40% - Accent1 5 4" xfId="9191" xr:uid="{90BF34F3-D15A-4974-8758-412419FC9DD7}"/>
    <cellStyle name="40% - Accent1 6" xfId="1071" xr:uid="{00000000-0005-0000-0000-000052040000}"/>
    <cellStyle name="40% - Accent1 6 2" xfId="3302" xr:uid="{00000000-0005-0000-0000-000053040000}"/>
    <cellStyle name="40% - Accent1 6 2 2" xfId="7525" xr:uid="{00000000-0005-0000-0000-000054040000}"/>
    <cellStyle name="40% - Accent1 6 2 2 2" xfId="15967" xr:uid="{6F4618B9-E730-40D2-8966-1EB157843598}"/>
    <cellStyle name="40% - Accent1 6 2 3" xfId="11749" xr:uid="{F4FDE906-3712-4438-A440-31ADFB582AE6}"/>
    <cellStyle name="40% - Accent1 6 3" xfId="5380" xr:uid="{00000000-0005-0000-0000-000055040000}"/>
    <cellStyle name="40% - Accent1 6 3 2" xfId="13822" xr:uid="{F085D1DB-7942-4403-BE6C-838611C74928}"/>
    <cellStyle name="40% - Accent1 6 4" xfId="9604" xr:uid="{16285D70-CFEF-42CC-9087-16AA9E6E2FA3}"/>
    <cellStyle name="40% - Accent1 7" xfId="1485" xr:uid="{00000000-0005-0000-0000-000056040000}"/>
    <cellStyle name="40% - Accent1 7 2" xfId="3715" xr:uid="{00000000-0005-0000-0000-000057040000}"/>
    <cellStyle name="40% - Accent1 7 2 2" xfId="7938" xr:uid="{00000000-0005-0000-0000-000058040000}"/>
    <cellStyle name="40% - Accent1 7 2 2 2" xfId="16380" xr:uid="{1AD2A188-CF04-4FCD-80D4-DE1A4132A507}"/>
    <cellStyle name="40% - Accent1 7 2 3" xfId="12162" xr:uid="{A5588643-C2E8-4B9F-A401-7D8445C01333}"/>
    <cellStyle name="40% - Accent1 7 3" xfId="5793" xr:uid="{00000000-0005-0000-0000-000059040000}"/>
    <cellStyle name="40% - Accent1 7 3 2" xfId="14235" xr:uid="{3D89D32C-84CF-4850-9012-0EEEB728C951}"/>
    <cellStyle name="40% - Accent1 7 4" xfId="10017" xr:uid="{66C9270A-43F9-42AB-BDDA-AE6B2BCC3087}"/>
    <cellStyle name="40% - Accent1 8" xfId="1899" xr:uid="{00000000-0005-0000-0000-00005A040000}"/>
    <cellStyle name="40% - Accent1 8 2" xfId="4128" xr:uid="{00000000-0005-0000-0000-00005B040000}"/>
    <cellStyle name="40% - Accent1 8 2 2" xfId="8351" xr:uid="{00000000-0005-0000-0000-00005C040000}"/>
    <cellStyle name="40% - Accent1 8 2 2 2" xfId="16793" xr:uid="{B7ED4647-0E5B-480E-A1BB-8D8730035221}"/>
    <cellStyle name="40% - Accent1 8 2 3" xfId="12575" xr:uid="{A8E3F242-0AE2-43DA-B5D1-2C828551800B}"/>
    <cellStyle name="40% - Accent1 8 3" xfId="6206" xr:uid="{00000000-0005-0000-0000-00005D040000}"/>
    <cellStyle name="40% - Accent1 8 3 2" xfId="14648" xr:uid="{1E0D5C8A-E085-47F7-AE00-6074AB2010F7}"/>
    <cellStyle name="40% - Accent1 8 4" xfId="10430" xr:uid="{CF39E390-B312-42A7-8C80-318EBE8773C6}"/>
    <cellStyle name="40% - Accent1 9" xfId="2312" xr:uid="{00000000-0005-0000-0000-00005E040000}"/>
    <cellStyle name="40% - Accent1 9 2" xfId="6619" xr:uid="{00000000-0005-0000-0000-00005F040000}"/>
    <cellStyle name="40% - Accent1 9 2 2" xfId="15061" xr:uid="{B41F264A-529D-41BD-82B4-2E728D037335}"/>
    <cellStyle name="40% - Accent1 9 3" xfId="10843" xr:uid="{894C526E-7F46-499C-818D-958CEE2AC273}"/>
    <cellStyle name="40% - Accent2" xfId="57" builtinId="35" customBuiltin="1"/>
    <cellStyle name="40% - Accent2 10" xfId="4561" xr:uid="{00000000-0005-0000-0000-000061040000}"/>
    <cellStyle name="40% - Accent2 10 2" xfId="13003" xr:uid="{B8E36106-ED20-42C8-AE81-7D430CAC362A}"/>
    <cellStyle name="40% - Accent2 11" xfId="8785" xr:uid="{8F6691C8-BE4F-40F4-96A5-5835C9DA3336}"/>
    <cellStyle name="40% - Accent2 2" xfId="58" xr:uid="{00000000-0005-0000-0000-000062040000}"/>
    <cellStyle name="40% - Accent2 2 10" xfId="8786" xr:uid="{73A8F6AD-0EF0-4610-B32E-A812BDA6F97D}"/>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2 2 2" xfId="15565" xr:uid="{8869580C-877C-40A9-8C63-85E6C80282A8}"/>
    <cellStyle name="40% - Accent2 2 2 2 2 2 3" xfId="11347" xr:uid="{2575AAF7-B7C6-465F-A357-66F11F174427}"/>
    <cellStyle name="40% - Accent2 2 2 2 2 3" xfId="4978" xr:uid="{00000000-0005-0000-0000-000068040000}"/>
    <cellStyle name="40% - Accent2 2 2 2 2 3 2" xfId="13420" xr:uid="{8617B29A-6309-4C62-BDF3-4FDD83BD6B85}"/>
    <cellStyle name="40% - Accent2 2 2 2 2 4" xfId="9202" xr:uid="{3728AAC2-A4A2-4534-9E66-C3BE0033AE81}"/>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2 2 2" xfId="15978" xr:uid="{983AE56F-4573-4482-B02B-0438CD2D5084}"/>
    <cellStyle name="40% - Accent2 2 2 2 3 2 3" xfId="11760" xr:uid="{472BFC25-4F57-4645-87AF-22DEA0F06A76}"/>
    <cellStyle name="40% - Accent2 2 2 2 3 3" xfId="5391" xr:uid="{00000000-0005-0000-0000-00006C040000}"/>
    <cellStyle name="40% - Accent2 2 2 2 3 3 2" xfId="13833" xr:uid="{3487D181-60E9-40C9-92C1-FDBB46E31A52}"/>
    <cellStyle name="40% - Accent2 2 2 2 3 4" xfId="9615" xr:uid="{68BED4CE-DDA0-418A-841D-0283557EFC4A}"/>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2 2 2" xfId="16391" xr:uid="{0868A9AF-39A6-410E-B043-1F5F275E0AA9}"/>
    <cellStyle name="40% - Accent2 2 2 2 4 2 3" xfId="12173" xr:uid="{2C920DF5-8D08-4BA1-9BF0-D3DA80BAD8FC}"/>
    <cellStyle name="40% - Accent2 2 2 2 4 3" xfId="5804" xr:uid="{00000000-0005-0000-0000-000070040000}"/>
    <cellStyle name="40% - Accent2 2 2 2 4 3 2" xfId="14246" xr:uid="{D62F1BA1-B118-4403-864D-0DCA6BB75A48}"/>
    <cellStyle name="40% - Accent2 2 2 2 4 4" xfId="10028" xr:uid="{C34B4EB2-16BA-4784-BF1C-8181672ED861}"/>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2 2 2" xfId="16804" xr:uid="{15928F52-15CC-4177-B53D-C19DA5A86EA7}"/>
    <cellStyle name="40% - Accent2 2 2 2 5 2 3" xfId="12586" xr:uid="{9E382784-7068-44E9-AB5C-A90F716595E7}"/>
    <cellStyle name="40% - Accent2 2 2 2 5 3" xfId="6217" xr:uid="{00000000-0005-0000-0000-000074040000}"/>
    <cellStyle name="40% - Accent2 2 2 2 5 3 2" xfId="14659" xr:uid="{67928BCE-2F5D-4CA0-93B0-5FC404D7DF84}"/>
    <cellStyle name="40% - Accent2 2 2 2 5 4" xfId="10441" xr:uid="{482BFE2B-0748-4EE5-B040-A3A825D263A3}"/>
    <cellStyle name="40% - Accent2 2 2 2 6" xfId="2323" xr:uid="{00000000-0005-0000-0000-000075040000}"/>
    <cellStyle name="40% - Accent2 2 2 2 6 2" xfId="6630" xr:uid="{00000000-0005-0000-0000-000076040000}"/>
    <cellStyle name="40% - Accent2 2 2 2 6 2 2" xfId="15072" xr:uid="{0F077D3F-A940-4E68-82EA-7AB2D9DC991F}"/>
    <cellStyle name="40% - Accent2 2 2 2 6 3" xfId="10854" xr:uid="{0A1D1C9E-51E9-4BF0-8C61-248155C84BC9}"/>
    <cellStyle name="40% - Accent2 2 2 2 7" xfId="4564" xr:uid="{00000000-0005-0000-0000-000077040000}"/>
    <cellStyle name="40% - Accent2 2 2 2 7 2" xfId="13006" xr:uid="{81137FD3-B032-4AD3-B61D-C46513E226D3}"/>
    <cellStyle name="40% - Accent2 2 2 2 8" xfId="8788" xr:uid="{93D96527-D653-454D-AE08-6CB3E5FA3EED}"/>
    <cellStyle name="40% - Accent2 2 2 3" xfId="628" xr:uid="{00000000-0005-0000-0000-000078040000}"/>
    <cellStyle name="40% - Accent2 2 2 3 2" xfId="2899" xr:uid="{00000000-0005-0000-0000-000079040000}"/>
    <cellStyle name="40% - Accent2 2 2 3 2 2" xfId="7122" xr:uid="{00000000-0005-0000-0000-00007A040000}"/>
    <cellStyle name="40% - Accent2 2 2 3 2 2 2" xfId="15564" xr:uid="{15C5E08F-C469-4D6D-9EC8-C630F9171B6B}"/>
    <cellStyle name="40% - Accent2 2 2 3 2 3" xfId="11346" xr:uid="{7D6AF475-F2E0-4AD9-A6B5-8554E00D349E}"/>
    <cellStyle name="40% - Accent2 2 2 3 3" xfId="4977" xr:uid="{00000000-0005-0000-0000-00007B040000}"/>
    <cellStyle name="40% - Accent2 2 2 3 3 2" xfId="13419" xr:uid="{7543FABF-F64D-49A2-AF04-D5B8BBF3D315}"/>
    <cellStyle name="40% - Accent2 2 2 3 4" xfId="9201" xr:uid="{AFECBDF6-47FB-4FC1-912A-1EFB4685D8D0}"/>
    <cellStyle name="40% - Accent2 2 2 4" xfId="1081" xr:uid="{00000000-0005-0000-0000-00007C040000}"/>
    <cellStyle name="40% - Accent2 2 2 4 2" xfId="3312" xr:uid="{00000000-0005-0000-0000-00007D040000}"/>
    <cellStyle name="40% - Accent2 2 2 4 2 2" xfId="7535" xr:uid="{00000000-0005-0000-0000-00007E040000}"/>
    <cellStyle name="40% - Accent2 2 2 4 2 2 2" xfId="15977" xr:uid="{07934C3F-E74B-481E-8467-C30A1DFD5871}"/>
    <cellStyle name="40% - Accent2 2 2 4 2 3" xfId="11759" xr:uid="{9106D510-DE40-4222-8E43-B197E9120640}"/>
    <cellStyle name="40% - Accent2 2 2 4 3" xfId="5390" xr:uid="{00000000-0005-0000-0000-00007F040000}"/>
    <cellStyle name="40% - Accent2 2 2 4 3 2" xfId="13832" xr:uid="{F444A772-9DEA-48AB-AC81-15BEABAFA617}"/>
    <cellStyle name="40% - Accent2 2 2 4 4" xfId="9614" xr:uid="{953B3F73-C92C-444E-8DA9-48EF3766E85C}"/>
    <cellStyle name="40% - Accent2 2 2 5" xfId="1495" xr:uid="{00000000-0005-0000-0000-000080040000}"/>
    <cellStyle name="40% - Accent2 2 2 5 2" xfId="3725" xr:uid="{00000000-0005-0000-0000-000081040000}"/>
    <cellStyle name="40% - Accent2 2 2 5 2 2" xfId="7948" xr:uid="{00000000-0005-0000-0000-000082040000}"/>
    <cellStyle name="40% - Accent2 2 2 5 2 2 2" xfId="16390" xr:uid="{A9FD9475-971E-49DE-9961-64D654EFA17E}"/>
    <cellStyle name="40% - Accent2 2 2 5 2 3" xfId="12172" xr:uid="{8E8A9799-19EC-472E-9FB6-B11A95A1D7C2}"/>
    <cellStyle name="40% - Accent2 2 2 5 3" xfId="5803" xr:uid="{00000000-0005-0000-0000-000083040000}"/>
    <cellStyle name="40% - Accent2 2 2 5 3 2" xfId="14245" xr:uid="{1B27C69E-E7A9-48CB-9BCE-53059C92485C}"/>
    <cellStyle name="40% - Accent2 2 2 5 4" xfId="10027" xr:uid="{3CC6FF6A-C3F0-4769-AA01-6DE9A8E34D55}"/>
    <cellStyle name="40% - Accent2 2 2 6" xfId="1909" xr:uid="{00000000-0005-0000-0000-000084040000}"/>
    <cellStyle name="40% - Accent2 2 2 6 2" xfId="4138" xr:uid="{00000000-0005-0000-0000-000085040000}"/>
    <cellStyle name="40% - Accent2 2 2 6 2 2" xfId="8361" xr:uid="{00000000-0005-0000-0000-000086040000}"/>
    <cellStyle name="40% - Accent2 2 2 6 2 2 2" xfId="16803" xr:uid="{AE11EB83-0ED9-477D-92A8-B4942CCC6803}"/>
    <cellStyle name="40% - Accent2 2 2 6 2 3" xfId="12585" xr:uid="{7F6FBCA2-2125-4758-A8D7-487A0F2E10A4}"/>
    <cellStyle name="40% - Accent2 2 2 6 3" xfId="6216" xr:uid="{00000000-0005-0000-0000-000087040000}"/>
    <cellStyle name="40% - Accent2 2 2 6 3 2" xfId="14658" xr:uid="{AD2DE0DC-C9D5-4B50-B819-292BA3EE5B0B}"/>
    <cellStyle name="40% - Accent2 2 2 6 4" xfId="10440" xr:uid="{87ADDA92-9C80-4F68-8F6B-680F1232DA15}"/>
    <cellStyle name="40% - Accent2 2 2 7" xfId="2322" xr:uid="{00000000-0005-0000-0000-000088040000}"/>
    <cellStyle name="40% - Accent2 2 2 7 2" xfId="6629" xr:uid="{00000000-0005-0000-0000-000089040000}"/>
    <cellStyle name="40% - Accent2 2 2 7 2 2" xfId="15071" xr:uid="{E94DAB7A-0D4D-4BE2-953F-85D34581DA9B}"/>
    <cellStyle name="40% - Accent2 2 2 7 3" xfId="10853" xr:uid="{5DF096BA-E94E-4BC1-AEF8-8A2E8E4EC094}"/>
    <cellStyle name="40% - Accent2 2 2 8" xfId="4563" xr:uid="{00000000-0005-0000-0000-00008A040000}"/>
    <cellStyle name="40% - Accent2 2 2 8 2" xfId="13005" xr:uid="{0651A4A3-3D60-4768-8725-395D57A16708}"/>
    <cellStyle name="40% - Accent2 2 2 9" xfId="8787" xr:uid="{53D4FD5B-1F04-4872-9973-BA352C3B3992}"/>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2 2 2" xfId="15566" xr:uid="{5BB69646-6F20-45EC-B2E8-1320F53B4C5B}"/>
    <cellStyle name="40% - Accent2 2 3 2 2 3" xfId="11348" xr:uid="{A8CDDC13-624E-4CA4-AB81-31C2955F1E0B}"/>
    <cellStyle name="40% - Accent2 2 3 2 3" xfId="4979" xr:uid="{00000000-0005-0000-0000-00008F040000}"/>
    <cellStyle name="40% - Accent2 2 3 2 3 2" xfId="13421" xr:uid="{362DA1D9-5FEB-4B97-9110-FC228C347F01}"/>
    <cellStyle name="40% - Accent2 2 3 2 4" xfId="9203" xr:uid="{19D08977-F576-4B95-8348-E5D52F9B8877}"/>
    <cellStyle name="40% - Accent2 2 3 3" xfId="1083" xr:uid="{00000000-0005-0000-0000-000090040000}"/>
    <cellStyle name="40% - Accent2 2 3 3 2" xfId="3314" xr:uid="{00000000-0005-0000-0000-000091040000}"/>
    <cellStyle name="40% - Accent2 2 3 3 2 2" xfId="7537" xr:uid="{00000000-0005-0000-0000-000092040000}"/>
    <cellStyle name="40% - Accent2 2 3 3 2 2 2" xfId="15979" xr:uid="{3E3E3EC2-AB84-4A70-9F57-0B466AC7DA7C}"/>
    <cellStyle name="40% - Accent2 2 3 3 2 3" xfId="11761" xr:uid="{FE6FEBBC-7E09-409F-AB5F-3358E28953FC}"/>
    <cellStyle name="40% - Accent2 2 3 3 3" xfId="5392" xr:uid="{00000000-0005-0000-0000-000093040000}"/>
    <cellStyle name="40% - Accent2 2 3 3 3 2" xfId="13834" xr:uid="{61B7E105-8D28-4F42-A2E3-E4FFEC84C32F}"/>
    <cellStyle name="40% - Accent2 2 3 3 4" xfId="9616" xr:uid="{97613B31-845B-4628-8735-90C905E01466}"/>
    <cellStyle name="40% - Accent2 2 3 4" xfId="1497" xr:uid="{00000000-0005-0000-0000-000094040000}"/>
    <cellStyle name="40% - Accent2 2 3 4 2" xfId="3727" xr:uid="{00000000-0005-0000-0000-000095040000}"/>
    <cellStyle name="40% - Accent2 2 3 4 2 2" xfId="7950" xr:uid="{00000000-0005-0000-0000-000096040000}"/>
    <cellStyle name="40% - Accent2 2 3 4 2 2 2" xfId="16392" xr:uid="{31E7E5F7-6B51-4F4E-90C8-81158DF0632B}"/>
    <cellStyle name="40% - Accent2 2 3 4 2 3" xfId="12174" xr:uid="{05BD2891-76DB-41AD-BF8A-60E50FCFC9EC}"/>
    <cellStyle name="40% - Accent2 2 3 4 3" xfId="5805" xr:uid="{00000000-0005-0000-0000-000097040000}"/>
    <cellStyle name="40% - Accent2 2 3 4 3 2" xfId="14247" xr:uid="{0ACC387C-BFFD-4513-A9B8-2CA0D58B0BFC}"/>
    <cellStyle name="40% - Accent2 2 3 4 4" xfId="10029" xr:uid="{C68F8AF7-22DB-4273-B2E4-7AAB4E47C593}"/>
    <cellStyle name="40% - Accent2 2 3 5" xfId="1911" xr:uid="{00000000-0005-0000-0000-000098040000}"/>
    <cellStyle name="40% - Accent2 2 3 5 2" xfId="4140" xr:uid="{00000000-0005-0000-0000-000099040000}"/>
    <cellStyle name="40% - Accent2 2 3 5 2 2" xfId="8363" xr:uid="{00000000-0005-0000-0000-00009A040000}"/>
    <cellStyle name="40% - Accent2 2 3 5 2 2 2" xfId="16805" xr:uid="{4C2433B6-008C-4746-A4F4-5FF93AC73CE4}"/>
    <cellStyle name="40% - Accent2 2 3 5 2 3" xfId="12587" xr:uid="{FCA4EB29-09F3-4C59-BE87-71BC680D0578}"/>
    <cellStyle name="40% - Accent2 2 3 5 3" xfId="6218" xr:uid="{00000000-0005-0000-0000-00009B040000}"/>
    <cellStyle name="40% - Accent2 2 3 5 3 2" xfId="14660" xr:uid="{A977678B-44DE-4456-9C96-C2EFB08E0CE7}"/>
    <cellStyle name="40% - Accent2 2 3 5 4" xfId="10442" xr:uid="{AABCDDF8-5961-4FC4-A79F-427483AF338C}"/>
    <cellStyle name="40% - Accent2 2 3 6" xfId="2324" xr:uid="{00000000-0005-0000-0000-00009C040000}"/>
    <cellStyle name="40% - Accent2 2 3 6 2" xfId="6631" xr:uid="{00000000-0005-0000-0000-00009D040000}"/>
    <cellStyle name="40% - Accent2 2 3 6 2 2" xfId="15073" xr:uid="{FFEBC79E-A131-42E7-BBC1-968DD4CE3FF0}"/>
    <cellStyle name="40% - Accent2 2 3 6 3" xfId="10855" xr:uid="{ABF9C374-204B-4866-9FA8-B134707B4248}"/>
    <cellStyle name="40% - Accent2 2 3 7" xfId="4565" xr:uid="{00000000-0005-0000-0000-00009E040000}"/>
    <cellStyle name="40% - Accent2 2 3 7 2" xfId="13007" xr:uid="{0511ACFD-6BB3-4148-A007-8BA36D32E7B5}"/>
    <cellStyle name="40% - Accent2 2 3 8" xfId="8789" xr:uid="{62794739-F4BD-44E6-A700-27614E5D6720}"/>
    <cellStyle name="40% - Accent2 2 4" xfId="627" xr:uid="{00000000-0005-0000-0000-00009F040000}"/>
    <cellStyle name="40% - Accent2 2 4 2" xfId="2898" xr:uid="{00000000-0005-0000-0000-0000A0040000}"/>
    <cellStyle name="40% - Accent2 2 4 2 2" xfId="7121" xr:uid="{00000000-0005-0000-0000-0000A1040000}"/>
    <cellStyle name="40% - Accent2 2 4 2 2 2" xfId="15563" xr:uid="{690B2B34-6BFA-4BA4-9462-8E1C33D4AC7E}"/>
    <cellStyle name="40% - Accent2 2 4 2 3" xfId="11345" xr:uid="{E9DA5067-4829-49F8-B6F4-D63196098C8D}"/>
    <cellStyle name="40% - Accent2 2 4 3" xfId="4976" xr:uid="{00000000-0005-0000-0000-0000A2040000}"/>
    <cellStyle name="40% - Accent2 2 4 3 2" xfId="13418" xr:uid="{FDC66CDE-A45F-459A-8B09-C858CC1B611C}"/>
    <cellStyle name="40% - Accent2 2 4 4" xfId="9200" xr:uid="{9A3064C4-22DE-4FD7-A7CC-1DF955774660}"/>
    <cellStyle name="40% - Accent2 2 5" xfId="1080" xr:uid="{00000000-0005-0000-0000-0000A3040000}"/>
    <cellStyle name="40% - Accent2 2 5 2" xfId="3311" xr:uid="{00000000-0005-0000-0000-0000A4040000}"/>
    <cellStyle name="40% - Accent2 2 5 2 2" xfId="7534" xr:uid="{00000000-0005-0000-0000-0000A5040000}"/>
    <cellStyle name="40% - Accent2 2 5 2 2 2" xfId="15976" xr:uid="{A6B45FAB-5778-4954-A224-5F49B0EE62EA}"/>
    <cellStyle name="40% - Accent2 2 5 2 3" xfId="11758" xr:uid="{9E3CF155-C82C-4011-B687-BC8BA0AC9012}"/>
    <cellStyle name="40% - Accent2 2 5 3" xfId="5389" xr:uid="{00000000-0005-0000-0000-0000A6040000}"/>
    <cellStyle name="40% - Accent2 2 5 3 2" xfId="13831" xr:uid="{8C01392F-CE76-4847-A447-2AD7E6D799B2}"/>
    <cellStyle name="40% - Accent2 2 5 4" xfId="9613" xr:uid="{6778DFA1-94A8-436B-BF84-B43325F2E7F7}"/>
    <cellStyle name="40% - Accent2 2 6" xfId="1494" xr:uid="{00000000-0005-0000-0000-0000A7040000}"/>
    <cellStyle name="40% - Accent2 2 6 2" xfId="3724" xr:uid="{00000000-0005-0000-0000-0000A8040000}"/>
    <cellStyle name="40% - Accent2 2 6 2 2" xfId="7947" xr:uid="{00000000-0005-0000-0000-0000A9040000}"/>
    <cellStyle name="40% - Accent2 2 6 2 2 2" xfId="16389" xr:uid="{FAC7980B-8DEE-44DB-81EB-A407A47C031D}"/>
    <cellStyle name="40% - Accent2 2 6 2 3" xfId="12171" xr:uid="{EC95F15F-B3DF-4FB1-A91A-8CC59BC0765F}"/>
    <cellStyle name="40% - Accent2 2 6 3" xfId="5802" xr:uid="{00000000-0005-0000-0000-0000AA040000}"/>
    <cellStyle name="40% - Accent2 2 6 3 2" xfId="14244" xr:uid="{E5C6B288-6AC8-45ED-AF06-372C980D427D}"/>
    <cellStyle name="40% - Accent2 2 6 4" xfId="10026" xr:uid="{0B58E7B4-287E-4222-B880-F33BC829BAEA}"/>
    <cellStyle name="40% - Accent2 2 7" xfId="1908" xr:uid="{00000000-0005-0000-0000-0000AB040000}"/>
    <cellStyle name="40% - Accent2 2 7 2" xfId="4137" xr:uid="{00000000-0005-0000-0000-0000AC040000}"/>
    <cellStyle name="40% - Accent2 2 7 2 2" xfId="8360" xr:uid="{00000000-0005-0000-0000-0000AD040000}"/>
    <cellStyle name="40% - Accent2 2 7 2 2 2" xfId="16802" xr:uid="{EC5EAF66-34F7-4BC9-9F33-03EA1BEB01CB}"/>
    <cellStyle name="40% - Accent2 2 7 2 3" xfId="12584" xr:uid="{610F0EF5-5E5A-4B87-B76A-DC19174F6A9E}"/>
    <cellStyle name="40% - Accent2 2 7 3" xfId="6215" xr:uid="{00000000-0005-0000-0000-0000AE040000}"/>
    <cellStyle name="40% - Accent2 2 7 3 2" xfId="14657" xr:uid="{7E2EB8AA-B5DE-438F-8373-1D9D8D5523BE}"/>
    <cellStyle name="40% - Accent2 2 7 4" xfId="10439" xr:uid="{53E61344-513A-495B-B451-900C412489F9}"/>
    <cellStyle name="40% - Accent2 2 8" xfId="2321" xr:uid="{00000000-0005-0000-0000-0000AF040000}"/>
    <cellStyle name="40% - Accent2 2 8 2" xfId="6628" xr:uid="{00000000-0005-0000-0000-0000B0040000}"/>
    <cellStyle name="40% - Accent2 2 8 2 2" xfId="15070" xr:uid="{02340DCA-7725-4484-8515-2CDF6EE77AEC}"/>
    <cellStyle name="40% - Accent2 2 8 3" xfId="10852" xr:uid="{0BF1767B-0B9C-48A2-8102-4FCB128A7713}"/>
    <cellStyle name="40% - Accent2 2 9" xfId="4562" xr:uid="{00000000-0005-0000-0000-0000B1040000}"/>
    <cellStyle name="40% - Accent2 2 9 2" xfId="13004" xr:uid="{8C38683F-F341-476E-A161-CD4BB1E3C22A}"/>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2 2 2" xfId="15568" xr:uid="{A49E96D2-EC7D-4B5E-97E9-AAF136144C35}"/>
    <cellStyle name="40% - Accent2 3 2 2 2 3" xfId="11350" xr:uid="{7BB12F7A-F118-4DCB-9A2D-D3A8A1A7A36D}"/>
    <cellStyle name="40% - Accent2 3 2 2 3" xfId="4981" xr:uid="{00000000-0005-0000-0000-0000B7040000}"/>
    <cellStyle name="40% - Accent2 3 2 2 3 2" xfId="13423" xr:uid="{53BE8FCF-4D9A-4227-B68A-0B19240D8F85}"/>
    <cellStyle name="40% - Accent2 3 2 2 4" xfId="9205" xr:uid="{55F94D68-0F7F-415B-914E-40F3D1B9770E}"/>
    <cellStyle name="40% - Accent2 3 2 3" xfId="1085" xr:uid="{00000000-0005-0000-0000-0000B8040000}"/>
    <cellStyle name="40% - Accent2 3 2 3 2" xfId="3316" xr:uid="{00000000-0005-0000-0000-0000B9040000}"/>
    <cellStyle name="40% - Accent2 3 2 3 2 2" xfId="7539" xr:uid="{00000000-0005-0000-0000-0000BA040000}"/>
    <cellStyle name="40% - Accent2 3 2 3 2 2 2" xfId="15981" xr:uid="{E7AFE86A-3276-4DEF-96CE-EBFAC8978A46}"/>
    <cellStyle name="40% - Accent2 3 2 3 2 3" xfId="11763" xr:uid="{1DCF793D-3DA8-444B-9F14-9EBE5DFA6310}"/>
    <cellStyle name="40% - Accent2 3 2 3 3" xfId="5394" xr:uid="{00000000-0005-0000-0000-0000BB040000}"/>
    <cellStyle name="40% - Accent2 3 2 3 3 2" xfId="13836" xr:uid="{4EE7326D-7393-468B-A751-156552DC571C}"/>
    <cellStyle name="40% - Accent2 3 2 3 4" xfId="9618" xr:uid="{573D37DD-C1B4-436B-889C-517501F33114}"/>
    <cellStyle name="40% - Accent2 3 2 4" xfId="1499" xr:uid="{00000000-0005-0000-0000-0000BC040000}"/>
    <cellStyle name="40% - Accent2 3 2 4 2" xfId="3729" xr:uid="{00000000-0005-0000-0000-0000BD040000}"/>
    <cellStyle name="40% - Accent2 3 2 4 2 2" xfId="7952" xr:uid="{00000000-0005-0000-0000-0000BE040000}"/>
    <cellStyle name="40% - Accent2 3 2 4 2 2 2" xfId="16394" xr:uid="{984DDBEC-D979-49E4-91BC-F7A134B16B44}"/>
    <cellStyle name="40% - Accent2 3 2 4 2 3" xfId="12176" xr:uid="{7BD85AED-82EB-4026-9F98-EB797DA1F3B3}"/>
    <cellStyle name="40% - Accent2 3 2 4 3" xfId="5807" xr:uid="{00000000-0005-0000-0000-0000BF040000}"/>
    <cellStyle name="40% - Accent2 3 2 4 3 2" xfId="14249" xr:uid="{1F4A2532-2067-4EBB-BE89-6AF0C1502ACB}"/>
    <cellStyle name="40% - Accent2 3 2 4 4" xfId="10031" xr:uid="{A0288CBB-9799-4963-97FB-2D62D92353EE}"/>
    <cellStyle name="40% - Accent2 3 2 5" xfId="1913" xr:uid="{00000000-0005-0000-0000-0000C0040000}"/>
    <cellStyle name="40% - Accent2 3 2 5 2" xfId="4142" xr:uid="{00000000-0005-0000-0000-0000C1040000}"/>
    <cellStyle name="40% - Accent2 3 2 5 2 2" xfId="8365" xr:uid="{00000000-0005-0000-0000-0000C2040000}"/>
    <cellStyle name="40% - Accent2 3 2 5 2 2 2" xfId="16807" xr:uid="{D8B8AD0D-8FEA-4F29-B94B-C1EDAEA0944C}"/>
    <cellStyle name="40% - Accent2 3 2 5 2 3" xfId="12589" xr:uid="{36AD2622-955B-4D10-B708-AE3DB83CAF23}"/>
    <cellStyle name="40% - Accent2 3 2 5 3" xfId="6220" xr:uid="{00000000-0005-0000-0000-0000C3040000}"/>
    <cellStyle name="40% - Accent2 3 2 5 3 2" xfId="14662" xr:uid="{C08772C0-2228-414D-9901-EC82EA938E03}"/>
    <cellStyle name="40% - Accent2 3 2 5 4" xfId="10444" xr:uid="{1ECC6F11-7FDE-43ED-851F-A43D59BAE203}"/>
    <cellStyle name="40% - Accent2 3 2 6" xfId="2326" xr:uid="{00000000-0005-0000-0000-0000C4040000}"/>
    <cellStyle name="40% - Accent2 3 2 6 2" xfId="6633" xr:uid="{00000000-0005-0000-0000-0000C5040000}"/>
    <cellStyle name="40% - Accent2 3 2 6 2 2" xfId="15075" xr:uid="{DE53D9F2-0C74-4704-AAAB-79C770A03243}"/>
    <cellStyle name="40% - Accent2 3 2 6 3" xfId="10857" xr:uid="{95AF0A6D-6E9C-4934-A7EA-292470825137}"/>
    <cellStyle name="40% - Accent2 3 2 7" xfId="4567" xr:uid="{00000000-0005-0000-0000-0000C6040000}"/>
    <cellStyle name="40% - Accent2 3 2 7 2" xfId="13009" xr:uid="{DB71CCA8-3FF5-4F9B-91F3-BAF54E203876}"/>
    <cellStyle name="40% - Accent2 3 2 8" xfId="8791" xr:uid="{50CD34C2-A9DF-44D6-B54A-B29AF1ACB91F}"/>
    <cellStyle name="40% - Accent2 3 3" xfId="631" xr:uid="{00000000-0005-0000-0000-0000C7040000}"/>
    <cellStyle name="40% - Accent2 3 3 2" xfId="2902" xr:uid="{00000000-0005-0000-0000-0000C8040000}"/>
    <cellStyle name="40% - Accent2 3 3 2 2" xfId="7125" xr:uid="{00000000-0005-0000-0000-0000C9040000}"/>
    <cellStyle name="40% - Accent2 3 3 2 2 2" xfId="15567" xr:uid="{6560F66E-F910-4E60-B011-BB28D4A6EEA9}"/>
    <cellStyle name="40% - Accent2 3 3 2 3" xfId="11349" xr:uid="{81C23B96-1FA8-4474-B98E-FF418CDBE697}"/>
    <cellStyle name="40% - Accent2 3 3 3" xfId="4980" xr:uid="{00000000-0005-0000-0000-0000CA040000}"/>
    <cellStyle name="40% - Accent2 3 3 3 2" xfId="13422" xr:uid="{642B1DA0-48E8-4F75-9F03-20BBFBBD2D69}"/>
    <cellStyle name="40% - Accent2 3 3 4" xfId="9204" xr:uid="{B9C6D673-5A49-4617-AC9C-A3A2209F14B5}"/>
    <cellStyle name="40% - Accent2 3 4" xfId="1084" xr:uid="{00000000-0005-0000-0000-0000CB040000}"/>
    <cellStyle name="40% - Accent2 3 4 2" xfId="3315" xr:uid="{00000000-0005-0000-0000-0000CC040000}"/>
    <cellStyle name="40% - Accent2 3 4 2 2" xfId="7538" xr:uid="{00000000-0005-0000-0000-0000CD040000}"/>
    <cellStyle name="40% - Accent2 3 4 2 2 2" xfId="15980" xr:uid="{E69FC0AF-03F9-4C0D-B677-85F95333133E}"/>
    <cellStyle name="40% - Accent2 3 4 2 3" xfId="11762" xr:uid="{E574D455-DC9B-4AC5-BF24-416585CF05FD}"/>
    <cellStyle name="40% - Accent2 3 4 3" xfId="5393" xr:uid="{00000000-0005-0000-0000-0000CE040000}"/>
    <cellStyle name="40% - Accent2 3 4 3 2" xfId="13835" xr:uid="{99B1B3B9-314B-48C3-BB06-BB0BE410E5B5}"/>
    <cellStyle name="40% - Accent2 3 4 4" xfId="9617" xr:uid="{9418BEE2-2EDB-458B-8B81-209521A93F35}"/>
    <cellStyle name="40% - Accent2 3 5" xfId="1498" xr:uid="{00000000-0005-0000-0000-0000CF040000}"/>
    <cellStyle name="40% - Accent2 3 5 2" xfId="3728" xr:uid="{00000000-0005-0000-0000-0000D0040000}"/>
    <cellStyle name="40% - Accent2 3 5 2 2" xfId="7951" xr:uid="{00000000-0005-0000-0000-0000D1040000}"/>
    <cellStyle name="40% - Accent2 3 5 2 2 2" xfId="16393" xr:uid="{D24E8B52-CB4C-48D1-B158-6CA9EFD6A069}"/>
    <cellStyle name="40% - Accent2 3 5 2 3" xfId="12175" xr:uid="{370956B6-66C6-4A94-B30A-AC496538DA41}"/>
    <cellStyle name="40% - Accent2 3 5 3" xfId="5806" xr:uid="{00000000-0005-0000-0000-0000D2040000}"/>
    <cellStyle name="40% - Accent2 3 5 3 2" xfId="14248" xr:uid="{02D8A96A-6985-4B57-89D4-DDCA14EA081E}"/>
    <cellStyle name="40% - Accent2 3 5 4" xfId="10030" xr:uid="{ADE35420-3311-45AA-8D6C-21C352AAF463}"/>
    <cellStyle name="40% - Accent2 3 6" xfId="1912" xr:uid="{00000000-0005-0000-0000-0000D3040000}"/>
    <cellStyle name="40% - Accent2 3 6 2" xfId="4141" xr:uid="{00000000-0005-0000-0000-0000D4040000}"/>
    <cellStyle name="40% - Accent2 3 6 2 2" xfId="8364" xr:uid="{00000000-0005-0000-0000-0000D5040000}"/>
    <cellStyle name="40% - Accent2 3 6 2 2 2" xfId="16806" xr:uid="{1EFDCD5D-4BD8-4695-8103-E99B488029F2}"/>
    <cellStyle name="40% - Accent2 3 6 2 3" xfId="12588" xr:uid="{BD02C5EE-FD6E-40C6-A65C-5FB937E0D7EC}"/>
    <cellStyle name="40% - Accent2 3 6 3" xfId="6219" xr:uid="{00000000-0005-0000-0000-0000D6040000}"/>
    <cellStyle name="40% - Accent2 3 6 3 2" xfId="14661" xr:uid="{2F1A5189-CF34-4B69-9C6E-76D2BF711CE5}"/>
    <cellStyle name="40% - Accent2 3 6 4" xfId="10443" xr:uid="{5D9A0956-D9D6-4D3C-8CFD-650CD2B100E6}"/>
    <cellStyle name="40% - Accent2 3 7" xfId="2325" xr:uid="{00000000-0005-0000-0000-0000D7040000}"/>
    <cellStyle name="40% - Accent2 3 7 2" xfId="6632" xr:uid="{00000000-0005-0000-0000-0000D8040000}"/>
    <cellStyle name="40% - Accent2 3 7 2 2" xfId="15074" xr:uid="{C595B19E-689B-491D-A3D2-D6EA3D25C613}"/>
    <cellStyle name="40% - Accent2 3 7 3" xfId="10856" xr:uid="{5985F205-D499-4B25-9CC8-E7EDFB5EE887}"/>
    <cellStyle name="40% - Accent2 3 8" xfId="4566" xr:uid="{00000000-0005-0000-0000-0000D9040000}"/>
    <cellStyle name="40% - Accent2 3 8 2" xfId="13008" xr:uid="{609C2AC1-4E28-44A4-BD03-E65F5E019A35}"/>
    <cellStyle name="40% - Accent2 3 9" xfId="8790" xr:uid="{8511FA53-63E6-4DF5-9115-FFA202DBA542}"/>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2 2 2" xfId="15569" xr:uid="{461BDD36-58ED-479F-B7D8-D71485F7D7AC}"/>
    <cellStyle name="40% - Accent2 4 2 2 3" xfId="11351" xr:uid="{D3AC372E-1F39-4739-83B3-FB18DCF21112}"/>
    <cellStyle name="40% - Accent2 4 2 3" xfId="4982" xr:uid="{00000000-0005-0000-0000-0000DE040000}"/>
    <cellStyle name="40% - Accent2 4 2 3 2" xfId="13424" xr:uid="{A56ADC20-914F-4166-AA9E-C1EB90F1E345}"/>
    <cellStyle name="40% - Accent2 4 2 4" xfId="9206" xr:uid="{F7C695E3-FAA1-4382-B88D-E6C5860F7607}"/>
    <cellStyle name="40% - Accent2 4 3" xfId="1086" xr:uid="{00000000-0005-0000-0000-0000DF040000}"/>
    <cellStyle name="40% - Accent2 4 3 2" xfId="3317" xr:uid="{00000000-0005-0000-0000-0000E0040000}"/>
    <cellStyle name="40% - Accent2 4 3 2 2" xfId="7540" xr:uid="{00000000-0005-0000-0000-0000E1040000}"/>
    <cellStyle name="40% - Accent2 4 3 2 2 2" xfId="15982" xr:uid="{F854434F-0FFA-4A75-B2E9-DDF9DF0EA106}"/>
    <cellStyle name="40% - Accent2 4 3 2 3" xfId="11764" xr:uid="{BEEF9949-D234-4E84-80C2-0110B943033B}"/>
    <cellStyle name="40% - Accent2 4 3 3" xfId="5395" xr:uid="{00000000-0005-0000-0000-0000E2040000}"/>
    <cellStyle name="40% - Accent2 4 3 3 2" xfId="13837" xr:uid="{4BDD1E31-53D7-4037-BC6B-F8D200812998}"/>
    <cellStyle name="40% - Accent2 4 3 4" xfId="9619" xr:uid="{12F2D3B5-83CE-4D9E-8D2A-2002526AFEE6}"/>
    <cellStyle name="40% - Accent2 4 4" xfId="1500" xr:uid="{00000000-0005-0000-0000-0000E3040000}"/>
    <cellStyle name="40% - Accent2 4 4 2" xfId="3730" xr:uid="{00000000-0005-0000-0000-0000E4040000}"/>
    <cellStyle name="40% - Accent2 4 4 2 2" xfId="7953" xr:uid="{00000000-0005-0000-0000-0000E5040000}"/>
    <cellStyle name="40% - Accent2 4 4 2 2 2" xfId="16395" xr:uid="{CF4CD3FF-5D2F-412C-AFBE-46DCE0DAEC95}"/>
    <cellStyle name="40% - Accent2 4 4 2 3" xfId="12177" xr:uid="{DAF7C3A5-72A0-4753-9356-DBBFCE82858F}"/>
    <cellStyle name="40% - Accent2 4 4 3" xfId="5808" xr:uid="{00000000-0005-0000-0000-0000E6040000}"/>
    <cellStyle name="40% - Accent2 4 4 3 2" xfId="14250" xr:uid="{F05097F1-7F33-4A8F-A6C1-473E2EC8A932}"/>
    <cellStyle name="40% - Accent2 4 4 4" xfId="10032" xr:uid="{99F7C541-FD79-49F7-A7AA-9BA0DF7BEA97}"/>
    <cellStyle name="40% - Accent2 4 5" xfId="1914" xr:uid="{00000000-0005-0000-0000-0000E7040000}"/>
    <cellStyle name="40% - Accent2 4 5 2" xfId="4143" xr:uid="{00000000-0005-0000-0000-0000E8040000}"/>
    <cellStyle name="40% - Accent2 4 5 2 2" xfId="8366" xr:uid="{00000000-0005-0000-0000-0000E9040000}"/>
    <cellStyle name="40% - Accent2 4 5 2 2 2" xfId="16808" xr:uid="{4DFA9112-B7A4-48B8-87F7-D7B7570DCC48}"/>
    <cellStyle name="40% - Accent2 4 5 2 3" xfId="12590" xr:uid="{0AE32755-0702-4EDE-AD59-D05440B6E72A}"/>
    <cellStyle name="40% - Accent2 4 5 3" xfId="6221" xr:uid="{00000000-0005-0000-0000-0000EA040000}"/>
    <cellStyle name="40% - Accent2 4 5 3 2" xfId="14663" xr:uid="{8F3A6219-71FC-4825-8EB4-81783CDB5E6D}"/>
    <cellStyle name="40% - Accent2 4 5 4" xfId="10445" xr:uid="{0091B6FC-3A11-4853-A7A4-0F045C12337F}"/>
    <cellStyle name="40% - Accent2 4 6" xfId="2327" xr:uid="{00000000-0005-0000-0000-0000EB040000}"/>
    <cellStyle name="40% - Accent2 4 6 2" xfId="6634" xr:uid="{00000000-0005-0000-0000-0000EC040000}"/>
    <cellStyle name="40% - Accent2 4 6 2 2" xfId="15076" xr:uid="{BA9A4F0D-B942-4C2F-B1E8-C47CD6712F1A}"/>
    <cellStyle name="40% - Accent2 4 6 3" xfId="10858" xr:uid="{0E7026A8-067C-4E68-B15A-9E2E3B00AC27}"/>
    <cellStyle name="40% - Accent2 4 7" xfId="4568" xr:uid="{00000000-0005-0000-0000-0000ED040000}"/>
    <cellStyle name="40% - Accent2 4 7 2" xfId="13010" xr:uid="{99604197-C86B-479D-A03D-AE8F321641DC}"/>
    <cellStyle name="40% - Accent2 4 8" xfId="8792" xr:uid="{4303EE29-1253-4EF3-97E9-3A5B650DC293}"/>
    <cellStyle name="40% - Accent2 5" xfId="626" xr:uid="{00000000-0005-0000-0000-0000EE040000}"/>
    <cellStyle name="40% - Accent2 5 2" xfId="2897" xr:uid="{00000000-0005-0000-0000-0000EF040000}"/>
    <cellStyle name="40% - Accent2 5 2 2" xfId="7120" xr:uid="{00000000-0005-0000-0000-0000F0040000}"/>
    <cellStyle name="40% - Accent2 5 2 2 2" xfId="15562" xr:uid="{5F4B1E2C-21A1-4DB1-8EA9-B38F4B7FC5DE}"/>
    <cellStyle name="40% - Accent2 5 2 3" xfId="11344" xr:uid="{1582EEE9-BE56-4E04-B8C9-CBEC86198417}"/>
    <cellStyle name="40% - Accent2 5 3" xfId="4975" xr:uid="{00000000-0005-0000-0000-0000F1040000}"/>
    <cellStyle name="40% - Accent2 5 3 2" xfId="13417" xr:uid="{67C0BB63-19B7-490B-927A-AD1684E7D30A}"/>
    <cellStyle name="40% - Accent2 5 4" xfId="9199" xr:uid="{CEBC2286-7347-4BD4-8FC4-BD407589A13C}"/>
    <cellStyle name="40% - Accent2 6" xfId="1079" xr:uid="{00000000-0005-0000-0000-0000F2040000}"/>
    <cellStyle name="40% - Accent2 6 2" xfId="3310" xr:uid="{00000000-0005-0000-0000-0000F3040000}"/>
    <cellStyle name="40% - Accent2 6 2 2" xfId="7533" xr:uid="{00000000-0005-0000-0000-0000F4040000}"/>
    <cellStyle name="40% - Accent2 6 2 2 2" xfId="15975" xr:uid="{9B4BA867-D025-4770-BE8A-B0DD3AFA1325}"/>
    <cellStyle name="40% - Accent2 6 2 3" xfId="11757" xr:uid="{9BA9ED0B-C682-4932-9054-9D5CC60BB8A4}"/>
    <cellStyle name="40% - Accent2 6 3" xfId="5388" xr:uid="{00000000-0005-0000-0000-0000F5040000}"/>
    <cellStyle name="40% - Accent2 6 3 2" xfId="13830" xr:uid="{40345357-81A7-4B6D-BE60-6D1BD1F66A5F}"/>
    <cellStyle name="40% - Accent2 6 4" xfId="9612" xr:uid="{00272EBE-EC62-44FA-A681-65E21D76F9A6}"/>
    <cellStyle name="40% - Accent2 7" xfId="1493" xr:uid="{00000000-0005-0000-0000-0000F6040000}"/>
    <cellStyle name="40% - Accent2 7 2" xfId="3723" xr:uid="{00000000-0005-0000-0000-0000F7040000}"/>
    <cellStyle name="40% - Accent2 7 2 2" xfId="7946" xr:uid="{00000000-0005-0000-0000-0000F8040000}"/>
    <cellStyle name="40% - Accent2 7 2 2 2" xfId="16388" xr:uid="{6C41B447-5285-4C88-A6F1-6974F3CD07E4}"/>
    <cellStyle name="40% - Accent2 7 2 3" xfId="12170" xr:uid="{41395AC0-E33D-4C84-9553-7446E7503AE9}"/>
    <cellStyle name="40% - Accent2 7 3" xfId="5801" xr:uid="{00000000-0005-0000-0000-0000F9040000}"/>
    <cellStyle name="40% - Accent2 7 3 2" xfId="14243" xr:uid="{8F8EFF90-D217-49EF-B0B0-4AE4B94E2EC0}"/>
    <cellStyle name="40% - Accent2 7 4" xfId="10025" xr:uid="{526ECA7E-3179-4757-861C-68CB1FD9A482}"/>
    <cellStyle name="40% - Accent2 8" xfId="1907" xr:uid="{00000000-0005-0000-0000-0000FA040000}"/>
    <cellStyle name="40% - Accent2 8 2" xfId="4136" xr:uid="{00000000-0005-0000-0000-0000FB040000}"/>
    <cellStyle name="40% - Accent2 8 2 2" xfId="8359" xr:uid="{00000000-0005-0000-0000-0000FC040000}"/>
    <cellStyle name="40% - Accent2 8 2 2 2" xfId="16801" xr:uid="{52A2CFAA-086D-4F75-9E35-6B2B7687B3C3}"/>
    <cellStyle name="40% - Accent2 8 2 3" xfId="12583" xr:uid="{2D801EA5-FA90-4D74-99F9-CE2E443C522A}"/>
    <cellStyle name="40% - Accent2 8 3" xfId="6214" xr:uid="{00000000-0005-0000-0000-0000FD040000}"/>
    <cellStyle name="40% - Accent2 8 3 2" xfId="14656" xr:uid="{2F6F388F-67EC-4889-AF1F-2FE0996527F4}"/>
    <cellStyle name="40% - Accent2 8 4" xfId="10438" xr:uid="{CD67387E-ED53-45FE-97A5-A0AF371F5A1A}"/>
    <cellStyle name="40% - Accent2 9" xfId="2320" xr:uid="{00000000-0005-0000-0000-0000FE040000}"/>
    <cellStyle name="40% - Accent2 9 2" xfId="6627" xr:uid="{00000000-0005-0000-0000-0000FF040000}"/>
    <cellStyle name="40% - Accent2 9 2 2" xfId="15069" xr:uid="{B97C2B16-88B1-4F17-846A-BF7981D4DD28}"/>
    <cellStyle name="40% - Accent2 9 3" xfId="10851" xr:uid="{8B84368A-3066-4BA5-B252-F12BFC9BADE1}"/>
    <cellStyle name="40% - Accent3" xfId="65" builtinId="39" customBuiltin="1"/>
    <cellStyle name="40% - Accent3 10" xfId="4569" xr:uid="{00000000-0005-0000-0000-000001050000}"/>
    <cellStyle name="40% - Accent3 10 2" xfId="13011" xr:uid="{314EED5E-C469-4E31-A2AD-2D8E63708D4C}"/>
    <cellStyle name="40% - Accent3 11" xfId="8793" xr:uid="{BD7E8B0E-D12D-4E0F-AC2E-3D45D9EC3CAC}"/>
    <cellStyle name="40% - Accent3 2" xfId="66" xr:uid="{00000000-0005-0000-0000-000002050000}"/>
    <cellStyle name="40% - Accent3 2 10" xfId="8794" xr:uid="{4564C3EE-6ED6-4681-9C30-9A60FF6D0709}"/>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2 2 2" xfId="15573" xr:uid="{276DD3BC-1CDE-4B10-AE1C-DC34D2D8E671}"/>
    <cellStyle name="40% - Accent3 2 2 2 2 2 3" xfId="11355" xr:uid="{21E64D59-99D4-4AE9-9F05-86BD41B096DA}"/>
    <cellStyle name="40% - Accent3 2 2 2 2 3" xfId="4986" xr:uid="{00000000-0005-0000-0000-000008050000}"/>
    <cellStyle name="40% - Accent3 2 2 2 2 3 2" xfId="13428" xr:uid="{FE460A53-EF7A-40F1-9A78-602191F7C202}"/>
    <cellStyle name="40% - Accent3 2 2 2 2 4" xfId="9210" xr:uid="{C76E20A7-9223-4156-BE24-DA3DE1627F8B}"/>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2 2 2" xfId="15986" xr:uid="{825C8655-73F5-404F-BD4E-97CD68A87CEC}"/>
    <cellStyle name="40% - Accent3 2 2 2 3 2 3" xfId="11768" xr:uid="{10C9C8B6-67C0-42E2-999A-E3F5F38A233D}"/>
    <cellStyle name="40% - Accent3 2 2 2 3 3" xfId="5399" xr:uid="{00000000-0005-0000-0000-00000C050000}"/>
    <cellStyle name="40% - Accent3 2 2 2 3 3 2" xfId="13841" xr:uid="{307EADEB-CF32-4592-B7FB-01450DA2C22B}"/>
    <cellStyle name="40% - Accent3 2 2 2 3 4" xfId="9623" xr:uid="{BD033109-664E-454E-86A4-5ABCCC7BB306}"/>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2 2 2" xfId="16399" xr:uid="{D10CB9CD-5EFD-4F7C-8B97-0272CC510B70}"/>
    <cellStyle name="40% - Accent3 2 2 2 4 2 3" xfId="12181" xr:uid="{164FD31F-5B66-422C-BA5E-6A4C939E85AA}"/>
    <cellStyle name="40% - Accent3 2 2 2 4 3" xfId="5812" xr:uid="{00000000-0005-0000-0000-000010050000}"/>
    <cellStyle name="40% - Accent3 2 2 2 4 3 2" xfId="14254" xr:uid="{2EBB1350-26C0-4B98-94D2-8E0C56B43F86}"/>
    <cellStyle name="40% - Accent3 2 2 2 4 4" xfId="10036" xr:uid="{25664B04-5F16-40C7-A609-C29AF16D52E3}"/>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2 2 2" xfId="16812" xr:uid="{FB74FD45-99F4-4AB7-BE05-B80944B801B3}"/>
    <cellStyle name="40% - Accent3 2 2 2 5 2 3" xfId="12594" xr:uid="{1826B1D0-A2FB-44B1-82F8-34B335704748}"/>
    <cellStyle name="40% - Accent3 2 2 2 5 3" xfId="6225" xr:uid="{00000000-0005-0000-0000-000014050000}"/>
    <cellStyle name="40% - Accent3 2 2 2 5 3 2" xfId="14667" xr:uid="{E5066D65-0EB2-454C-8BB9-DC6F71DAFA71}"/>
    <cellStyle name="40% - Accent3 2 2 2 5 4" xfId="10449" xr:uid="{6D641354-A5ED-413F-B28D-57A5E4749BC3}"/>
    <cellStyle name="40% - Accent3 2 2 2 6" xfId="2331" xr:uid="{00000000-0005-0000-0000-000015050000}"/>
    <cellStyle name="40% - Accent3 2 2 2 6 2" xfId="6638" xr:uid="{00000000-0005-0000-0000-000016050000}"/>
    <cellStyle name="40% - Accent3 2 2 2 6 2 2" xfId="15080" xr:uid="{9E1FC35C-D755-4786-8C4C-75407E5FD393}"/>
    <cellStyle name="40% - Accent3 2 2 2 6 3" xfId="10862" xr:uid="{52634CAB-7557-4200-8A12-7FDD71F445BE}"/>
    <cellStyle name="40% - Accent3 2 2 2 7" xfId="4572" xr:uid="{00000000-0005-0000-0000-000017050000}"/>
    <cellStyle name="40% - Accent3 2 2 2 7 2" xfId="13014" xr:uid="{CF7B1392-2B8B-4460-8BE6-C464BC804582}"/>
    <cellStyle name="40% - Accent3 2 2 2 8" xfId="8796" xr:uid="{564FC4F3-F8A0-49C2-81BD-2B2F151B3833}"/>
    <cellStyle name="40% - Accent3 2 2 3" xfId="636" xr:uid="{00000000-0005-0000-0000-000018050000}"/>
    <cellStyle name="40% - Accent3 2 2 3 2" xfId="2907" xr:uid="{00000000-0005-0000-0000-000019050000}"/>
    <cellStyle name="40% - Accent3 2 2 3 2 2" xfId="7130" xr:uid="{00000000-0005-0000-0000-00001A050000}"/>
    <cellStyle name="40% - Accent3 2 2 3 2 2 2" xfId="15572" xr:uid="{D60DA88A-3BD0-4564-BCA7-5591ED8654E4}"/>
    <cellStyle name="40% - Accent3 2 2 3 2 3" xfId="11354" xr:uid="{2C6545C5-880D-4309-B6B0-7AE93774F022}"/>
    <cellStyle name="40% - Accent3 2 2 3 3" xfId="4985" xr:uid="{00000000-0005-0000-0000-00001B050000}"/>
    <cellStyle name="40% - Accent3 2 2 3 3 2" xfId="13427" xr:uid="{0B730C24-A6C8-4077-974C-763E31A75730}"/>
    <cellStyle name="40% - Accent3 2 2 3 4" xfId="9209" xr:uid="{10ACF254-CDD8-432C-81D0-CCDC228A17AF}"/>
    <cellStyle name="40% - Accent3 2 2 4" xfId="1089" xr:uid="{00000000-0005-0000-0000-00001C050000}"/>
    <cellStyle name="40% - Accent3 2 2 4 2" xfId="3320" xr:uid="{00000000-0005-0000-0000-00001D050000}"/>
    <cellStyle name="40% - Accent3 2 2 4 2 2" xfId="7543" xr:uid="{00000000-0005-0000-0000-00001E050000}"/>
    <cellStyle name="40% - Accent3 2 2 4 2 2 2" xfId="15985" xr:uid="{6C4D408F-FA51-4094-BD37-3AA0C1C599B9}"/>
    <cellStyle name="40% - Accent3 2 2 4 2 3" xfId="11767" xr:uid="{1D027F16-81CC-4CF4-98DD-E584E6B4572A}"/>
    <cellStyle name="40% - Accent3 2 2 4 3" xfId="5398" xr:uid="{00000000-0005-0000-0000-00001F050000}"/>
    <cellStyle name="40% - Accent3 2 2 4 3 2" xfId="13840" xr:uid="{87F39B02-6858-4137-948B-73CA7D07FE39}"/>
    <cellStyle name="40% - Accent3 2 2 4 4" xfId="9622" xr:uid="{7A4439F4-D94C-4B57-92CB-DF9B0F2C8839}"/>
    <cellStyle name="40% - Accent3 2 2 5" xfId="1503" xr:uid="{00000000-0005-0000-0000-000020050000}"/>
    <cellStyle name="40% - Accent3 2 2 5 2" xfId="3733" xr:uid="{00000000-0005-0000-0000-000021050000}"/>
    <cellStyle name="40% - Accent3 2 2 5 2 2" xfId="7956" xr:uid="{00000000-0005-0000-0000-000022050000}"/>
    <cellStyle name="40% - Accent3 2 2 5 2 2 2" xfId="16398" xr:uid="{89CEE505-1412-4AF1-B2F9-A9D364B0B7A7}"/>
    <cellStyle name="40% - Accent3 2 2 5 2 3" xfId="12180" xr:uid="{8BAA55AD-429A-4B01-91C6-64525A8E8810}"/>
    <cellStyle name="40% - Accent3 2 2 5 3" xfId="5811" xr:uid="{00000000-0005-0000-0000-000023050000}"/>
    <cellStyle name="40% - Accent3 2 2 5 3 2" xfId="14253" xr:uid="{9A594638-E121-4B1D-B572-E28E8BB72A30}"/>
    <cellStyle name="40% - Accent3 2 2 5 4" xfId="10035" xr:uid="{D1789EEE-432A-475A-9F90-3657422D82E5}"/>
    <cellStyle name="40% - Accent3 2 2 6" xfId="1917" xr:uid="{00000000-0005-0000-0000-000024050000}"/>
    <cellStyle name="40% - Accent3 2 2 6 2" xfId="4146" xr:uid="{00000000-0005-0000-0000-000025050000}"/>
    <cellStyle name="40% - Accent3 2 2 6 2 2" xfId="8369" xr:uid="{00000000-0005-0000-0000-000026050000}"/>
    <cellStyle name="40% - Accent3 2 2 6 2 2 2" xfId="16811" xr:uid="{1A2DD3FA-423E-410B-84AA-52AC9D278777}"/>
    <cellStyle name="40% - Accent3 2 2 6 2 3" xfId="12593" xr:uid="{E70EC678-08E1-44EC-8399-2716546408AC}"/>
    <cellStyle name="40% - Accent3 2 2 6 3" xfId="6224" xr:uid="{00000000-0005-0000-0000-000027050000}"/>
    <cellStyle name="40% - Accent3 2 2 6 3 2" xfId="14666" xr:uid="{986B14C5-1F6B-4964-B6FA-22FA2A940E5C}"/>
    <cellStyle name="40% - Accent3 2 2 6 4" xfId="10448" xr:uid="{4452C416-A573-4ECB-B23C-58AB11F34040}"/>
    <cellStyle name="40% - Accent3 2 2 7" xfId="2330" xr:uid="{00000000-0005-0000-0000-000028050000}"/>
    <cellStyle name="40% - Accent3 2 2 7 2" xfId="6637" xr:uid="{00000000-0005-0000-0000-000029050000}"/>
    <cellStyle name="40% - Accent3 2 2 7 2 2" xfId="15079" xr:uid="{9DEFE275-C8D8-4F54-A964-92CB0DB7ED34}"/>
    <cellStyle name="40% - Accent3 2 2 7 3" xfId="10861" xr:uid="{F437C4CA-79E7-4B9C-A319-43CA0A8E9871}"/>
    <cellStyle name="40% - Accent3 2 2 8" xfId="4571" xr:uid="{00000000-0005-0000-0000-00002A050000}"/>
    <cellStyle name="40% - Accent3 2 2 8 2" xfId="13013" xr:uid="{39329CC6-09A3-4292-BCC8-5C6F52E3C4F5}"/>
    <cellStyle name="40% - Accent3 2 2 9" xfId="8795" xr:uid="{8A944132-2C01-45E8-9F58-87D5D4B3116F}"/>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2 2 2" xfId="15574" xr:uid="{4275F0F8-6C9D-4535-88EA-067A877AAD6B}"/>
    <cellStyle name="40% - Accent3 2 3 2 2 3" xfId="11356" xr:uid="{C28198D5-5E69-4778-B434-E8F7EC3018C7}"/>
    <cellStyle name="40% - Accent3 2 3 2 3" xfId="4987" xr:uid="{00000000-0005-0000-0000-00002F050000}"/>
    <cellStyle name="40% - Accent3 2 3 2 3 2" xfId="13429" xr:uid="{72D4B1B9-F42A-42BC-AA1D-47093C9DA1B2}"/>
    <cellStyle name="40% - Accent3 2 3 2 4" xfId="9211" xr:uid="{326A82E8-B911-449A-80B2-1085CC540DE0}"/>
    <cellStyle name="40% - Accent3 2 3 3" xfId="1091" xr:uid="{00000000-0005-0000-0000-000030050000}"/>
    <cellStyle name="40% - Accent3 2 3 3 2" xfId="3322" xr:uid="{00000000-0005-0000-0000-000031050000}"/>
    <cellStyle name="40% - Accent3 2 3 3 2 2" xfId="7545" xr:uid="{00000000-0005-0000-0000-000032050000}"/>
    <cellStyle name="40% - Accent3 2 3 3 2 2 2" xfId="15987" xr:uid="{FA27A503-8A3F-454C-BB7E-BCCF2B492227}"/>
    <cellStyle name="40% - Accent3 2 3 3 2 3" xfId="11769" xr:uid="{E36C1913-438A-439C-9193-D49932C332D0}"/>
    <cellStyle name="40% - Accent3 2 3 3 3" xfId="5400" xr:uid="{00000000-0005-0000-0000-000033050000}"/>
    <cellStyle name="40% - Accent3 2 3 3 3 2" xfId="13842" xr:uid="{78DB6A8B-09E7-4108-B264-D1513403D5F4}"/>
    <cellStyle name="40% - Accent3 2 3 3 4" xfId="9624" xr:uid="{49C4991A-8059-46C0-BC4C-057426AD04F7}"/>
    <cellStyle name="40% - Accent3 2 3 4" xfId="1505" xr:uid="{00000000-0005-0000-0000-000034050000}"/>
    <cellStyle name="40% - Accent3 2 3 4 2" xfId="3735" xr:uid="{00000000-0005-0000-0000-000035050000}"/>
    <cellStyle name="40% - Accent3 2 3 4 2 2" xfId="7958" xr:uid="{00000000-0005-0000-0000-000036050000}"/>
    <cellStyle name="40% - Accent3 2 3 4 2 2 2" xfId="16400" xr:uid="{6E8E44CE-0488-4D51-A74A-37CF85576FD4}"/>
    <cellStyle name="40% - Accent3 2 3 4 2 3" xfId="12182" xr:uid="{968567B5-28DC-41FB-BA48-AF37E1D44F48}"/>
    <cellStyle name="40% - Accent3 2 3 4 3" xfId="5813" xr:uid="{00000000-0005-0000-0000-000037050000}"/>
    <cellStyle name="40% - Accent3 2 3 4 3 2" xfId="14255" xr:uid="{75CE2658-43F3-4772-987B-F3CD59A81F89}"/>
    <cellStyle name="40% - Accent3 2 3 4 4" xfId="10037" xr:uid="{4F8AE152-6B3E-41C9-8962-CBBE579784CC}"/>
    <cellStyle name="40% - Accent3 2 3 5" xfId="1919" xr:uid="{00000000-0005-0000-0000-000038050000}"/>
    <cellStyle name="40% - Accent3 2 3 5 2" xfId="4148" xr:uid="{00000000-0005-0000-0000-000039050000}"/>
    <cellStyle name="40% - Accent3 2 3 5 2 2" xfId="8371" xr:uid="{00000000-0005-0000-0000-00003A050000}"/>
    <cellStyle name="40% - Accent3 2 3 5 2 2 2" xfId="16813" xr:uid="{3BF51B7F-4BA0-4479-9875-8088E9A5CED8}"/>
    <cellStyle name="40% - Accent3 2 3 5 2 3" xfId="12595" xr:uid="{941E94A0-F5EC-4447-836F-A247C5170948}"/>
    <cellStyle name="40% - Accent3 2 3 5 3" xfId="6226" xr:uid="{00000000-0005-0000-0000-00003B050000}"/>
    <cellStyle name="40% - Accent3 2 3 5 3 2" xfId="14668" xr:uid="{9360B56B-146C-4239-801D-D0B8B62552C7}"/>
    <cellStyle name="40% - Accent3 2 3 5 4" xfId="10450" xr:uid="{707337A5-4E6A-4F89-AB00-673C54AA7911}"/>
    <cellStyle name="40% - Accent3 2 3 6" xfId="2332" xr:uid="{00000000-0005-0000-0000-00003C050000}"/>
    <cellStyle name="40% - Accent3 2 3 6 2" xfId="6639" xr:uid="{00000000-0005-0000-0000-00003D050000}"/>
    <cellStyle name="40% - Accent3 2 3 6 2 2" xfId="15081" xr:uid="{FE3FCB10-586C-4DC0-B51B-C9AA25E0A3FC}"/>
    <cellStyle name="40% - Accent3 2 3 6 3" xfId="10863" xr:uid="{8057E0B8-B348-4604-A055-F60B736B9BCD}"/>
    <cellStyle name="40% - Accent3 2 3 7" xfId="4573" xr:uid="{00000000-0005-0000-0000-00003E050000}"/>
    <cellStyle name="40% - Accent3 2 3 7 2" xfId="13015" xr:uid="{58E43234-6888-4AC3-8BCF-423C21F3324C}"/>
    <cellStyle name="40% - Accent3 2 3 8" xfId="8797" xr:uid="{1A5EB525-6485-4561-BD83-35FD65BA3DB2}"/>
    <cellStyle name="40% - Accent3 2 4" xfId="635" xr:uid="{00000000-0005-0000-0000-00003F050000}"/>
    <cellStyle name="40% - Accent3 2 4 2" xfId="2906" xr:uid="{00000000-0005-0000-0000-000040050000}"/>
    <cellStyle name="40% - Accent3 2 4 2 2" xfId="7129" xr:uid="{00000000-0005-0000-0000-000041050000}"/>
    <cellStyle name="40% - Accent3 2 4 2 2 2" xfId="15571" xr:uid="{B33AA285-F1B0-483E-A13E-520B0CDDD4C5}"/>
    <cellStyle name="40% - Accent3 2 4 2 3" xfId="11353" xr:uid="{98241826-1749-429C-B029-F8624B244908}"/>
    <cellStyle name="40% - Accent3 2 4 3" xfId="4984" xr:uid="{00000000-0005-0000-0000-000042050000}"/>
    <cellStyle name="40% - Accent3 2 4 3 2" xfId="13426" xr:uid="{73146EB2-87C8-45CC-BCF1-A08894081112}"/>
    <cellStyle name="40% - Accent3 2 4 4" xfId="9208" xr:uid="{5E98B0EC-1490-4F6E-BA54-8C285AAB12ED}"/>
    <cellStyle name="40% - Accent3 2 5" xfId="1088" xr:uid="{00000000-0005-0000-0000-000043050000}"/>
    <cellStyle name="40% - Accent3 2 5 2" xfId="3319" xr:uid="{00000000-0005-0000-0000-000044050000}"/>
    <cellStyle name="40% - Accent3 2 5 2 2" xfId="7542" xr:uid="{00000000-0005-0000-0000-000045050000}"/>
    <cellStyle name="40% - Accent3 2 5 2 2 2" xfId="15984" xr:uid="{55B33B9D-ACFE-4D59-842C-839137C60B4A}"/>
    <cellStyle name="40% - Accent3 2 5 2 3" xfId="11766" xr:uid="{6D1FDE91-C614-4DEE-82A2-8621A49DF5F5}"/>
    <cellStyle name="40% - Accent3 2 5 3" xfId="5397" xr:uid="{00000000-0005-0000-0000-000046050000}"/>
    <cellStyle name="40% - Accent3 2 5 3 2" xfId="13839" xr:uid="{20EBFB2B-1545-44BB-B120-8F7349B57108}"/>
    <cellStyle name="40% - Accent3 2 5 4" xfId="9621" xr:uid="{5D8B2EE1-06C6-4C48-A173-75085C75CC4C}"/>
    <cellStyle name="40% - Accent3 2 6" xfId="1502" xr:uid="{00000000-0005-0000-0000-000047050000}"/>
    <cellStyle name="40% - Accent3 2 6 2" xfId="3732" xr:uid="{00000000-0005-0000-0000-000048050000}"/>
    <cellStyle name="40% - Accent3 2 6 2 2" xfId="7955" xr:uid="{00000000-0005-0000-0000-000049050000}"/>
    <cellStyle name="40% - Accent3 2 6 2 2 2" xfId="16397" xr:uid="{AF4A7F0B-DACF-44D7-BA33-10E55A95A0F9}"/>
    <cellStyle name="40% - Accent3 2 6 2 3" xfId="12179" xr:uid="{DD119554-3986-43EE-8D42-297B484E9AFC}"/>
    <cellStyle name="40% - Accent3 2 6 3" xfId="5810" xr:uid="{00000000-0005-0000-0000-00004A050000}"/>
    <cellStyle name="40% - Accent3 2 6 3 2" xfId="14252" xr:uid="{10D27931-157C-4929-B4B5-D43B0CB5E6C5}"/>
    <cellStyle name="40% - Accent3 2 6 4" xfId="10034" xr:uid="{F2718CCA-04D3-4F0A-8F91-1CF314CCAA2C}"/>
    <cellStyle name="40% - Accent3 2 7" xfId="1916" xr:uid="{00000000-0005-0000-0000-00004B050000}"/>
    <cellStyle name="40% - Accent3 2 7 2" xfId="4145" xr:uid="{00000000-0005-0000-0000-00004C050000}"/>
    <cellStyle name="40% - Accent3 2 7 2 2" xfId="8368" xr:uid="{00000000-0005-0000-0000-00004D050000}"/>
    <cellStyle name="40% - Accent3 2 7 2 2 2" xfId="16810" xr:uid="{44D11BFE-62A9-40CD-981C-66CA25B6D1F4}"/>
    <cellStyle name="40% - Accent3 2 7 2 3" xfId="12592" xr:uid="{ACE9A6C7-7B20-4070-9206-18BB285FB750}"/>
    <cellStyle name="40% - Accent3 2 7 3" xfId="6223" xr:uid="{00000000-0005-0000-0000-00004E050000}"/>
    <cellStyle name="40% - Accent3 2 7 3 2" xfId="14665" xr:uid="{41EE537B-EBAB-4F67-83D5-5FF861E4D541}"/>
    <cellStyle name="40% - Accent3 2 7 4" xfId="10447" xr:uid="{97706F35-BD4F-4D98-BD9F-96885117E712}"/>
    <cellStyle name="40% - Accent3 2 8" xfId="2329" xr:uid="{00000000-0005-0000-0000-00004F050000}"/>
    <cellStyle name="40% - Accent3 2 8 2" xfId="6636" xr:uid="{00000000-0005-0000-0000-000050050000}"/>
    <cellStyle name="40% - Accent3 2 8 2 2" xfId="15078" xr:uid="{F4290308-3D77-4293-8500-28BF171D0CBE}"/>
    <cellStyle name="40% - Accent3 2 8 3" xfId="10860" xr:uid="{AB0B6F7C-FADB-4DB7-A470-457F44EAEA66}"/>
    <cellStyle name="40% - Accent3 2 9" xfId="4570" xr:uid="{00000000-0005-0000-0000-000051050000}"/>
    <cellStyle name="40% - Accent3 2 9 2" xfId="13012" xr:uid="{8E2B06FA-E7AD-436A-8133-EC2A74A99C5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2 2 2" xfId="15576" xr:uid="{E1A8B6B8-C081-4A37-A946-028346C64890}"/>
    <cellStyle name="40% - Accent3 3 2 2 2 3" xfId="11358" xr:uid="{5E851D0F-E847-4BB0-8E40-1410949692CD}"/>
    <cellStyle name="40% - Accent3 3 2 2 3" xfId="4989" xr:uid="{00000000-0005-0000-0000-000057050000}"/>
    <cellStyle name="40% - Accent3 3 2 2 3 2" xfId="13431" xr:uid="{1F9DF788-367B-4906-9F8B-142C35C9B437}"/>
    <cellStyle name="40% - Accent3 3 2 2 4" xfId="9213" xr:uid="{6B97D5CD-7415-4457-9DB5-F48E3FB58F67}"/>
    <cellStyle name="40% - Accent3 3 2 3" xfId="1093" xr:uid="{00000000-0005-0000-0000-000058050000}"/>
    <cellStyle name="40% - Accent3 3 2 3 2" xfId="3324" xr:uid="{00000000-0005-0000-0000-000059050000}"/>
    <cellStyle name="40% - Accent3 3 2 3 2 2" xfId="7547" xr:uid="{00000000-0005-0000-0000-00005A050000}"/>
    <cellStyle name="40% - Accent3 3 2 3 2 2 2" xfId="15989" xr:uid="{9FF008E0-DDD5-4BB6-866A-11F43BF3C3C8}"/>
    <cellStyle name="40% - Accent3 3 2 3 2 3" xfId="11771" xr:uid="{BD9B9581-325F-4650-B3D3-49BE355C5796}"/>
    <cellStyle name="40% - Accent3 3 2 3 3" xfId="5402" xr:uid="{00000000-0005-0000-0000-00005B050000}"/>
    <cellStyle name="40% - Accent3 3 2 3 3 2" xfId="13844" xr:uid="{0C3AFB2B-96BD-489A-B559-D1643DDABFA9}"/>
    <cellStyle name="40% - Accent3 3 2 3 4" xfId="9626" xr:uid="{D78CD77A-EE02-4B0B-93B3-28813A47B628}"/>
    <cellStyle name="40% - Accent3 3 2 4" xfId="1507" xr:uid="{00000000-0005-0000-0000-00005C050000}"/>
    <cellStyle name="40% - Accent3 3 2 4 2" xfId="3737" xr:uid="{00000000-0005-0000-0000-00005D050000}"/>
    <cellStyle name="40% - Accent3 3 2 4 2 2" xfId="7960" xr:uid="{00000000-0005-0000-0000-00005E050000}"/>
    <cellStyle name="40% - Accent3 3 2 4 2 2 2" xfId="16402" xr:uid="{AA5D0AFE-CB18-407B-90AB-E5AD4762C09F}"/>
    <cellStyle name="40% - Accent3 3 2 4 2 3" xfId="12184" xr:uid="{16212199-DCC6-4048-AAB3-7FA4733A6D27}"/>
    <cellStyle name="40% - Accent3 3 2 4 3" xfId="5815" xr:uid="{00000000-0005-0000-0000-00005F050000}"/>
    <cellStyle name="40% - Accent3 3 2 4 3 2" xfId="14257" xr:uid="{CAC68B89-7C98-48CC-B9C5-BA29C92B6F20}"/>
    <cellStyle name="40% - Accent3 3 2 4 4" xfId="10039" xr:uid="{BC61D5C8-36EA-4FD1-B03E-7AF11A7FB1B7}"/>
    <cellStyle name="40% - Accent3 3 2 5" xfId="1921" xr:uid="{00000000-0005-0000-0000-000060050000}"/>
    <cellStyle name="40% - Accent3 3 2 5 2" xfId="4150" xr:uid="{00000000-0005-0000-0000-000061050000}"/>
    <cellStyle name="40% - Accent3 3 2 5 2 2" xfId="8373" xr:uid="{00000000-0005-0000-0000-000062050000}"/>
    <cellStyle name="40% - Accent3 3 2 5 2 2 2" xfId="16815" xr:uid="{81A0CF97-0FAD-4A3C-A22A-879322AA493F}"/>
    <cellStyle name="40% - Accent3 3 2 5 2 3" xfId="12597" xr:uid="{8863C4AD-47F1-43A8-8BC6-97673B7058CF}"/>
    <cellStyle name="40% - Accent3 3 2 5 3" xfId="6228" xr:uid="{00000000-0005-0000-0000-000063050000}"/>
    <cellStyle name="40% - Accent3 3 2 5 3 2" xfId="14670" xr:uid="{F43D69DC-E674-462A-90A3-F768096610B9}"/>
    <cellStyle name="40% - Accent3 3 2 5 4" xfId="10452" xr:uid="{01CF7A85-2E25-4A97-93F2-285DE79F2D8C}"/>
    <cellStyle name="40% - Accent3 3 2 6" xfId="2334" xr:uid="{00000000-0005-0000-0000-000064050000}"/>
    <cellStyle name="40% - Accent3 3 2 6 2" xfId="6641" xr:uid="{00000000-0005-0000-0000-000065050000}"/>
    <cellStyle name="40% - Accent3 3 2 6 2 2" xfId="15083" xr:uid="{89B9D89A-3323-4532-9261-993C3A8FA658}"/>
    <cellStyle name="40% - Accent3 3 2 6 3" xfId="10865" xr:uid="{AEF52417-B1E4-4C4F-AA36-ACABD2AAAAD5}"/>
    <cellStyle name="40% - Accent3 3 2 7" xfId="4575" xr:uid="{00000000-0005-0000-0000-000066050000}"/>
    <cellStyle name="40% - Accent3 3 2 7 2" xfId="13017" xr:uid="{05F96D7C-5BF3-4335-9666-64FB508A6741}"/>
    <cellStyle name="40% - Accent3 3 2 8" xfId="8799" xr:uid="{DC8F05AE-36B9-4238-8B25-D3A65EBABCA8}"/>
    <cellStyle name="40% - Accent3 3 3" xfId="639" xr:uid="{00000000-0005-0000-0000-000067050000}"/>
    <cellStyle name="40% - Accent3 3 3 2" xfId="2910" xr:uid="{00000000-0005-0000-0000-000068050000}"/>
    <cellStyle name="40% - Accent3 3 3 2 2" xfId="7133" xr:uid="{00000000-0005-0000-0000-000069050000}"/>
    <cellStyle name="40% - Accent3 3 3 2 2 2" xfId="15575" xr:uid="{3BFA77A0-AD36-4F4E-A7E7-F07428363C20}"/>
    <cellStyle name="40% - Accent3 3 3 2 3" xfId="11357" xr:uid="{6660D3A8-2FC7-4034-AFB7-1A4E4DD10132}"/>
    <cellStyle name="40% - Accent3 3 3 3" xfId="4988" xr:uid="{00000000-0005-0000-0000-00006A050000}"/>
    <cellStyle name="40% - Accent3 3 3 3 2" xfId="13430" xr:uid="{DAF1220B-DE44-4F59-9A7B-46D79F26C074}"/>
    <cellStyle name="40% - Accent3 3 3 4" xfId="9212" xr:uid="{0AF915F4-D0BE-4F9B-95DD-BF1D3706E668}"/>
    <cellStyle name="40% - Accent3 3 4" xfId="1092" xr:uid="{00000000-0005-0000-0000-00006B050000}"/>
    <cellStyle name="40% - Accent3 3 4 2" xfId="3323" xr:uid="{00000000-0005-0000-0000-00006C050000}"/>
    <cellStyle name="40% - Accent3 3 4 2 2" xfId="7546" xr:uid="{00000000-0005-0000-0000-00006D050000}"/>
    <cellStyle name="40% - Accent3 3 4 2 2 2" xfId="15988" xr:uid="{E8C5FB46-47FA-4645-9101-44B02ACBA2EE}"/>
    <cellStyle name="40% - Accent3 3 4 2 3" xfId="11770" xr:uid="{57938170-FD7D-4965-9E33-8A31C9517104}"/>
    <cellStyle name="40% - Accent3 3 4 3" xfId="5401" xr:uid="{00000000-0005-0000-0000-00006E050000}"/>
    <cellStyle name="40% - Accent3 3 4 3 2" xfId="13843" xr:uid="{9019E321-45B4-43B6-A91F-7AE1F7CAF6C7}"/>
    <cellStyle name="40% - Accent3 3 4 4" xfId="9625" xr:uid="{B03D75C5-D347-4FA3-B0C5-F973114DC12C}"/>
    <cellStyle name="40% - Accent3 3 5" xfId="1506" xr:uid="{00000000-0005-0000-0000-00006F050000}"/>
    <cellStyle name="40% - Accent3 3 5 2" xfId="3736" xr:uid="{00000000-0005-0000-0000-000070050000}"/>
    <cellStyle name="40% - Accent3 3 5 2 2" xfId="7959" xr:uid="{00000000-0005-0000-0000-000071050000}"/>
    <cellStyle name="40% - Accent3 3 5 2 2 2" xfId="16401" xr:uid="{2B767838-FB23-40BE-AEB3-78456863C111}"/>
    <cellStyle name="40% - Accent3 3 5 2 3" xfId="12183" xr:uid="{F6803A2B-5207-44EF-9F9B-C767DF104595}"/>
    <cellStyle name="40% - Accent3 3 5 3" xfId="5814" xr:uid="{00000000-0005-0000-0000-000072050000}"/>
    <cellStyle name="40% - Accent3 3 5 3 2" xfId="14256" xr:uid="{0693DEA8-85A4-42BF-80E1-85CABEB23BB9}"/>
    <cellStyle name="40% - Accent3 3 5 4" xfId="10038" xr:uid="{7D48C667-286E-47C1-93DB-C8923696898B}"/>
    <cellStyle name="40% - Accent3 3 6" xfId="1920" xr:uid="{00000000-0005-0000-0000-000073050000}"/>
    <cellStyle name="40% - Accent3 3 6 2" xfId="4149" xr:uid="{00000000-0005-0000-0000-000074050000}"/>
    <cellStyle name="40% - Accent3 3 6 2 2" xfId="8372" xr:uid="{00000000-0005-0000-0000-000075050000}"/>
    <cellStyle name="40% - Accent3 3 6 2 2 2" xfId="16814" xr:uid="{90C26EED-2814-488F-B73C-347A1C98D584}"/>
    <cellStyle name="40% - Accent3 3 6 2 3" xfId="12596" xr:uid="{BC07E757-D803-4E4D-952C-7591CFC89949}"/>
    <cellStyle name="40% - Accent3 3 6 3" xfId="6227" xr:uid="{00000000-0005-0000-0000-000076050000}"/>
    <cellStyle name="40% - Accent3 3 6 3 2" xfId="14669" xr:uid="{B86977DC-7F38-4586-883C-9FAFE6A5C703}"/>
    <cellStyle name="40% - Accent3 3 6 4" xfId="10451" xr:uid="{7CB99019-4263-427F-AD8A-4E14ED54C5BE}"/>
    <cellStyle name="40% - Accent3 3 7" xfId="2333" xr:uid="{00000000-0005-0000-0000-000077050000}"/>
    <cellStyle name="40% - Accent3 3 7 2" xfId="6640" xr:uid="{00000000-0005-0000-0000-000078050000}"/>
    <cellStyle name="40% - Accent3 3 7 2 2" xfId="15082" xr:uid="{5C692ED0-8623-496C-A450-360D4AAE8A0A}"/>
    <cellStyle name="40% - Accent3 3 7 3" xfId="10864" xr:uid="{2780235A-B827-4A36-810C-ACC62AEF7DB1}"/>
    <cellStyle name="40% - Accent3 3 8" xfId="4574" xr:uid="{00000000-0005-0000-0000-000079050000}"/>
    <cellStyle name="40% - Accent3 3 8 2" xfId="13016" xr:uid="{1071A257-3F46-47C9-924A-7BF81B8F3D1C}"/>
    <cellStyle name="40% - Accent3 3 9" xfId="8798" xr:uid="{D646A0EF-221E-4037-BB08-2FBC72575908}"/>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2 2 2" xfId="15577" xr:uid="{1A58E5DD-1A2B-462B-B631-D4ACE7D98E9E}"/>
    <cellStyle name="40% - Accent3 4 2 2 3" xfId="11359" xr:uid="{A1D5AE0D-815E-4323-8CF0-07921E1249DF}"/>
    <cellStyle name="40% - Accent3 4 2 3" xfId="4990" xr:uid="{00000000-0005-0000-0000-00007E050000}"/>
    <cellStyle name="40% - Accent3 4 2 3 2" xfId="13432" xr:uid="{4B00B020-990C-4198-9F7C-230A3AC4FEE0}"/>
    <cellStyle name="40% - Accent3 4 2 4" xfId="9214" xr:uid="{6D5EF49C-D41B-447C-9129-35FB23468FDC}"/>
    <cellStyle name="40% - Accent3 4 3" xfId="1094" xr:uid="{00000000-0005-0000-0000-00007F050000}"/>
    <cellStyle name="40% - Accent3 4 3 2" xfId="3325" xr:uid="{00000000-0005-0000-0000-000080050000}"/>
    <cellStyle name="40% - Accent3 4 3 2 2" xfId="7548" xr:uid="{00000000-0005-0000-0000-000081050000}"/>
    <cellStyle name="40% - Accent3 4 3 2 2 2" xfId="15990" xr:uid="{A2E245B9-A453-44A4-99C5-5CE2C369AA04}"/>
    <cellStyle name="40% - Accent3 4 3 2 3" xfId="11772" xr:uid="{6E4CA6EE-D6F7-4EC7-876B-AA6F7A77700B}"/>
    <cellStyle name="40% - Accent3 4 3 3" xfId="5403" xr:uid="{00000000-0005-0000-0000-000082050000}"/>
    <cellStyle name="40% - Accent3 4 3 3 2" xfId="13845" xr:uid="{0149EBBA-D8A8-44AF-98FF-15FDB2E0209B}"/>
    <cellStyle name="40% - Accent3 4 3 4" xfId="9627" xr:uid="{6F64507C-FC07-463D-B5FF-D79D8BCA590A}"/>
    <cellStyle name="40% - Accent3 4 4" xfId="1508" xr:uid="{00000000-0005-0000-0000-000083050000}"/>
    <cellStyle name="40% - Accent3 4 4 2" xfId="3738" xr:uid="{00000000-0005-0000-0000-000084050000}"/>
    <cellStyle name="40% - Accent3 4 4 2 2" xfId="7961" xr:uid="{00000000-0005-0000-0000-000085050000}"/>
    <cellStyle name="40% - Accent3 4 4 2 2 2" xfId="16403" xr:uid="{5C92CB90-E703-4778-AD0A-BFA4D2571821}"/>
    <cellStyle name="40% - Accent3 4 4 2 3" xfId="12185" xr:uid="{9403CCBE-1386-4D16-A9E3-A8F5557366A8}"/>
    <cellStyle name="40% - Accent3 4 4 3" xfId="5816" xr:uid="{00000000-0005-0000-0000-000086050000}"/>
    <cellStyle name="40% - Accent3 4 4 3 2" xfId="14258" xr:uid="{62B16FD1-863B-4002-845E-E0560F12B681}"/>
    <cellStyle name="40% - Accent3 4 4 4" xfId="10040" xr:uid="{5C706F00-411D-465F-9BCD-B1268B691690}"/>
    <cellStyle name="40% - Accent3 4 5" xfId="1922" xr:uid="{00000000-0005-0000-0000-000087050000}"/>
    <cellStyle name="40% - Accent3 4 5 2" xfId="4151" xr:uid="{00000000-0005-0000-0000-000088050000}"/>
    <cellStyle name="40% - Accent3 4 5 2 2" xfId="8374" xr:uid="{00000000-0005-0000-0000-000089050000}"/>
    <cellStyle name="40% - Accent3 4 5 2 2 2" xfId="16816" xr:uid="{2426B373-FC21-406B-AA86-EBE76CB79420}"/>
    <cellStyle name="40% - Accent3 4 5 2 3" xfId="12598" xr:uid="{92CB75EC-D85A-4627-A65C-B7E50C4CE01E}"/>
    <cellStyle name="40% - Accent3 4 5 3" xfId="6229" xr:uid="{00000000-0005-0000-0000-00008A050000}"/>
    <cellStyle name="40% - Accent3 4 5 3 2" xfId="14671" xr:uid="{4A74B38C-C153-419F-905D-1E67057AD19A}"/>
    <cellStyle name="40% - Accent3 4 5 4" xfId="10453" xr:uid="{DC23CF0D-3DB4-4623-8571-F83278D3D035}"/>
    <cellStyle name="40% - Accent3 4 6" xfId="2335" xr:uid="{00000000-0005-0000-0000-00008B050000}"/>
    <cellStyle name="40% - Accent3 4 6 2" xfId="6642" xr:uid="{00000000-0005-0000-0000-00008C050000}"/>
    <cellStyle name="40% - Accent3 4 6 2 2" xfId="15084" xr:uid="{DFF93DB5-BAD0-4BBE-9346-05BCF5CD8434}"/>
    <cellStyle name="40% - Accent3 4 6 3" xfId="10866" xr:uid="{E074C14F-F037-4CA3-BF3D-8C371CE64CE5}"/>
    <cellStyle name="40% - Accent3 4 7" xfId="4576" xr:uid="{00000000-0005-0000-0000-00008D050000}"/>
    <cellStyle name="40% - Accent3 4 7 2" xfId="13018" xr:uid="{76327D90-D553-4564-A9A2-9B107359D887}"/>
    <cellStyle name="40% - Accent3 4 8" xfId="8800" xr:uid="{8E583741-3A20-46D6-9740-80D386CE71B2}"/>
    <cellStyle name="40% - Accent3 5" xfId="634" xr:uid="{00000000-0005-0000-0000-00008E050000}"/>
    <cellStyle name="40% - Accent3 5 2" xfId="2905" xr:uid="{00000000-0005-0000-0000-00008F050000}"/>
    <cellStyle name="40% - Accent3 5 2 2" xfId="7128" xr:uid="{00000000-0005-0000-0000-000090050000}"/>
    <cellStyle name="40% - Accent3 5 2 2 2" xfId="15570" xr:uid="{195D3125-623E-4AE5-B64D-8D62353E8693}"/>
    <cellStyle name="40% - Accent3 5 2 3" xfId="11352" xr:uid="{7A47203E-5AFA-4D23-A307-BD49EAB1272A}"/>
    <cellStyle name="40% - Accent3 5 3" xfId="4983" xr:uid="{00000000-0005-0000-0000-000091050000}"/>
    <cellStyle name="40% - Accent3 5 3 2" xfId="13425" xr:uid="{30A100A1-0612-42E0-874C-31AE4B29C2FF}"/>
    <cellStyle name="40% - Accent3 5 4" xfId="9207" xr:uid="{3BAF8BD0-DBB4-4E36-B765-AFE8DBE15E9C}"/>
    <cellStyle name="40% - Accent3 6" xfId="1087" xr:uid="{00000000-0005-0000-0000-000092050000}"/>
    <cellStyle name="40% - Accent3 6 2" xfId="3318" xr:uid="{00000000-0005-0000-0000-000093050000}"/>
    <cellStyle name="40% - Accent3 6 2 2" xfId="7541" xr:uid="{00000000-0005-0000-0000-000094050000}"/>
    <cellStyle name="40% - Accent3 6 2 2 2" xfId="15983" xr:uid="{8527F3AA-6B7E-43CB-AAF0-B63C82855CEC}"/>
    <cellStyle name="40% - Accent3 6 2 3" xfId="11765" xr:uid="{F1F06AF8-0E88-47F4-8095-335004803E7A}"/>
    <cellStyle name="40% - Accent3 6 3" xfId="5396" xr:uid="{00000000-0005-0000-0000-000095050000}"/>
    <cellStyle name="40% - Accent3 6 3 2" xfId="13838" xr:uid="{0F0932D7-E0FF-4260-B2D5-235504A96F20}"/>
    <cellStyle name="40% - Accent3 6 4" xfId="9620" xr:uid="{F5C2E74D-E7BE-48D2-8612-AFAF10C66FD8}"/>
    <cellStyle name="40% - Accent3 7" xfId="1501" xr:uid="{00000000-0005-0000-0000-000096050000}"/>
    <cellStyle name="40% - Accent3 7 2" xfId="3731" xr:uid="{00000000-0005-0000-0000-000097050000}"/>
    <cellStyle name="40% - Accent3 7 2 2" xfId="7954" xr:uid="{00000000-0005-0000-0000-000098050000}"/>
    <cellStyle name="40% - Accent3 7 2 2 2" xfId="16396" xr:uid="{1E2CD546-DD32-4B5D-AFB0-0E0EFAD89A67}"/>
    <cellStyle name="40% - Accent3 7 2 3" xfId="12178" xr:uid="{8281D8D0-0115-49B5-AD3E-2B1117AA355B}"/>
    <cellStyle name="40% - Accent3 7 3" xfId="5809" xr:uid="{00000000-0005-0000-0000-000099050000}"/>
    <cellStyle name="40% - Accent3 7 3 2" xfId="14251" xr:uid="{52FD8AD6-A871-4871-BCB2-DBF662FD870C}"/>
    <cellStyle name="40% - Accent3 7 4" xfId="10033" xr:uid="{266696AB-0E1D-4F06-BA00-19154B63FB05}"/>
    <cellStyle name="40% - Accent3 8" xfId="1915" xr:uid="{00000000-0005-0000-0000-00009A050000}"/>
    <cellStyle name="40% - Accent3 8 2" xfId="4144" xr:uid="{00000000-0005-0000-0000-00009B050000}"/>
    <cellStyle name="40% - Accent3 8 2 2" xfId="8367" xr:uid="{00000000-0005-0000-0000-00009C050000}"/>
    <cellStyle name="40% - Accent3 8 2 2 2" xfId="16809" xr:uid="{CB6FCB09-AA9F-489C-90F9-B475FCC875B5}"/>
    <cellStyle name="40% - Accent3 8 2 3" xfId="12591" xr:uid="{35C99AEB-7C74-47B2-AE6D-468298643781}"/>
    <cellStyle name="40% - Accent3 8 3" xfId="6222" xr:uid="{00000000-0005-0000-0000-00009D050000}"/>
    <cellStyle name="40% - Accent3 8 3 2" xfId="14664" xr:uid="{27B4A26A-0EF8-497D-B63E-1A1133750E74}"/>
    <cellStyle name="40% - Accent3 8 4" xfId="10446" xr:uid="{1E84AF15-9107-4DAA-9892-0F1FF9DBB6A6}"/>
    <cellStyle name="40% - Accent3 9" xfId="2328" xr:uid="{00000000-0005-0000-0000-00009E050000}"/>
    <cellStyle name="40% - Accent3 9 2" xfId="6635" xr:uid="{00000000-0005-0000-0000-00009F050000}"/>
    <cellStyle name="40% - Accent3 9 2 2" xfId="15077" xr:uid="{D0BC9448-3D61-4FA3-B6D5-CA22B60BB3F1}"/>
    <cellStyle name="40% - Accent3 9 3" xfId="10859" xr:uid="{0C4A1CEC-3184-4ADC-916A-6691BC22F040}"/>
    <cellStyle name="40% - Accent4" xfId="73" builtinId="43" customBuiltin="1"/>
    <cellStyle name="40% - Accent4 10" xfId="4577" xr:uid="{00000000-0005-0000-0000-0000A1050000}"/>
    <cellStyle name="40% - Accent4 10 2" xfId="13019" xr:uid="{2F81C8E0-1A99-4D7F-8542-7B99B4DD1D39}"/>
    <cellStyle name="40% - Accent4 11" xfId="8801" xr:uid="{C80CDDDC-653A-4827-A5B2-C57219913FC3}"/>
    <cellStyle name="40% - Accent4 2" xfId="74" xr:uid="{00000000-0005-0000-0000-0000A2050000}"/>
    <cellStyle name="40% - Accent4 2 10" xfId="8802" xr:uid="{4277BE33-71CA-410C-8018-3494F749DFC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2 2 2" xfId="15581" xr:uid="{8212E077-C58F-4249-A13F-E46EA0A66B1D}"/>
    <cellStyle name="40% - Accent4 2 2 2 2 2 3" xfId="11363" xr:uid="{BEFA1A1B-DB63-4D6A-8918-1093D142DF23}"/>
    <cellStyle name="40% - Accent4 2 2 2 2 3" xfId="4994" xr:uid="{00000000-0005-0000-0000-0000A8050000}"/>
    <cellStyle name="40% - Accent4 2 2 2 2 3 2" xfId="13436" xr:uid="{9A93D1A3-0F7C-44DF-BAAA-1332303F2171}"/>
    <cellStyle name="40% - Accent4 2 2 2 2 4" xfId="9218" xr:uid="{B5A72AAE-BA90-490F-ABFF-56DD5A3CFAE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2 2 2" xfId="15994" xr:uid="{788B5485-CCFE-49D5-9446-F6F869CBEE3F}"/>
    <cellStyle name="40% - Accent4 2 2 2 3 2 3" xfId="11776" xr:uid="{4995DE43-A954-4E4E-8862-271C631C0558}"/>
    <cellStyle name="40% - Accent4 2 2 2 3 3" xfId="5407" xr:uid="{00000000-0005-0000-0000-0000AC050000}"/>
    <cellStyle name="40% - Accent4 2 2 2 3 3 2" xfId="13849" xr:uid="{8DD248D4-454C-4484-A6DF-4300EB211B64}"/>
    <cellStyle name="40% - Accent4 2 2 2 3 4" xfId="9631" xr:uid="{DD9AEE24-F870-4D08-A219-D3DBAB8F04DF}"/>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2 2 2" xfId="16407" xr:uid="{F7132B43-FBB9-432B-9AC6-074A71634E1B}"/>
    <cellStyle name="40% - Accent4 2 2 2 4 2 3" xfId="12189" xr:uid="{6ED2D9BA-DEF0-4E21-A52B-05D321AECE08}"/>
    <cellStyle name="40% - Accent4 2 2 2 4 3" xfId="5820" xr:uid="{00000000-0005-0000-0000-0000B0050000}"/>
    <cellStyle name="40% - Accent4 2 2 2 4 3 2" xfId="14262" xr:uid="{91853849-6229-4C23-B8FF-30842DC081D9}"/>
    <cellStyle name="40% - Accent4 2 2 2 4 4" xfId="10044" xr:uid="{547B6C6D-A036-4C33-A1DA-45542C940151}"/>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2 2 2" xfId="16820" xr:uid="{9ACC4310-DEE5-41ED-BAA7-FAE4493E4154}"/>
    <cellStyle name="40% - Accent4 2 2 2 5 2 3" xfId="12602" xr:uid="{1370CE2E-5C19-4085-9A12-C91DDF122C04}"/>
    <cellStyle name="40% - Accent4 2 2 2 5 3" xfId="6233" xr:uid="{00000000-0005-0000-0000-0000B4050000}"/>
    <cellStyle name="40% - Accent4 2 2 2 5 3 2" xfId="14675" xr:uid="{CB87C94D-5C35-49C0-984B-8632C48CFF6D}"/>
    <cellStyle name="40% - Accent4 2 2 2 5 4" xfId="10457" xr:uid="{69DC2DF6-1F99-4A3F-B303-0DE7EBA68932}"/>
    <cellStyle name="40% - Accent4 2 2 2 6" xfId="2339" xr:uid="{00000000-0005-0000-0000-0000B5050000}"/>
    <cellStyle name="40% - Accent4 2 2 2 6 2" xfId="6646" xr:uid="{00000000-0005-0000-0000-0000B6050000}"/>
    <cellStyle name="40% - Accent4 2 2 2 6 2 2" xfId="15088" xr:uid="{7FE23828-B62A-4B92-92A4-9A1FB2C693E6}"/>
    <cellStyle name="40% - Accent4 2 2 2 6 3" xfId="10870" xr:uid="{E8E03DD0-373C-4630-8015-1A03E6A808D6}"/>
    <cellStyle name="40% - Accent4 2 2 2 7" xfId="4580" xr:uid="{00000000-0005-0000-0000-0000B7050000}"/>
    <cellStyle name="40% - Accent4 2 2 2 7 2" xfId="13022" xr:uid="{C48B67D1-7B54-4F0B-8A1C-09E0B5C17B44}"/>
    <cellStyle name="40% - Accent4 2 2 2 8" xfId="8804" xr:uid="{9728C5BD-E069-4170-8647-822E9FFDB8DA}"/>
    <cellStyle name="40% - Accent4 2 2 3" xfId="644" xr:uid="{00000000-0005-0000-0000-0000B8050000}"/>
    <cellStyle name="40% - Accent4 2 2 3 2" xfId="2915" xr:uid="{00000000-0005-0000-0000-0000B9050000}"/>
    <cellStyle name="40% - Accent4 2 2 3 2 2" xfId="7138" xr:uid="{00000000-0005-0000-0000-0000BA050000}"/>
    <cellStyle name="40% - Accent4 2 2 3 2 2 2" xfId="15580" xr:uid="{4B42497A-9005-4915-8856-397D1A5796EF}"/>
    <cellStyle name="40% - Accent4 2 2 3 2 3" xfId="11362" xr:uid="{FBB1B77C-E0AD-4F4D-9DE7-9AD8E65BD525}"/>
    <cellStyle name="40% - Accent4 2 2 3 3" xfId="4993" xr:uid="{00000000-0005-0000-0000-0000BB050000}"/>
    <cellStyle name="40% - Accent4 2 2 3 3 2" xfId="13435" xr:uid="{BBE27228-7C79-4B03-AD27-CD6DEFE8F7E9}"/>
    <cellStyle name="40% - Accent4 2 2 3 4" xfId="9217" xr:uid="{395511AC-7459-4828-82F1-6F09FD4F01C9}"/>
    <cellStyle name="40% - Accent4 2 2 4" xfId="1097" xr:uid="{00000000-0005-0000-0000-0000BC050000}"/>
    <cellStyle name="40% - Accent4 2 2 4 2" xfId="3328" xr:uid="{00000000-0005-0000-0000-0000BD050000}"/>
    <cellStyle name="40% - Accent4 2 2 4 2 2" xfId="7551" xr:uid="{00000000-0005-0000-0000-0000BE050000}"/>
    <cellStyle name="40% - Accent4 2 2 4 2 2 2" xfId="15993" xr:uid="{08AE82B9-8DA5-46B5-AD5F-CADB839181B2}"/>
    <cellStyle name="40% - Accent4 2 2 4 2 3" xfId="11775" xr:uid="{DE57EE13-CEF3-41C6-BCD1-9FAC8E28DF1E}"/>
    <cellStyle name="40% - Accent4 2 2 4 3" xfId="5406" xr:uid="{00000000-0005-0000-0000-0000BF050000}"/>
    <cellStyle name="40% - Accent4 2 2 4 3 2" xfId="13848" xr:uid="{1CD32CD9-38EB-40D2-9350-5188A313C934}"/>
    <cellStyle name="40% - Accent4 2 2 4 4" xfId="9630" xr:uid="{420FCFE8-B112-4E8C-BCDD-7CB245F35A90}"/>
    <cellStyle name="40% - Accent4 2 2 5" xfId="1511" xr:uid="{00000000-0005-0000-0000-0000C0050000}"/>
    <cellStyle name="40% - Accent4 2 2 5 2" xfId="3741" xr:uid="{00000000-0005-0000-0000-0000C1050000}"/>
    <cellStyle name="40% - Accent4 2 2 5 2 2" xfId="7964" xr:uid="{00000000-0005-0000-0000-0000C2050000}"/>
    <cellStyle name="40% - Accent4 2 2 5 2 2 2" xfId="16406" xr:uid="{4C3E6D5C-8129-441C-8A13-3F5682A26A60}"/>
    <cellStyle name="40% - Accent4 2 2 5 2 3" xfId="12188" xr:uid="{5BA70E07-B379-494F-97C5-061C446D8775}"/>
    <cellStyle name="40% - Accent4 2 2 5 3" xfId="5819" xr:uid="{00000000-0005-0000-0000-0000C3050000}"/>
    <cellStyle name="40% - Accent4 2 2 5 3 2" xfId="14261" xr:uid="{C3CA4EAE-06A1-4D34-A795-1DCB4DAE6B2B}"/>
    <cellStyle name="40% - Accent4 2 2 5 4" xfId="10043" xr:uid="{625D4692-797C-4352-9426-67000EBC8D3B}"/>
    <cellStyle name="40% - Accent4 2 2 6" xfId="1925" xr:uid="{00000000-0005-0000-0000-0000C4050000}"/>
    <cellStyle name="40% - Accent4 2 2 6 2" xfId="4154" xr:uid="{00000000-0005-0000-0000-0000C5050000}"/>
    <cellStyle name="40% - Accent4 2 2 6 2 2" xfId="8377" xr:uid="{00000000-0005-0000-0000-0000C6050000}"/>
    <cellStyle name="40% - Accent4 2 2 6 2 2 2" xfId="16819" xr:uid="{6BE321A4-5BC5-40E8-8913-36ECE41A8481}"/>
    <cellStyle name="40% - Accent4 2 2 6 2 3" xfId="12601" xr:uid="{2298CA09-57BE-4C52-9AA0-B099D3A01710}"/>
    <cellStyle name="40% - Accent4 2 2 6 3" xfId="6232" xr:uid="{00000000-0005-0000-0000-0000C7050000}"/>
    <cellStyle name="40% - Accent4 2 2 6 3 2" xfId="14674" xr:uid="{095D38DF-AE32-4DD8-9F82-3F2F0506DB54}"/>
    <cellStyle name="40% - Accent4 2 2 6 4" xfId="10456" xr:uid="{9FC794D8-F4DB-47C7-AF53-BEB5BDB3F158}"/>
    <cellStyle name="40% - Accent4 2 2 7" xfId="2338" xr:uid="{00000000-0005-0000-0000-0000C8050000}"/>
    <cellStyle name="40% - Accent4 2 2 7 2" xfId="6645" xr:uid="{00000000-0005-0000-0000-0000C9050000}"/>
    <cellStyle name="40% - Accent4 2 2 7 2 2" xfId="15087" xr:uid="{015A68FF-1D8A-4924-BFDB-A96FFB6977E2}"/>
    <cellStyle name="40% - Accent4 2 2 7 3" xfId="10869" xr:uid="{537E3F95-BE08-4DFD-8753-263A635CB27F}"/>
    <cellStyle name="40% - Accent4 2 2 8" xfId="4579" xr:uid="{00000000-0005-0000-0000-0000CA050000}"/>
    <cellStyle name="40% - Accent4 2 2 8 2" xfId="13021" xr:uid="{938C57E0-A3B1-447B-89D3-E29FAB2826CA}"/>
    <cellStyle name="40% - Accent4 2 2 9" xfId="8803" xr:uid="{8955DA5B-10A2-42A3-A181-904163C3849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2 2 2" xfId="15582" xr:uid="{05093A77-E7AB-4DB7-ACB7-81139A3960D8}"/>
    <cellStyle name="40% - Accent4 2 3 2 2 3" xfId="11364" xr:uid="{398F9E87-A573-4560-86CD-B7AACDAAB881}"/>
    <cellStyle name="40% - Accent4 2 3 2 3" xfId="4995" xr:uid="{00000000-0005-0000-0000-0000CF050000}"/>
    <cellStyle name="40% - Accent4 2 3 2 3 2" xfId="13437" xr:uid="{020101C2-06BB-447A-B4A7-D96BDEC595CE}"/>
    <cellStyle name="40% - Accent4 2 3 2 4" xfId="9219" xr:uid="{ABB6CB8E-7603-4427-A005-CAEB3A7F4E82}"/>
    <cellStyle name="40% - Accent4 2 3 3" xfId="1099" xr:uid="{00000000-0005-0000-0000-0000D0050000}"/>
    <cellStyle name="40% - Accent4 2 3 3 2" xfId="3330" xr:uid="{00000000-0005-0000-0000-0000D1050000}"/>
    <cellStyle name="40% - Accent4 2 3 3 2 2" xfId="7553" xr:uid="{00000000-0005-0000-0000-0000D2050000}"/>
    <cellStyle name="40% - Accent4 2 3 3 2 2 2" xfId="15995" xr:uid="{16672AA2-F07D-47CB-9EEC-AF2BE6698ACF}"/>
    <cellStyle name="40% - Accent4 2 3 3 2 3" xfId="11777" xr:uid="{DA4FE67E-E8F0-476D-9592-85199988BCA7}"/>
    <cellStyle name="40% - Accent4 2 3 3 3" xfId="5408" xr:uid="{00000000-0005-0000-0000-0000D3050000}"/>
    <cellStyle name="40% - Accent4 2 3 3 3 2" xfId="13850" xr:uid="{281DA708-2332-47FC-B702-CCF3839676A7}"/>
    <cellStyle name="40% - Accent4 2 3 3 4" xfId="9632" xr:uid="{52982C16-0225-4491-8016-E55FD4562914}"/>
    <cellStyle name="40% - Accent4 2 3 4" xfId="1513" xr:uid="{00000000-0005-0000-0000-0000D4050000}"/>
    <cellStyle name="40% - Accent4 2 3 4 2" xfId="3743" xr:uid="{00000000-0005-0000-0000-0000D5050000}"/>
    <cellStyle name="40% - Accent4 2 3 4 2 2" xfId="7966" xr:uid="{00000000-0005-0000-0000-0000D6050000}"/>
    <cellStyle name="40% - Accent4 2 3 4 2 2 2" xfId="16408" xr:uid="{07D6C212-AC76-4FA6-A38E-4A1F81E0688B}"/>
    <cellStyle name="40% - Accent4 2 3 4 2 3" xfId="12190" xr:uid="{60CE23DB-642B-4390-A9CB-7D0E1163F4D2}"/>
    <cellStyle name="40% - Accent4 2 3 4 3" xfId="5821" xr:uid="{00000000-0005-0000-0000-0000D7050000}"/>
    <cellStyle name="40% - Accent4 2 3 4 3 2" xfId="14263" xr:uid="{4598F954-B1BF-4E5E-9229-664162CB9B87}"/>
    <cellStyle name="40% - Accent4 2 3 4 4" xfId="10045" xr:uid="{3F0D090F-D5DB-4B81-87A0-02DB7766143D}"/>
    <cellStyle name="40% - Accent4 2 3 5" xfId="1927" xr:uid="{00000000-0005-0000-0000-0000D8050000}"/>
    <cellStyle name="40% - Accent4 2 3 5 2" xfId="4156" xr:uid="{00000000-0005-0000-0000-0000D9050000}"/>
    <cellStyle name="40% - Accent4 2 3 5 2 2" xfId="8379" xr:uid="{00000000-0005-0000-0000-0000DA050000}"/>
    <cellStyle name="40% - Accent4 2 3 5 2 2 2" xfId="16821" xr:uid="{C1A4ED60-9604-4BF4-87E3-AE13DC3FAC6F}"/>
    <cellStyle name="40% - Accent4 2 3 5 2 3" xfId="12603" xr:uid="{DD71501E-05E6-4AD0-9980-56DA3B8E1C7A}"/>
    <cellStyle name="40% - Accent4 2 3 5 3" xfId="6234" xr:uid="{00000000-0005-0000-0000-0000DB050000}"/>
    <cellStyle name="40% - Accent4 2 3 5 3 2" xfId="14676" xr:uid="{0DDCDB2C-97B6-4BD0-B2C9-5BC9411B5173}"/>
    <cellStyle name="40% - Accent4 2 3 5 4" xfId="10458" xr:uid="{98152F9D-9D38-439A-AB86-41C73E538E98}"/>
    <cellStyle name="40% - Accent4 2 3 6" xfId="2340" xr:uid="{00000000-0005-0000-0000-0000DC050000}"/>
    <cellStyle name="40% - Accent4 2 3 6 2" xfId="6647" xr:uid="{00000000-0005-0000-0000-0000DD050000}"/>
    <cellStyle name="40% - Accent4 2 3 6 2 2" xfId="15089" xr:uid="{FD188020-826C-478A-AD0E-381D01A71961}"/>
    <cellStyle name="40% - Accent4 2 3 6 3" xfId="10871" xr:uid="{9BC21FEE-AE77-4A6B-9308-29BD660B1E71}"/>
    <cellStyle name="40% - Accent4 2 3 7" xfId="4581" xr:uid="{00000000-0005-0000-0000-0000DE050000}"/>
    <cellStyle name="40% - Accent4 2 3 7 2" xfId="13023" xr:uid="{14DF893D-4EE8-491D-BD94-B84804DC9871}"/>
    <cellStyle name="40% - Accent4 2 3 8" xfId="8805" xr:uid="{B9B89EC8-443F-447F-8687-74582E0FF4AD}"/>
    <cellStyle name="40% - Accent4 2 4" xfId="643" xr:uid="{00000000-0005-0000-0000-0000DF050000}"/>
    <cellStyle name="40% - Accent4 2 4 2" xfId="2914" xr:uid="{00000000-0005-0000-0000-0000E0050000}"/>
    <cellStyle name="40% - Accent4 2 4 2 2" xfId="7137" xr:uid="{00000000-0005-0000-0000-0000E1050000}"/>
    <cellStyle name="40% - Accent4 2 4 2 2 2" xfId="15579" xr:uid="{A76017FF-1733-4313-A148-576ADF7BD053}"/>
    <cellStyle name="40% - Accent4 2 4 2 3" xfId="11361" xr:uid="{FAD7D664-351D-43C4-83C7-1675E5AB375B}"/>
    <cellStyle name="40% - Accent4 2 4 3" xfId="4992" xr:uid="{00000000-0005-0000-0000-0000E2050000}"/>
    <cellStyle name="40% - Accent4 2 4 3 2" xfId="13434" xr:uid="{C1AC6E81-41C0-4C9B-92B2-7289E40B4A0B}"/>
    <cellStyle name="40% - Accent4 2 4 4" xfId="9216" xr:uid="{866E1F49-89B4-43F2-B21C-816B7794E48E}"/>
    <cellStyle name="40% - Accent4 2 5" xfId="1096" xr:uid="{00000000-0005-0000-0000-0000E3050000}"/>
    <cellStyle name="40% - Accent4 2 5 2" xfId="3327" xr:uid="{00000000-0005-0000-0000-0000E4050000}"/>
    <cellStyle name="40% - Accent4 2 5 2 2" xfId="7550" xr:uid="{00000000-0005-0000-0000-0000E5050000}"/>
    <cellStyle name="40% - Accent4 2 5 2 2 2" xfId="15992" xr:uid="{42873FDB-98DB-44C1-8B58-C77AF2D065D9}"/>
    <cellStyle name="40% - Accent4 2 5 2 3" xfId="11774" xr:uid="{C39057B6-732B-4569-A80D-3721E2327E8F}"/>
    <cellStyle name="40% - Accent4 2 5 3" xfId="5405" xr:uid="{00000000-0005-0000-0000-0000E6050000}"/>
    <cellStyle name="40% - Accent4 2 5 3 2" xfId="13847" xr:uid="{C1735FAB-A13A-427F-978E-91D136AE2CDC}"/>
    <cellStyle name="40% - Accent4 2 5 4" xfId="9629" xr:uid="{EFBA126F-8EDD-43DF-AFA4-F7925733CD61}"/>
    <cellStyle name="40% - Accent4 2 6" xfId="1510" xr:uid="{00000000-0005-0000-0000-0000E7050000}"/>
    <cellStyle name="40% - Accent4 2 6 2" xfId="3740" xr:uid="{00000000-0005-0000-0000-0000E8050000}"/>
    <cellStyle name="40% - Accent4 2 6 2 2" xfId="7963" xr:uid="{00000000-0005-0000-0000-0000E9050000}"/>
    <cellStyle name="40% - Accent4 2 6 2 2 2" xfId="16405" xr:uid="{7E9E1B4E-51FA-4C5E-A68C-C7FC2D44780B}"/>
    <cellStyle name="40% - Accent4 2 6 2 3" xfId="12187" xr:uid="{20CE3849-B63C-4D59-B568-71184BB20EC1}"/>
    <cellStyle name="40% - Accent4 2 6 3" xfId="5818" xr:uid="{00000000-0005-0000-0000-0000EA050000}"/>
    <cellStyle name="40% - Accent4 2 6 3 2" xfId="14260" xr:uid="{26E1FE84-D04A-425C-A1FC-BCE296ED2C03}"/>
    <cellStyle name="40% - Accent4 2 6 4" xfId="10042" xr:uid="{4CCAEB07-A373-4DC0-AEA9-C7B661FAAFA9}"/>
    <cellStyle name="40% - Accent4 2 7" xfId="1924" xr:uid="{00000000-0005-0000-0000-0000EB050000}"/>
    <cellStyle name="40% - Accent4 2 7 2" xfId="4153" xr:uid="{00000000-0005-0000-0000-0000EC050000}"/>
    <cellStyle name="40% - Accent4 2 7 2 2" xfId="8376" xr:uid="{00000000-0005-0000-0000-0000ED050000}"/>
    <cellStyle name="40% - Accent4 2 7 2 2 2" xfId="16818" xr:uid="{6084A8B4-F731-42DF-99C1-67B9952E9D34}"/>
    <cellStyle name="40% - Accent4 2 7 2 3" xfId="12600" xr:uid="{1800407C-6C5B-4938-A444-3A310625516B}"/>
    <cellStyle name="40% - Accent4 2 7 3" xfId="6231" xr:uid="{00000000-0005-0000-0000-0000EE050000}"/>
    <cellStyle name="40% - Accent4 2 7 3 2" xfId="14673" xr:uid="{7DCB9591-A820-4527-8C20-83008E66C1A7}"/>
    <cellStyle name="40% - Accent4 2 7 4" xfId="10455" xr:uid="{0DD8437F-79F7-474D-98D7-D7E3B53956E3}"/>
    <cellStyle name="40% - Accent4 2 8" xfId="2337" xr:uid="{00000000-0005-0000-0000-0000EF050000}"/>
    <cellStyle name="40% - Accent4 2 8 2" xfId="6644" xr:uid="{00000000-0005-0000-0000-0000F0050000}"/>
    <cellStyle name="40% - Accent4 2 8 2 2" xfId="15086" xr:uid="{6FF05BFA-FE79-4C05-B656-7A4E8DCEC22F}"/>
    <cellStyle name="40% - Accent4 2 8 3" xfId="10868" xr:uid="{912C0C5F-4A4A-4903-8969-B0187186A806}"/>
    <cellStyle name="40% - Accent4 2 9" xfId="4578" xr:uid="{00000000-0005-0000-0000-0000F1050000}"/>
    <cellStyle name="40% - Accent4 2 9 2" xfId="13020" xr:uid="{9F6B3434-2246-4EC7-B179-531D96BCEFDA}"/>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2 2 2" xfId="15584" xr:uid="{2BB0CE6F-3CD4-4572-9107-94DC2472D7EB}"/>
    <cellStyle name="40% - Accent4 3 2 2 2 3" xfId="11366" xr:uid="{1687686D-6CFF-44DE-8ADA-A45B72FF9356}"/>
    <cellStyle name="40% - Accent4 3 2 2 3" xfId="4997" xr:uid="{00000000-0005-0000-0000-0000F7050000}"/>
    <cellStyle name="40% - Accent4 3 2 2 3 2" xfId="13439" xr:uid="{ACB3934E-62D7-4EC1-A92C-3E35BDAE1EDF}"/>
    <cellStyle name="40% - Accent4 3 2 2 4" xfId="9221" xr:uid="{C8DA9B81-E50F-47B5-A56B-A2ECA7A5853D}"/>
    <cellStyle name="40% - Accent4 3 2 3" xfId="1101" xr:uid="{00000000-0005-0000-0000-0000F8050000}"/>
    <cellStyle name="40% - Accent4 3 2 3 2" xfId="3332" xr:uid="{00000000-0005-0000-0000-0000F9050000}"/>
    <cellStyle name="40% - Accent4 3 2 3 2 2" xfId="7555" xr:uid="{00000000-0005-0000-0000-0000FA050000}"/>
    <cellStyle name="40% - Accent4 3 2 3 2 2 2" xfId="15997" xr:uid="{E3BF1E75-5A55-4A74-A5C4-BA5F847FED4C}"/>
    <cellStyle name="40% - Accent4 3 2 3 2 3" xfId="11779" xr:uid="{520D5972-6B81-42BC-AB89-4C646200AEAE}"/>
    <cellStyle name="40% - Accent4 3 2 3 3" xfId="5410" xr:uid="{00000000-0005-0000-0000-0000FB050000}"/>
    <cellStyle name="40% - Accent4 3 2 3 3 2" xfId="13852" xr:uid="{C425B243-F971-4E39-9B13-7BB34C226F72}"/>
    <cellStyle name="40% - Accent4 3 2 3 4" xfId="9634" xr:uid="{204C0434-A23C-4C51-9A7A-370A0B2A8C7C}"/>
    <cellStyle name="40% - Accent4 3 2 4" xfId="1515" xr:uid="{00000000-0005-0000-0000-0000FC050000}"/>
    <cellStyle name="40% - Accent4 3 2 4 2" xfId="3745" xr:uid="{00000000-0005-0000-0000-0000FD050000}"/>
    <cellStyle name="40% - Accent4 3 2 4 2 2" xfId="7968" xr:uid="{00000000-0005-0000-0000-0000FE050000}"/>
    <cellStyle name="40% - Accent4 3 2 4 2 2 2" xfId="16410" xr:uid="{E8996596-FC8D-4FDC-A210-881293837716}"/>
    <cellStyle name="40% - Accent4 3 2 4 2 3" xfId="12192" xr:uid="{0332E273-8F69-4EAA-B9CC-2EDB9B589F18}"/>
    <cellStyle name="40% - Accent4 3 2 4 3" xfId="5823" xr:uid="{00000000-0005-0000-0000-0000FF050000}"/>
    <cellStyle name="40% - Accent4 3 2 4 3 2" xfId="14265" xr:uid="{6A708D67-C5B5-477B-BD62-920CEC1782CE}"/>
    <cellStyle name="40% - Accent4 3 2 4 4" xfId="10047" xr:uid="{C5CAE77B-730B-4960-8226-E826218C724F}"/>
    <cellStyle name="40% - Accent4 3 2 5" xfId="1929" xr:uid="{00000000-0005-0000-0000-000000060000}"/>
    <cellStyle name="40% - Accent4 3 2 5 2" xfId="4158" xr:uid="{00000000-0005-0000-0000-000001060000}"/>
    <cellStyle name="40% - Accent4 3 2 5 2 2" xfId="8381" xr:uid="{00000000-0005-0000-0000-000002060000}"/>
    <cellStyle name="40% - Accent4 3 2 5 2 2 2" xfId="16823" xr:uid="{948730C5-FB94-45CA-8534-0A2614BB4325}"/>
    <cellStyle name="40% - Accent4 3 2 5 2 3" xfId="12605" xr:uid="{27E5D120-1C9A-4B5D-83CB-D8060DDEE2AB}"/>
    <cellStyle name="40% - Accent4 3 2 5 3" xfId="6236" xr:uid="{00000000-0005-0000-0000-000003060000}"/>
    <cellStyle name="40% - Accent4 3 2 5 3 2" xfId="14678" xr:uid="{CFFDB9AF-EBF0-4AF7-A419-98C4E3896558}"/>
    <cellStyle name="40% - Accent4 3 2 5 4" xfId="10460" xr:uid="{8A2DB01B-D4DE-403F-851B-A1776F808DEF}"/>
    <cellStyle name="40% - Accent4 3 2 6" xfId="2342" xr:uid="{00000000-0005-0000-0000-000004060000}"/>
    <cellStyle name="40% - Accent4 3 2 6 2" xfId="6649" xr:uid="{00000000-0005-0000-0000-000005060000}"/>
    <cellStyle name="40% - Accent4 3 2 6 2 2" xfId="15091" xr:uid="{9B6BCFDF-AC01-4BDD-A941-9141A13CB94A}"/>
    <cellStyle name="40% - Accent4 3 2 6 3" xfId="10873" xr:uid="{B26AD23F-1DBA-4BD1-B4B9-04892848C110}"/>
    <cellStyle name="40% - Accent4 3 2 7" xfId="4583" xr:uid="{00000000-0005-0000-0000-000006060000}"/>
    <cellStyle name="40% - Accent4 3 2 7 2" xfId="13025" xr:uid="{6FDE60A0-85A9-44B9-9DBD-24D067D6F472}"/>
    <cellStyle name="40% - Accent4 3 2 8" xfId="8807" xr:uid="{901B5D4A-F032-4851-A2E1-BA9E6B58FBEC}"/>
    <cellStyle name="40% - Accent4 3 3" xfId="647" xr:uid="{00000000-0005-0000-0000-000007060000}"/>
    <cellStyle name="40% - Accent4 3 3 2" xfId="2918" xr:uid="{00000000-0005-0000-0000-000008060000}"/>
    <cellStyle name="40% - Accent4 3 3 2 2" xfId="7141" xr:uid="{00000000-0005-0000-0000-000009060000}"/>
    <cellStyle name="40% - Accent4 3 3 2 2 2" xfId="15583" xr:uid="{DB674D0A-E05A-4C19-8C5F-0F69C6B984E6}"/>
    <cellStyle name="40% - Accent4 3 3 2 3" xfId="11365" xr:uid="{C8E3602B-C704-465E-B477-454B793D5DE2}"/>
    <cellStyle name="40% - Accent4 3 3 3" xfId="4996" xr:uid="{00000000-0005-0000-0000-00000A060000}"/>
    <cellStyle name="40% - Accent4 3 3 3 2" xfId="13438" xr:uid="{ACF125D5-7613-483D-A042-9FD5FFFE4CC4}"/>
    <cellStyle name="40% - Accent4 3 3 4" xfId="9220" xr:uid="{839BFC52-02D4-48C9-B053-12EF39795CC8}"/>
    <cellStyle name="40% - Accent4 3 4" xfId="1100" xr:uid="{00000000-0005-0000-0000-00000B060000}"/>
    <cellStyle name="40% - Accent4 3 4 2" xfId="3331" xr:uid="{00000000-0005-0000-0000-00000C060000}"/>
    <cellStyle name="40% - Accent4 3 4 2 2" xfId="7554" xr:uid="{00000000-0005-0000-0000-00000D060000}"/>
    <cellStyle name="40% - Accent4 3 4 2 2 2" xfId="15996" xr:uid="{78637087-30BA-426A-A645-07F8F2071473}"/>
    <cellStyle name="40% - Accent4 3 4 2 3" xfId="11778" xr:uid="{D14D195A-9A38-47E8-BFD7-C952C33B7B06}"/>
    <cellStyle name="40% - Accent4 3 4 3" xfId="5409" xr:uid="{00000000-0005-0000-0000-00000E060000}"/>
    <cellStyle name="40% - Accent4 3 4 3 2" xfId="13851" xr:uid="{CB40A378-205E-4DF0-A3C0-6937016E402D}"/>
    <cellStyle name="40% - Accent4 3 4 4" xfId="9633" xr:uid="{E7A288C0-6C39-44CC-9132-CBD6C4109E36}"/>
    <cellStyle name="40% - Accent4 3 5" xfId="1514" xr:uid="{00000000-0005-0000-0000-00000F060000}"/>
    <cellStyle name="40% - Accent4 3 5 2" xfId="3744" xr:uid="{00000000-0005-0000-0000-000010060000}"/>
    <cellStyle name="40% - Accent4 3 5 2 2" xfId="7967" xr:uid="{00000000-0005-0000-0000-000011060000}"/>
    <cellStyle name="40% - Accent4 3 5 2 2 2" xfId="16409" xr:uid="{8CD2F726-21B4-4AE6-ADBE-79FD7D5927A5}"/>
    <cellStyle name="40% - Accent4 3 5 2 3" xfId="12191" xr:uid="{A074A97B-01DE-4B6E-B941-186B46341D6D}"/>
    <cellStyle name="40% - Accent4 3 5 3" xfId="5822" xr:uid="{00000000-0005-0000-0000-000012060000}"/>
    <cellStyle name="40% - Accent4 3 5 3 2" xfId="14264" xr:uid="{18F6BF18-FFE8-4694-BFD5-4FAEEB46AF1F}"/>
    <cellStyle name="40% - Accent4 3 5 4" xfId="10046" xr:uid="{54B87E6B-9957-4EA0-BEF2-F499E910520E}"/>
    <cellStyle name="40% - Accent4 3 6" xfId="1928" xr:uid="{00000000-0005-0000-0000-000013060000}"/>
    <cellStyle name="40% - Accent4 3 6 2" xfId="4157" xr:uid="{00000000-0005-0000-0000-000014060000}"/>
    <cellStyle name="40% - Accent4 3 6 2 2" xfId="8380" xr:uid="{00000000-0005-0000-0000-000015060000}"/>
    <cellStyle name="40% - Accent4 3 6 2 2 2" xfId="16822" xr:uid="{808D0FE8-3FE8-4D6B-BDE2-5C082758DCAE}"/>
    <cellStyle name="40% - Accent4 3 6 2 3" xfId="12604" xr:uid="{96EC2008-5C18-4B85-AFA8-16A77B36B1A7}"/>
    <cellStyle name="40% - Accent4 3 6 3" xfId="6235" xr:uid="{00000000-0005-0000-0000-000016060000}"/>
    <cellStyle name="40% - Accent4 3 6 3 2" xfId="14677" xr:uid="{AD00D83C-7D8E-49CF-9F0B-AA048BFDC936}"/>
    <cellStyle name="40% - Accent4 3 6 4" xfId="10459" xr:uid="{AE79063D-3493-4500-B167-F3EEEF2D1C05}"/>
    <cellStyle name="40% - Accent4 3 7" xfId="2341" xr:uid="{00000000-0005-0000-0000-000017060000}"/>
    <cellStyle name="40% - Accent4 3 7 2" xfId="6648" xr:uid="{00000000-0005-0000-0000-000018060000}"/>
    <cellStyle name="40% - Accent4 3 7 2 2" xfId="15090" xr:uid="{C80F07EB-D2B5-4F75-A813-2C99E40D02A6}"/>
    <cellStyle name="40% - Accent4 3 7 3" xfId="10872" xr:uid="{7D85BB56-EECB-49F4-91F2-48ED95CED792}"/>
    <cellStyle name="40% - Accent4 3 8" xfId="4582" xr:uid="{00000000-0005-0000-0000-000019060000}"/>
    <cellStyle name="40% - Accent4 3 8 2" xfId="13024" xr:uid="{744A24B6-09B4-4CE2-A7F9-3E48AE001DE7}"/>
    <cellStyle name="40% - Accent4 3 9" xfId="8806" xr:uid="{BB120D1B-BCED-4A4D-A540-77FED5848966}"/>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2 2 2" xfId="15585" xr:uid="{8094963F-08AE-487B-B4C1-B3080508B04D}"/>
    <cellStyle name="40% - Accent4 4 2 2 3" xfId="11367" xr:uid="{9A82732A-5C5C-4966-8ED1-594D6119E18A}"/>
    <cellStyle name="40% - Accent4 4 2 3" xfId="4998" xr:uid="{00000000-0005-0000-0000-00001E060000}"/>
    <cellStyle name="40% - Accent4 4 2 3 2" xfId="13440" xr:uid="{572D2196-C35F-4301-9433-5E321F0DB20F}"/>
    <cellStyle name="40% - Accent4 4 2 4" xfId="9222" xr:uid="{67D16820-815A-43F8-A7FE-CEB2F941FFCA}"/>
    <cellStyle name="40% - Accent4 4 3" xfId="1102" xr:uid="{00000000-0005-0000-0000-00001F060000}"/>
    <cellStyle name="40% - Accent4 4 3 2" xfId="3333" xr:uid="{00000000-0005-0000-0000-000020060000}"/>
    <cellStyle name="40% - Accent4 4 3 2 2" xfId="7556" xr:uid="{00000000-0005-0000-0000-000021060000}"/>
    <cellStyle name="40% - Accent4 4 3 2 2 2" xfId="15998" xr:uid="{58E9820F-9741-4790-B03F-EA291B48D519}"/>
    <cellStyle name="40% - Accent4 4 3 2 3" xfId="11780" xr:uid="{57CBF7AE-E7C7-4941-A45B-3F8DDED82E35}"/>
    <cellStyle name="40% - Accent4 4 3 3" xfId="5411" xr:uid="{00000000-0005-0000-0000-000022060000}"/>
    <cellStyle name="40% - Accent4 4 3 3 2" xfId="13853" xr:uid="{164854A2-A5CC-4B92-A9A9-C4EC65DCB977}"/>
    <cellStyle name="40% - Accent4 4 3 4" xfId="9635" xr:uid="{133EF347-B7C1-4FED-8C55-1407C06DF758}"/>
    <cellStyle name="40% - Accent4 4 4" xfId="1516" xr:uid="{00000000-0005-0000-0000-000023060000}"/>
    <cellStyle name="40% - Accent4 4 4 2" xfId="3746" xr:uid="{00000000-0005-0000-0000-000024060000}"/>
    <cellStyle name="40% - Accent4 4 4 2 2" xfId="7969" xr:uid="{00000000-0005-0000-0000-000025060000}"/>
    <cellStyle name="40% - Accent4 4 4 2 2 2" xfId="16411" xr:uid="{E0D80F69-0E2B-472D-9B06-CBD05415C1B1}"/>
    <cellStyle name="40% - Accent4 4 4 2 3" xfId="12193" xr:uid="{21EA4958-647B-4B80-8167-19FEB4A9D16E}"/>
    <cellStyle name="40% - Accent4 4 4 3" xfId="5824" xr:uid="{00000000-0005-0000-0000-000026060000}"/>
    <cellStyle name="40% - Accent4 4 4 3 2" xfId="14266" xr:uid="{1782C1AE-FAE4-4A6B-BE4D-DDFE39F14121}"/>
    <cellStyle name="40% - Accent4 4 4 4" xfId="10048" xr:uid="{A9CC6378-3207-4568-9F4C-3B3A66660B4A}"/>
    <cellStyle name="40% - Accent4 4 5" xfId="1930" xr:uid="{00000000-0005-0000-0000-000027060000}"/>
    <cellStyle name="40% - Accent4 4 5 2" xfId="4159" xr:uid="{00000000-0005-0000-0000-000028060000}"/>
    <cellStyle name="40% - Accent4 4 5 2 2" xfId="8382" xr:uid="{00000000-0005-0000-0000-000029060000}"/>
    <cellStyle name="40% - Accent4 4 5 2 2 2" xfId="16824" xr:uid="{99F72186-72A9-4898-8482-9C0107C5456A}"/>
    <cellStyle name="40% - Accent4 4 5 2 3" xfId="12606" xr:uid="{D81DB7BA-8214-4E85-96C2-2E2C5D9FA256}"/>
    <cellStyle name="40% - Accent4 4 5 3" xfId="6237" xr:uid="{00000000-0005-0000-0000-00002A060000}"/>
    <cellStyle name="40% - Accent4 4 5 3 2" xfId="14679" xr:uid="{221B3301-8522-402B-8F1F-4D12EA64C65E}"/>
    <cellStyle name="40% - Accent4 4 5 4" xfId="10461" xr:uid="{B8E1B805-1591-44A0-B36B-7C2C8AE6AFB2}"/>
    <cellStyle name="40% - Accent4 4 6" xfId="2343" xr:uid="{00000000-0005-0000-0000-00002B060000}"/>
    <cellStyle name="40% - Accent4 4 6 2" xfId="6650" xr:uid="{00000000-0005-0000-0000-00002C060000}"/>
    <cellStyle name="40% - Accent4 4 6 2 2" xfId="15092" xr:uid="{0B99052E-844C-418E-A53F-AA7E3E87C29E}"/>
    <cellStyle name="40% - Accent4 4 6 3" xfId="10874" xr:uid="{79C0F91E-26A6-4887-9724-5154A0E1DB99}"/>
    <cellStyle name="40% - Accent4 4 7" xfId="4584" xr:uid="{00000000-0005-0000-0000-00002D060000}"/>
    <cellStyle name="40% - Accent4 4 7 2" xfId="13026" xr:uid="{5196A309-277D-496C-ADA6-795D983E1147}"/>
    <cellStyle name="40% - Accent4 4 8" xfId="8808" xr:uid="{5FE28232-0574-4A02-B44F-A189D7B8E472}"/>
    <cellStyle name="40% - Accent4 5" xfId="642" xr:uid="{00000000-0005-0000-0000-00002E060000}"/>
    <cellStyle name="40% - Accent4 5 2" xfId="2913" xr:uid="{00000000-0005-0000-0000-00002F060000}"/>
    <cellStyle name="40% - Accent4 5 2 2" xfId="7136" xr:uid="{00000000-0005-0000-0000-000030060000}"/>
    <cellStyle name="40% - Accent4 5 2 2 2" xfId="15578" xr:uid="{BF6F3360-FE9B-425D-B0D8-C289C992D751}"/>
    <cellStyle name="40% - Accent4 5 2 3" xfId="11360" xr:uid="{9C5D33DB-1542-461C-AA16-22A1E4A3166D}"/>
    <cellStyle name="40% - Accent4 5 3" xfId="4991" xr:uid="{00000000-0005-0000-0000-000031060000}"/>
    <cellStyle name="40% - Accent4 5 3 2" xfId="13433" xr:uid="{294834AC-9C1C-478F-8F23-AA33C6220C32}"/>
    <cellStyle name="40% - Accent4 5 4" xfId="9215" xr:uid="{FF551B9C-0901-42C6-A8FA-0AE4D4B04503}"/>
    <cellStyle name="40% - Accent4 6" xfId="1095" xr:uid="{00000000-0005-0000-0000-000032060000}"/>
    <cellStyle name="40% - Accent4 6 2" xfId="3326" xr:uid="{00000000-0005-0000-0000-000033060000}"/>
    <cellStyle name="40% - Accent4 6 2 2" xfId="7549" xr:uid="{00000000-0005-0000-0000-000034060000}"/>
    <cellStyle name="40% - Accent4 6 2 2 2" xfId="15991" xr:uid="{32C89966-D08C-4706-BAEA-A428E8EA4731}"/>
    <cellStyle name="40% - Accent4 6 2 3" xfId="11773" xr:uid="{324040EC-67A6-4E03-A300-3CFA4BD70EFC}"/>
    <cellStyle name="40% - Accent4 6 3" xfId="5404" xr:uid="{00000000-0005-0000-0000-000035060000}"/>
    <cellStyle name="40% - Accent4 6 3 2" xfId="13846" xr:uid="{3B80D22D-768F-4FC5-B8F8-7F5227346E7A}"/>
    <cellStyle name="40% - Accent4 6 4" xfId="9628" xr:uid="{9B479967-2C16-4D2C-81B4-C813FDF01B83}"/>
    <cellStyle name="40% - Accent4 7" xfId="1509" xr:uid="{00000000-0005-0000-0000-000036060000}"/>
    <cellStyle name="40% - Accent4 7 2" xfId="3739" xr:uid="{00000000-0005-0000-0000-000037060000}"/>
    <cellStyle name="40% - Accent4 7 2 2" xfId="7962" xr:uid="{00000000-0005-0000-0000-000038060000}"/>
    <cellStyle name="40% - Accent4 7 2 2 2" xfId="16404" xr:uid="{602928A5-E11F-413E-AC7E-840CE0A5F0A8}"/>
    <cellStyle name="40% - Accent4 7 2 3" xfId="12186" xr:uid="{E08D60AA-8138-42B8-A516-72D71C4B7F48}"/>
    <cellStyle name="40% - Accent4 7 3" xfId="5817" xr:uid="{00000000-0005-0000-0000-000039060000}"/>
    <cellStyle name="40% - Accent4 7 3 2" xfId="14259" xr:uid="{6EB04734-F2A6-4D7D-9416-F19409F66B6B}"/>
    <cellStyle name="40% - Accent4 7 4" xfId="10041" xr:uid="{A2C3775C-159C-4CFB-9EAD-F44DC8FC809E}"/>
    <cellStyle name="40% - Accent4 8" xfId="1923" xr:uid="{00000000-0005-0000-0000-00003A060000}"/>
    <cellStyle name="40% - Accent4 8 2" xfId="4152" xr:uid="{00000000-0005-0000-0000-00003B060000}"/>
    <cellStyle name="40% - Accent4 8 2 2" xfId="8375" xr:uid="{00000000-0005-0000-0000-00003C060000}"/>
    <cellStyle name="40% - Accent4 8 2 2 2" xfId="16817" xr:uid="{A1B79032-5714-4579-AC90-87BAE0AC30FD}"/>
    <cellStyle name="40% - Accent4 8 2 3" xfId="12599" xr:uid="{75827051-81B6-42BF-BE4A-2DB6D9E26F46}"/>
    <cellStyle name="40% - Accent4 8 3" xfId="6230" xr:uid="{00000000-0005-0000-0000-00003D060000}"/>
    <cellStyle name="40% - Accent4 8 3 2" xfId="14672" xr:uid="{18AA7B9A-6937-49FA-9D3D-67BDB005416D}"/>
    <cellStyle name="40% - Accent4 8 4" xfId="10454" xr:uid="{D2F96538-D468-4895-ACFE-4D9FCF73BCCD}"/>
    <cellStyle name="40% - Accent4 9" xfId="2336" xr:uid="{00000000-0005-0000-0000-00003E060000}"/>
    <cellStyle name="40% - Accent4 9 2" xfId="6643" xr:uid="{00000000-0005-0000-0000-00003F060000}"/>
    <cellStyle name="40% - Accent4 9 2 2" xfId="15085" xr:uid="{42061182-6133-40A5-A562-CFD69E66C716}"/>
    <cellStyle name="40% - Accent4 9 3" xfId="10867" xr:uid="{E96DD1E9-F63B-49F1-B8FC-E28ADADEE6D7}"/>
    <cellStyle name="40% - Accent5" xfId="81" builtinId="47" customBuiltin="1"/>
    <cellStyle name="40% - Accent5 10" xfId="4585" xr:uid="{00000000-0005-0000-0000-000041060000}"/>
    <cellStyle name="40% - Accent5 10 2" xfId="13027" xr:uid="{106967C7-D7DE-4364-8B65-09E867102DC7}"/>
    <cellStyle name="40% - Accent5 11" xfId="8809" xr:uid="{625870BE-20DC-4E6F-9C25-A1D359DB936C}"/>
    <cellStyle name="40% - Accent5 2" xfId="82" xr:uid="{00000000-0005-0000-0000-000042060000}"/>
    <cellStyle name="40% - Accent5 2 10" xfId="8810" xr:uid="{8BFBAC8C-7E63-4795-87DE-7B4EF1348397}"/>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2 2 2" xfId="15589" xr:uid="{AE5579CC-B518-46AA-9955-689C0640FA4F}"/>
    <cellStyle name="40% - Accent5 2 2 2 2 2 3" xfId="11371" xr:uid="{F3926A96-FE8D-4D45-B9AA-2D05379B6ED8}"/>
    <cellStyle name="40% - Accent5 2 2 2 2 3" xfId="5002" xr:uid="{00000000-0005-0000-0000-000048060000}"/>
    <cellStyle name="40% - Accent5 2 2 2 2 3 2" xfId="13444" xr:uid="{E2510A97-A67F-4AF3-8B7E-1D248D9E6C0D}"/>
    <cellStyle name="40% - Accent5 2 2 2 2 4" xfId="9226" xr:uid="{21ADD2D9-AC9D-4C97-93A7-0C3674D4CE5D}"/>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2 2 2" xfId="16002" xr:uid="{51F62D58-E3BA-48C4-A108-69485CBB9090}"/>
    <cellStyle name="40% - Accent5 2 2 2 3 2 3" xfId="11784" xr:uid="{D9A77B2D-AC63-4BD7-8A9F-70B76101205B}"/>
    <cellStyle name="40% - Accent5 2 2 2 3 3" xfId="5415" xr:uid="{00000000-0005-0000-0000-00004C060000}"/>
    <cellStyle name="40% - Accent5 2 2 2 3 3 2" xfId="13857" xr:uid="{6582D327-F650-4520-95D0-9D6CA53CA77D}"/>
    <cellStyle name="40% - Accent5 2 2 2 3 4" xfId="9639" xr:uid="{DE2BD603-4C70-49B1-BA7F-CA6BDEBDB27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2 2 2" xfId="16415" xr:uid="{89C02380-E96F-4AF1-B415-079EE5BF4E9F}"/>
    <cellStyle name="40% - Accent5 2 2 2 4 2 3" xfId="12197" xr:uid="{431E8E1F-904B-467D-B56B-1EF345FF332A}"/>
    <cellStyle name="40% - Accent5 2 2 2 4 3" xfId="5828" xr:uid="{00000000-0005-0000-0000-000050060000}"/>
    <cellStyle name="40% - Accent5 2 2 2 4 3 2" xfId="14270" xr:uid="{6A990C40-1A44-4407-A040-30245C04F447}"/>
    <cellStyle name="40% - Accent5 2 2 2 4 4" xfId="10052" xr:uid="{7B48202A-C69B-4A70-A667-B454BF383AD2}"/>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2 2 2" xfId="16828" xr:uid="{7B4A6B78-2DA7-4592-806C-B0D5C2E0387B}"/>
    <cellStyle name="40% - Accent5 2 2 2 5 2 3" xfId="12610" xr:uid="{7E19EBCC-1BCA-409A-ADC1-8CDDE99ECB4B}"/>
    <cellStyle name="40% - Accent5 2 2 2 5 3" xfId="6241" xr:uid="{00000000-0005-0000-0000-000054060000}"/>
    <cellStyle name="40% - Accent5 2 2 2 5 3 2" xfId="14683" xr:uid="{6C779237-2FB7-450D-99FD-ED97270C8DC9}"/>
    <cellStyle name="40% - Accent5 2 2 2 5 4" xfId="10465" xr:uid="{38583C94-910F-4162-917D-A47E9B43BC98}"/>
    <cellStyle name="40% - Accent5 2 2 2 6" xfId="2347" xr:uid="{00000000-0005-0000-0000-000055060000}"/>
    <cellStyle name="40% - Accent5 2 2 2 6 2" xfId="6654" xr:uid="{00000000-0005-0000-0000-000056060000}"/>
    <cellStyle name="40% - Accent5 2 2 2 6 2 2" xfId="15096" xr:uid="{637E13CE-AD75-4D10-9883-8A00C99FEF7E}"/>
    <cellStyle name="40% - Accent5 2 2 2 6 3" xfId="10878" xr:uid="{93110350-833C-47C1-8B90-0EA0E7C05909}"/>
    <cellStyle name="40% - Accent5 2 2 2 7" xfId="4588" xr:uid="{00000000-0005-0000-0000-000057060000}"/>
    <cellStyle name="40% - Accent5 2 2 2 7 2" xfId="13030" xr:uid="{4F7E5470-EE47-4051-BA4A-D0354E0A3801}"/>
    <cellStyle name="40% - Accent5 2 2 2 8" xfId="8812" xr:uid="{B246087F-7102-48DB-8D94-237D317A5F98}"/>
    <cellStyle name="40% - Accent5 2 2 3" xfId="652" xr:uid="{00000000-0005-0000-0000-000058060000}"/>
    <cellStyle name="40% - Accent5 2 2 3 2" xfId="2923" xr:uid="{00000000-0005-0000-0000-000059060000}"/>
    <cellStyle name="40% - Accent5 2 2 3 2 2" xfId="7146" xr:uid="{00000000-0005-0000-0000-00005A060000}"/>
    <cellStyle name="40% - Accent5 2 2 3 2 2 2" xfId="15588" xr:uid="{C57E9BB4-EEEB-4A1B-A599-22E78FA22B20}"/>
    <cellStyle name="40% - Accent5 2 2 3 2 3" xfId="11370" xr:uid="{D779948B-AA66-46FD-932F-2970D221C562}"/>
    <cellStyle name="40% - Accent5 2 2 3 3" xfId="5001" xr:uid="{00000000-0005-0000-0000-00005B060000}"/>
    <cellStyle name="40% - Accent5 2 2 3 3 2" xfId="13443" xr:uid="{300710FC-28D7-493D-B494-2C984E4884A8}"/>
    <cellStyle name="40% - Accent5 2 2 3 4" xfId="9225" xr:uid="{B39FE91A-5B34-45C0-865B-C18605841132}"/>
    <cellStyle name="40% - Accent5 2 2 4" xfId="1105" xr:uid="{00000000-0005-0000-0000-00005C060000}"/>
    <cellStyle name="40% - Accent5 2 2 4 2" xfId="3336" xr:uid="{00000000-0005-0000-0000-00005D060000}"/>
    <cellStyle name="40% - Accent5 2 2 4 2 2" xfId="7559" xr:uid="{00000000-0005-0000-0000-00005E060000}"/>
    <cellStyle name="40% - Accent5 2 2 4 2 2 2" xfId="16001" xr:uid="{1ACBD0AF-BA45-47C9-8898-0F58AB27299C}"/>
    <cellStyle name="40% - Accent5 2 2 4 2 3" xfId="11783" xr:uid="{86B6EBA8-8A90-4FA2-A28C-71B44248046F}"/>
    <cellStyle name="40% - Accent5 2 2 4 3" xfId="5414" xr:uid="{00000000-0005-0000-0000-00005F060000}"/>
    <cellStyle name="40% - Accent5 2 2 4 3 2" xfId="13856" xr:uid="{7A7E8587-71B1-4837-992B-CFB2E06BB17E}"/>
    <cellStyle name="40% - Accent5 2 2 4 4" xfId="9638" xr:uid="{66D9A789-B6E7-4651-8547-144D8893AD03}"/>
    <cellStyle name="40% - Accent5 2 2 5" xfId="1519" xr:uid="{00000000-0005-0000-0000-000060060000}"/>
    <cellStyle name="40% - Accent5 2 2 5 2" xfId="3749" xr:uid="{00000000-0005-0000-0000-000061060000}"/>
    <cellStyle name="40% - Accent5 2 2 5 2 2" xfId="7972" xr:uid="{00000000-0005-0000-0000-000062060000}"/>
    <cellStyle name="40% - Accent5 2 2 5 2 2 2" xfId="16414" xr:uid="{05770D1D-8DE0-423C-B831-0EAD9A0FF6A0}"/>
    <cellStyle name="40% - Accent5 2 2 5 2 3" xfId="12196" xr:uid="{8DED073B-6D3A-4ACB-ADCF-9FA016E9089E}"/>
    <cellStyle name="40% - Accent5 2 2 5 3" xfId="5827" xr:uid="{00000000-0005-0000-0000-000063060000}"/>
    <cellStyle name="40% - Accent5 2 2 5 3 2" xfId="14269" xr:uid="{3BA3F4AA-D885-4DDC-83AC-77FBA60DB833}"/>
    <cellStyle name="40% - Accent5 2 2 5 4" xfId="10051" xr:uid="{080090AD-302C-4CBB-AF0A-E00D5D8EC923}"/>
    <cellStyle name="40% - Accent5 2 2 6" xfId="1933" xr:uid="{00000000-0005-0000-0000-000064060000}"/>
    <cellStyle name="40% - Accent5 2 2 6 2" xfId="4162" xr:uid="{00000000-0005-0000-0000-000065060000}"/>
    <cellStyle name="40% - Accent5 2 2 6 2 2" xfId="8385" xr:uid="{00000000-0005-0000-0000-000066060000}"/>
    <cellStyle name="40% - Accent5 2 2 6 2 2 2" xfId="16827" xr:uid="{B0EDD9B7-6CAA-4505-A21B-FDE9003AFCB2}"/>
    <cellStyle name="40% - Accent5 2 2 6 2 3" xfId="12609" xr:uid="{DF15EDBC-015D-4921-972C-717AE7303591}"/>
    <cellStyle name="40% - Accent5 2 2 6 3" xfId="6240" xr:uid="{00000000-0005-0000-0000-000067060000}"/>
    <cellStyle name="40% - Accent5 2 2 6 3 2" xfId="14682" xr:uid="{FE2C4BC4-CF88-411D-B7A0-46A623F53616}"/>
    <cellStyle name="40% - Accent5 2 2 6 4" xfId="10464" xr:uid="{0092308D-1CC0-4CBF-A95D-F6B48BC61FC6}"/>
    <cellStyle name="40% - Accent5 2 2 7" xfId="2346" xr:uid="{00000000-0005-0000-0000-000068060000}"/>
    <cellStyle name="40% - Accent5 2 2 7 2" xfId="6653" xr:uid="{00000000-0005-0000-0000-000069060000}"/>
    <cellStyle name="40% - Accent5 2 2 7 2 2" xfId="15095" xr:uid="{712E34BB-3FC0-48AC-905B-E5E955B8B228}"/>
    <cellStyle name="40% - Accent5 2 2 7 3" xfId="10877" xr:uid="{E02DEB96-30E3-4656-9A69-3ED35BDACEDC}"/>
    <cellStyle name="40% - Accent5 2 2 8" xfId="4587" xr:uid="{00000000-0005-0000-0000-00006A060000}"/>
    <cellStyle name="40% - Accent5 2 2 8 2" xfId="13029" xr:uid="{B01FE5CE-1581-45B3-A336-C9E8ED42DC3A}"/>
    <cellStyle name="40% - Accent5 2 2 9" xfId="8811" xr:uid="{9B9C44E9-FD74-4A8C-A929-5FF385EE778A}"/>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2 2 2" xfId="15590" xr:uid="{50FA45FC-1A60-42CC-9DD8-1FAA5B30DBB9}"/>
    <cellStyle name="40% - Accent5 2 3 2 2 3" xfId="11372" xr:uid="{5CB67C62-4743-4B64-AC13-3F38ADA1B392}"/>
    <cellStyle name="40% - Accent5 2 3 2 3" xfId="5003" xr:uid="{00000000-0005-0000-0000-00006F060000}"/>
    <cellStyle name="40% - Accent5 2 3 2 3 2" xfId="13445" xr:uid="{0AD3C0F5-3E9E-4300-818E-B8743AF54835}"/>
    <cellStyle name="40% - Accent5 2 3 2 4" xfId="9227" xr:uid="{85F8B397-F877-49BE-9A88-4E4CE6033156}"/>
    <cellStyle name="40% - Accent5 2 3 3" xfId="1107" xr:uid="{00000000-0005-0000-0000-000070060000}"/>
    <cellStyle name="40% - Accent5 2 3 3 2" xfId="3338" xr:uid="{00000000-0005-0000-0000-000071060000}"/>
    <cellStyle name="40% - Accent5 2 3 3 2 2" xfId="7561" xr:uid="{00000000-0005-0000-0000-000072060000}"/>
    <cellStyle name="40% - Accent5 2 3 3 2 2 2" xfId="16003" xr:uid="{C87DA21F-F7B3-4ACC-B69D-19F864C117D5}"/>
    <cellStyle name="40% - Accent5 2 3 3 2 3" xfId="11785" xr:uid="{0548B6F0-EB9F-4220-BB4A-8C72CD7CB628}"/>
    <cellStyle name="40% - Accent5 2 3 3 3" xfId="5416" xr:uid="{00000000-0005-0000-0000-000073060000}"/>
    <cellStyle name="40% - Accent5 2 3 3 3 2" xfId="13858" xr:uid="{586F5CCF-205A-475E-B344-EF3C3C99984C}"/>
    <cellStyle name="40% - Accent5 2 3 3 4" xfId="9640" xr:uid="{FDA17A5C-826D-483A-828E-C837B6776FA5}"/>
    <cellStyle name="40% - Accent5 2 3 4" xfId="1521" xr:uid="{00000000-0005-0000-0000-000074060000}"/>
    <cellStyle name="40% - Accent5 2 3 4 2" xfId="3751" xr:uid="{00000000-0005-0000-0000-000075060000}"/>
    <cellStyle name="40% - Accent5 2 3 4 2 2" xfId="7974" xr:uid="{00000000-0005-0000-0000-000076060000}"/>
    <cellStyle name="40% - Accent5 2 3 4 2 2 2" xfId="16416" xr:uid="{D35B7456-898B-480D-9D06-16D683812F90}"/>
    <cellStyle name="40% - Accent5 2 3 4 2 3" xfId="12198" xr:uid="{EA3954FB-B53F-4596-A942-36E8D4239FC9}"/>
    <cellStyle name="40% - Accent5 2 3 4 3" xfId="5829" xr:uid="{00000000-0005-0000-0000-000077060000}"/>
    <cellStyle name="40% - Accent5 2 3 4 3 2" xfId="14271" xr:uid="{6326E61E-585D-4296-BA85-97F5799DC2F1}"/>
    <cellStyle name="40% - Accent5 2 3 4 4" xfId="10053" xr:uid="{D39683B6-6E77-4AE0-A491-6C5EF341E81A}"/>
    <cellStyle name="40% - Accent5 2 3 5" xfId="1935" xr:uid="{00000000-0005-0000-0000-000078060000}"/>
    <cellStyle name="40% - Accent5 2 3 5 2" xfId="4164" xr:uid="{00000000-0005-0000-0000-000079060000}"/>
    <cellStyle name="40% - Accent5 2 3 5 2 2" xfId="8387" xr:uid="{00000000-0005-0000-0000-00007A060000}"/>
    <cellStyle name="40% - Accent5 2 3 5 2 2 2" xfId="16829" xr:uid="{CC39356C-C31C-4458-90FE-7979B779D4FB}"/>
    <cellStyle name="40% - Accent5 2 3 5 2 3" xfId="12611" xr:uid="{0E50844F-A551-4A40-8A98-AE840B270E24}"/>
    <cellStyle name="40% - Accent5 2 3 5 3" xfId="6242" xr:uid="{00000000-0005-0000-0000-00007B060000}"/>
    <cellStyle name="40% - Accent5 2 3 5 3 2" xfId="14684" xr:uid="{6FBBEF7B-4673-4181-B673-6F312535A712}"/>
    <cellStyle name="40% - Accent5 2 3 5 4" xfId="10466" xr:uid="{2A1E3AE7-482F-425B-94EB-8654A043C7D0}"/>
    <cellStyle name="40% - Accent5 2 3 6" xfId="2348" xr:uid="{00000000-0005-0000-0000-00007C060000}"/>
    <cellStyle name="40% - Accent5 2 3 6 2" xfId="6655" xr:uid="{00000000-0005-0000-0000-00007D060000}"/>
    <cellStyle name="40% - Accent5 2 3 6 2 2" xfId="15097" xr:uid="{AC29CF2F-A70F-4EDB-9E72-86D15D96A8F9}"/>
    <cellStyle name="40% - Accent5 2 3 6 3" xfId="10879" xr:uid="{2DD61567-C6A7-4C09-BE3D-A340E9EE34EC}"/>
    <cellStyle name="40% - Accent5 2 3 7" xfId="4589" xr:uid="{00000000-0005-0000-0000-00007E060000}"/>
    <cellStyle name="40% - Accent5 2 3 7 2" xfId="13031" xr:uid="{F82963FE-DE4B-4FED-A0B9-5BBE154C11E4}"/>
    <cellStyle name="40% - Accent5 2 3 8" xfId="8813" xr:uid="{0DBB07FD-E440-47B2-8285-193B38EEACEA}"/>
    <cellStyle name="40% - Accent5 2 4" xfId="651" xr:uid="{00000000-0005-0000-0000-00007F060000}"/>
    <cellStyle name="40% - Accent5 2 4 2" xfId="2922" xr:uid="{00000000-0005-0000-0000-000080060000}"/>
    <cellStyle name="40% - Accent5 2 4 2 2" xfId="7145" xr:uid="{00000000-0005-0000-0000-000081060000}"/>
    <cellStyle name="40% - Accent5 2 4 2 2 2" xfId="15587" xr:uid="{4841ECE4-272E-4DED-A594-A8309B5C971E}"/>
    <cellStyle name="40% - Accent5 2 4 2 3" xfId="11369" xr:uid="{9A6D2A5C-34D1-40B2-A99D-FDFC61A8C17B}"/>
    <cellStyle name="40% - Accent5 2 4 3" xfId="5000" xr:uid="{00000000-0005-0000-0000-000082060000}"/>
    <cellStyle name="40% - Accent5 2 4 3 2" xfId="13442" xr:uid="{EF2B9130-6137-4BA2-BF60-78B2A933A0BF}"/>
    <cellStyle name="40% - Accent5 2 4 4" xfId="9224" xr:uid="{800DF526-5816-4B72-A1D9-D9B30D8CA630}"/>
    <cellStyle name="40% - Accent5 2 5" xfId="1104" xr:uid="{00000000-0005-0000-0000-000083060000}"/>
    <cellStyle name="40% - Accent5 2 5 2" xfId="3335" xr:uid="{00000000-0005-0000-0000-000084060000}"/>
    <cellStyle name="40% - Accent5 2 5 2 2" xfId="7558" xr:uid="{00000000-0005-0000-0000-000085060000}"/>
    <cellStyle name="40% - Accent5 2 5 2 2 2" xfId="16000" xr:uid="{8C3E2B96-BE20-4863-80CF-299824F8089D}"/>
    <cellStyle name="40% - Accent5 2 5 2 3" xfId="11782" xr:uid="{EC5FC1D4-DCA6-4DFB-BC08-BDF077960512}"/>
    <cellStyle name="40% - Accent5 2 5 3" xfId="5413" xr:uid="{00000000-0005-0000-0000-000086060000}"/>
    <cellStyle name="40% - Accent5 2 5 3 2" xfId="13855" xr:uid="{6706E5C2-A17F-49C8-B6DF-F838A9FF9246}"/>
    <cellStyle name="40% - Accent5 2 5 4" xfId="9637" xr:uid="{AB702A9C-9AD8-4D4D-AF27-6F07A4CE01F7}"/>
    <cellStyle name="40% - Accent5 2 6" xfId="1518" xr:uid="{00000000-0005-0000-0000-000087060000}"/>
    <cellStyle name="40% - Accent5 2 6 2" xfId="3748" xr:uid="{00000000-0005-0000-0000-000088060000}"/>
    <cellStyle name="40% - Accent5 2 6 2 2" xfId="7971" xr:uid="{00000000-0005-0000-0000-000089060000}"/>
    <cellStyle name="40% - Accent5 2 6 2 2 2" xfId="16413" xr:uid="{30F88AB9-8ABB-471C-A5F5-B79FA370D9E1}"/>
    <cellStyle name="40% - Accent5 2 6 2 3" xfId="12195" xr:uid="{150A03C3-CECC-407F-9EF5-E8E6EBE041EF}"/>
    <cellStyle name="40% - Accent5 2 6 3" xfId="5826" xr:uid="{00000000-0005-0000-0000-00008A060000}"/>
    <cellStyle name="40% - Accent5 2 6 3 2" xfId="14268" xr:uid="{237A3FF0-621B-4AD5-9D18-B0637F64C951}"/>
    <cellStyle name="40% - Accent5 2 6 4" xfId="10050" xr:uid="{DF2C4108-CD21-45B5-97A4-299874EFEEFC}"/>
    <cellStyle name="40% - Accent5 2 7" xfId="1932" xr:uid="{00000000-0005-0000-0000-00008B060000}"/>
    <cellStyle name="40% - Accent5 2 7 2" xfId="4161" xr:uid="{00000000-0005-0000-0000-00008C060000}"/>
    <cellStyle name="40% - Accent5 2 7 2 2" xfId="8384" xr:uid="{00000000-0005-0000-0000-00008D060000}"/>
    <cellStyle name="40% - Accent5 2 7 2 2 2" xfId="16826" xr:uid="{BEF13FE0-8A17-4D8F-8C4F-CAA257E9C987}"/>
    <cellStyle name="40% - Accent5 2 7 2 3" xfId="12608" xr:uid="{7745B0FD-2B8A-4A4B-B18C-A0688C72F67B}"/>
    <cellStyle name="40% - Accent5 2 7 3" xfId="6239" xr:uid="{00000000-0005-0000-0000-00008E060000}"/>
    <cellStyle name="40% - Accent5 2 7 3 2" xfId="14681" xr:uid="{1E881429-DCF0-4927-B3A3-CE7EFDA38D4F}"/>
    <cellStyle name="40% - Accent5 2 7 4" xfId="10463" xr:uid="{F7F88790-2CE3-4345-9375-4264B00C4473}"/>
    <cellStyle name="40% - Accent5 2 8" xfId="2345" xr:uid="{00000000-0005-0000-0000-00008F060000}"/>
    <cellStyle name="40% - Accent5 2 8 2" xfId="6652" xr:uid="{00000000-0005-0000-0000-000090060000}"/>
    <cellStyle name="40% - Accent5 2 8 2 2" xfId="15094" xr:uid="{89B6769E-9F79-4F57-8923-461D3E51B724}"/>
    <cellStyle name="40% - Accent5 2 8 3" xfId="10876" xr:uid="{76C81091-877B-4736-9795-F6C8005B7564}"/>
    <cellStyle name="40% - Accent5 2 9" xfId="4586" xr:uid="{00000000-0005-0000-0000-000091060000}"/>
    <cellStyle name="40% - Accent5 2 9 2" xfId="13028" xr:uid="{D3EEE692-75E3-41DA-B6E6-D05D11C98E42}"/>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2 2 2" xfId="15592" xr:uid="{B7EE2C19-7382-49BC-8F9D-0369A06CFAA5}"/>
    <cellStyle name="40% - Accent5 3 2 2 2 3" xfId="11374" xr:uid="{0879BD69-86BB-40ED-B482-72E2DBDBA343}"/>
    <cellStyle name="40% - Accent5 3 2 2 3" xfId="5005" xr:uid="{00000000-0005-0000-0000-000097060000}"/>
    <cellStyle name="40% - Accent5 3 2 2 3 2" xfId="13447" xr:uid="{B0DD2D85-12D9-4594-A5E1-4F9EABDD5978}"/>
    <cellStyle name="40% - Accent5 3 2 2 4" xfId="9229" xr:uid="{1439EC08-6E7B-48B4-97E6-A2E99E8AFC6E}"/>
    <cellStyle name="40% - Accent5 3 2 3" xfId="1109" xr:uid="{00000000-0005-0000-0000-000098060000}"/>
    <cellStyle name="40% - Accent5 3 2 3 2" xfId="3340" xr:uid="{00000000-0005-0000-0000-000099060000}"/>
    <cellStyle name="40% - Accent5 3 2 3 2 2" xfId="7563" xr:uid="{00000000-0005-0000-0000-00009A060000}"/>
    <cellStyle name="40% - Accent5 3 2 3 2 2 2" xfId="16005" xr:uid="{BE8CCD47-B69C-49E2-9A6E-F956488F0406}"/>
    <cellStyle name="40% - Accent5 3 2 3 2 3" xfId="11787" xr:uid="{431829AD-E74F-47A7-9784-B767C98C5520}"/>
    <cellStyle name="40% - Accent5 3 2 3 3" xfId="5418" xr:uid="{00000000-0005-0000-0000-00009B060000}"/>
    <cellStyle name="40% - Accent5 3 2 3 3 2" xfId="13860" xr:uid="{9D583A52-8617-4EE0-93AB-7A0448B16E69}"/>
    <cellStyle name="40% - Accent5 3 2 3 4" xfId="9642" xr:uid="{4545ABFE-E6C6-4DE3-A5E9-9988D39FE957}"/>
    <cellStyle name="40% - Accent5 3 2 4" xfId="1523" xr:uid="{00000000-0005-0000-0000-00009C060000}"/>
    <cellStyle name="40% - Accent5 3 2 4 2" xfId="3753" xr:uid="{00000000-0005-0000-0000-00009D060000}"/>
    <cellStyle name="40% - Accent5 3 2 4 2 2" xfId="7976" xr:uid="{00000000-0005-0000-0000-00009E060000}"/>
    <cellStyle name="40% - Accent5 3 2 4 2 2 2" xfId="16418" xr:uid="{9579EC6F-B306-4DCF-954D-FABB7D0D83B3}"/>
    <cellStyle name="40% - Accent5 3 2 4 2 3" xfId="12200" xr:uid="{A69FADE7-E8D1-4B4D-B70B-1CEA7E67F4AF}"/>
    <cellStyle name="40% - Accent5 3 2 4 3" xfId="5831" xr:uid="{00000000-0005-0000-0000-00009F060000}"/>
    <cellStyle name="40% - Accent5 3 2 4 3 2" xfId="14273" xr:uid="{A9EDA19D-B4E3-4F8A-97F4-3F8BF894B14B}"/>
    <cellStyle name="40% - Accent5 3 2 4 4" xfId="10055" xr:uid="{FD788463-804D-478B-A61E-96661AFB6D19}"/>
    <cellStyle name="40% - Accent5 3 2 5" xfId="1937" xr:uid="{00000000-0005-0000-0000-0000A0060000}"/>
    <cellStyle name="40% - Accent5 3 2 5 2" xfId="4166" xr:uid="{00000000-0005-0000-0000-0000A1060000}"/>
    <cellStyle name="40% - Accent5 3 2 5 2 2" xfId="8389" xr:uid="{00000000-0005-0000-0000-0000A2060000}"/>
    <cellStyle name="40% - Accent5 3 2 5 2 2 2" xfId="16831" xr:uid="{D1DDFD4C-31D1-476A-A131-47E7AC2E8792}"/>
    <cellStyle name="40% - Accent5 3 2 5 2 3" xfId="12613" xr:uid="{377D3445-13D8-4D83-B4A3-EF58F058C6CE}"/>
    <cellStyle name="40% - Accent5 3 2 5 3" xfId="6244" xr:uid="{00000000-0005-0000-0000-0000A3060000}"/>
    <cellStyle name="40% - Accent5 3 2 5 3 2" xfId="14686" xr:uid="{E0BE361B-8E41-46BE-BBAF-10406ADC8E80}"/>
    <cellStyle name="40% - Accent5 3 2 5 4" xfId="10468" xr:uid="{9729C86A-F723-4D29-BEC1-8066604567AC}"/>
    <cellStyle name="40% - Accent5 3 2 6" xfId="2350" xr:uid="{00000000-0005-0000-0000-0000A4060000}"/>
    <cellStyle name="40% - Accent5 3 2 6 2" xfId="6657" xr:uid="{00000000-0005-0000-0000-0000A5060000}"/>
    <cellStyle name="40% - Accent5 3 2 6 2 2" xfId="15099" xr:uid="{87E3820F-AAA1-4643-B7AC-9944171E53D4}"/>
    <cellStyle name="40% - Accent5 3 2 6 3" xfId="10881" xr:uid="{FC66CEDB-2516-4577-81AF-B24EFC109F92}"/>
    <cellStyle name="40% - Accent5 3 2 7" xfId="4591" xr:uid="{00000000-0005-0000-0000-0000A6060000}"/>
    <cellStyle name="40% - Accent5 3 2 7 2" xfId="13033" xr:uid="{ADE5A326-BF71-4C01-A57E-227B22D70CE2}"/>
    <cellStyle name="40% - Accent5 3 2 8" xfId="8815" xr:uid="{9060321A-3660-4569-848B-0AFA6D757009}"/>
    <cellStyle name="40% - Accent5 3 3" xfId="655" xr:uid="{00000000-0005-0000-0000-0000A7060000}"/>
    <cellStyle name="40% - Accent5 3 3 2" xfId="2926" xr:uid="{00000000-0005-0000-0000-0000A8060000}"/>
    <cellStyle name="40% - Accent5 3 3 2 2" xfId="7149" xr:uid="{00000000-0005-0000-0000-0000A9060000}"/>
    <cellStyle name="40% - Accent5 3 3 2 2 2" xfId="15591" xr:uid="{3CED5736-FB9B-4175-847E-0F036487C090}"/>
    <cellStyle name="40% - Accent5 3 3 2 3" xfId="11373" xr:uid="{E9D7A003-172A-435C-8907-3851986AD289}"/>
    <cellStyle name="40% - Accent5 3 3 3" xfId="5004" xr:uid="{00000000-0005-0000-0000-0000AA060000}"/>
    <cellStyle name="40% - Accent5 3 3 3 2" xfId="13446" xr:uid="{16A1C7E5-2408-4CF8-8EE5-4AB0E59EB052}"/>
    <cellStyle name="40% - Accent5 3 3 4" xfId="9228" xr:uid="{6E3A28BB-5266-4BD7-84F3-DB329C727E75}"/>
    <cellStyle name="40% - Accent5 3 4" xfId="1108" xr:uid="{00000000-0005-0000-0000-0000AB060000}"/>
    <cellStyle name="40% - Accent5 3 4 2" xfId="3339" xr:uid="{00000000-0005-0000-0000-0000AC060000}"/>
    <cellStyle name="40% - Accent5 3 4 2 2" xfId="7562" xr:uid="{00000000-0005-0000-0000-0000AD060000}"/>
    <cellStyle name="40% - Accent5 3 4 2 2 2" xfId="16004" xr:uid="{4E25FBB3-3F37-40D5-A553-683E01769006}"/>
    <cellStyle name="40% - Accent5 3 4 2 3" xfId="11786" xr:uid="{6E69286B-C4AC-450A-AFDC-7E663016F3DF}"/>
    <cellStyle name="40% - Accent5 3 4 3" xfId="5417" xr:uid="{00000000-0005-0000-0000-0000AE060000}"/>
    <cellStyle name="40% - Accent5 3 4 3 2" xfId="13859" xr:uid="{A749D650-E704-4942-9574-F897FA808B21}"/>
    <cellStyle name="40% - Accent5 3 4 4" xfId="9641" xr:uid="{4391FE03-EC98-4C28-88EB-71E30D6BE41F}"/>
    <cellStyle name="40% - Accent5 3 5" xfId="1522" xr:uid="{00000000-0005-0000-0000-0000AF060000}"/>
    <cellStyle name="40% - Accent5 3 5 2" xfId="3752" xr:uid="{00000000-0005-0000-0000-0000B0060000}"/>
    <cellStyle name="40% - Accent5 3 5 2 2" xfId="7975" xr:uid="{00000000-0005-0000-0000-0000B1060000}"/>
    <cellStyle name="40% - Accent5 3 5 2 2 2" xfId="16417" xr:uid="{B2BEAC0F-AAC3-489C-99A3-136027597510}"/>
    <cellStyle name="40% - Accent5 3 5 2 3" xfId="12199" xr:uid="{E317DC83-9481-439B-B8A6-10A7AD76A161}"/>
    <cellStyle name="40% - Accent5 3 5 3" xfId="5830" xr:uid="{00000000-0005-0000-0000-0000B2060000}"/>
    <cellStyle name="40% - Accent5 3 5 3 2" xfId="14272" xr:uid="{DD06FA7C-B205-4C0C-ADAD-1F78DDFF005F}"/>
    <cellStyle name="40% - Accent5 3 5 4" xfId="10054" xr:uid="{5DAB140B-A161-4623-B54B-570B39509B6D}"/>
    <cellStyle name="40% - Accent5 3 6" xfId="1936" xr:uid="{00000000-0005-0000-0000-0000B3060000}"/>
    <cellStyle name="40% - Accent5 3 6 2" xfId="4165" xr:uid="{00000000-0005-0000-0000-0000B4060000}"/>
    <cellStyle name="40% - Accent5 3 6 2 2" xfId="8388" xr:uid="{00000000-0005-0000-0000-0000B5060000}"/>
    <cellStyle name="40% - Accent5 3 6 2 2 2" xfId="16830" xr:uid="{F249ECE0-161C-494B-956D-A37768258A07}"/>
    <cellStyle name="40% - Accent5 3 6 2 3" xfId="12612" xr:uid="{DA8FBA5D-B112-4419-B587-1D28E6C608BF}"/>
    <cellStyle name="40% - Accent5 3 6 3" xfId="6243" xr:uid="{00000000-0005-0000-0000-0000B6060000}"/>
    <cellStyle name="40% - Accent5 3 6 3 2" xfId="14685" xr:uid="{5641CDE3-D1D6-4D76-8B15-5425E78F3016}"/>
    <cellStyle name="40% - Accent5 3 6 4" xfId="10467" xr:uid="{3E578D82-9064-40D6-BB8E-F9FC5D7B980A}"/>
    <cellStyle name="40% - Accent5 3 7" xfId="2349" xr:uid="{00000000-0005-0000-0000-0000B7060000}"/>
    <cellStyle name="40% - Accent5 3 7 2" xfId="6656" xr:uid="{00000000-0005-0000-0000-0000B8060000}"/>
    <cellStyle name="40% - Accent5 3 7 2 2" xfId="15098" xr:uid="{9992FFE2-DABC-4DF7-A930-84E6B7F36062}"/>
    <cellStyle name="40% - Accent5 3 7 3" xfId="10880" xr:uid="{462266CF-E45E-493D-AC12-33224F488580}"/>
    <cellStyle name="40% - Accent5 3 8" xfId="4590" xr:uid="{00000000-0005-0000-0000-0000B9060000}"/>
    <cellStyle name="40% - Accent5 3 8 2" xfId="13032" xr:uid="{ACEF358C-86AC-4E76-A63E-CB850701D5D8}"/>
    <cellStyle name="40% - Accent5 3 9" xfId="8814" xr:uid="{51CC0B0C-0281-4B61-888A-37438A02D9FE}"/>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2 2 2" xfId="15593" xr:uid="{8E0EF2B2-4057-42C6-BA59-DD8ABEEACC04}"/>
    <cellStyle name="40% - Accent5 4 2 2 3" xfId="11375" xr:uid="{A1ADA220-74A4-4CC9-98D3-E2692CBC0AF0}"/>
    <cellStyle name="40% - Accent5 4 2 3" xfId="5006" xr:uid="{00000000-0005-0000-0000-0000BE060000}"/>
    <cellStyle name="40% - Accent5 4 2 3 2" xfId="13448" xr:uid="{9C341A4F-438B-4B29-ABCF-CD31E0B0F40D}"/>
    <cellStyle name="40% - Accent5 4 2 4" xfId="9230" xr:uid="{47E3189C-7CE1-419B-A9BB-0EEF5A23099B}"/>
    <cellStyle name="40% - Accent5 4 3" xfId="1110" xr:uid="{00000000-0005-0000-0000-0000BF060000}"/>
    <cellStyle name="40% - Accent5 4 3 2" xfId="3341" xr:uid="{00000000-0005-0000-0000-0000C0060000}"/>
    <cellStyle name="40% - Accent5 4 3 2 2" xfId="7564" xr:uid="{00000000-0005-0000-0000-0000C1060000}"/>
    <cellStyle name="40% - Accent5 4 3 2 2 2" xfId="16006" xr:uid="{0111676B-E7BE-4DB3-884A-96A0AAD09768}"/>
    <cellStyle name="40% - Accent5 4 3 2 3" xfId="11788" xr:uid="{A281FAA7-4E6B-4EA6-8653-817D2DAD1586}"/>
    <cellStyle name="40% - Accent5 4 3 3" xfId="5419" xr:uid="{00000000-0005-0000-0000-0000C2060000}"/>
    <cellStyle name="40% - Accent5 4 3 3 2" xfId="13861" xr:uid="{53F3715C-946E-4605-B3E4-2EAEA167021E}"/>
    <cellStyle name="40% - Accent5 4 3 4" xfId="9643" xr:uid="{3E911891-4A35-43DB-AAE2-383A40945D57}"/>
    <cellStyle name="40% - Accent5 4 4" xfId="1524" xr:uid="{00000000-0005-0000-0000-0000C3060000}"/>
    <cellStyle name="40% - Accent5 4 4 2" xfId="3754" xr:uid="{00000000-0005-0000-0000-0000C4060000}"/>
    <cellStyle name="40% - Accent5 4 4 2 2" xfId="7977" xr:uid="{00000000-0005-0000-0000-0000C5060000}"/>
    <cellStyle name="40% - Accent5 4 4 2 2 2" xfId="16419" xr:uid="{B57F1B39-2FCD-48E8-A42C-6D2E36358BF0}"/>
    <cellStyle name="40% - Accent5 4 4 2 3" xfId="12201" xr:uid="{2944B874-CBDB-49CD-A566-31B089E5D4E3}"/>
    <cellStyle name="40% - Accent5 4 4 3" xfId="5832" xr:uid="{00000000-0005-0000-0000-0000C6060000}"/>
    <cellStyle name="40% - Accent5 4 4 3 2" xfId="14274" xr:uid="{FC8103EB-1C97-4D1E-BFBE-FE8479310972}"/>
    <cellStyle name="40% - Accent5 4 4 4" xfId="10056" xr:uid="{E777685C-277F-49FB-9CA1-E0986AA09235}"/>
    <cellStyle name="40% - Accent5 4 5" xfId="1938" xr:uid="{00000000-0005-0000-0000-0000C7060000}"/>
    <cellStyle name="40% - Accent5 4 5 2" xfId="4167" xr:uid="{00000000-0005-0000-0000-0000C8060000}"/>
    <cellStyle name="40% - Accent5 4 5 2 2" xfId="8390" xr:uid="{00000000-0005-0000-0000-0000C9060000}"/>
    <cellStyle name="40% - Accent5 4 5 2 2 2" xfId="16832" xr:uid="{AC0AA494-4D3C-45D4-86A6-750840D7B8C5}"/>
    <cellStyle name="40% - Accent5 4 5 2 3" xfId="12614" xr:uid="{5B790AC8-45F2-4CFE-9858-40EF07FBCF50}"/>
    <cellStyle name="40% - Accent5 4 5 3" xfId="6245" xr:uid="{00000000-0005-0000-0000-0000CA060000}"/>
    <cellStyle name="40% - Accent5 4 5 3 2" xfId="14687" xr:uid="{5DC25091-3DBE-40B8-B094-A48D192AA0C7}"/>
    <cellStyle name="40% - Accent5 4 5 4" xfId="10469" xr:uid="{EF42D5B0-0919-4B74-82ED-53D6BC639B48}"/>
    <cellStyle name="40% - Accent5 4 6" xfId="2351" xr:uid="{00000000-0005-0000-0000-0000CB060000}"/>
    <cellStyle name="40% - Accent5 4 6 2" xfId="6658" xr:uid="{00000000-0005-0000-0000-0000CC060000}"/>
    <cellStyle name="40% - Accent5 4 6 2 2" xfId="15100" xr:uid="{2F90E7E3-2DD5-4685-92B3-DFA5E91A8747}"/>
    <cellStyle name="40% - Accent5 4 6 3" xfId="10882" xr:uid="{038057C2-5CD0-4220-BD2F-9E6F839FB6F2}"/>
    <cellStyle name="40% - Accent5 4 7" xfId="4592" xr:uid="{00000000-0005-0000-0000-0000CD060000}"/>
    <cellStyle name="40% - Accent5 4 7 2" xfId="13034" xr:uid="{3786798F-B3F6-488B-837F-C29C3AA34762}"/>
    <cellStyle name="40% - Accent5 4 8" xfId="8816" xr:uid="{9ADC5958-D1BB-45CC-921D-1F38B681A682}"/>
    <cellStyle name="40% - Accent5 5" xfId="650" xr:uid="{00000000-0005-0000-0000-0000CE060000}"/>
    <cellStyle name="40% - Accent5 5 2" xfId="2921" xr:uid="{00000000-0005-0000-0000-0000CF060000}"/>
    <cellStyle name="40% - Accent5 5 2 2" xfId="7144" xr:uid="{00000000-0005-0000-0000-0000D0060000}"/>
    <cellStyle name="40% - Accent5 5 2 2 2" xfId="15586" xr:uid="{C3432ECB-408B-4202-B8EA-F7D62544CFB1}"/>
    <cellStyle name="40% - Accent5 5 2 3" xfId="11368" xr:uid="{30D2DC06-E45E-4467-9FF9-D612055AE224}"/>
    <cellStyle name="40% - Accent5 5 3" xfId="4999" xr:uid="{00000000-0005-0000-0000-0000D1060000}"/>
    <cellStyle name="40% - Accent5 5 3 2" xfId="13441" xr:uid="{7F6E6D40-21C8-40DB-8606-0FAFBA753BDB}"/>
    <cellStyle name="40% - Accent5 5 4" xfId="9223" xr:uid="{98D454D0-EFB2-4E3B-A92B-9BF317536A17}"/>
    <cellStyle name="40% - Accent5 6" xfId="1103" xr:uid="{00000000-0005-0000-0000-0000D2060000}"/>
    <cellStyle name="40% - Accent5 6 2" xfId="3334" xr:uid="{00000000-0005-0000-0000-0000D3060000}"/>
    <cellStyle name="40% - Accent5 6 2 2" xfId="7557" xr:uid="{00000000-0005-0000-0000-0000D4060000}"/>
    <cellStyle name="40% - Accent5 6 2 2 2" xfId="15999" xr:uid="{185FE051-9B45-4949-AD88-248415BC33A6}"/>
    <cellStyle name="40% - Accent5 6 2 3" xfId="11781" xr:uid="{3BDB70FA-B65B-4DB4-8599-0AA060B7B910}"/>
    <cellStyle name="40% - Accent5 6 3" xfId="5412" xr:uid="{00000000-0005-0000-0000-0000D5060000}"/>
    <cellStyle name="40% - Accent5 6 3 2" xfId="13854" xr:uid="{3507D3E1-4C51-4773-8B67-4B74E67927B8}"/>
    <cellStyle name="40% - Accent5 6 4" xfId="9636" xr:uid="{430516C9-0507-4BDB-BE88-53CEB03E91A8}"/>
    <cellStyle name="40% - Accent5 7" xfId="1517" xr:uid="{00000000-0005-0000-0000-0000D6060000}"/>
    <cellStyle name="40% - Accent5 7 2" xfId="3747" xr:uid="{00000000-0005-0000-0000-0000D7060000}"/>
    <cellStyle name="40% - Accent5 7 2 2" xfId="7970" xr:uid="{00000000-0005-0000-0000-0000D8060000}"/>
    <cellStyle name="40% - Accent5 7 2 2 2" xfId="16412" xr:uid="{07D28BBF-2587-4CC8-8C6F-F06CF61F7036}"/>
    <cellStyle name="40% - Accent5 7 2 3" xfId="12194" xr:uid="{ED1AF288-BA79-470E-8A67-C1F9D0925EE9}"/>
    <cellStyle name="40% - Accent5 7 3" xfId="5825" xr:uid="{00000000-0005-0000-0000-0000D9060000}"/>
    <cellStyle name="40% - Accent5 7 3 2" xfId="14267" xr:uid="{C778AEDB-9224-40AD-A966-AEB81EC5866A}"/>
    <cellStyle name="40% - Accent5 7 4" xfId="10049" xr:uid="{CEDE9AAC-5EED-4665-A8F5-19224CB2E28A}"/>
    <cellStyle name="40% - Accent5 8" xfId="1931" xr:uid="{00000000-0005-0000-0000-0000DA060000}"/>
    <cellStyle name="40% - Accent5 8 2" xfId="4160" xr:uid="{00000000-0005-0000-0000-0000DB060000}"/>
    <cellStyle name="40% - Accent5 8 2 2" xfId="8383" xr:uid="{00000000-0005-0000-0000-0000DC060000}"/>
    <cellStyle name="40% - Accent5 8 2 2 2" xfId="16825" xr:uid="{00A9E40E-68BF-45E5-8778-189D0E8E5832}"/>
    <cellStyle name="40% - Accent5 8 2 3" xfId="12607" xr:uid="{1B65F462-66AD-444E-8B94-E876668E742E}"/>
    <cellStyle name="40% - Accent5 8 3" xfId="6238" xr:uid="{00000000-0005-0000-0000-0000DD060000}"/>
    <cellStyle name="40% - Accent5 8 3 2" xfId="14680" xr:uid="{F5A69DE2-5861-4C3B-8A8C-CEDFFA422F23}"/>
    <cellStyle name="40% - Accent5 8 4" xfId="10462" xr:uid="{56D16AF6-4655-4713-A956-BFCF3B63DADE}"/>
    <cellStyle name="40% - Accent5 9" xfId="2344" xr:uid="{00000000-0005-0000-0000-0000DE060000}"/>
    <cellStyle name="40% - Accent5 9 2" xfId="6651" xr:uid="{00000000-0005-0000-0000-0000DF060000}"/>
    <cellStyle name="40% - Accent5 9 2 2" xfId="15093" xr:uid="{36759803-03DB-411B-9857-49BCA69E5A1E}"/>
    <cellStyle name="40% - Accent5 9 3" xfId="10875" xr:uid="{9B1B5745-5ADA-4C06-94E7-35951AEF5E2E}"/>
    <cellStyle name="40% - Accent6" xfId="89" builtinId="51" customBuiltin="1"/>
    <cellStyle name="40% - Accent6 10" xfId="4593" xr:uid="{00000000-0005-0000-0000-0000E1060000}"/>
    <cellStyle name="40% - Accent6 10 2" xfId="13035" xr:uid="{3B18F0E4-32DC-4BAB-B80D-0064EC1A052C}"/>
    <cellStyle name="40% - Accent6 11" xfId="8817" xr:uid="{26E19CBF-E501-42E6-B199-8B7B46F53561}"/>
    <cellStyle name="40% - Accent6 2" xfId="90" xr:uid="{00000000-0005-0000-0000-0000E2060000}"/>
    <cellStyle name="40% - Accent6 2 10" xfId="8818" xr:uid="{A38DDF95-2136-4005-94A0-5CFFC36BBF35}"/>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2 2 2" xfId="15597" xr:uid="{4D3AFDE1-E4E2-418C-AA50-B2F579BD7E75}"/>
    <cellStyle name="40% - Accent6 2 2 2 2 2 3" xfId="11379" xr:uid="{8EC38957-A96C-4892-853E-C2EC62E89E09}"/>
    <cellStyle name="40% - Accent6 2 2 2 2 3" xfId="5010" xr:uid="{00000000-0005-0000-0000-0000E8060000}"/>
    <cellStyle name="40% - Accent6 2 2 2 2 3 2" xfId="13452" xr:uid="{01EF72BC-8F08-41FC-BDB7-16CE57BC7106}"/>
    <cellStyle name="40% - Accent6 2 2 2 2 4" xfId="9234" xr:uid="{697FFE82-1704-4464-872C-563345C1DBEA}"/>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2 2 2" xfId="16010" xr:uid="{D5C49477-79D9-4256-BFF1-DD4D04329394}"/>
    <cellStyle name="40% - Accent6 2 2 2 3 2 3" xfId="11792" xr:uid="{F44C7EC2-32B9-4BDC-A49F-12C0562F7326}"/>
    <cellStyle name="40% - Accent6 2 2 2 3 3" xfId="5423" xr:uid="{00000000-0005-0000-0000-0000EC060000}"/>
    <cellStyle name="40% - Accent6 2 2 2 3 3 2" xfId="13865" xr:uid="{31C2659E-5D74-4750-8546-C899367E991B}"/>
    <cellStyle name="40% - Accent6 2 2 2 3 4" xfId="9647" xr:uid="{2AE55721-7EF4-4A28-97C6-B0059C439C5C}"/>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2 2 2" xfId="16423" xr:uid="{FE78CC8C-C4BF-431A-945A-5B48E6026C63}"/>
    <cellStyle name="40% - Accent6 2 2 2 4 2 3" xfId="12205" xr:uid="{1AF12588-3AA6-4914-92CD-90CC65890CCA}"/>
    <cellStyle name="40% - Accent6 2 2 2 4 3" xfId="5836" xr:uid="{00000000-0005-0000-0000-0000F0060000}"/>
    <cellStyle name="40% - Accent6 2 2 2 4 3 2" xfId="14278" xr:uid="{170D9D09-B43E-4712-800D-F5DF4860C813}"/>
    <cellStyle name="40% - Accent6 2 2 2 4 4" xfId="10060" xr:uid="{1757FE9D-860D-42A9-BBD2-D707182FF097}"/>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2 2 2" xfId="16836" xr:uid="{4648FD29-61B8-469C-A876-1FAF4AF34506}"/>
    <cellStyle name="40% - Accent6 2 2 2 5 2 3" xfId="12618" xr:uid="{12678125-CB98-4D11-8842-CD70559B6302}"/>
    <cellStyle name="40% - Accent6 2 2 2 5 3" xfId="6249" xr:uid="{00000000-0005-0000-0000-0000F4060000}"/>
    <cellStyle name="40% - Accent6 2 2 2 5 3 2" xfId="14691" xr:uid="{FA19CE3E-BCD4-4B4F-823E-78054B2EDC57}"/>
    <cellStyle name="40% - Accent6 2 2 2 5 4" xfId="10473" xr:uid="{5C2D42CB-F99E-4ABE-B7AC-BD4C07EB3B46}"/>
    <cellStyle name="40% - Accent6 2 2 2 6" xfId="2355" xr:uid="{00000000-0005-0000-0000-0000F5060000}"/>
    <cellStyle name="40% - Accent6 2 2 2 6 2" xfId="6662" xr:uid="{00000000-0005-0000-0000-0000F6060000}"/>
    <cellStyle name="40% - Accent6 2 2 2 6 2 2" xfId="15104" xr:uid="{8348E623-7F8F-4A3C-814C-03D38483DB57}"/>
    <cellStyle name="40% - Accent6 2 2 2 6 3" xfId="10886" xr:uid="{AC9C8CE5-161E-4D97-8F6B-8FF2FB980044}"/>
    <cellStyle name="40% - Accent6 2 2 2 7" xfId="4596" xr:uid="{00000000-0005-0000-0000-0000F7060000}"/>
    <cellStyle name="40% - Accent6 2 2 2 7 2" xfId="13038" xr:uid="{A3F753F1-B5B0-43EB-B793-8CFA88E31971}"/>
    <cellStyle name="40% - Accent6 2 2 2 8" xfId="8820" xr:uid="{C2FE53F6-96D4-4F48-B122-EA6EB373AFBF}"/>
    <cellStyle name="40% - Accent6 2 2 3" xfId="660" xr:uid="{00000000-0005-0000-0000-0000F8060000}"/>
    <cellStyle name="40% - Accent6 2 2 3 2" xfId="2931" xr:uid="{00000000-0005-0000-0000-0000F9060000}"/>
    <cellStyle name="40% - Accent6 2 2 3 2 2" xfId="7154" xr:uid="{00000000-0005-0000-0000-0000FA060000}"/>
    <cellStyle name="40% - Accent6 2 2 3 2 2 2" xfId="15596" xr:uid="{12C6AA64-7220-4DF6-B425-E12EB8668623}"/>
    <cellStyle name="40% - Accent6 2 2 3 2 3" xfId="11378" xr:uid="{BEB587C7-C24D-4992-AC7A-0B4614AED721}"/>
    <cellStyle name="40% - Accent6 2 2 3 3" xfId="5009" xr:uid="{00000000-0005-0000-0000-0000FB060000}"/>
    <cellStyle name="40% - Accent6 2 2 3 3 2" xfId="13451" xr:uid="{F12E4C95-EC8B-4CD1-A11A-98DC959A799D}"/>
    <cellStyle name="40% - Accent6 2 2 3 4" xfId="9233" xr:uid="{B9BD7D3E-257D-4FCB-959E-26648B3AAB9E}"/>
    <cellStyle name="40% - Accent6 2 2 4" xfId="1113" xr:uid="{00000000-0005-0000-0000-0000FC060000}"/>
    <cellStyle name="40% - Accent6 2 2 4 2" xfId="3344" xr:uid="{00000000-0005-0000-0000-0000FD060000}"/>
    <cellStyle name="40% - Accent6 2 2 4 2 2" xfId="7567" xr:uid="{00000000-0005-0000-0000-0000FE060000}"/>
    <cellStyle name="40% - Accent6 2 2 4 2 2 2" xfId="16009" xr:uid="{4D686482-8974-4F7A-BFFF-4ECAF53A5A14}"/>
    <cellStyle name="40% - Accent6 2 2 4 2 3" xfId="11791" xr:uid="{1CC4AF0D-C3F1-406B-9759-FCA2EA91309D}"/>
    <cellStyle name="40% - Accent6 2 2 4 3" xfId="5422" xr:uid="{00000000-0005-0000-0000-0000FF060000}"/>
    <cellStyle name="40% - Accent6 2 2 4 3 2" xfId="13864" xr:uid="{2E17AD8B-6B50-4905-8B3A-01E4E7EC4B06}"/>
    <cellStyle name="40% - Accent6 2 2 4 4" xfId="9646" xr:uid="{365B3571-CC13-4D78-87BD-CCE4A6F5A84A}"/>
    <cellStyle name="40% - Accent6 2 2 5" xfId="1527" xr:uid="{00000000-0005-0000-0000-000000070000}"/>
    <cellStyle name="40% - Accent6 2 2 5 2" xfId="3757" xr:uid="{00000000-0005-0000-0000-000001070000}"/>
    <cellStyle name="40% - Accent6 2 2 5 2 2" xfId="7980" xr:uid="{00000000-0005-0000-0000-000002070000}"/>
    <cellStyle name="40% - Accent6 2 2 5 2 2 2" xfId="16422" xr:uid="{76D4BE8F-DD1A-453B-A94F-1AB96D5B51B2}"/>
    <cellStyle name="40% - Accent6 2 2 5 2 3" xfId="12204" xr:uid="{A449E1A4-42F6-4486-A189-EEAE1615072E}"/>
    <cellStyle name="40% - Accent6 2 2 5 3" xfId="5835" xr:uid="{00000000-0005-0000-0000-000003070000}"/>
    <cellStyle name="40% - Accent6 2 2 5 3 2" xfId="14277" xr:uid="{4D55203F-FDD1-474F-AF2A-22BE4738C2B5}"/>
    <cellStyle name="40% - Accent6 2 2 5 4" xfId="10059" xr:uid="{7853DAFF-676A-4673-8028-9619824C836B}"/>
    <cellStyle name="40% - Accent6 2 2 6" xfId="1941" xr:uid="{00000000-0005-0000-0000-000004070000}"/>
    <cellStyle name="40% - Accent6 2 2 6 2" xfId="4170" xr:uid="{00000000-0005-0000-0000-000005070000}"/>
    <cellStyle name="40% - Accent6 2 2 6 2 2" xfId="8393" xr:uid="{00000000-0005-0000-0000-000006070000}"/>
    <cellStyle name="40% - Accent6 2 2 6 2 2 2" xfId="16835" xr:uid="{9272A29B-B05F-4A60-BA89-A933709BD442}"/>
    <cellStyle name="40% - Accent6 2 2 6 2 3" xfId="12617" xr:uid="{F212DA51-2FBC-499B-B161-BDCEBD10FC1F}"/>
    <cellStyle name="40% - Accent6 2 2 6 3" xfId="6248" xr:uid="{00000000-0005-0000-0000-000007070000}"/>
    <cellStyle name="40% - Accent6 2 2 6 3 2" xfId="14690" xr:uid="{9833876F-0293-46C5-B8E0-D0B739D6DC8C}"/>
    <cellStyle name="40% - Accent6 2 2 6 4" xfId="10472" xr:uid="{9A84D693-7E3F-46BC-86FE-45206CBE5955}"/>
    <cellStyle name="40% - Accent6 2 2 7" xfId="2354" xr:uid="{00000000-0005-0000-0000-000008070000}"/>
    <cellStyle name="40% - Accent6 2 2 7 2" xfId="6661" xr:uid="{00000000-0005-0000-0000-000009070000}"/>
    <cellStyle name="40% - Accent6 2 2 7 2 2" xfId="15103" xr:uid="{8135D2A9-C0C8-4827-B62D-D97FC4C8F809}"/>
    <cellStyle name="40% - Accent6 2 2 7 3" xfId="10885" xr:uid="{6372A727-2046-4C06-B999-367C05267DD8}"/>
    <cellStyle name="40% - Accent6 2 2 8" xfId="4595" xr:uid="{00000000-0005-0000-0000-00000A070000}"/>
    <cellStyle name="40% - Accent6 2 2 8 2" xfId="13037" xr:uid="{A51DF11D-F272-4FE3-BC11-16AED6D9BB0F}"/>
    <cellStyle name="40% - Accent6 2 2 9" xfId="8819" xr:uid="{FD069F0C-F03B-4F58-803B-84CAF6CBDA61}"/>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2 2 2" xfId="15598" xr:uid="{68CF974A-EFB9-4F13-BAF5-34BEFAEC29D2}"/>
    <cellStyle name="40% - Accent6 2 3 2 2 3" xfId="11380" xr:uid="{2059B597-7781-4894-8E54-0EF09FDFF47F}"/>
    <cellStyle name="40% - Accent6 2 3 2 3" xfId="5011" xr:uid="{00000000-0005-0000-0000-00000F070000}"/>
    <cellStyle name="40% - Accent6 2 3 2 3 2" xfId="13453" xr:uid="{D5579398-3B5E-4F82-8145-C97A94C19267}"/>
    <cellStyle name="40% - Accent6 2 3 2 4" xfId="9235" xr:uid="{3C9825C3-E1B9-491D-BA54-E12E983DA4F4}"/>
    <cellStyle name="40% - Accent6 2 3 3" xfId="1115" xr:uid="{00000000-0005-0000-0000-000010070000}"/>
    <cellStyle name="40% - Accent6 2 3 3 2" xfId="3346" xr:uid="{00000000-0005-0000-0000-000011070000}"/>
    <cellStyle name="40% - Accent6 2 3 3 2 2" xfId="7569" xr:uid="{00000000-0005-0000-0000-000012070000}"/>
    <cellStyle name="40% - Accent6 2 3 3 2 2 2" xfId="16011" xr:uid="{47353CF5-B474-40CF-968A-865467CD2426}"/>
    <cellStyle name="40% - Accent6 2 3 3 2 3" xfId="11793" xr:uid="{EE0335A1-2B99-41C5-B599-118A49637CB8}"/>
    <cellStyle name="40% - Accent6 2 3 3 3" xfId="5424" xr:uid="{00000000-0005-0000-0000-000013070000}"/>
    <cellStyle name="40% - Accent6 2 3 3 3 2" xfId="13866" xr:uid="{5921C195-B4FF-4211-BFE7-7BCABF06E853}"/>
    <cellStyle name="40% - Accent6 2 3 3 4" xfId="9648" xr:uid="{C6274046-81CA-487F-ADE1-B2C76FF75B9F}"/>
    <cellStyle name="40% - Accent6 2 3 4" xfId="1529" xr:uid="{00000000-0005-0000-0000-000014070000}"/>
    <cellStyle name="40% - Accent6 2 3 4 2" xfId="3759" xr:uid="{00000000-0005-0000-0000-000015070000}"/>
    <cellStyle name="40% - Accent6 2 3 4 2 2" xfId="7982" xr:uid="{00000000-0005-0000-0000-000016070000}"/>
    <cellStyle name="40% - Accent6 2 3 4 2 2 2" xfId="16424" xr:uid="{7DA9CDDD-FF46-463C-B4F6-EAD1E18DF6B5}"/>
    <cellStyle name="40% - Accent6 2 3 4 2 3" xfId="12206" xr:uid="{B17E2653-0C2B-40DA-86FF-31680A3EB873}"/>
    <cellStyle name="40% - Accent6 2 3 4 3" xfId="5837" xr:uid="{00000000-0005-0000-0000-000017070000}"/>
    <cellStyle name="40% - Accent6 2 3 4 3 2" xfId="14279" xr:uid="{1C8162B4-455E-4D9E-AC83-F477040E274D}"/>
    <cellStyle name="40% - Accent6 2 3 4 4" xfId="10061" xr:uid="{8E6EEFEA-E162-4723-8296-15491F88EF67}"/>
    <cellStyle name="40% - Accent6 2 3 5" xfId="1943" xr:uid="{00000000-0005-0000-0000-000018070000}"/>
    <cellStyle name="40% - Accent6 2 3 5 2" xfId="4172" xr:uid="{00000000-0005-0000-0000-000019070000}"/>
    <cellStyle name="40% - Accent6 2 3 5 2 2" xfId="8395" xr:uid="{00000000-0005-0000-0000-00001A070000}"/>
    <cellStyle name="40% - Accent6 2 3 5 2 2 2" xfId="16837" xr:uid="{B99B38F3-0404-4639-BC71-DB169CC0013A}"/>
    <cellStyle name="40% - Accent6 2 3 5 2 3" xfId="12619" xr:uid="{BE01AEDB-8CFD-421F-9B16-81C8B6D12600}"/>
    <cellStyle name="40% - Accent6 2 3 5 3" xfId="6250" xr:uid="{00000000-0005-0000-0000-00001B070000}"/>
    <cellStyle name="40% - Accent6 2 3 5 3 2" xfId="14692" xr:uid="{D90C834C-2BF4-49DE-8D19-4036544629CD}"/>
    <cellStyle name="40% - Accent6 2 3 5 4" xfId="10474" xr:uid="{9DC11221-C0A2-4B79-855A-CB6014B880AF}"/>
    <cellStyle name="40% - Accent6 2 3 6" xfId="2356" xr:uid="{00000000-0005-0000-0000-00001C070000}"/>
    <cellStyle name="40% - Accent6 2 3 6 2" xfId="6663" xr:uid="{00000000-0005-0000-0000-00001D070000}"/>
    <cellStyle name="40% - Accent6 2 3 6 2 2" xfId="15105" xr:uid="{460FE963-4A37-4874-94EF-DD040E2DA0F4}"/>
    <cellStyle name="40% - Accent6 2 3 6 3" xfId="10887" xr:uid="{735C16B7-5398-4B65-9128-00D7D7C55353}"/>
    <cellStyle name="40% - Accent6 2 3 7" xfId="4597" xr:uid="{00000000-0005-0000-0000-00001E070000}"/>
    <cellStyle name="40% - Accent6 2 3 7 2" xfId="13039" xr:uid="{DEBDA739-EB6F-41B1-BEA0-3F4A029DF5CC}"/>
    <cellStyle name="40% - Accent6 2 3 8" xfId="8821" xr:uid="{4CD50866-C428-4C03-BCB7-3D6970E18061}"/>
    <cellStyle name="40% - Accent6 2 4" xfId="659" xr:uid="{00000000-0005-0000-0000-00001F070000}"/>
    <cellStyle name="40% - Accent6 2 4 2" xfId="2930" xr:uid="{00000000-0005-0000-0000-000020070000}"/>
    <cellStyle name="40% - Accent6 2 4 2 2" xfId="7153" xr:uid="{00000000-0005-0000-0000-000021070000}"/>
    <cellStyle name="40% - Accent6 2 4 2 2 2" xfId="15595" xr:uid="{3C9DBB83-0A37-4494-B398-7EA8CA1B0C55}"/>
    <cellStyle name="40% - Accent6 2 4 2 3" xfId="11377" xr:uid="{53290531-F87F-4EF4-AE2C-163066BA4D45}"/>
    <cellStyle name="40% - Accent6 2 4 3" xfId="5008" xr:uid="{00000000-0005-0000-0000-000022070000}"/>
    <cellStyle name="40% - Accent6 2 4 3 2" xfId="13450" xr:uid="{96C5A69D-9191-4E9E-A74A-278C74857770}"/>
    <cellStyle name="40% - Accent6 2 4 4" xfId="9232" xr:uid="{5A1541B6-0B23-42E8-9D1A-58017A5D75B3}"/>
    <cellStyle name="40% - Accent6 2 5" xfId="1112" xr:uid="{00000000-0005-0000-0000-000023070000}"/>
    <cellStyle name="40% - Accent6 2 5 2" xfId="3343" xr:uid="{00000000-0005-0000-0000-000024070000}"/>
    <cellStyle name="40% - Accent6 2 5 2 2" xfId="7566" xr:uid="{00000000-0005-0000-0000-000025070000}"/>
    <cellStyle name="40% - Accent6 2 5 2 2 2" xfId="16008" xr:uid="{1D12CEC0-200D-4EA0-9E3F-9A768CD72895}"/>
    <cellStyle name="40% - Accent6 2 5 2 3" xfId="11790" xr:uid="{092D9574-D0BA-4466-BC89-D6864FB61BCC}"/>
    <cellStyle name="40% - Accent6 2 5 3" xfId="5421" xr:uid="{00000000-0005-0000-0000-000026070000}"/>
    <cellStyle name="40% - Accent6 2 5 3 2" xfId="13863" xr:uid="{8E1B009D-30CE-4A21-8E54-DFDC725EA4C6}"/>
    <cellStyle name="40% - Accent6 2 5 4" xfId="9645" xr:uid="{415B5409-A80C-4543-84F1-7CD47E663B36}"/>
    <cellStyle name="40% - Accent6 2 6" xfId="1526" xr:uid="{00000000-0005-0000-0000-000027070000}"/>
    <cellStyle name="40% - Accent6 2 6 2" xfId="3756" xr:uid="{00000000-0005-0000-0000-000028070000}"/>
    <cellStyle name="40% - Accent6 2 6 2 2" xfId="7979" xr:uid="{00000000-0005-0000-0000-000029070000}"/>
    <cellStyle name="40% - Accent6 2 6 2 2 2" xfId="16421" xr:uid="{A3463559-3789-415B-B86E-FC45958C765D}"/>
    <cellStyle name="40% - Accent6 2 6 2 3" xfId="12203" xr:uid="{1AAE2C93-C773-4524-962D-CDED761F31D5}"/>
    <cellStyle name="40% - Accent6 2 6 3" xfId="5834" xr:uid="{00000000-0005-0000-0000-00002A070000}"/>
    <cellStyle name="40% - Accent6 2 6 3 2" xfId="14276" xr:uid="{96FE9A2D-E983-49E1-A651-1545C4E4D219}"/>
    <cellStyle name="40% - Accent6 2 6 4" xfId="10058" xr:uid="{467EC44E-39C7-4DA3-B791-C202C821C756}"/>
    <cellStyle name="40% - Accent6 2 7" xfId="1940" xr:uid="{00000000-0005-0000-0000-00002B070000}"/>
    <cellStyle name="40% - Accent6 2 7 2" xfId="4169" xr:uid="{00000000-0005-0000-0000-00002C070000}"/>
    <cellStyle name="40% - Accent6 2 7 2 2" xfId="8392" xr:uid="{00000000-0005-0000-0000-00002D070000}"/>
    <cellStyle name="40% - Accent6 2 7 2 2 2" xfId="16834" xr:uid="{5CA74288-B8F3-4CFD-B4AB-51DD58A8E6A5}"/>
    <cellStyle name="40% - Accent6 2 7 2 3" xfId="12616" xr:uid="{44855713-22A6-47B3-8801-53BC6364A144}"/>
    <cellStyle name="40% - Accent6 2 7 3" xfId="6247" xr:uid="{00000000-0005-0000-0000-00002E070000}"/>
    <cellStyle name="40% - Accent6 2 7 3 2" xfId="14689" xr:uid="{AF523C68-C012-4C82-A7DC-3EDB2BB6CC11}"/>
    <cellStyle name="40% - Accent6 2 7 4" xfId="10471" xr:uid="{2331709B-2D84-4751-9D42-AF3FDBED6376}"/>
    <cellStyle name="40% - Accent6 2 8" xfId="2353" xr:uid="{00000000-0005-0000-0000-00002F070000}"/>
    <cellStyle name="40% - Accent6 2 8 2" xfId="6660" xr:uid="{00000000-0005-0000-0000-000030070000}"/>
    <cellStyle name="40% - Accent6 2 8 2 2" xfId="15102" xr:uid="{6E740EEC-F3A9-4B3A-94F6-A31BC962A383}"/>
    <cellStyle name="40% - Accent6 2 8 3" xfId="10884" xr:uid="{42C68BAB-EB17-4A70-868C-976B0658AC6E}"/>
    <cellStyle name="40% - Accent6 2 9" xfId="4594" xr:uid="{00000000-0005-0000-0000-000031070000}"/>
    <cellStyle name="40% - Accent6 2 9 2" xfId="13036" xr:uid="{1978678F-32BC-4130-A725-478E587FCD3D}"/>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2 2 2" xfId="15600" xr:uid="{B38298B5-7F08-4FFF-B3BF-DF6A13EA47A1}"/>
    <cellStyle name="40% - Accent6 3 2 2 2 3" xfId="11382" xr:uid="{71221B4D-EA54-4974-B61A-009939A4583D}"/>
    <cellStyle name="40% - Accent6 3 2 2 3" xfId="5013" xr:uid="{00000000-0005-0000-0000-000037070000}"/>
    <cellStyle name="40% - Accent6 3 2 2 3 2" xfId="13455" xr:uid="{316E1A0D-7A37-4369-A69B-5F4B9AEE25BC}"/>
    <cellStyle name="40% - Accent6 3 2 2 4" xfId="9237" xr:uid="{41C33A19-BEBD-4DB3-941B-0DD08DEC681D}"/>
    <cellStyle name="40% - Accent6 3 2 3" xfId="1117" xr:uid="{00000000-0005-0000-0000-000038070000}"/>
    <cellStyle name="40% - Accent6 3 2 3 2" xfId="3348" xr:uid="{00000000-0005-0000-0000-000039070000}"/>
    <cellStyle name="40% - Accent6 3 2 3 2 2" xfId="7571" xr:uid="{00000000-0005-0000-0000-00003A070000}"/>
    <cellStyle name="40% - Accent6 3 2 3 2 2 2" xfId="16013" xr:uid="{7087ED44-F110-42D3-8F13-12A37D599B1A}"/>
    <cellStyle name="40% - Accent6 3 2 3 2 3" xfId="11795" xr:uid="{94681216-FC8C-4248-8DD1-D29453B7FFAB}"/>
    <cellStyle name="40% - Accent6 3 2 3 3" xfId="5426" xr:uid="{00000000-0005-0000-0000-00003B070000}"/>
    <cellStyle name="40% - Accent6 3 2 3 3 2" xfId="13868" xr:uid="{737F8793-C90A-4C72-A50B-AEB7750E3A88}"/>
    <cellStyle name="40% - Accent6 3 2 3 4" xfId="9650" xr:uid="{4A82A940-F08F-4CF2-A11B-1D0FAB5EA7E8}"/>
    <cellStyle name="40% - Accent6 3 2 4" xfId="1531" xr:uid="{00000000-0005-0000-0000-00003C070000}"/>
    <cellStyle name="40% - Accent6 3 2 4 2" xfId="3761" xr:uid="{00000000-0005-0000-0000-00003D070000}"/>
    <cellStyle name="40% - Accent6 3 2 4 2 2" xfId="7984" xr:uid="{00000000-0005-0000-0000-00003E070000}"/>
    <cellStyle name="40% - Accent6 3 2 4 2 2 2" xfId="16426" xr:uid="{89DDB265-70FF-423F-9409-208368650269}"/>
    <cellStyle name="40% - Accent6 3 2 4 2 3" xfId="12208" xr:uid="{0EA7A68D-5DD6-4674-8423-0F10187ADD2D}"/>
    <cellStyle name="40% - Accent6 3 2 4 3" xfId="5839" xr:uid="{00000000-0005-0000-0000-00003F070000}"/>
    <cellStyle name="40% - Accent6 3 2 4 3 2" xfId="14281" xr:uid="{1C84C9B6-7D92-4806-90C5-D3D8445A8B31}"/>
    <cellStyle name="40% - Accent6 3 2 4 4" xfId="10063" xr:uid="{D7CFC3C0-FEC9-4457-BE37-EA63E5074852}"/>
    <cellStyle name="40% - Accent6 3 2 5" xfId="1945" xr:uid="{00000000-0005-0000-0000-000040070000}"/>
    <cellStyle name="40% - Accent6 3 2 5 2" xfId="4174" xr:uid="{00000000-0005-0000-0000-000041070000}"/>
    <cellStyle name="40% - Accent6 3 2 5 2 2" xfId="8397" xr:uid="{00000000-0005-0000-0000-000042070000}"/>
    <cellStyle name="40% - Accent6 3 2 5 2 2 2" xfId="16839" xr:uid="{073F03DA-E9E3-4D86-A8CB-C459F0DBAF68}"/>
    <cellStyle name="40% - Accent6 3 2 5 2 3" xfId="12621" xr:uid="{E9A29090-E507-4697-B2F7-8EA5FC095CF3}"/>
    <cellStyle name="40% - Accent6 3 2 5 3" xfId="6252" xr:uid="{00000000-0005-0000-0000-000043070000}"/>
    <cellStyle name="40% - Accent6 3 2 5 3 2" xfId="14694" xr:uid="{7A86BEBB-8DF9-4B7B-A844-ED19B62EBA9A}"/>
    <cellStyle name="40% - Accent6 3 2 5 4" xfId="10476" xr:uid="{9B0D044A-91A1-4461-9A58-5F3ED90C4E9C}"/>
    <cellStyle name="40% - Accent6 3 2 6" xfId="2358" xr:uid="{00000000-0005-0000-0000-000044070000}"/>
    <cellStyle name="40% - Accent6 3 2 6 2" xfId="6665" xr:uid="{00000000-0005-0000-0000-000045070000}"/>
    <cellStyle name="40% - Accent6 3 2 6 2 2" xfId="15107" xr:uid="{C9721359-4045-4405-B9C2-B61580529E08}"/>
    <cellStyle name="40% - Accent6 3 2 6 3" xfId="10889" xr:uid="{A1EBCE8C-FE94-4456-BA22-AE79FBD1270F}"/>
    <cellStyle name="40% - Accent6 3 2 7" xfId="4599" xr:uid="{00000000-0005-0000-0000-000046070000}"/>
    <cellStyle name="40% - Accent6 3 2 7 2" xfId="13041" xr:uid="{F12EE06E-F899-4E16-8709-6432B8ACA990}"/>
    <cellStyle name="40% - Accent6 3 2 8" xfId="8823" xr:uid="{C8385FB9-AEB8-42C7-9C03-E3E0A1203521}"/>
    <cellStyle name="40% - Accent6 3 3" xfId="663" xr:uid="{00000000-0005-0000-0000-000047070000}"/>
    <cellStyle name="40% - Accent6 3 3 2" xfId="2934" xr:uid="{00000000-0005-0000-0000-000048070000}"/>
    <cellStyle name="40% - Accent6 3 3 2 2" xfId="7157" xr:uid="{00000000-0005-0000-0000-000049070000}"/>
    <cellStyle name="40% - Accent6 3 3 2 2 2" xfId="15599" xr:uid="{93C08279-CB7F-4401-A0B9-CE278C3569AD}"/>
    <cellStyle name="40% - Accent6 3 3 2 3" xfId="11381" xr:uid="{335F75D8-4730-4C27-B2BF-67CEC96263C3}"/>
    <cellStyle name="40% - Accent6 3 3 3" xfId="5012" xr:uid="{00000000-0005-0000-0000-00004A070000}"/>
    <cellStyle name="40% - Accent6 3 3 3 2" xfId="13454" xr:uid="{5402058B-4B85-4D21-B31B-38A7DB60AC42}"/>
    <cellStyle name="40% - Accent6 3 3 4" xfId="9236" xr:uid="{0687A115-FC4D-4C1D-BAEB-38CC34D7D1D2}"/>
    <cellStyle name="40% - Accent6 3 4" xfId="1116" xr:uid="{00000000-0005-0000-0000-00004B070000}"/>
    <cellStyle name="40% - Accent6 3 4 2" xfId="3347" xr:uid="{00000000-0005-0000-0000-00004C070000}"/>
    <cellStyle name="40% - Accent6 3 4 2 2" xfId="7570" xr:uid="{00000000-0005-0000-0000-00004D070000}"/>
    <cellStyle name="40% - Accent6 3 4 2 2 2" xfId="16012" xr:uid="{1EAC16EB-0370-455C-9D3E-4A75049CC4FD}"/>
    <cellStyle name="40% - Accent6 3 4 2 3" xfId="11794" xr:uid="{6B99DB40-AD97-4B38-B9B9-8D30D14AC512}"/>
    <cellStyle name="40% - Accent6 3 4 3" xfId="5425" xr:uid="{00000000-0005-0000-0000-00004E070000}"/>
    <cellStyle name="40% - Accent6 3 4 3 2" xfId="13867" xr:uid="{A724145C-DB1B-4005-91B6-CB58EB44544E}"/>
    <cellStyle name="40% - Accent6 3 4 4" xfId="9649" xr:uid="{887E5B9C-C524-4F07-AF65-6C73F541A227}"/>
    <cellStyle name="40% - Accent6 3 5" xfId="1530" xr:uid="{00000000-0005-0000-0000-00004F070000}"/>
    <cellStyle name="40% - Accent6 3 5 2" xfId="3760" xr:uid="{00000000-0005-0000-0000-000050070000}"/>
    <cellStyle name="40% - Accent6 3 5 2 2" xfId="7983" xr:uid="{00000000-0005-0000-0000-000051070000}"/>
    <cellStyle name="40% - Accent6 3 5 2 2 2" xfId="16425" xr:uid="{EA1B911C-3251-4C11-9325-70CDA7A72E82}"/>
    <cellStyle name="40% - Accent6 3 5 2 3" xfId="12207" xr:uid="{C2C36ECD-56C7-41E1-9FE5-AB9700A220BD}"/>
    <cellStyle name="40% - Accent6 3 5 3" xfId="5838" xr:uid="{00000000-0005-0000-0000-000052070000}"/>
    <cellStyle name="40% - Accent6 3 5 3 2" xfId="14280" xr:uid="{7598B2CA-9051-4D24-8596-8098D1D6F590}"/>
    <cellStyle name="40% - Accent6 3 5 4" xfId="10062" xr:uid="{60D3714F-8C85-4649-B875-58D8B983CB5C}"/>
    <cellStyle name="40% - Accent6 3 6" xfId="1944" xr:uid="{00000000-0005-0000-0000-000053070000}"/>
    <cellStyle name="40% - Accent6 3 6 2" xfId="4173" xr:uid="{00000000-0005-0000-0000-000054070000}"/>
    <cellStyle name="40% - Accent6 3 6 2 2" xfId="8396" xr:uid="{00000000-0005-0000-0000-000055070000}"/>
    <cellStyle name="40% - Accent6 3 6 2 2 2" xfId="16838" xr:uid="{371DAFCD-0BB9-423E-BBD3-01B6682A47A1}"/>
    <cellStyle name="40% - Accent6 3 6 2 3" xfId="12620" xr:uid="{A80C07BD-8E5D-4DFB-ABB2-529B672BA589}"/>
    <cellStyle name="40% - Accent6 3 6 3" xfId="6251" xr:uid="{00000000-0005-0000-0000-000056070000}"/>
    <cellStyle name="40% - Accent6 3 6 3 2" xfId="14693" xr:uid="{5434F4EB-C275-4651-A3D1-EE32334FB5E1}"/>
    <cellStyle name="40% - Accent6 3 6 4" xfId="10475" xr:uid="{35187616-3466-49D0-9C66-F51E6DD3FDF0}"/>
    <cellStyle name="40% - Accent6 3 7" xfId="2357" xr:uid="{00000000-0005-0000-0000-000057070000}"/>
    <cellStyle name="40% - Accent6 3 7 2" xfId="6664" xr:uid="{00000000-0005-0000-0000-000058070000}"/>
    <cellStyle name="40% - Accent6 3 7 2 2" xfId="15106" xr:uid="{FC07681F-C842-4131-BAB4-12FF7C04EBD1}"/>
    <cellStyle name="40% - Accent6 3 7 3" xfId="10888" xr:uid="{BA68B884-D230-41AA-A365-CFDF5A819BDF}"/>
    <cellStyle name="40% - Accent6 3 8" xfId="4598" xr:uid="{00000000-0005-0000-0000-000059070000}"/>
    <cellStyle name="40% - Accent6 3 8 2" xfId="13040" xr:uid="{05A1C357-6CB5-43C8-BA61-8BBFB07C365A}"/>
    <cellStyle name="40% - Accent6 3 9" xfId="8822" xr:uid="{4669C8D7-2D0D-46A8-97A9-D8B7427C77FA}"/>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2 2 2" xfId="15601" xr:uid="{BA54634C-F97B-4E05-85BE-7D5834365189}"/>
    <cellStyle name="40% - Accent6 4 2 2 3" xfId="11383" xr:uid="{1191CFF4-07BA-4779-86BB-F7E34F937182}"/>
    <cellStyle name="40% - Accent6 4 2 3" xfId="5014" xr:uid="{00000000-0005-0000-0000-00005E070000}"/>
    <cellStyle name="40% - Accent6 4 2 3 2" xfId="13456" xr:uid="{75359449-F6A5-4845-84D1-BB838AD02A14}"/>
    <cellStyle name="40% - Accent6 4 2 4" xfId="9238" xr:uid="{BA113492-7980-46C3-92E3-D80CEE790BAE}"/>
    <cellStyle name="40% - Accent6 4 3" xfId="1118" xr:uid="{00000000-0005-0000-0000-00005F070000}"/>
    <cellStyle name="40% - Accent6 4 3 2" xfId="3349" xr:uid="{00000000-0005-0000-0000-000060070000}"/>
    <cellStyle name="40% - Accent6 4 3 2 2" xfId="7572" xr:uid="{00000000-0005-0000-0000-000061070000}"/>
    <cellStyle name="40% - Accent6 4 3 2 2 2" xfId="16014" xr:uid="{34396994-E66C-43EB-8747-46980EBF6E81}"/>
    <cellStyle name="40% - Accent6 4 3 2 3" xfId="11796" xr:uid="{BD6EBF85-DE9C-439F-AAF6-65161B1440BE}"/>
    <cellStyle name="40% - Accent6 4 3 3" xfId="5427" xr:uid="{00000000-0005-0000-0000-000062070000}"/>
    <cellStyle name="40% - Accent6 4 3 3 2" xfId="13869" xr:uid="{1ED1722D-E9C1-44D7-94F6-9BE323C774E5}"/>
    <cellStyle name="40% - Accent6 4 3 4" xfId="9651" xr:uid="{67EC6FE9-6A9D-4F62-BA71-DCCA62E46510}"/>
    <cellStyle name="40% - Accent6 4 4" xfId="1532" xr:uid="{00000000-0005-0000-0000-000063070000}"/>
    <cellStyle name="40% - Accent6 4 4 2" xfId="3762" xr:uid="{00000000-0005-0000-0000-000064070000}"/>
    <cellStyle name="40% - Accent6 4 4 2 2" xfId="7985" xr:uid="{00000000-0005-0000-0000-000065070000}"/>
    <cellStyle name="40% - Accent6 4 4 2 2 2" xfId="16427" xr:uid="{037D6A40-6344-45D8-8A78-90776A8B76CC}"/>
    <cellStyle name="40% - Accent6 4 4 2 3" xfId="12209" xr:uid="{D2FFF659-0306-4F4F-B8AB-D047E57A2321}"/>
    <cellStyle name="40% - Accent6 4 4 3" xfId="5840" xr:uid="{00000000-0005-0000-0000-000066070000}"/>
    <cellStyle name="40% - Accent6 4 4 3 2" xfId="14282" xr:uid="{355A250F-496C-4D7B-9429-AEA5850F1E66}"/>
    <cellStyle name="40% - Accent6 4 4 4" xfId="10064" xr:uid="{1D8E5604-F8A8-4C52-BE9B-69FAEBB03E81}"/>
    <cellStyle name="40% - Accent6 4 5" xfId="1946" xr:uid="{00000000-0005-0000-0000-000067070000}"/>
    <cellStyle name="40% - Accent6 4 5 2" xfId="4175" xr:uid="{00000000-0005-0000-0000-000068070000}"/>
    <cellStyle name="40% - Accent6 4 5 2 2" xfId="8398" xr:uid="{00000000-0005-0000-0000-000069070000}"/>
    <cellStyle name="40% - Accent6 4 5 2 2 2" xfId="16840" xr:uid="{DABF1EF4-8649-4FE6-B902-7556688566DA}"/>
    <cellStyle name="40% - Accent6 4 5 2 3" xfId="12622" xr:uid="{C47B2318-B4E4-4352-AF60-804674EDA780}"/>
    <cellStyle name="40% - Accent6 4 5 3" xfId="6253" xr:uid="{00000000-0005-0000-0000-00006A070000}"/>
    <cellStyle name="40% - Accent6 4 5 3 2" xfId="14695" xr:uid="{EE6B327F-B550-4F88-B57E-C0AF2FF50418}"/>
    <cellStyle name="40% - Accent6 4 5 4" xfId="10477" xr:uid="{4B5D7088-A100-4AD5-87D0-A75EAE3FF2D7}"/>
    <cellStyle name="40% - Accent6 4 6" xfId="2359" xr:uid="{00000000-0005-0000-0000-00006B070000}"/>
    <cellStyle name="40% - Accent6 4 6 2" xfId="6666" xr:uid="{00000000-0005-0000-0000-00006C070000}"/>
    <cellStyle name="40% - Accent6 4 6 2 2" xfId="15108" xr:uid="{4DE575C1-106C-4DA9-8EED-F6E0F2DA67DF}"/>
    <cellStyle name="40% - Accent6 4 6 3" xfId="10890" xr:uid="{E0B976CF-C9BD-4532-9483-2E20DE4A15A8}"/>
    <cellStyle name="40% - Accent6 4 7" xfId="4600" xr:uid="{00000000-0005-0000-0000-00006D070000}"/>
    <cellStyle name="40% - Accent6 4 7 2" xfId="13042" xr:uid="{4BDA7582-164E-4B8B-871E-85CAC379794B}"/>
    <cellStyle name="40% - Accent6 4 8" xfId="8824" xr:uid="{839F7622-4C2E-4FDF-A6F2-29980E750744}"/>
    <cellStyle name="40% - Accent6 5" xfId="658" xr:uid="{00000000-0005-0000-0000-00006E070000}"/>
    <cellStyle name="40% - Accent6 5 2" xfId="2929" xr:uid="{00000000-0005-0000-0000-00006F070000}"/>
    <cellStyle name="40% - Accent6 5 2 2" xfId="7152" xr:uid="{00000000-0005-0000-0000-000070070000}"/>
    <cellStyle name="40% - Accent6 5 2 2 2" xfId="15594" xr:uid="{960DCCD9-FFA9-44D8-A18F-3A563C8AA546}"/>
    <cellStyle name="40% - Accent6 5 2 3" xfId="11376" xr:uid="{C28731EC-0958-4E26-B7E2-406E1D8CDFBA}"/>
    <cellStyle name="40% - Accent6 5 3" xfId="5007" xr:uid="{00000000-0005-0000-0000-000071070000}"/>
    <cellStyle name="40% - Accent6 5 3 2" xfId="13449" xr:uid="{15C45675-C4BA-456C-8C8A-45511EF02830}"/>
    <cellStyle name="40% - Accent6 5 4" xfId="9231" xr:uid="{210FEDE7-5E58-476F-9E69-118F18F57B33}"/>
    <cellStyle name="40% - Accent6 6" xfId="1111" xr:uid="{00000000-0005-0000-0000-000072070000}"/>
    <cellStyle name="40% - Accent6 6 2" xfId="3342" xr:uid="{00000000-0005-0000-0000-000073070000}"/>
    <cellStyle name="40% - Accent6 6 2 2" xfId="7565" xr:uid="{00000000-0005-0000-0000-000074070000}"/>
    <cellStyle name="40% - Accent6 6 2 2 2" xfId="16007" xr:uid="{05C75F52-8FBD-4EA6-B7F7-FA9A7E63D381}"/>
    <cellStyle name="40% - Accent6 6 2 3" xfId="11789" xr:uid="{1291B3A6-80C3-4ACA-AF26-E63C1B1ACE67}"/>
    <cellStyle name="40% - Accent6 6 3" xfId="5420" xr:uid="{00000000-0005-0000-0000-000075070000}"/>
    <cellStyle name="40% - Accent6 6 3 2" xfId="13862" xr:uid="{B44CB5F1-734E-4104-825A-26E0E21C8EE2}"/>
    <cellStyle name="40% - Accent6 6 4" xfId="9644" xr:uid="{977E0E9F-1CB8-4994-9015-F8C5D103A164}"/>
    <cellStyle name="40% - Accent6 7" xfId="1525" xr:uid="{00000000-0005-0000-0000-000076070000}"/>
    <cellStyle name="40% - Accent6 7 2" xfId="3755" xr:uid="{00000000-0005-0000-0000-000077070000}"/>
    <cellStyle name="40% - Accent6 7 2 2" xfId="7978" xr:uid="{00000000-0005-0000-0000-000078070000}"/>
    <cellStyle name="40% - Accent6 7 2 2 2" xfId="16420" xr:uid="{BABD61E5-0CA2-4B11-A784-D44797E089A4}"/>
    <cellStyle name="40% - Accent6 7 2 3" xfId="12202" xr:uid="{DB24F9D1-0D76-43DB-9250-EF3AA8294466}"/>
    <cellStyle name="40% - Accent6 7 3" xfId="5833" xr:uid="{00000000-0005-0000-0000-000079070000}"/>
    <cellStyle name="40% - Accent6 7 3 2" xfId="14275" xr:uid="{E5F4D041-BF8E-4B49-B912-086C3261378B}"/>
    <cellStyle name="40% - Accent6 7 4" xfId="10057" xr:uid="{664332E3-2A8E-4F48-84E8-99FC45A43B73}"/>
    <cellStyle name="40% - Accent6 8" xfId="1939" xr:uid="{00000000-0005-0000-0000-00007A070000}"/>
    <cellStyle name="40% - Accent6 8 2" xfId="4168" xr:uid="{00000000-0005-0000-0000-00007B070000}"/>
    <cellStyle name="40% - Accent6 8 2 2" xfId="8391" xr:uid="{00000000-0005-0000-0000-00007C070000}"/>
    <cellStyle name="40% - Accent6 8 2 2 2" xfId="16833" xr:uid="{9A26BD57-8098-41FC-AA72-4517DD2EE49B}"/>
    <cellStyle name="40% - Accent6 8 2 3" xfId="12615" xr:uid="{D13DA2F6-144D-47D3-87A2-6DB0A43E460D}"/>
    <cellStyle name="40% - Accent6 8 3" xfId="6246" xr:uid="{00000000-0005-0000-0000-00007D070000}"/>
    <cellStyle name="40% - Accent6 8 3 2" xfId="14688" xr:uid="{C286E636-FE52-4493-BB10-A3E8574BEC8F}"/>
    <cellStyle name="40% - Accent6 8 4" xfId="10470" xr:uid="{148B1F5F-FF5E-461E-BDC8-0C479E13A8AF}"/>
    <cellStyle name="40% - Accent6 9" xfId="2352" xr:uid="{00000000-0005-0000-0000-00007E070000}"/>
    <cellStyle name="40% - Accent6 9 2" xfId="6659" xr:uid="{00000000-0005-0000-0000-00007F070000}"/>
    <cellStyle name="40% - Accent6 9 2 2" xfId="15101" xr:uid="{CAE39B21-13DE-4A22-836F-C38BE2E0A3E9}"/>
    <cellStyle name="40% - Accent6 9 3" xfId="10883" xr:uid="{93A16638-75B8-4A19-A2C8-8A15D0FE1A27}"/>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0 2 2" xfId="15426" xr:uid="{5FD4D92B-2898-4B25-9141-5F9CC97A8129}"/>
    <cellStyle name="Comma 4 2 2 2 10 3" xfId="11208" xr:uid="{702EA35D-5F05-4512-8856-7E488883A320}"/>
    <cellStyle name="Comma 4 2 2 2 11" xfId="4601" xr:uid="{00000000-0005-0000-0000-0000A3070000}"/>
    <cellStyle name="Comma 4 2 2 2 11 2" xfId="13043" xr:uid="{EE3FC58B-F2E5-4D00-9621-D529876F0A1F}"/>
    <cellStyle name="Comma 4 2 2 2 12" xfId="8825" xr:uid="{44D3466A-C95B-4BEF-AD23-3E5C1C09A223}"/>
    <cellStyle name="Comma 4 2 2 2 2" xfId="129" xr:uid="{00000000-0005-0000-0000-0000A4070000}"/>
    <cellStyle name="Comma 4 2 2 2 2 10" xfId="4602" xr:uid="{00000000-0005-0000-0000-0000A5070000}"/>
    <cellStyle name="Comma 4 2 2 2 2 10 2" xfId="13044" xr:uid="{C555CAEF-F564-419C-A2FB-1307C5F552D5}"/>
    <cellStyle name="Comma 4 2 2 2 2 11" xfId="8826" xr:uid="{4E8E3328-203F-4142-AF06-E98F1ADD4528}"/>
    <cellStyle name="Comma 4 2 2 2 2 2" xfId="130" xr:uid="{00000000-0005-0000-0000-0000A6070000}"/>
    <cellStyle name="Comma 4 2 2 2 2 2 10" xfId="8827" xr:uid="{45B38A30-0807-49E0-BE39-85D343C5420A}"/>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2 2 2" xfId="15604" xr:uid="{928737BE-7AF7-4FBA-87EF-A825AAFDF6A9}"/>
    <cellStyle name="Comma 4 2 2 2 2 2 2 2 3" xfId="11386" xr:uid="{A7D1057C-5B13-480C-9E17-F55402FBAC44}"/>
    <cellStyle name="Comma 4 2 2 2 2 2 2 3" xfId="5017" xr:uid="{00000000-0005-0000-0000-0000AA070000}"/>
    <cellStyle name="Comma 4 2 2 2 2 2 2 3 2" xfId="13459" xr:uid="{FCB01D56-6CE0-4F45-ACD8-A98DD5A2F56C}"/>
    <cellStyle name="Comma 4 2 2 2 2 2 2 4" xfId="9241" xr:uid="{C3A9F1AD-1CEA-4455-8EF3-D30422BE05B8}"/>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2 2 2" xfId="16017" xr:uid="{158D56E5-1CBA-4E33-B7A7-C8034371BC10}"/>
    <cellStyle name="Comma 4 2 2 2 2 2 3 2 3" xfId="11799" xr:uid="{F76A5818-BC15-4CD3-AD68-7069F08EB45A}"/>
    <cellStyle name="Comma 4 2 2 2 2 2 3 3" xfId="5430" xr:uid="{00000000-0005-0000-0000-0000AE070000}"/>
    <cellStyle name="Comma 4 2 2 2 2 2 3 3 2" xfId="13872" xr:uid="{511A7B48-D55C-42AA-BCE6-DFE1BF1737D7}"/>
    <cellStyle name="Comma 4 2 2 2 2 2 3 4" xfId="9654" xr:uid="{2B8EAC47-2429-417B-9810-26812129DA2E}"/>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2 2 2" xfId="16430" xr:uid="{651AA9C8-48D9-4754-A39A-A9531AD6772C}"/>
    <cellStyle name="Comma 4 2 2 2 2 2 4 2 3" xfId="12212" xr:uid="{7B9FA2F6-4058-412E-8364-D14B589A5B3F}"/>
    <cellStyle name="Comma 4 2 2 2 2 2 4 3" xfId="5843" xr:uid="{00000000-0005-0000-0000-0000B2070000}"/>
    <cellStyle name="Comma 4 2 2 2 2 2 4 3 2" xfId="14285" xr:uid="{5D42C860-161D-4203-948A-074D09FF705F}"/>
    <cellStyle name="Comma 4 2 2 2 2 2 4 4" xfId="10067" xr:uid="{3ABAFDEC-F362-4B44-ACC4-87F888EBFF47}"/>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2 2 2" xfId="16843" xr:uid="{50EE0F31-6EDF-44AA-A998-BF497D746584}"/>
    <cellStyle name="Comma 4 2 2 2 2 2 5 2 3" xfId="12625" xr:uid="{BB73C82E-C742-456A-895F-B1E90520CA60}"/>
    <cellStyle name="Comma 4 2 2 2 2 2 5 3" xfId="6256" xr:uid="{00000000-0005-0000-0000-0000B6070000}"/>
    <cellStyle name="Comma 4 2 2 2 2 2 5 3 2" xfId="14698" xr:uid="{39F80AAA-3938-46D8-B1FA-B6E4452F93F6}"/>
    <cellStyle name="Comma 4 2 2 2 2 2 5 4" xfId="10480" xr:uid="{07ADF84E-0B38-46E7-BE1B-C621544AD2FC}"/>
    <cellStyle name="Comma 4 2 2 2 2 2 6" xfId="2384" xr:uid="{00000000-0005-0000-0000-0000B7070000}"/>
    <cellStyle name="Comma 4 2 2 2 2 2 6 2" xfId="6669" xr:uid="{00000000-0005-0000-0000-0000B8070000}"/>
    <cellStyle name="Comma 4 2 2 2 2 2 6 2 2" xfId="15111" xr:uid="{537E90C6-0FC4-47C0-9CEE-8224BC6D0842}"/>
    <cellStyle name="Comma 4 2 2 2 2 2 6 3" xfId="10893" xr:uid="{1921C730-34E4-4C6E-AB39-0141696C2297}"/>
    <cellStyle name="Comma 4 2 2 2 2 2 7" xfId="2379" xr:uid="{00000000-0005-0000-0000-0000B9070000}"/>
    <cellStyle name="Comma 4 2 2 2 2 2 8" xfId="2762" xr:uid="{00000000-0005-0000-0000-0000BA070000}"/>
    <cellStyle name="Comma 4 2 2 2 2 2 8 2" xfId="6986" xr:uid="{00000000-0005-0000-0000-0000BB070000}"/>
    <cellStyle name="Comma 4 2 2 2 2 2 8 2 2" xfId="15428" xr:uid="{95A67CB3-E1E4-489E-81FD-471E1C312C40}"/>
    <cellStyle name="Comma 4 2 2 2 2 2 8 3" xfId="11210" xr:uid="{6D10F2F9-DAB1-4A2B-8C06-0F01346376D8}"/>
    <cellStyle name="Comma 4 2 2 2 2 2 9" xfId="4603" xr:uid="{00000000-0005-0000-0000-0000BC070000}"/>
    <cellStyle name="Comma 4 2 2 2 2 2 9 2" xfId="13045" xr:uid="{93514E3B-6A4D-45F8-8CB2-E6F47EEC8041}"/>
    <cellStyle name="Comma 4 2 2 2 2 3" xfId="667" xr:uid="{00000000-0005-0000-0000-0000BD070000}"/>
    <cellStyle name="Comma 4 2 2 2 2 3 2" xfId="2938" xr:uid="{00000000-0005-0000-0000-0000BE070000}"/>
    <cellStyle name="Comma 4 2 2 2 2 3 2 2" xfId="7161" xr:uid="{00000000-0005-0000-0000-0000BF070000}"/>
    <cellStyle name="Comma 4 2 2 2 2 3 2 2 2" xfId="15603" xr:uid="{5EBB059C-EBFA-42F9-82B0-E2DF35D2C4EE}"/>
    <cellStyle name="Comma 4 2 2 2 2 3 2 3" xfId="11385" xr:uid="{F8B6D956-9F7C-4BE7-AADD-69C0FDB4A9B6}"/>
    <cellStyle name="Comma 4 2 2 2 2 3 3" xfId="5016" xr:uid="{00000000-0005-0000-0000-0000C0070000}"/>
    <cellStyle name="Comma 4 2 2 2 2 3 3 2" xfId="13458" xr:uid="{A7A5994B-3B21-4DCD-A1C3-AE96FA0655DA}"/>
    <cellStyle name="Comma 4 2 2 2 2 3 4" xfId="9240" xr:uid="{0555839E-3105-4608-88B1-89C2D5AF7929}"/>
    <cellStyle name="Comma 4 2 2 2 2 4" xfId="1120" xr:uid="{00000000-0005-0000-0000-0000C1070000}"/>
    <cellStyle name="Comma 4 2 2 2 2 4 2" xfId="3351" xr:uid="{00000000-0005-0000-0000-0000C2070000}"/>
    <cellStyle name="Comma 4 2 2 2 2 4 2 2" xfId="7574" xr:uid="{00000000-0005-0000-0000-0000C3070000}"/>
    <cellStyle name="Comma 4 2 2 2 2 4 2 2 2" xfId="16016" xr:uid="{B253CAFF-2230-4530-BB72-682947953D62}"/>
    <cellStyle name="Comma 4 2 2 2 2 4 2 3" xfId="11798" xr:uid="{9A3A3BC0-D07F-4D01-99A3-14F4F4732306}"/>
    <cellStyle name="Comma 4 2 2 2 2 4 3" xfId="5429" xr:uid="{00000000-0005-0000-0000-0000C4070000}"/>
    <cellStyle name="Comma 4 2 2 2 2 4 3 2" xfId="13871" xr:uid="{EE51B45D-A74A-4551-A163-EB50FA60B845}"/>
    <cellStyle name="Comma 4 2 2 2 2 4 4" xfId="9653" xr:uid="{CB383869-32DA-4D56-8C6F-58E0AA634854}"/>
    <cellStyle name="Comma 4 2 2 2 2 5" xfId="1534" xr:uid="{00000000-0005-0000-0000-0000C5070000}"/>
    <cellStyle name="Comma 4 2 2 2 2 5 2" xfId="3764" xr:uid="{00000000-0005-0000-0000-0000C6070000}"/>
    <cellStyle name="Comma 4 2 2 2 2 5 2 2" xfId="7987" xr:uid="{00000000-0005-0000-0000-0000C7070000}"/>
    <cellStyle name="Comma 4 2 2 2 2 5 2 2 2" xfId="16429" xr:uid="{7CC86319-58E6-45FB-8BFF-ED0C209149E7}"/>
    <cellStyle name="Comma 4 2 2 2 2 5 2 3" xfId="12211" xr:uid="{62F65DA9-1A8D-40C6-8C99-83C34B74ABF7}"/>
    <cellStyle name="Comma 4 2 2 2 2 5 3" xfId="5842" xr:uid="{00000000-0005-0000-0000-0000C8070000}"/>
    <cellStyle name="Comma 4 2 2 2 2 5 3 2" xfId="14284" xr:uid="{3C363759-5ACE-44D4-8653-A75C158B9B37}"/>
    <cellStyle name="Comma 4 2 2 2 2 5 4" xfId="10066" xr:uid="{8361973F-B5C4-46B9-AC40-0730F75FCC7B}"/>
    <cellStyle name="Comma 4 2 2 2 2 6" xfId="1948" xr:uid="{00000000-0005-0000-0000-0000C9070000}"/>
    <cellStyle name="Comma 4 2 2 2 2 6 2" xfId="4177" xr:uid="{00000000-0005-0000-0000-0000CA070000}"/>
    <cellStyle name="Comma 4 2 2 2 2 6 2 2" xfId="8400" xr:uid="{00000000-0005-0000-0000-0000CB070000}"/>
    <cellStyle name="Comma 4 2 2 2 2 6 2 2 2" xfId="16842" xr:uid="{6D0A3E38-B085-4436-B02C-046E14B179B4}"/>
    <cellStyle name="Comma 4 2 2 2 2 6 2 3" xfId="12624" xr:uid="{8D726358-6496-45C5-B677-1422B07BB783}"/>
    <cellStyle name="Comma 4 2 2 2 2 6 3" xfId="6255" xr:uid="{00000000-0005-0000-0000-0000CC070000}"/>
    <cellStyle name="Comma 4 2 2 2 2 6 3 2" xfId="14697" xr:uid="{65B45B43-9660-4CB1-8867-D12C327BCC71}"/>
    <cellStyle name="Comma 4 2 2 2 2 6 4" xfId="10479" xr:uid="{BAF4F634-10ED-44EC-B0D3-7855D19058F1}"/>
    <cellStyle name="Comma 4 2 2 2 2 7" xfId="2383" xr:uid="{00000000-0005-0000-0000-0000CD070000}"/>
    <cellStyle name="Comma 4 2 2 2 2 7 2" xfId="6668" xr:uid="{00000000-0005-0000-0000-0000CE070000}"/>
    <cellStyle name="Comma 4 2 2 2 2 7 2 2" xfId="15110" xr:uid="{219C87DF-C848-410B-A39A-1E8B0ED5CD21}"/>
    <cellStyle name="Comma 4 2 2 2 2 7 3" xfId="10892" xr:uid="{A59D01D7-48A0-4AC1-956F-857C83817CA8}"/>
    <cellStyle name="Comma 4 2 2 2 2 8" xfId="2380" xr:uid="{00000000-0005-0000-0000-0000CF070000}"/>
    <cellStyle name="Comma 4 2 2 2 2 9" xfId="2761" xr:uid="{00000000-0005-0000-0000-0000D0070000}"/>
    <cellStyle name="Comma 4 2 2 2 2 9 2" xfId="6985" xr:uid="{00000000-0005-0000-0000-0000D1070000}"/>
    <cellStyle name="Comma 4 2 2 2 2 9 2 2" xfId="15427" xr:uid="{1BBE3CD5-0C4D-4C1A-A2F9-3AC1051A44D7}"/>
    <cellStyle name="Comma 4 2 2 2 2 9 3" xfId="11209" xr:uid="{DBCCC12C-7DAB-45C6-940A-3411C2E16D26}"/>
    <cellStyle name="Comma 4 2 2 2 3" xfId="131" xr:uid="{00000000-0005-0000-0000-0000D2070000}"/>
    <cellStyle name="Comma 4 2 2 2 3 10" xfId="8828" xr:uid="{294043FC-686D-4541-87F4-2A33D54C2F0C}"/>
    <cellStyle name="Comma 4 2 2 2 3 2" xfId="669" xr:uid="{00000000-0005-0000-0000-0000D3070000}"/>
    <cellStyle name="Comma 4 2 2 2 3 2 2" xfId="2940" xr:uid="{00000000-0005-0000-0000-0000D4070000}"/>
    <cellStyle name="Comma 4 2 2 2 3 2 2 2" xfId="7163" xr:uid="{00000000-0005-0000-0000-0000D5070000}"/>
    <cellStyle name="Comma 4 2 2 2 3 2 2 2 2" xfId="15605" xr:uid="{E42E1E57-B349-4E52-9347-80E0018923F1}"/>
    <cellStyle name="Comma 4 2 2 2 3 2 2 3" xfId="11387" xr:uid="{279A6C2D-684C-43DB-BCD3-7304001B22ED}"/>
    <cellStyle name="Comma 4 2 2 2 3 2 3" xfId="5018" xr:uid="{00000000-0005-0000-0000-0000D6070000}"/>
    <cellStyle name="Comma 4 2 2 2 3 2 3 2" xfId="13460" xr:uid="{C25239AE-53BC-4B47-94AD-4F5B70676A76}"/>
    <cellStyle name="Comma 4 2 2 2 3 2 4" xfId="9242" xr:uid="{DD99B847-7197-483A-9F66-8FDFC6B40124}"/>
    <cellStyle name="Comma 4 2 2 2 3 3" xfId="1122" xr:uid="{00000000-0005-0000-0000-0000D7070000}"/>
    <cellStyle name="Comma 4 2 2 2 3 3 2" xfId="3353" xr:uid="{00000000-0005-0000-0000-0000D8070000}"/>
    <cellStyle name="Comma 4 2 2 2 3 3 2 2" xfId="7576" xr:uid="{00000000-0005-0000-0000-0000D9070000}"/>
    <cellStyle name="Comma 4 2 2 2 3 3 2 2 2" xfId="16018" xr:uid="{54BA2887-7929-420D-A00F-1EA4AF8495BE}"/>
    <cellStyle name="Comma 4 2 2 2 3 3 2 3" xfId="11800" xr:uid="{23EC00A1-5DD1-41F8-B1D0-2BBCB83ED624}"/>
    <cellStyle name="Comma 4 2 2 2 3 3 3" xfId="5431" xr:uid="{00000000-0005-0000-0000-0000DA070000}"/>
    <cellStyle name="Comma 4 2 2 2 3 3 3 2" xfId="13873" xr:uid="{79D65BB0-C47A-4F4A-8102-A206484D8928}"/>
    <cellStyle name="Comma 4 2 2 2 3 3 4" xfId="9655" xr:uid="{DD247F0C-633E-4894-8CFC-087A5CB71421}"/>
    <cellStyle name="Comma 4 2 2 2 3 4" xfId="1536" xr:uid="{00000000-0005-0000-0000-0000DB070000}"/>
    <cellStyle name="Comma 4 2 2 2 3 4 2" xfId="3766" xr:uid="{00000000-0005-0000-0000-0000DC070000}"/>
    <cellStyle name="Comma 4 2 2 2 3 4 2 2" xfId="7989" xr:uid="{00000000-0005-0000-0000-0000DD070000}"/>
    <cellStyle name="Comma 4 2 2 2 3 4 2 2 2" xfId="16431" xr:uid="{BE7FA203-FE30-4665-A279-EC1667BAC458}"/>
    <cellStyle name="Comma 4 2 2 2 3 4 2 3" xfId="12213" xr:uid="{A19B178A-F605-4CD2-86E2-A94E32D7E3B3}"/>
    <cellStyle name="Comma 4 2 2 2 3 4 3" xfId="5844" xr:uid="{00000000-0005-0000-0000-0000DE070000}"/>
    <cellStyle name="Comma 4 2 2 2 3 4 3 2" xfId="14286" xr:uid="{172A59CE-E7FD-400B-A69E-7813357B8A53}"/>
    <cellStyle name="Comma 4 2 2 2 3 4 4" xfId="10068" xr:uid="{826A3793-7655-4ED3-8129-7F8DF327EE44}"/>
    <cellStyle name="Comma 4 2 2 2 3 5" xfId="1950" xr:uid="{00000000-0005-0000-0000-0000DF070000}"/>
    <cellStyle name="Comma 4 2 2 2 3 5 2" xfId="4179" xr:uid="{00000000-0005-0000-0000-0000E0070000}"/>
    <cellStyle name="Comma 4 2 2 2 3 5 2 2" xfId="8402" xr:uid="{00000000-0005-0000-0000-0000E1070000}"/>
    <cellStyle name="Comma 4 2 2 2 3 5 2 2 2" xfId="16844" xr:uid="{69779ECA-8F9A-4427-A727-48CB5512B8DD}"/>
    <cellStyle name="Comma 4 2 2 2 3 5 2 3" xfId="12626" xr:uid="{610C51D3-9924-480E-95DC-F7AD41E7C422}"/>
    <cellStyle name="Comma 4 2 2 2 3 5 3" xfId="6257" xr:uid="{00000000-0005-0000-0000-0000E2070000}"/>
    <cellStyle name="Comma 4 2 2 2 3 5 3 2" xfId="14699" xr:uid="{89A86AC5-1121-4B0B-AC9A-C50F4B6242B2}"/>
    <cellStyle name="Comma 4 2 2 2 3 5 4" xfId="10481" xr:uid="{EC5D643C-4101-4BDB-98F0-4DF870C2780F}"/>
    <cellStyle name="Comma 4 2 2 2 3 6" xfId="2385" xr:uid="{00000000-0005-0000-0000-0000E3070000}"/>
    <cellStyle name="Comma 4 2 2 2 3 6 2" xfId="6670" xr:uid="{00000000-0005-0000-0000-0000E4070000}"/>
    <cellStyle name="Comma 4 2 2 2 3 6 2 2" xfId="15112" xr:uid="{9C50D2B5-B843-45A1-A449-29E1BD115192}"/>
    <cellStyle name="Comma 4 2 2 2 3 6 3" xfId="10894" xr:uid="{691F3129-699D-4C3F-85BA-6FEEFA53A374}"/>
    <cellStyle name="Comma 4 2 2 2 3 7" xfId="2378" xr:uid="{00000000-0005-0000-0000-0000E5070000}"/>
    <cellStyle name="Comma 4 2 2 2 3 8" xfId="2763" xr:uid="{00000000-0005-0000-0000-0000E6070000}"/>
    <cellStyle name="Comma 4 2 2 2 3 8 2" xfId="6987" xr:uid="{00000000-0005-0000-0000-0000E7070000}"/>
    <cellStyle name="Comma 4 2 2 2 3 8 2 2" xfId="15429" xr:uid="{F2030543-395B-4049-8294-1BC423BD29F9}"/>
    <cellStyle name="Comma 4 2 2 2 3 8 3" xfId="11211" xr:uid="{0C783426-4AF9-4997-AAC5-3F2BDEA9C0ED}"/>
    <cellStyle name="Comma 4 2 2 2 3 9" xfId="4604" xr:uid="{00000000-0005-0000-0000-0000E8070000}"/>
    <cellStyle name="Comma 4 2 2 2 3 9 2" xfId="13046" xr:uid="{B9410D77-E7FB-4F93-9626-596B713F7FB4}"/>
    <cellStyle name="Comma 4 2 2 2 4" xfId="666" xr:uid="{00000000-0005-0000-0000-0000E9070000}"/>
    <cellStyle name="Comma 4 2 2 2 4 2" xfId="2937" xr:uid="{00000000-0005-0000-0000-0000EA070000}"/>
    <cellStyle name="Comma 4 2 2 2 4 2 2" xfId="7160" xr:uid="{00000000-0005-0000-0000-0000EB070000}"/>
    <cellStyle name="Comma 4 2 2 2 4 2 2 2" xfId="15602" xr:uid="{52447834-A957-4149-BFC5-0B72508332C0}"/>
    <cellStyle name="Comma 4 2 2 2 4 2 3" xfId="11384" xr:uid="{C52B9C10-D63F-42C0-A527-B0F6A8E0F76E}"/>
    <cellStyle name="Comma 4 2 2 2 4 3" xfId="5015" xr:uid="{00000000-0005-0000-0000-0000EC070000}"/>
    <cellStyle name="Comma 4 2 2 2 4 3 2" xfId="13457" xr:uid="{ACB1EB6B-C79D-4A42-91EA-315B04C0A0E9}"/>
    <cellStyle name="Comma 4 2 2 2 4 4" xfId="9239" xr:uid="{831A349A-D604-442F-A10D-EC7F0DBF91CD}"/>
    <cellStyle name="Comma 4 2 2 2 5" xfId="1119" xr:uid="{00000000-0005-0000-0000-0000ED070000}"/>
    <cellStyle name="Comma 4 2 2 2 5 2" xfId="3350" xr:uid="{00000000-0005-0000-0000-0000EE070000}"/>
    <cellStyle name="Comma 4 2 2 2 5 2 2" xfId="7573" xr:uid="{00000000-0005-0000-0000-0000EF070000}"/>
    <cellStyle name="Comma 4 2 2 2 5 2 2 2" xfId="16015" xr:uid="{2D79914D-28A2-43CB-B106-A8615FDC1D6C}"/>
    <cellStyle name="Comma 4 2 2 2 5 2 3" xfId="11797" xr:uid="{705FB269-8C08-4EC9-A1BC-167D46BC56AE}"/>
    <cellStyle name="Comma 4 2 2 2 5 3" xfId="5428" xr:uid="{00000000-0005-0000-0000-0000F0070000}"/>
    <cellStyle name="Comma 4 2 2 2 5 3 2" xfId="13870" xr:uid="{0AC68152-738A-486F-9F91-D12A2ADEC344}"/>
    <cellStyle name="Comma 4 2 2 2 5 4" xfId="9652" xr:uid="{FFC8300C-10E5-49C4-987A-EBE79799C89E}"/>
    <cellStyle name="Comma 4 2 2 2 6" xfId="1533" xr:uid="{00000000-0005-0000-0000-0000F1070000}"/>
    <cellStyle name="Comma 4 2 2 2 6 2" xfId="3763" xr:uid="{00000000-0005-0000-0000-0000F2070000}"/>
    <cellStyle name="Comma 4 2 2 2 6 2 2" xfId="7986" xr:uid="{00000000-0005-0000-0000-0000F3070000}"/>
    <cellStyle name="Comma 4 2 2 2 6 2 2 2" xfId="16428" xr:uid="{B6C170EA-63E3-48E4-BC5E-38EE2046A38A}"/>
    <cellStyle name="Comma 4 2 2 2 6 2 3" xfId="12210" xr:uid="{65678A84-B174-4D33-9E60-C69C86454A23}"/>
    <cellStyle name="Comma 4 2 2 2 6 3" xfId="5841" xr:uid="{00000000-0005-0000-0000-0000F4070000}"/>
    <cellStyle name="Comma 4 2 2 2 6 3 2" xfId="14283" xr:uid="{BCE036DF-8E82-4581-AFEC-B2BC2E0FB1A2}"/>
    <cellStyle name="Comma 4 2 2 2 6 4" xfId="10065" xr:uid="{BE6EECBF-A24C-4D83-8710-1823FF76A616}"/>
    <cellStyle name="Comma 4 2 2 2 7" xfId="1947" xr:uid="{00000000-0005-0000-0000-0000F5070000}"/>
    <cellStyle name="Comma 4 2 2 2 7 2" xfId="4176" xr:uid="{00000000-0005-0000-0000-0000F6070000}"/>
    <cellStyle name="Comma 4 2 2 2 7 2 2" xfId="8399" xr:uid="{00000000-0005-0000-0000-0000F7070000}"/>
    <cellStyle name="Comma 4 2 2 2 7 2 2 2" xfId="16841" xr:uid="{B4C57501-B733-447D-AA70-115C1492C2BA}"/>
    <cellStyle name="Comma 4 2 2 2 7 2 3" xfId="12623" xr:uid="{A7C4B533-87A6-4496-BC30-06A420BE054B}"/>
    <cellStyle name="Comma 4 2 2 2 7 3" xfId="6254" xr:uid="{00000000-0005-0000-0000-0000F8070000}"/>
    <cellStyle name="Comma 4 2 2 2 7 3 2" xfId="14696" xr:uid="{540F0A95-41BD-4A83-9CB3-F11514CC29C8}"/>
    <cellStyle name="Comma 4 2 2 2 7 4" xfId="10478" xr:uid="{C1639FFA-244B-45FB-A1A8-C9C0E431F876}"/>
    <cellStyle name="Comma 4 2 2 2 8" xfId="2382" xr:uid="{00000000-0005-0000-0000-0000F9070000}"/>
    <cellStyle name="Comma 4 2 2 2 8 2" xfId="6667" xr:uid="{00000000-0005-0000-0000-0000FA070000}"/>
    <cellStyle name="Comma 4 2 2 2 8 2 2" xfId="15109" xr:uid="{17DA7373-3FB0-49C6-BBAB-E4ADD1A19E30}"/>
    <cellStyle name="Comma 4 2 2 2 8 3" xfId="10891" xr:uid="{5B90142C-2B45-4C34-A0BB-6CA5DF99405E}"/>
    <cellStyle name="Comma 4 2 2 2 9" xfId="2381" xr:uid="{00000000-0005-0000-0000-0000FB070000}"/>
    <cellStyle name="Comma 4 2 2 3" xfId="132" xr:uid="{00000000-0005-0000-0000-0000FC070000}"/>
    <cellStyle name="Comma 4 2 2 3 10" xfId="4605" xr:uid="{00000000-0005-0000-0000-0000FD070000}"/>
    <cellStyle name="Comma 4 2 2 3 10 2" xfId="13047" xr:uid="{5377DEFB-4652-4741-A7D7-FF1984DD0A9D}"/>
    <cellStyle name="Comma 4 2 2 3 11" xfId="8829" xr:uid="{073ED7C7-AD64-4782-BC77-F0995BA9243F}"/>
    <cellStyle name="Comma 4 2 2 3 2" xfId="133" xr:uid="{00000000-0005-0000-0000-0000FE070000}"/>
    <cellStyle name="Comma 4 2 2 3 2 10" xfId="8830" xr:uid="{116BE220-A741-4457-9983-0DA1C2C3F9FC}"/>
    <cellStyle name="Comma 4 2 2 3 2 2" xfId="671" xr:uid="{00000000-0005-0000-0000-0000FF070000}"/>
    <cellStyle name="Comma 4 2 2 3 2 2 2" xfId="2942" xr:uid="{00000000-0005-0000-0000-000000080000}"/>
    <cellStyle name="Comma 4 2 2 3 2 2 2 2" xfId="7165" xr:uid="{00000000-0005-0000-0000-000001080000}"/>
    <cellStyle name="Comma 4 2 2 3 2 2 2 2 2" xfId="15607" xr:uid="{970A248C-FE9F-4133-8BAD-CF702DF0D739}"/>
    <cellStyle name="Comma 4 2 2 3 2 2 2 3" xfId="11389" xr:uid="{E775B947-2EE0-40D1-BCFE-A5D7C5179DBB}"/>
    <cellStyle name="Comma 4 2 2 3 2 2 3" xfId="5020" xr:uid="{00000000-0005-0000-0000-000002080000}"/>
    <cellStyle name="Comma 4 2 2 3 2 2 3 2" xfId="13462" xr:uid="{F399D9E3-6B57-4809-84DF-338E93C59A4C}"/>
    <cellStyle name="Comma 4 2 2 3 2 2 4" xfId="9244" xr:uid="{74013785-15C7-4146-B370-695FE167DCBA}"/>
    <cellStyle name="Comma 4 2 2 3 2 3" xfId="1124" xr:uid="{00000000-0005-0000-0000-000003080000}"/>
    <cellStyle name="Comma 4 2 2 3 2 3 2" xfId="3355" xr:uid="{00000000-0005-0000-0000-000004080000}"/>
    <cellStyle name="Comma 4 2 2 3 2 3 2 2" xfId="7578" xr:uid="{00000000-0005-0000-0000-000005080000}"/>
    <cellStyle name="Comma 4 2 2 3 2 3 2 2 2" xfId="16020" xr:uid="{52F473F5-8750-4527-9D77-00DFDFE2A7D0}"/>
    <cellStyle name="Comma 4 2 2 3 2 3 2 3" xfId="11802" xr:uid="{7721A0FE-4EC4-4A82-9811-4DF0B4683BF9}"/>
    <cellStyle name="Comma 4 2 2 3 2 3 3" xfId="5433" xr:uid="{00000000-0005-0000-0000-000006080000}"/>
    <cellStyle name="Comma 4 2 2 3 2 3 3 2" xfId="13875" xr:uid="{DA151354-8E4C-4C6E-A60F-E44A1B7E7E20}"/>
    <cellStyle name="Comma 4 2 2 3 2 3 4" xfId="9657" xr:uid="{13193160-5BD8-4AD1-83D1-0B33468FA5AD}"/>
    <cellStyle name="Comma 4 2 2 3 2 4" xfId="1538" xr:uid="{00000000-0005-0000-0000-000007080000}"/>
    <cellStyle name="Comma 4 2 2 3 2 4 2" xfId="3768" xr:uid="{00000000-0005-0000-0000-000008080000}"/>
    <cellStyle name="Comma 4 2 2 3 2 4 2 2" xfId="7991" xr:uid="{00000000-0005-0000-0000-000009080000}"/>
    <cellStyle name="Comma 4 2 2 3 2 4 2 2 2" xfId="16433" xr:uid="{A39D1C59-BAAE-46CA-BBBB-D759E777BCF0}"/>
    <cellStyle name="Comma 4 2 2 3 2 4 2 3" xfId="12215" xr:uid="{8E833788-F84E-4CF8-8288-2ABA383B4C0C}"/>
    <cellStyle name="Comma 4 2 2 3 2 4 3" xfId="5846" xr:uid="{00000000-0005-0000-0000-00000A080000}"/>
    <cellStyle name="Comma 4 2 2 3 2 4 3 2" xfId="14288" xr:uid="{CD085A41-45E2-4F56-93EC-1C881D0AA786}"/>
    <cellStyle name="Comma 4 2 2 3 2 4 4" xfId="10070" xr:uid="{EEE06BAB-485E-44C0-9CDF-AFE4D7F35C3D}"/>
    <cellStyle name="Comma 4 2 2 3 2 5" xfId="1952" xr:uid="{00000000-0005-0000-0000-00000B080000}"/>
    <cellStyle name="Comma 4 2 2 3 2 5 2" xfId="4181" xr:uid="{00000000-0005-0000-0000-00000C080000}"/>
    <cellStyle name="Comma 4 2 2 3 2 5 2 2" xfId="8404" xr:uid="{00000000-0005-0000-0000-00000D080000}"/>
    <cellStyle name="Comma 4 2 2 3 2 5 2 2 2" xfId="16846" xr:uid="{7CF6652A-1E12-4DA8-A879-73622B94967C}"/>
    <cellStyle name="Comma 4 2 2 3 2 5 2 3" xfId="12628" xr:uid="{127D1C6A-16B2-4126-B7C4-163BA695C04B}"/>
    <cellStyle name="Comma 4 2 2 3 2 5 3" xfId="6259" xr:uid="{00000000-0005-0000-0000-00000E080000}"/>
    <cellStyle name="Comma 4 2 2 3 2 5 3 2" xfId="14701" xr:uid="{475E335F-3500-4770-8992-C6B37879A713}"/>
    <cellStyle name="Comma 4 2 2 3 2 5 4" xfId="10483" xr:uid="{BEF5495D-28DF-4EA8-B3AD-C1D7944FD272}"/>
    <cellStyle name="Comma 4 2 2 3 2 6" xfId="2387" xr:uid="{00000000-0005-0000-0000-00000F080000}"/>
    <cellStyle name="Comma 4 2 2 3 2 6 2" xfId="6672" xr:uid="{00000000-0005-0000-0000-000010080000}"/>
    <cellStyle name="Comma 4 2 2 3 2 6 2 2" xfId="15114" xr:uid="{E5AA0D2C-B2EB-4600-B5C5-AEEF0D829DC6}"/>
    <cellStyle name="Comma 4 2 2 3 2 6 3" xfId="10896" xr:uid="{622F5A4E-795C-4E16-A3A5-5F2918B3012F}"/>
    <cellStyle name="Comma 4 2 2 3 2 7" xfId="2376" xr:uid="{00000000-0005-0000-0000-000011080000}"/>
    <cellStyle name="Comma 4 2 2 3 2 8" xfId="2765" xr:uid="{00000000-0005-0000-0000-000012080000}"/>
    <cellStyle name="Comma 4 2 2 3 2 8 2" xfId="6989" xr:uid="{00000000-0005-0000-0000-000013080000}"/>
    <cellStyle name="Comma 4 2 2 3 2 8 2 2" xfId="15431" xr:uid="{80F948C1-9393-483E-9A5B-72FDD231058A}"/>
    <cellStyle name="Comma 4 2 2 3 2 8 3" xfId="11213" xr:uid="{25C47CEF-4471-4028-AB47-831D68ABBEA1}"/>
    <cellStyle name="Comma 4 2 2 3 2 9" xfId="4606" xr:uid="{00000000-0005-0000-0000-000014080000}"/>
    <cellStyle name="Comma 4 2 2 3 2 9 2" xfId="13048" xr:uid="{512BF1CF-3ECC-42E7-BE2D-5FA0AEB316BB}"/>
    <cellStyle name="Comma 4 2 2 3 3" xfId="670" xr:uid="{00000000-0005-0000-0000-000015080000}"/>
    <cellStyle name="Comma 4 2 2 3 3 2" xfId="2941" xr:uid="{00000000-0005-0000-0000-000016080000}"/>
    <cellStyle name="Comma 4 2 2 3 3 2 2" xfId="7164" xr:uid="{00000000-0005-0000-0000-000017080000}"/>
    <cellStyle name="Comma 4 2 2 3 3 2 2 2" xfId="15606" xr:uid="{F907B437-5BAB-4BD3-B7BA-D418AEEFE867}"/>
    <cellStyle name="Comma 4 2 2 3 3 2 3" xfId="11388" xr:uid="{D5407FD1-9923-484D-9C2A-418743E9F172}"/>
    <cellStyle name="Comma 4 2 2 3 3 3" xfId="5019" xr:uid="{00000000-0005-0000-0000-000018080000}"/>
    <cellStyle name="Comma 4 2 2 3 3 3 2" xfId="13461" xr:uid="{7CD7A2DE-DF4E-4CF2-BE58-35A2918F79FB}"/>
    <cellStyle name="Comma 4 2 2 3 3 4" xfId="9243" xr:uid="{BC551941-4B72-4644-B559-EE76E95E5231}"/>
    <cellStyle name="Comma 4 2 2 3 4" xfId="1123" xr:uid="{00000000-0005-0000-0000-000019080000}"/>
    <cellStyle name="Comma 4 2 2 3 4 2" xfId="3354" xr:uid="{00000000-0005-0000-0000-00001A080000}"/>
    <cellStyle name="Comma 4 2 2 3 4 2 2" xfId="7577" xr:uid="{00000000-0005-0000-0000-00001B080000}"/>
    <cellStyle name="Comma 4 2 2 3 4 2 2 2" xfId="16019" xr:uid="{756EAD2A-47CA-43FF-9B26-1DA6522F131C}"/>
    <cellStyle name="Comma 4 2 2 3 4 2 3" xfId="11801" xr:uid="{28B4D437-FECB-4B50-963B-A31B5C99A78F}"/>
    <cellStyle name="Comma 4 2 2 3 4 3" xfId="5432" xr:uid="{00000000-0005-0000-0000-00001C080000}"/>
    <cellStyle name="Comma 4 2 2 3 4 3 2" xfId="13874" xr:uid="{A0188BC6-57E6-43C4-AB3D-94FA4FA1371B}"/>
    <cellStyle name="Comma 4 2 2 3 4 4" xfId="9656" xr:uid="{5A1FBFD0-9380-43FB-B560-5DA00154272F}"/>
    <cellStyle name="Comma 4 2 2 3 5" xfId="1537" xr:uid="{00000000-0005-0000-0000-00001D080000}"/>
    <cellStyle name="Comma 4 2 2 3 5 2" xfId="3767" xr:uid="{00000000-0005-0000-0000-00001E080000}"/>
    <cellStyle name="Comma 4 2 2 3 5 2 2" xfId="7990" xr:uid="{00000000-0005-0000-0000-00001F080000}"/>
    <cellStyle name="Comma 4 2 2 3 5 2 2 2" xfId="16432" xr:uid="{20D1490E-5505-4FE5-8E1B-6B937CAE9F81}"/>
    <cellStyle name="Comma 4 2 2 3 5 2 3" xfId="12214" xr:uid="{32C0D63F-4868-47DB-83AE-C53611D666E4}"/>
    <cellStyle name="Comma 4 2 2 3 5 3" xfId="5845" xr:uid="{00000000-0005-0000-0000-000020080000}"/>
    <cellStyle name="Comma 4 2 2 3 5 3 2" xfId="14287" xr:uid="{16008268-9062-48FA-BAD7-88715A53618C}"/>
    <cellStyle name="Comma 4 2 2 3 5 4" xfId="10069" xr:uid="{B4D4AFC4-8D77-474D-9D8A-285959372A81}"/>
    <cellStyle name="Comma 4 2 2 3 6" xfId="1951" xr:uid="{00000000-0005-0000-0000-000021080000}"/>
    <cellStyle name="Comma 4 2 2 3 6 2" xfId="4180" xr:uid="{00000000-0005-0000-0000-000022080000}"/>
    <cellStyle name="Comma 4 2 2 3 6 2 2" xfId="8403" xr:uid="{00000000-0005-0000-0000-000023080000}"/>
    <cellStyle name="Comma 4 2 2 3 6 2 2 2" xfId="16845" xr:uid="{FF12F960-5E14-44CE-9CB7-19230B0B91C7}"/>
    <cellStyle name="Comma 4 2 2 3 6 2 3" xfId="12627" xr:uid="{75BD6D81-C9D0-414D-850B-0FD9D8B7FADC}"/>
    <cellStyle name="Comma 4 2 2 3 6 3" xfId="6258" xr:uid="{00000000-0005-0000-0000-000024080000}"/>
    <cellStyle name="Comma 4 2 2 3 6 3 2" xfId="14700" xr:uid="{AE32810E-F329-47A7-8BF9-72DF6DBA2CC3}"/>
    <cellStyle name="Comma 4 2 2 3 6 4" xfId="10482" xr:uid="{6535E2CA-A934-45D5-9812-53702588BF8C}"/>
    <cellStyle name="Comma 4 2 2 3 7" xfId="2386" xr:uid="{00000000-0005-0000-0000-000025080000}"/>
    <cellStyle name="Comma 4 2 2 3 7 2" xfId="6671" xr:uid="{00000000-0005-0000-0000-000026080000}"/>
    <cellStyle name="Comma 4 2 2 3 7 2 2" xfId="15113" xr:uid="{D5A98CFE-369E-4DAD-AD4D-41E31CF5C5D0}"/>
    <cellStyle name="Comma 4 2 2 3 7 3" xfId="10895" xr:uid="{E3403B6A-7900-4C42-9C15-33B0E31DA4EE}"/>
    <cellStyle name="Comma 4 2 2 3 8" xfId="2377" xr:uid="{00000000-0005-0000-0000-000027080000}"/>
    <cellStyle name="Comma 4 2 2 3 9" xfId="2764" xr:uid="{00000000-0005-0000-0000-000028080000}"/>
    <cellStyle name="Comma 4 2 2 3 9 2" xfId="6988" xr:uid="{00000000-0005-0000-0000-000029080000}"/>
    <cellStyle name="Comma 4 2 2 3 9 2 2" xfId="15430" xr:uid="{2CCD33C6-E57D-4770-9E31-CB45004AFEAF}"/>
    <cellStyle name="Comma 4 2 2 3 9 3" xfId="11212" xr:uid="{AC78AF99-ABBF-4E5B-943E-BE4F3EE0FB68}"/>
    <cellStyle name="Comma 4 2 2 4" xfId="134" xr:uid="{00000000-0005-0000-0000-00002A080000}"/>
    <cellStyle name="Comma 4 2 2 4 10" xfId="8831" xr:uid="{C29309DB-A4E3-4AA6-B820-56646417AB69}"/>
    <cellStyle name="Comma 4 2 2 4 2" xfId="672" xr:uid="{00000000-0005-0000-0000-00002B080000}"/>
    <cellStyle name="Comma 4 2 2 4 2 2" xfId="2943" xr:uid="{00000000-0005-0000-0000-00002C080000}"/>
    <cellStyle name="Comma 4 2 2 4 2 2 2" xfId="7166" xr:uid="{00000000-0005-0000-0000-00002D080000}"/>
    <cellStyle name="Comma 4 2 2 4 2 2 2 2" xfId="15608" xr:uid="{C6918035-4030-497D-9073-FAC2C726B76F}"/>
    <cellStyle name="Comma 4 2 2 4 2 2 3" xfId="11390" xr:uid="{442487C7-3049-45D9-A2E3-A05155AB8E62}"/>
    <cellStyle name="Comma 4 2 2 4 2 3" xfId="5021" xr:uid="{00000000-0005-0000-0000-00002E080000}"/>
    <cellStyle name="Comma 4 2 2 4 2 3 2" xfId="13463" xr:uid="{24BF756C-3A77-4393-8526-2C02B1CB8D65}"/>
    <cellStyle name="Comma 4 2 2 4 2 4" xfId="9245" xr:uid="{76AE04AE-64BE-41DC-8854-FAB3287525B9}"/>
    <cellStyle name="Comma 4 2 2 4 3" xfId="1125" xr:uid="{00000000-0005-0000-0000-00002F080000}"/>
    <cellStyle name="Comma 4 2 2 4 3 2" xfId="3356" xr:uid="{00000000-0005-0000-0000-000030080000}"/>
    <cellStyle name="Comma 4 2 2 4 3 2 2" xfId="7579" xr:uid="{00000000-0005-0000-0000-000031080000}"/>
    <cellStyle name="Comma 4 2 2 4 3 2 2 2" xfId="16021" xr:uid="{E58A4D44-88B2-479E-AA4B-3FAD703F9D59}"/>
    <cellStyle name="Comma 4 2 2 4 3 2 3" xfId="11803" xr:uid="{A3707F91-3718-436C-A96F-E90476C23031}"/>
    <cellStyle name="Comma 4 2 2 4 3 3" xfId="5434" xr:uid="{00000000-0005-0000-0000-000032080000}"/>
    <cellStyle name="Comma 4 2 2 4 3 3 2" xfId="13876" xr:uid="{D29F9A52-0062-4AFD-BDC1-7CCAE655964C}"/>
    <cellStyle name="Comma 4 2 2 4 3 4" xfId="9658" xr:uid="{3FDFC727-38E9-4915-83CF-6A7AB913DC5B}"/>
    <cellStyle name="Comma 4 2 2 4 4" xfId="1539" xr:uid="{00000000-0005-0000-0000-000033080000}"/>
    <cellStyle name="Comma 4 2 2 4 4 2" xfId="3769" xr:uid="{00000000-0005-0000-0000-000034080000}"/>
    <cellStyle name="Comma 4 2 2 4 4 2 2" xfId="7992" xr:uid="{00000000-0005-0000-0000-000035080000}"/>
    <cellStyle name="Comma 4 2 2 4 4 2 2 2" xfId="16434" xr:uid="{8EDC2E6A-A8DD-421F-B21E-B40812FA6C34}"/>
    <cellStyle name="Comma 4 2 2 4 4 2 3" xfId="12216" xr:uid="{3FBEE8A5-7F1E-4365-97F3-647000B9F9AA}"/>
    <cellStyle name="Comma 4 2 2 4 4 3" xfId="5847" xr:uid="{00000000-0005-0000-0000-000036080000}"/>
    <cellStyle name="Comma 4 2 2 4 4 3 2" xfId="14289" xr:uid="{C87E9BF1-3911-4006-A693-AD1041ACD5FC}"/>
    <cellStyle name="Comma 4 2 2 4 4 4" xfId="10071" xr:uid="{4A910EA6-310C-446D-AFB1-CEA59311FBF2}"/>
    <cellStyle name="Comma 4 2 2 4 5" xfId="1953" xr:uid="{00000000-0005-0000-0000-000037080000}"/>
    <cellStyle name="Comma 4 2 2 4 5 2" xfId="4182" xr:uid="{00000000-0005-0000-0000-000038080000}"/>
    <cellStyle name="Comma 4 2 2 4 5 2 2" xfId="8405" xr:uid="{00000000-0005-0000-0000-000039080000}"/>
    <cellStyle name="Comma 4 2 2 4 5 2 2 2" xfId="16847" xr:uid="{65B8C5C5-48FD-43CD-A427-33CC3E20CF95}"/>
    <cellStyle name="Comma 4 2 2 4 5 2 3" xfId="12629" xr:uid="{2C5CA2BE-89B2-4B5F-B1DA-AA483001E05A}"/>
    <cellStyle name="Comma 4 2 2 4 5 3" xfId="6260" xr:uid="{00000000-0005-0000-0000-00003A080000}"/>
    <cellStyle name="Comma 4 2 2 4 5 3 2" xfId="14702" xr:uid="{6A71212F-022B-4610-96D9-BF44A6D2BC11}"/>
    <cellStyle name="Comma 4 2 2 4 5 4" xfId="10484" xr:uid="{813EE2A5-A302-4F9F-93B1-E79C36AF05DB}"/>
    <cellStyle name="Comma 4 2 2 4 6" xfId="2388" xr:uid="{00000000-0005-0000-0000-00003B080000}"/>
    <cellStyle name="Comma 4 2 2 4 6 2" xfId="6673" xr:uid="{00000000-0005-0000-0000-00003C080000}"/>
    <cellStyle name="Comma 4 2 2 4 6 2 2" xfId="15115" xr:uid="{CD3203A3-8395-487A-AF01-F74E589D49E8}"/>
    <cellStyle name="Comma 4 2 2 4 6 3" xfId="10897" xr:uid="{D215FCD1-4CAA-476F-8E1D-816750CE7046}"/>
    <cellStyle name="Comma 4 2 2 4 7" xfId="2375" xr:uid="{00000000-0005-0000-0000-00003D080000}"/>
    <cellStyle name="Comma 4 2 2 4 8" xfId="2766" xr:uid="{00000000-0005-0000-0000-00003E080000}"/>
    <cellStyle name="Comma 4 2 2 4 8 2" xfId="6990" xr:uid="{00000000-0005-0000-0000-00003F080000}"/>
    <cellStyle name="Comma 4 2 2 4 8 2 2" xfId="15432" xr:uid="{6E362B54-6975-41EF-B87B-26D8C245142E}"/>
    <cellStyle name="Comma 4 2 2 4 8 3" xfId="11214" xr:uid="{5E169144-DA92-4E8D-B32D-A01FB97909A2}"/>
    <cellStyle name="Comma 4 2 2 4 9" xfId="4607" xr:uid="{00000000-0005-0000-0000-000040080000}"/>
    <cellStyle name="Comma 4 2 2 4 9 2" xfId="13049" xr:uid="{5C3699BD-2407-4C06-8965-A28CF669089A}"/>
    <cellStyle name="Comma 4 2 2 5" xfId="135" xr:uid="{00000000-0005-0000-0000-000041080000}"/>
    <cellStyle name="Comma 4 2 2 5 10" xfId="8832" xr:uid="{941AB7D8-9B7B-4668-9F9E-0A3BEC66C437}"/>
    <cellStyle name="Comma 4 2 2 5 2" xfId="673" xr:uid="{00000000-0005-0000-0000-000042080000}"/>
    <cellStyle name="Comma 4 2 2 5 2 2" xfId="2944" xr:uid="{00000000-0005-0000-0000-000043080000}"/>
    <cellStyle name="Comma 4 2 2 5 2 2 2" xfId="7167" xr:uid="{00000000-0005-0000-0000-000044080000}"/>
    <cellStyle name="Comma 4 2 2 5 2 2 2 2" xfId="15609" xr:uid="{7FE178C6-6B68-4508-AAAF-E2CB5918B2F0}"/>
    <cellStyle name="Comma 4 2 2 5 2 2 3" xfId="11391" xr:uid="{AE8DD0A2-63A4-41BC-BA6A-7A6F57D33151}"/>
    <cellStyle name="Comma 4 2 2 5 2 3" xfId="5022" xr:uid="{00000000-0005-0000-0000-000045080000}"/>
    <cellStyle name="Comma 4 2 2 5 2 3 2" xfId="13464" xr:uid="{5911658F-F402-4834-8923-48820134A190}"/>
    <cellStyle name="Comma 4 2 2 5 2 4" xfId="9246" xr:uid="{03166911-FC18-4492-8C12-9124A8EB3CD8}"/>
    <cellStyle name="Comma 4 2 2 5 3" xfId="1126" xr:uid="{00000000-0005-0000-0000-000046080000}"/>
    <cellStyle name="Comma 4 2 2 5 3 2" xfId="3357" xr:uid="{00000000-0005-0000-0000-000047080000}"/>
    <cellStyle name="Comma 4 2 2 5 3 2 2" xfId="7580" xr:uid="{00000000-0005-0000-0000-000048080000}"/>
    <cellStyle name="Comma 4 2 2 5 3 2 2 2" xfId="16022" xr:uid="{702B2324-7F23-4160-AB79-46310A471179}"/>
    <cellStyle name="Comma 4 2 2 5 3 2 3" xfId="11804" xr:uid="{60CA8CD7-577A-41FB-AFAD-DABE342D5C7B}"/>
    <cellStyle name="Comma 4 2 2 5 3 3" xfId="5435" xr:uid="{00000000-0005-0000-0000-000049080000}"/>
    <cellStyle name="Comma 4 2 2 5 3 3 2" xfId="13877" xr:uid="{B01973D8-2084-402D-8828-C03B4512FA90}"/>
    <cellStyle name="Comma 4 2 2 5 3 4" xfId="9659" xr:uid="{BF048F6D-9A32-4F12-8A83-DEF9E43F335A}"/>
    <cellStyle name="Comma 4 2 2 5 4" xfId="1540" xr:uid="{00000000-0005-0000-0000-00004A080000}"/>
    <cellStyle name="Comma 4 2 2 5 4 2" xfId="3770" xr:uid="{00000000-0005-0000-0000-00004B080000}"/>
    <cellStyle name="Comma 4 2 2 5 4 2 2" xfId="7993" xr:uid="{00000000-0005-0000-0000-00004C080000}"/>
    <cellStyle name="Comma 4 2 2 5 4 2 2 2" xfId="16435" xr:uid="{0DEE76E9-3897-45FA-B13F-D89DD72CFF68}"/>
    <cellStyle name="Comma 4 2 2 5 4 2 3" xfId="12217" xr:uid="{33F834D2-9311-4351-94CA-70AF16F53349}"/>
    <cellStyle name="Comma 4 2 2 5 4 3" xfId="5848" xr:uid="{00000000-0005-0000-0000-00004D080000}"/>
    <cellStyle name="Comma 4 2 2 5 4 3 2" xfId="14290" xr:uid="{132E624C-71F9-4F3C-A365-74F8AB220D38}"/>
    <cellStyle name="Comma 4 2 2 5 4 4" xfId="10072" xr:uid="{857AFADF-2917-4ACF-8606-EB3E9EAEF257}"/>
    <cellStyle name="Comma 4 2 2 5 5" xfId="1954" xr:uid="{00000000-0005-0000-0000-00004E080000}"/>
    <cellStyle name="Comma 4 2 2 5 5 2" xfId="4183" xr:uid="{00000000-0005-0000-0000-00004F080000}"/>
    <cellStyle name="Comma 4 2 2 5 5 2 2" xfId="8406" xr:uid="{00000000-0005-0000-0000-000050080000}"/>
    <cellStyle name="Comma 4 2 2 5 5 2 2 2" xfId="16848" xr:uid="{96F6F4BA-8D8D-4D7B-8CB1-7AA868A8064F}"/>
    <cellStyle name="Comma 4 2 2 5 5 2 3" xfId="12630" xr:uid="{FC8BA4C9-57C1-4422-90F1-CD36416ACD5F}"/>
    <cellStyle name="Comma 4 2 2 5 5 3" xfId="6261" xr:uid="{00000000-0005-0000-0000-000051080000}"/>
    <cellStyle name="Comma 4 2 2 5 5 3 2" xfId="14703" xr:uid="{D67E684A-785B-4B23-9161-32A6F588B533}"/>
    <cellStyle name="Comma 4 2 2 5 5 4" xfId="10485" xr:uid="{C492ED17-63DB-48BE-A195-071DD4C46A63}"/>
    <cellStyle name="Comma 4 2 2 5 6" xfId="2389" xr:uid="{00000000-0005-0000-0000-000052080000}"/>
    <cellStyle name="Comma 4 2 2 5 6 2" xfId="6674" xr:uid="{00000000-0005-0000-0000-000053080000}"/>
    <cellStyle name="Comma 4 2 2 5 6 2 2" xfId="15116" xr:uid="{1D10D41C-F5CF-4893-A243-3AF4BA50FEC7}"/>
    <cellStyle name="Comma 4 2 2 5 6 3" xfId="10898" xr:uid="{3A9001D3-0125-4750-AEE7-D46E260BD40F}"/>
    <cellStyle name="Comma 4 2 2 5 7" xfId="2374" xr:uid="{00000000-0005-0000-0000-000054080000}"/>
    <cellStyle name="Comma 4 2 2 5 8" xfId="2767" xr:uid="{00000000-0005-0000-0000-000055080000}"/>
    <cellStyle name="Comma 4 2 2 5 8 2" xfId="6991" xr:uid="{00000000-0005-0000-0000-000056080000}"/>
    <cellStyle name="Comma 4 2 2 5 8 2 2" xfId="15433" xr:uid="{0AC6DFD9-6589-4DAB-84E1-ECFAC3A129DA}"/>
    <cellStyle name="Comma 4 2 2 5 8 3" xfId="11215" xr:uid="{5D2C3752-E57D-4551-9A6B-A7C794B6ADA0}"/>
    <cellStyle name="Comma 4 2 2 5 9" xfId="4608" xr:uid="{00000000-0005-0000-0000-000057080000}"/>
    <cellStyle name="Comma 4 2 2 5 9 2" xfId="13050" xr:uid="{C75E28A0-A36A-4913-8FC0-5CF5EA89F03B}"/>
    <cellStyle name="Comma 4 2 3" xfId="136" xr:uid="{00000000-0005-0000-0000-000058080000}"/>
    <cellStyle name="Comma 4 2 3 10" xfId="2768" xr:uid="{00000000-0005-0000-0000-000059080000}"/>
    <cellStyle name="Comma 4 2 3 10 2" xfId="6992" xr:uid="{00000000-0005-0000-0000-00005A080000}"/>
    <cellStyle name="Comma 4 2 3 10 2 2" xfId="15434" xr:uid="{75E8C120-24C7-4BE1-91AD-2F46648CA4AB}"/>
    <cellStyle name="Comma 4 2 3 10 3" xfId="11216" xr:uid="{9ACFAF74-CA25-4E04-AE6E-6A559AFB5C6C}"/>
    <cellStyle name="Comma 4 2 3 11" xfId="4609" xr:uid="{00000000-0005-0000-0000-00005B080000}"/>
    <cellStyle name="Comma 4 2 3 11 2" xfId="13051" xr:uid="{6E67B1BE-9EEC-4677-91D2-3C750D7EDE6F}"/>
    <cellStyle name="Comma 4 2 3 12" xfId="8833" xr:uid="{DB4249E4-9DEC-4457-B054-8BB75E05DF8C}"/>
    <cellStyle name="Comma 4 2 3 2" xfId="137" xr:uid="{00000000-0005-0000-0000-00005C080000}"/>
    <cellStyle name="Comma 4 2 3 2 10" xfId="4610" xr:uid="{00000000-0005-0000-0000-00005D080000}"/>
    <cellStyle name="Comma 4 2 3 2 10 2" xfId="13052" xr:uid="{8D299ACE-D175-4420-BA38-733658D128CD}"/>
    <cellStyle name="Comma 4 2 3 2 11" xfId="8834" xr:uid="{022088FC-08EF-4883-A772-F2A465B8BAE5}"/>
    <cellStyle name="Comma 4 2 3 2 2" xfId="138" xr:uid="{00000000-0005-0000-0000-00005E080000}"/>
    <cellStyle name="Comma 4 2 3 2 2 10" xfId="8835" xr:uid="{CC0F292C-076E-4CD4-BCE3-60FF737EDFF4}"/>
    <cellStyle name="Comma 4 2 3 2 2 2" xfId="676" xr:uid="{00000000-0005-0000-0000-00005F080000}"/>
    <cellStyle name="Comma 4 2 3 2 2 2 2" xfId="2947" xr:uid="{00000000-0005-0000-0000-000060080000}"/>
    <cellStyle name="Comma 4 2 3 2 2 2 2 2" xfId="7170" xr:uid="{00000000-0005-0000-0000-000061080000}"/>
    <cellStyle name="Comma 4 2 3 2 2 2 2 2 2" xfId="15612" xr:uid="{D93D98C0-2D6E-4693-8C95-A167CE48A1D2}"/>
    <cellStyle name="Comma 4 2 3 2 2 2 2 3" xfId="11394" xr:uid="{A1168F1E-7980-4085-9F72-C0080B9BD0A9}"/>
    <cellStyle name="Comma 4 2 3 2 2 2 3" xfId="5025" xr:uid="{00000000-0005-0000-0000-000062080000}"/>
    <cellStyle name="Comma 4 2 3 2 2 2 3 2" xfId="13467" xr:uid="{F22C3506-5962-42E2-8574-FC28715880B7}"/>
    <cellStyle name="Comma 4 2 3 2 2 2 4" xfId="9249" xr:uid="{DAC4B8F2-1222-4B39-BDA6-FF2080C99863}"/>
    <cellStyle name="Comma 4 2 3 2 2 3" xfId="1129" xr:uid="{00000000-0005-0000-0000-000063080000}"/>
    <cellStyle name="Comma 4 2 3 2 2 3 2" xfId="3360" xr:uid="{00000000-0005-0000-0000-000064080000}"/>
    <cellStyle name="Comma 4 2 3 2 2 3 2 2" xfId="7583" xr:uid="{00000000-0005-0000-0000-000065080000}"/>
    <cellStyle name="Comma 4 2 3 2 2 3 2 2 2" xfId="16025" xr:uid="{176C182B-4DB9-4081-9B9C-C1DF09B2134A}"/>
    <cellStyle name="Comma 4 2 3 2 2 3 2 3" xfId="11807" xr:uid="{6168CB98-6CA8-4DC3-BD86-0014D1266D02}"/>
    <cellStyle name="Comma 4 2 3 2 2 3 3" xfId="5438" xr:uid="{00000000-0005-0000-0000-000066080000}"/>
    <cellStyle name="Comma 4 2 3 2 2 3 3 2" xfId="13880" xr:uid="{A6EA8E61-742F-46F5-BA4B-76076D03C0D4}"/>
    <cellStyle name="Comma 4 2 3 2 2 3 4" xfId="9662" xr:uid="{C6844F06-9B2D-4704-AECD-7D58872B31EE}"/>
    <cellStyle name="Comma 4 2 3 2 2 4" xfId="1543" xr:uid="{00000000-0005-0000-0000-000067080000}"/>
    <cellStyle name="Comma 4 2 3 2 2 4 2" xfId="3773" xr:uid="{00000000-0005-0000-0000-000068080000}"/>
    <cellStyle name="Comma 4 2 3 2 2 4 2 2" xfId="7996" xr:uid="{00000000-0005-0000-0000-000069080000}"/>
    <cellStyle name="Comma 4 2 3 2 2 4 2 2 2" xfId="16438" xr:uid="{3D166117-4A76-4775-A64E-5A50C8414E74}"/>
    <cellStyle name="Comma 4 2 3 2 2 4 2 3" xfId="12220" xr:uid="{C42D328A-45C9-44CA-8BCC-DEAD4CA4A60D}"/>
    <cellStyle name="Comma 4 2 3 2 2 4 3" xfId="5851" xr:uid="{00000000-0005-0000-0000-00006A080000}"/>
    <cellStyle name="Comma 4 2 3 2 2 4 3 2" xfId="14293" xr:uid="{A559C7BC-C35C-410A-BE1E-BF9DC34AEBCF}"/>
    <cellStyle name="Comma 4 2 3 2 2 4 4" xfId="10075" xr:uid="{6F16A8B7-B2F7-46E0-B7F0-FAB91009BF76}"/>
    <cellStyle name="Comma 4 2 3 2 2 5" xfId="1957" xr:uid="{00000000-0005-0000-0000-00006B080000}"/>
    <cellStyle name="Comma 4 2 3 2 2 5 2" xfId="4186" xr:uid="{00000000-0005-0000-0000-00006C080000}"/>
    <cellStyle name="Comma 4 2 3 2 2 5 2 2" xfId="8409" xr:uid="{00000000-0005-0000-0000-00006D080000}"/>
    <cellStyle name="Comma 4 2 3 2 2 5 2 2 2" xfId="16851" xr:uid="{1D16A22E-CE89-42D8-AEA2-9BBCE44FC102}"/>
    <cellStyle name="Comma 4 2 3 2 2 5 2 3" xfId="12633" xr:uid="{F917F6D8-73F9-44FB-A31A-A8607A82C3CE}"/>
    <cellStyle name="Comma 4 2 3 2 2 5 3" xfId="6264" xr:uid="{00000000-0005-0000-0000-00006E080000}"/>
    <cellStyle name="Comma 4 2 3 2 2 5 3 2" xfId="14706" xr:uid="{043CA9E0-C694-44A2-86FF-6225C997C495}"/>
    <cellStyle name="Comma 4 2 3 2 2 5 4" xfId="10488" xr:uid="{177E4DD7-B0C9-4AE1-AD94-8F720CB31F3B}"/>
    <cellStyle name="Comma 4 2 3 2 2 6" xfId="2392" xr:uid="{00000000-0005-0000-0000-00006F080000}"/>
    <cellStyle name="Comma 4 2 3 2 2 6 2" xfId="6677" xr:uid="{00000000-0005-0000-0000-000070080000}"/>
    <cellStyle name="Comma 4 2 3 2 2 6 2 2" xfId="15119" xr:uid="{1A69468E-6FAE-424B-BBAF-106048A60973}"/>
    <cellStyle name="Comma 4 2 3 2 2 6 3" xfId="10901" xr:uid="{C6F03354-A3E4-4EB3-8159-C80937563862}"/>
    <cellStyle name="Comma 4 2 3 2 2 7" xfId="2371" xr:uid="{00000000-0005-0000-0000-000071080000}"/>
    <cellStyle name="Comma 4 2 3 2 2 8" xfId="2770" xr:uid="{00000000-0005-0000-0000-000072080000}"/>
    <cellStyle name="Comma 4 2 3 2 2 8 2" xfId="6994" xr:uid="{00000000-0005-0000-0000-000073080000}"/>
    <cellStyle name="Comma 4 2 3 2 2 8 2 2" xfId="15436" xr:uid="{512BDB8F-E740-4F29-9FFB-90BA766951D3}"/>
    <cellStyle name="Comma 4 2 3 2 2 8 3" xfId="11218" xr:uid="{5B596DDA-E610-4C9D-9C24-A61ED6E3DCF3}"/>
    <cellStyle name="Comma 4 2 3 2 2 9" xfId="4611" xr:uid="{00000000-0005-0000-0000-000074080000}"/>
    <cellStyle name="Comma 4 2 3 2 2 9 2" xfId="13053" xr:uid="{F81C74FC-B965-4A59-8E60-4DDD4D31E758}"/>
    <cellStyle name="Comma 4 2 3 2 3" xfId="675" xr:uid="{00000000-0005-0000-0000-000075080000}"/>
    <cellStyle name="Comma 4 2 3 2 3 2" xfId="2946" xr:uid="{00000000-0005-0000-0000-000076080000}"/>
    <cellStyle name="Comma 4 2 3 2 3 2 2" xfId="7169" xr:uid="{00000000-0005-0000-0000-000077080000}"/>
    <cellStyle name="Comma 4 2 3 2 3 2 2 2" xfId="15611" xr:uid="{36987970-0161-452A-A184-0FE2E2C661D8}"/>
    <cellStyle name="Comma 4 2 3 2 3 2 3" xfId="11393" xr:uid="{1FB607CC-05C6-4478-BD5B-8F29A8ADB339}"/>
    <cellStyle name="Comma 4 2 3 2 3 3" xfId="5024" xr:uid="{00000000-0005-0000-0000-000078080000}"/>
    <cellStyle name="Comma 4 2 3 2 3 3 2" xfId="13466" xr:uid="{C00ED68C-52A6-47C2-9B42-5C0BD2B5420F}"/>
    <cellStyle name="Comma 4 2 3 2 3 4" xfId="9248" xr:uid="{9658DA00-C7EB-4F84-AEB2-DEC8760A3269}"/>
    <cellStyle name="Comma 4 2 3 2 4" xfId="1128" xr:uid="{00000000-0005-0000-0000-000079080000}"/>
    <cellStyle name="Comma 4 2 3 2 4 2" xfId="3359" xr:uid="{00000000-0005-0000-0000-00007A080000}"/>
    <cellStyle name="Comma 4 2 3 2 4 2 2" xfId="7582" xr:uid="{00000000-0005-0000-0000-00007B080000}"/>
    <cellStyle name="Comma 4 2 3 2 4 2 2 2" xfId="16024" xr:uid="{362AFA8C-B0F9-46D4-99C9-A192BFEDFC5F}"/>
    <cellStyle name="Comma 4 2 3 2 4 2 3" xfId="11806" xr:uid="{6B2BA927-897B-4993-8D11-9A12422CC463}"/>
    <cellStyle name="Comma 4 2 3 2 4 3" xfId="5437" xr:uid="{00000000-0005-0000-0000-00007C080000}"/>
    <cellStyle name="Comma 4 2 3 2 4 3 2" xfId="13879" xr:uid="{8A70FA07-2548-4F06-9433-E5F7993692C6}"/>
    <cellStyle name="Comma 4 2 3 2 4 4" xfId="9661" xr:uid="{D8D27320-9974-40B5-B8C3-FD7A5CF826FE}"/>
    <cellStyle name="Comma 4 2 3 2 5" xfId="1542" xr:uid="{00000000-0005-0000-0000-00007D080000}"/>
    <cellStyle name="Comma 4 2 3 2 5 2" xfId="3772" xr:uid="{00000000-0005-0000-0000-00007E080000}"/>
    <cellStyle name="Comma 4 2 3 2 5 2 2" xfId="7995" xr:uid="{00000000-0005-0000-0000-00007F080000}"/>
    <cellStyle name="Comma 4 2 3 2 5 2 2 2" xfId="16437" xr:uid="{9A5398E7-A629-47D0-8F77-AE12A7A4C50C}"/>
    <cellStyle name="Comma 4 2 3 2 5 2 3" xfId="12219" xr:uid="{E8E3BD59-C721-4F8B-B01B-C86B66A4B865}"/>
    <cellStyle name="Comma 4 2 3 2 5 3" xfId="5850" xr:uid="{00000000-0005-0000-0000-000080080000}"/>
    <cellStyle name="Comma 4 2 3 2 5 3 2" xfId="14292" xr:uid="{207097B6-9124-4712-8E97-6F7C0B9F62D3}"/>
    <cellStyle name="Comma 4 2 3 2 5 4" xfId="10074" xr:uid="{02A7066B-F7A3-423E-AF81-DFDCD9EBBF1B}"/>
    <cellStyle name="Comma 4 2 3 2 6" xfId="1956" xr:uid="{00000000-0005-0000-0000-000081080000}"/>
    <cellStyle name="Comma 4 2 3 2 6 2" xfId="4185" xr:uid="{00000000-0005-0000-0000-000082080000}"/>
    <cellStyle name="Comma 4 2 3 2 6 2 2" xfId="8408" xr:uid="{00000000-0005-0000-0000-000083080000}"/>
    <cellStyle name="Comma 4 2 3 2 6 2 2 2" xfId="16850" xr:uid="{F4B44FF2-5911-4F99-830D-707E34342D0F}"/>
    <cellStyle name="Comma 4 2 3 2 6 2 3" xfId="12632" xr:uid="{0755C582-86B5-4755-9D87-026B939096A3}"/>
    <cellStyle name="Comma 4 2 3 2 6 3" xfId="6263" xr:uid="{00000000-0005-0000-0000-000084080000}"/>
    <cellStyle name="Comma 4 2 3 2 6 3 2" xfId="14705" xr:uid="{78E1C55E-3384-4D52-BEF3-497EDB15FAE3}"/>
    <cellStyle name="Comma 4 2 3 2 6 4" xfId="10487" xr:uid="{24223574-FAE1-4103-891F-0C29EABEA4DC}"/>
    <cellStyle name="Comma 4 2 3 2 7" xfId="2391" xr:uid="{00000000-0005-0000-0000-000085080000}"/>
    <cellStyle name="Comma 4 2 3 2 7 2" xfId="6676" xr:uid="{00000000-0005-0000-0000-000086080000}"/>
    <cellStyle name="Comma 4 2 3 2 7 2 2" xfId="15118" xr:uid="{2E5FDD58-7F29-4A9B-AB90-DD6EC1B3BCA4}"/>
    <cellStyle name="Comma 4 2 3 2 7 3" xfId="10900" xr:uid="{ADFA78AF-9B0D-410B-BB5C-D4152821749E}"/>
    <cellStyle name="Comma 4 2 3 2 8" xfId="2372" xr:uid="{00000000-0005-0000-0000-000087080000}"/>
    <cellStyle name="Comma 4 2 3 2 9" xfId="2769" xr:uid="{00000000-0005-0000-0000-000088080000}"/>
    <cellStyle name="Comma 4 2 3 2 9 2" xfId="6993" xr:uid="{00000000-0005-0000-0000-000089080000}"/>
    <cellStyle name="Comma 4 2 3 2 9 2 2" xfId="15435" xr:uid="{7806FB0B-09C6-4601-8846-01B5C1B90E8A}"/>
    <cellStyle name="Comma 4 2 3 2 9 3" xfId="11217" xr:uid="{07F5C5A4-2E00-4788-81FE-0D2CD49403D3}"/>
    <cellStyle name="Comma 4 2 3 3" xfId="139" xr:uid="{00000000-0005-0000-0000-00008A080000}"/>
    <cellStyle name="Comma 4 2 3 3 10" xfId="8836" xr:uid="{9F0C6BF6-3DD7-4211-B025-BF686ABC5733}"/>
    <cellStyle name="Comma 4 2 3 3 2" xfId="677" xr:uid="{00000000-0005-0000-0000-00008B080000}"/>
    <cellStyle name="Comma 4 2 3 3 2 2" xfId="2948" xr:uid="{00000000-0005-0000-0000-00008C080000}"/>
    <cellStyle name="Comma 4 2 3 3 2 2 2" xfId="7171" xr:uid="{00000000-0005-0000-0000-00008D080000}"/>
    <cellStyle name="Comma 4 2 3 3 2 2 2 2" xfId="15613" xr:uid="{C85D5D46-782C-4192-AA7A-1E83E7FD52A8}"/>
    <cellStyle name="Comma 4 2 3 3 2 2 3" xfId="11395" xr:uid="{97381B5D-82D7-446E-8109-E5F1B97856D5}"/>
    <cellStyle name="Comma 4 2 3 3 2 3" xfId="5026" xr:uid="{00000000-0005-0000-0000-00008E080000}"/>
    <cellStyle name="Comma 4 2 3 3 2 3 2" xfId="13468" xr:uid="{E5819184-2D00-496D-A7D9-5FD3A1EAC0A0}"/>
    <cellStyle name="Comma 4 2 3 3 2 4" xfId="9250" xr:uid="{79BCF656-E704-4FA7-A1CD-EFA36247D2FC}"/>
    <cellStyle name="Comma 4 2 3 3 3" xfId="1130" xr:uid="{00000000-0005-0000-0000-00008F080000}"/>
    <cellStyle name="Comma 4 2 3 3 3 2" xfId="3361" xr:uid="{00000000-0005-0000-0000-000090080000}"/>
    <cellStyle name="Comma 4 2 3 3 3 2 2" xfId="7584" xr:uid="{00000000-0005-0000-0000-000091080000}"/>
    <cellStyle name="Comma 4 2 3 3 3 2 2 2" xfId="16026" xr:uid="{29EB4E87-92A2-44C6-842E-7F61A32B52AB}"/>
    <cellStyle name="Comma 4 2 3 3 3 2 3" xfId="11808" xr:uid="{0E98EAA0-C9F6-498A-A066-CB25435A00D7}"/>
    <cellStyle name="Comma 4 2 3 3 3 3" xfId="5439" xr:uid="{00000000-0005-0000-0000-000092080000}"/>
    <cellStyle name="Comma 4 2 3 3 3 3 2" xfId="13881" xr:uid="{4FBF648A-9C94-4696-B051-D0650CB207E3}"/>
    <cellStyle name="Comma 4 2 3 3 3 4" xfId="9663" xr:uid="{9F201571-4041-413C-BB39-E5EF7E2E7904}"/>
    <cellStyle name="Comma 4 2 3 3 4" xfId="1544" xr:uid="{00000000-0005-0000-0000-000093080000}"/>
    <cellStyle name="Comma 4 2 3 3 4 2" xfId="3774" xr:uid="{00000000-0005-0000-0000-000094080000}"/>
    <cellStyle name="Comma 4 2 3 3 4 2 2" xfId="7997" xr:uid="{00000000-0005-0000-0000-000095080000}"/>
    <cellStyle name="Comma 4 2 3 3 4 2 2 2" xfId="16439" xr:uid="{15E6E7C6-6DE4-43ED-9CBF-B664502C81D7}"/>
    <cellStyle name="Comma 4 2 3 3 4 2 3" xfId="12221" xr:uid="{59D64665-D9D5-4A04-9B3F-99298F65EFCF}"/>
    <cellStyle name="Comma 4 2 3 3 4 3" xfId="5852" xr:uid="{00000000-0005-0000-0000-000096080000}"/>
    <cellStyle name="Comma 4 2 3 3 4 3 2" xfId="14294" xr:uid="{28613A3A-89B1-49AE-8C1C-B3C431CD6F36}"/>
    <cellStyle name="Comma 4 2 3 3 4 4" xfId="10076" xr:uid="{7A2EF1A0-5D71-42D1-9FC0-F08810ED1E15}"/>
    <cellStyle name="Comma 4 2 3 3 5" xfId="1958" xr:uid="{00000000-0005-0000-0000-000097080000}"/>
    <cellStyle name="Comma 4 2 3 3 5 2" xfId="4187" xr:uid="{00000000-0005-0000-0000-000098080000}"/>
    <cellStyle name="Comma 4 2 3 3 5 2 2" xfId="8410" xr:uid="{00000000-0005-0000-0000-000099080000}"/>
    <cellStyle name="Comma 4 2 3 3 5 2 2 2" xfId="16852" xr:uid="{90A03E0C-BAB0-47ED-AB01-965F81EB9097}"/>
    <cellStyle name="Comma 4 2 3 3 5 2 3" xfId="12634" xr:uid="{0B00069B-A1F6-4F51-9F8D-C538FDDE52CC}"/>
    <cellStyle name="Comma 4 2 3 3 5 3" xfId="6265" xr:uid="{00000000-0005-0000-0000-00009A080000}"/>
    <cellStyle name="Comma 4 2 3 3 5 3 2" xfId="14707" xr:uid="{2D6AD850-E327-4D4A-852E-627A77DA08D0}"/>
    <cellStyle name="Comma 4 2 3 3 5 4" xfId="10489" xr:uid="{307F3EE7-F43C-4416-8194-CD7BEC67935C}"/>
    <cellStyle name="Comma 4 2 3 3 6" xfId="2393" xr:uid="{00000000-0005-0000-0000-00009B080000}"/>
    <cellStyle name="Comma 4 2 3 3 6 2" xfId="6678" xr:uid="{00000000-0005-0000-0000-00009C080000}"/>
    <cellStyle name="Comma 4 2 3 3 6 2 2" xfId="15120" xr:uid="{2BB8AA61-4F9A-4E4C-BE75-E04A9AFD6701}"/>
    <cellStyle name="Comma 4 2 3 3 6 3" xfId="10902" xr:uid="{66FDCA88-F782-40FE-9B0A-7E89243AFC21}"/>
    <cellStyle name="Comma 4 2 3 3 7" xfId="2370" xr:uid="{00000000-0005-0000-0000-00009D080000}"/>
    <cellStyle name="Comma 4 2 3 3 8" xfId="2771" xr:uid="{00000000-0005-0000-0000-00009E080000}"/>
    <cellStyle name="Comma 4 2 3 3 8 2" xfId="6995" xr:uid="{00000000-0005-0000-0000-00009F080000}"/>
    <cellStyle name="Comma 4 2 3 3 8 2 2" xfId="15437" xr:uid="{F7593C0E-A7A5-4DB4-83B6-4E8708254548}"/>
    <cellStyle name="Comma 4 2 3 3 8 3" xfId="11219" xr:uid="{3EE1A6EE-D54D-4690-8681-6118A2D60B13}"/>
    <cellStyle name="Comma 4 2 3 3 9" xfId="4612" xr:uid="{00000000-0005-0000-0000-0000A0080000}"/>
    <cellStyle name="Comma 4 2 3 3 9 2" xfId="13054" xr:uid="{D20E74A3-B7A5-4914-B69C-7CF62F8E1683}"/>
    <cellStyle name="Comma 4 2 3 4" xfId="674" xr:uid="{00000000-0005-0000-0000-0000A1080000}"/>
    <cellStyle name="Comma 4 2 3 4 2" xfId="2945" xr:uid="{00000000-0005-0000-0000-0000A2080000}"/>
    <cellStyle name="Comma 4 2 3 4 2 2" xfId="7168" xr:uid="{00000000-0005-0000-0000-0000A3080000}"/>
    <cellStyle name="Comma 4 2 3 4 2 2 2" xfId="15610" xr:uid="{885279C4-E6DE-43E4-9985-94D997427F99}"/>
    <cellStyle name="Comma 4 2 3 4 2 3" xfId="11392" xr:uid="{21B8A269-63C2-4D78-A5BB-00B056014102}"/>
    <cellStyle name="Comma 4 2 3 4 3" xfId="5023" xr:uid="{00000000-0005-0000-0000-0000A4080000}"/>
    <cellStyle name="Comma 4 2 3 4 3 2" xfId="13465" xr:uid="{3D02EBDD-2540-4BBE-BC40-FB4D173EDC13}"/>
    <cellStyle name="Comma 4 2 3 4 4" xfId="9247" xr:uid="{DA5C2B46-A62E-4046-877A-74FB7E3DD4E7}"/>
    <cellStyle name="Comma 4 2 3 5" xfId="1127" xr:uid="{00000000-0005-0000-0000-0000A5080000}"/>
    <cellStyle name="Comma 4 2 3 5 2" xfId="3358" xr:uid="{00000000-0005-0000-0000-0000A6080000}"/>
    <cellStyle name="Comma 4 2 3 5 2 2" xfId="7581" xr:uid="{00000000-0005-0000-0000-0000A7080000}"/>
    <cellStyle name="Comma 4 2 3 5 2 2 2" xfId="16023" xr:uid="{DD315496-4E86-4B3E-9432-6F2D5AFE16E3}"/>
    <cellStyle name="Comma 4 2 3 5 2 3" xfId="11805" xr:uid="{2719A58B-D1C2-4E3E-8B65-76D1AB8E8962}"/>
    <cellStyle name="Comma 4 2 3 5 3" xfId="5436" xr:uid="{00000000-0005-0000-0000-0000A8080000}"/>
    <cellStyle name="Comma 4 2 3 5 3 2" xfId="13878" xr:uid="{28DA9AB2-49A0-44AE-9B33-EF1D881ECF4B}"/>
    <cellStyle name="Comma 4 2 3 5 4" xfId="9660" xr:uid="{F53F05F6-D48A-49DD-9A34-91A422344B8C}"/>
    <cellStyle name="Comma 4 2 3 6" xfId="1541" xr:uid="{00000000-0005-0000-0000-0000A9080000}"/>
    <cellStyle name="Comma 4 2 3 6 2" xfId="3771" xr:uid="{00000000-0005-0000-0000-0000AA080000}"/>
    <cellStyle name="Comma 4 2 3 6 2 2" xfId="7994" xr:uid="{00000000-0005-0000-0000-0000AB080000}"/>
    <cellStyle name="Comma 4 2 3 6 2 2 2" xfId="16436" xr:uid="{E918DFB9-0787-49B1-8CC5-2CCC1D029442}"/>
    <cellStyle name="Comma 4 2 3 6 2 3" xfId="12218" xr:uid="{4C010E77-D83B-43DC-9A0C-6D2CE42E7148}"/>
    <cellStyle name="Comma 4 2 3 6 3" xfId="5849" xr:uid="{00000000-0005-0000-0000-0000AC080000}"/>
    <cellStyle name="Comma 4 2 3 6 3 2" xfId="14291" xr:uid="{6DF538B8-14E4-4A0F-8B43-3CB414E3F08B}"/>
    <cellStyle name="Comma 4 2 3 6 4" xfId="10073" xr:uid="{CD070B6D-ACC8-4061-B036-B4285650BCC8}"/>
    <cellStyle name="Comma 4 2 3 7" xfId="1955" xr:uid="{00000000-0005-0000-0000-0000AD080000}"/>
    <cellStyle name="Comma 4 2 3 7 2" xfId="4184" xr:uid="{00000000-0005-0000-0000-0000AE080000}"/>
    <cellStyle name="Comma 4 2 3 7 2 2" xfId="8407" xr:uid="{00000000-0005-0000-0000-0000AF080000}"/>
    <cellStyle name="Comma 4 2 3 7 2 2 2" xfId="16849" xr:uid="{E7C24A50-0054-43EF-9FCE-6B2CCEE125FE}"/>
    <cellStyle name="Comma 4 2 3 7 2 3" xfId="12631" xr:uid="{7A316F99-D6A9-4BA2-8E52-DD62A52F34A8}"/>
    <cellStyle name="Comma 4 2 3 7 3" xfId="6262" xr:uid="{00000000-0005-0000-0000-0000B0080000}"/>
    <cellStyle name="Comma 4 2 3 7 3 2" xfId="14704" xr:uid="{E3F95A0F-68F6-4661-B19E-DE2E81D2D1CD}"/>
    <cellStyle name="Comma 4 2 3 7 4" xfId="10486" xr:uid="{E6BC3062-1408-4AD0-915F-EC6104EF1802}"/>
    <cellStyle name="Comma 4 2 3 8" xfId="2390" xr:uid="{00000000-0005-0000-0000-0000B1080000}"/>
    <cellStyle name="Comma 4 2 3 8 2" xfId="6675" xr:uid="{00000000-0005-0000-0000-0000B2080000}"/>
    <cellStyle name="Comma 4 2 3 8 2 2" xfId="15117" xr:uid="{A62ACB93-6387-4377-BD28-67D31EC1CF5B}"/>
    <cellStyle name="Comma 4 2 3 8 3" xfId="10899" xr:uid="{5C27AAA5-69C8-4D64-9825-5DE992729D9C}"/>
    <cellStyle name="Comma 4 2 3 9" xfId="2373" xr:uid="{00000000-0005-0000-0000-0000B3080000}"/>
    <cellStyle name="Comma 4 2 4" xfId="140" xr:uid="{00000000-0005-0000-0000-0000B4080000}"/>
    <cellStyle name="Comma 4 2 4 10" xfId="4613" xr:uid="{00000000-0005-0000-0000-0000B5080000}"/>
    <cellStyle name="Comma 4 2 4 10 2" xfId="13055" xr:uid="{063F854C-A251-4941-9E11-A71EBE97BB8C}"/>
    <cellStyle name="Comma 4 2 4 11" xfId="8837" xr:uid="{EA674064-A0BF-4DB5-931F-87A922BF3025}"/>
    <cellStyle name="Comma 4 2 4 2" xfId="141" xr:uid="{00000000-0005-0000-0000-0000B6080000}"/>
    <cellStyle name="Comma 4 2 4 2 10" xfId="8838" xr:uid="{2DC16738-913E-4B48-82B3-117814D999AB}"/>
    <cellStyle name="Comma 4 2 4 2 2" xfId="679" xr:uid="{00000000-0005-0000-0000-0000B7080000}"/>
    <cellStyle name="Comma 4 2 4 2 2 2" xfId="2950" xr:uid="{00000000-0005-0000-0000-0000B8080000}"/>
    <cellStyle name="Comma 4 2 4 2 2 2 2" xfId="7173" xr:uid="{00000000-0005-0000-0000-0000B9080000}"/>
    <cellStyle name="Comma 4 2 4 2 2 2 2 2" xfId="15615" xr:uid="{48C7DF58-B6AE-44EE-989A-0DB93693F924}"/>
    <cellStyle name="Comma 4 2 4 2 2 2 3" xfId="11397" xr:uid="{E02CFEBD-CA74-4DDE-B42B-9801250FB63D}"/>
    <cellStyle name="Comma 4 2 4 2 2 3" xfId="5028" xr:uid="{00000000-0005-0000-0000-0000BA080000}"/>
    <cellStyle name="Comma 4 2 4 2 2 3 2" xfId="13470" xr:uid="{906542B8-F07C-4CBD-88E7-5986EA9076C5}"/>
    <cellStyle name="Comma 4 2 4 2 2 4" xfId="9252" xr:uid="{112CD639-7859-4B8D-8312-405CC9790E82}"/>
    <cellStyle name="Comma 4 2 4 2 3" xfId="1132" xr:uid="{00000000-0005-0000-0000-0000BB080000}"/>
    <cellStyle name="Comma 4 2 4 2 3 2" xfId="3363" xr:uid="{00000000-0005-0000-0000-0000BC080000}"/>
    <cellStyle name="Comma 4 2 4 2 3 2 2" xfId="7586" xr:uid="{00000000-0005-0000-0000-0000BD080000}"/>
    <cellStyle name="Comma 4 2 4 2 3 2 2 2" xfId="16028" xr:uid="{345C24B9-C079-4743-8776-F07196CC4207}"/>
    <cellStyle name="Comma 4 2 4 2 3 2 3" xfId="11810" xr:uid="{5A3BD0FF-C871-4D73-8801-17E6C1F2EA3E}"/>
    <cellStyle name="Comma 4 2 4 2 3 3" xfId="5441" xr:uid="{00000000-0005-0000-0000-0000BE080000}"/>
    <cellStyle name="Comma 4 2 4 2 3 3 2" xfId="13883" xr:uid="{36905AFD-2E03-4954-9696-4F1EA167084D}"/>
    <cellStyle name="Comma 4 2 4 2 3 4" xfId="9665" xr:uid="{D79D71A2-99F2-49A9-8D60-382291606060}"/>
    <cellStyle name="Comma 4 2 4 2 4" xfId="1546" xr:uid="{00000000-0005-0000-0000-0000BF080000}"/>
    <cellStyle name="Comma 4 2 4 2 4 2" xfId="3776" xr:uid="{00000000-0005-0000-0000-0000C0080000}"/>
    <cellStyle name="Comma 4 2 4 2 4 2 2" xfId="7999" xr:uid="{00000000-0005-0000-0000-0000C1080000}"/>
    <cellStyle name="Comma 4 2 4 2 4 2 2 2" xfId="16441" xr:uid="{C1FB3394-16B2-4C21-9FE3-D49F96D8E503}"/>
    <cellStyle name="Comma 4 2 4 2 4 2 3" xfId="12223" xr:uid="{93E1E684-5056-4594-BD84-1B9580EA38AE}"/>
    <cellStyle name="Comma 4 2 4 2 4 3" xfId="5854" xr:uid="{00000000-0005-0000-0000-0000C2080000}"/>
    <cellStyle name="Comma 4 2 4 2 4 3 2" xfId="14296" xr:uid="{D0BCE2C3-31D3-4BC6-90B6-836274FF0531}"/>
    <cellStyle name="Comma 4 2 4 2 4 4" xfId="10078" xr:uid="{06108888-E155-4F4F-A24A-7C6DDF8EFF73}"/>
    <cellStyle name="Comma 4 2 4 2 5" xfId="1960" xr:uid="{00000000-0005-0000-0000-0000C3080000}"/>
    <cellStyle name="Comma 4 2 4 2 5 2" xfId="4189" xr:uid="{00000000-0005-0000-0000-0000C4080000}"/>
    <cellStyle name="Comma 4 2 4 2 5 2 2" xfId="8412" xr:uid="{00000000-0005-0000-0000-0000C5080000}"/>
    <cellStyle name="Comma 4 2 4 2 5 2 2 2" xfId="16854" xr:uid="{C1C54381-692D-44B4-B465-3D4EC8ACFD6A}"/>
    <cellStyle name="Comma 4 2 4 2 5 2 3" xfId="12636" xr:uid="{C75C8282-8529-49C4-85D5-8A78527CFB6C}"/>
    <cellStyle name="Comma 4 2 4 2 5 3" xfId="6267" xr:uid="{00000000-0005-0000-0000-0000C6080000}"/>
    <cellStyle name="Comma 4 2 4 2 5 3 2" xfId="14709" xr:uid="{9FD8B235-643D-4F8A-B0AD-9E4059FD82A4}"/>
    <cellStyle name="Comma 4 2 4 2 5 4" xfId="10491" xr:uid="{05F13C8A-6815-4642-A19B-19710A08E7CB}"/>
    <cellStyle name="Comma 4 2 4 2 6" xfId="2395" xr:uid="{00000000-0005-0000-0000-0000C7080000}"/>
    <cellStyle name="Comma 4 2 4 2 6 2" xfId="6680" xr:uid="{00000000-0005-0000-0000-0000C8080000}"/>
    <cellStyle name="Comma 4 2 4 2 6 2 2" xfId="15122" xr:uid="{DDA19ED3-48B0-40C7-979F-A27A6AD22362}"/>
    <cellStyle name="Comma 4 2 4 2 6 3" xfId="10904" xr:uid="{C91F4130-C01D-458F-8A8E-3972BC1601FC}"/>
    <cellStyle name="Comma 4 2 4 2 7" xfId="2368" xr:uid="{00000000-0005-0000-0000-0000C9080000}"/>
    <cellStyle name="Comma 4 2 4 2 8" xfId="2773" xr:uid="{00000000-0005-0000-0000-0000CA080000}"/>
    <cellStyle name="Comma 4 2 4 2 8 2" xfId="6997" xr:uid="{00000000-0005-0000-0000-0000CB080000}"/>
    <cellStyle name="Comma 4 2 4 2 8 2 2" xfId="15439" xr:uid="{189F0401-07FB-4472-93E1-2F88B5B2FDD3}"/>
    <cellStyle name="Comma 4 2 4 2 8 3" xfId="11221" xr:uid="{7C57D1C9-7274-44BC-A37F-81CD106AE30F}"/>
    <cellStyle name="Comma 4 2 4 2 9" xfId="4614" xr:uid="{00000000-0005-0000-0000-0000CC080000}"/>
    <cellStyle name="Comma 4 2 4 2 9 2" xfId="13056" xr:uid="{2D6B67CD-6977-4F56-90C7-D13E27E7B668}"/>
    <cellStyle name="Comma 4 2 4 3" xfId="678" xr:uid="{00000000-0005-0000-0000-0000CD080000}"/>
    <cellStyle name="Comma 4 2 4 3 2" xfId="2949" xr:uid="{00000000-0005-0000-0000-0000CE080000}"/>
    <cellStyle name="Comma 4 2 4 3 2 2" xfId="7172" xr:uid="{00000000-0005-0000-0000-0000CF080000}"/>
    <cellStyle name="Comma 4 2 4 3 2 2 2" xfId="15614" xr:uid="{5B78FE52-A0ED-413C-89F6-81EBCDA12E38}"/>
    <cellStyle name="Comma 4 2 4 3 2 3" xfId="11396" xr:uid="{AAA2080E-8DDF-454E-847D-7DA2AFC6C8C9}"/>
    <cellStyle name="Comma 4 2 4 3 3" xfId="5027" xr:uid="{00000000-0005-0000-0000-0000D0080000}"/>
    <cellStyle name="Comma 4 2 4 3 3 2" xfId="13469" xr:uid="{963CC7F9-987A-4D76-B58C-3ED1C631AD25}"/>
    <cellStyle name="Comma 4 2 4 3 4" xfId="9251" xr:uid="{AF1BC775-17D6-4048-8B72-A8AA31CF38CD}"/>
    <cellStyle name="Comma 4 2 4 4" xfId="1131" xr:uid="{00000000-0005-0000-0000-0000D1080000}"/>
    <cellStyle name="Comma 4 2 4 4 2" xfId="3362" xr:uid="{00000000-0005-0000-0000-0000D2080000}"/>
    <cellStyle name="Comma 4 2 4 4 2 2" xfId="7585" xr:uid="{00000000-0005-0000-0000-0000D3080000}"/>
    <cellStyle name="Comma 4 2 4 4 2 2 2" xfId="16027" xr:uid="{A74BEDB8-18C1-4044-AA00-70D68A489880}"/>
    <cellStyle name="Comma 4 2 4 4 2 3" xfId="11809" xr:uid="{9038CDE0-BB91-4CEC-9FD3-D41ABCE1AE3E}"/>
    <cellStyle name="Comma 4 2 4 4 3" xfId="5440" xr:uid="{00000000-0005-0000-0000-0000D4080000}"/>
    <cellStyle name="Comma 4 2 4 4 3 2" xfId="13882" xr:uid="{101F7096-7936-4C06-910F-48A0ABABCD9A}"/>
    <cellStyle name="Comma 4 2 4 4 4" xfId="9664" xr:uid="{D3C7B56D-D40C-444B-8522-C8F29415498F}"/>
    <cellStyle name="Comma 4 2 4 5" xfId="1545" xr:uid="{00000000-0005-0000-0000-0000D5080000}"/>
    <cellStyle name="Comma 4 2 4 5 2" xfId="3775" xr:uid="{00000000-0005-0000-0000-0000D6080000}"/>
    <cellStyle name="Comma 4 2 4 5 2 2" xfId="7998" xr:uid="{00000000-0005-0000-0000-0000D7080000}"/>
    <cellStyle name="Comma 4 2 4 5 2 2 2" xfId="16440" xr:uid="{179F6DE4-D5D1-4997-AFFF-5C383FAB3810}"/>
    <cellStyle name="Comma 4 2 4 5 2 3" xfId="12222" xr:uid="{F5A7C2D8-6C2F-4864-A0DF-279AF8E8A03E}"/>
    <cellStyle name="Comma 4 2 4 5 3" xfId="5853" xr:uid="{00000000-0005-0000-0000-0000D8080000}"/>
    <cellStyle name="Comma 4 2 4 5 3 2" xfId="14295" xr:uid="{C37EE8BA-EF81-46D0-B156-84D288315AF7}"/>
    <cellStyle name="Comma 4 2 4 5 4" xfId="10077" xr:uid="{102F8068-B8F7-4DDC-B9BD-028267F14B8C}"/>
    <cellStyle name="Comma 4 2 4 6" xfId="1959" xr:uid="{00000000-0005-0000-0000-0000D9080000}"/>
    <cellStyle name="Comma 4 2 4 6 2" xfId="4188" xr:uid="{00000000-0005-0000-0000-0000DA080000}"/>
    <cellStyle name="Comma 4 2 4 6 2 2" xfId="8411" xr:uid="{00000000-0005-0000-0000-0000DB080000}"/>
    <cellStyle name="Comma 4 2 4 6 2 2 2" xfId="16853" xr:uid="{DB8D5E9E-BD30-47B8-AA49-CCC51A0782B6}"/>
    <cellStyle name="Comma 4 2 4 6 2 3" xfId="12635" xr:uid="{D3FEEAFF-2E87-4605-A51A-FAD999CFA64B}"/>
    <cellStyle name="Comma 4 2 4 6 3" xfId="6266" xr:uid="{00000000-0005-0000-0000-0000DC080000}"/>
    <cellStyle name="Comma 4 2 4 6 3 2" xfId="14708" xr:uid="{048496E9-6F14-4836-B70B-0556D8E7DED0}"/>
    <cellStyle name="Comma 4 2 4 6 4" xfId="10490" xr:uid="{DC5EEE16-3BE6-4AEC-ABE2-F1E350677F29}"/>
    <cellStyle name="Comma 4 2 4 7" xfId="2394" xr:uid="{00000000-0005-0000-0000-0000DD080000}"/>
    <cellStyle name="Comma 4 2 4 7 2" xfId="6679" xr:uid="{00000000-0005-0000-0000-0000DE080000}"/>
    <cellStyle name="Comma 4 2 4 7 2 2" xfId="15121" xr:uid="{F50DD7BE-AB71-4B04-9A76-75F056520232}"/>
    <cellStyle name="Comma 4 2 4 7 3" xfId="10903" xr:uid="{1A8C6B14-38C6-4AF5-AD19-218A2FA9B502}"/>
    <cellStyle name="Comma 4 2 4 8" xfId="2369" xr:uid="{00000000-0005-0000-0000-0000DF080000}"/>
    <cellStyle name="Comma 4 2 4 9" xfId="2772" xr:uid="{00000000-0005-0000-0000-0000E0080000}"/>
    <cellStyle name="Comma 4 2 4 9 2" xfId="6996" xr:uid="{00000000-0005-0000-0000-0000E1080000}"/>
    <cellStyle name="Comma 4 2 4 9 2 2" xfId="15438" xr:uid="{7833C1AD-3A11-4668-8D3E-AF76BE78BB14}"/>
    <cellStyle name="Comma 4 2 4 9 3" xfId="11220" xr:uid="{90E45A30-4C7B-429B-B30E-9F5AF7532B09}"/>
    <cellStyle name="Comma 4 2 5" xfId="142" xr:uid="{00000000-0005-0000-0000-0000E2080000}"/>
    <cellStyle name="Comma 4 2 5 10" xfId="8839" xr:uid="{DB959DEF-A8BF-4EB9-9FD6-C30C5DDE2852}"/>
    <cellStyle name="Comma 4 2 5 2" xfId="680" xr:uid="{00000000-0005-0000-0000-0000E3080000}"/>
    <cellStyle name="Comma 4 2 5 2 2" xfId="2951" xr:uid="{00000000-0005-0000-0000-0000E4080000}"/>
    <cellStyle name="Comma 4 2 5 2 2 2" xfId="7174" xr:uid="{00000000-0005-0000-0000-0000E5080000}"/>
    <cellStyle name="Comma 4 2 5 2 2 2 2" xfId="15616" xr:uid="{FC76C0A0-0E06-425E-94F1-92B5924C5737}"/>
    <cellStyle name="Comma 4 2 5 2 2 3" xfId="11398" xr:uid="{CE0BCD2A-0D31-4A54-B0A9-7027A79AE141}"/>
    <cellStyle name="Comma 4 2 5 2 3" xfId="5029" xr:uid="{00000000-0005-0000-0000-0000E6080000}"/>
    <cellStyle name="Comma 4 2 5 2 3 2" xfId="13471" xr:uid="{E6F85D71-9AAB-475F-8026-87CB2410B0E4}"/>
    <cellStyle name="Comma 4 2 5 2 4" xfId="9253" xr:uid="{C5B88E3A-743F-4CEA-8A6C-C0A7D3A7E834}"/>
    <cellStyle name="Comma 4 2 5 3" xfId="1133" xr:uid="{00000000-0005-0000-0000-0000E7080000}"/>
    <cellStyle name="Comma 4 2 5 3 2" xfId="3364" xr:uid="{00000000-0005-0000-0000-0000E8080000}"/>
    <cellStyle name="Comma 4 2 5 3 2 2" xfId="7587" xr:uid="{00000000-0005-0000-0000-0000E9080000}"/>
    <cellStyle name="Comma 4 2 5 3 2 2 2" xfId="16029" xr:uid="{E958ED89-8EA8-448B-9269-E5D04855DCB0}"/>
    <cellStyle name="Comma 4 2 5 3 2 3" xfId="11811" xr:uid="{778DF0AA-A26B-4EDE-BA75-7F990CB241C2}"/>
    <cellStyle name="Comma 4 2 5 3 3" xfId="5442" xr:uid="{00000000-0005-0000-0000-0000EA080000}"/>
    <cellStyle name="Comma 4 2 5 3 3 2" xfId="13884" xr:uid="{3C61F037-6709-4D57-8166-3409D5BDE2D0}"/>
    <cellStyle name="Comma 4 2 5 3 4" xfId="9666" xr:uid="{8697C1D8-895E-4F31-AB0F-034CAF37309B}"/>
    <cellStyle name="Comma 4 2 5 4" xfId="1547" xr:uid="{00000000-0005-0000-0000-0000EB080000}"/>
    <cellStyle name="Comma 4 2 5 4 2" xfId="3777" xr:uid="{00000000-0005-0000-0000-0000EC080000}"/>
    <cellStyle name="Comma 4 2 5 4 2 2" xfId="8000" xr:uid="{00000000-0005-0000-0000-0000ED080000}"/>
    <cellStyle name="Comma 4 2 5 4 2 2 2" xfId="16442" xr:uid="{0FF95A46-EDA7-4E67-8979-09ACF86FE24F}"/>
    <cellStyle name="Comma 4 2 5 4 2 3" xfId="12224" xr:uid="{2A3896B6-2E9D-4FD0-A4E9-0A80B1E387E8}"/>
    <cellStyle name="Comma 4 2 5 4 3" xfId="5855" xr:uid="{00000000-0005-0000-0000-0000EE080000}"/>
    <cellStyle name="Comma 4 2 5 4 3 2" xfId="14297" xr:uid="{CE13628E-5132-4E09-A4CC-C598BA6E024A}"/>
    <cellStyle name="Comma 4 2 5 4 4" xfId="10079" xr:uid="{94C68B66-D17D-4AD1-92CC-03DDF43421B8}"/>
    <cellStyle name="Comma 4 2 5 5" xfId="1961" xr:uid="{00000000-0005-0000-0000-0000EF080000}"/>
    <cellStyle name="Comma 4 2 5 5 2" xfId="4190" xr:uid="{00000000-0005-0000-0000-0000F0080000}"/>
    <cellStyle name="Comma 4 2 5 5 2 2" xfId="8413" xr:uid="{00000000-0005-0000-0000-0000F1080000}"/>
    <cellStyle name="Comma 4 2 5 5 2 2 2" xfId="16855" xr:uid="{0FB719DE-37A9-41C5-B9AA-0AFA1DD4883A}"/>
    <cellStyle name="Comma 4 2 5 5 2 3" xfId="12637" xr:uid="{9B1BF57F-B6E9-4D86-A3F7-A6971B974BBA}"/>
    <cellStyle name="Comma 4 2 5 5 3" xfId="6268" xr:uid="{00000000-0005-0000-0000-0000F2080000}"/>
    <cellStyle name="Comma 4 2 5 5 3 2" xfId="14710" xr:uid="{9BAE17CD-2082-40B6-8243-3AC224538BEA}"/>
    <cellStyle name="Comma 4 2 5 5 4" xfId="10492" xr:uid="{C1A75330-29A9-4A4A-A5D1-DC5AC43DF1FE}"/>
    <cellStyle name="Comma 4 2 5 6" xfId="2396" xr:uid="{00000000-0005-0000-0000-0000F3080000}"/>
    <cellStyle name="Comma 4 2 5 6 2" xfId="6681" xr:uid="{00000000-0005-0000-0000-0000F4080000}"/>
    <cellStyle name="Comma 4 2 5 6 2 2" xfId="15123" xr:uid="{BB0D0ACD-1680-492C-88A7-B8E61C200A17}"/>
    <cellStyle name="Comma 4 2 5 6 3" xfId="10905" xr:uid="{4B58634C-F394-4CE1-ACCA-1BD16321A8BD}"/>
    <cellStyle name="Comma 4 2 5 7" xfId="2367" xr:uid="{00000000-0005-0000-0000-0000F5080000}"/>
    <cellStyle name="Comma 4 2 5 8" xfId="2774" xr:uid="{00000000-0005-0000-0000-0000F6080000}"/>
    <cellStyle name="Comma 4 2 5 8 2" xfId="6998" xr:uid="{00000000-0005-0000-0000-0000F7080000}"/>
    <cellStyle name="Comma 4 2 5 8 2 2" xfId="15440" xr:uid="{38704D5B-F915-45FB-AB3C-13ADE5542A8B}"/>
    <cellStyle name="Comma 4 2 5 8 3" xfId="11222" xr:uid="{FAC1725A-7B9F-4D0A-8E0C-2486AC10CDE7}"/>
    <cellStyle name="Comma 4 2 5 9" xfId="4615" xr:uid="{00000000-0005-0000-0000-0000F8080000}"/>
    <cellStyle name="Comma 4 2 5 9 2" xfId="13057" xr:uid="{B84D1300-E924-43B9-85BB-0C8A8C0E0609}"/>
    <cellStyle name="Comma 4 2 6" xfId="143" xr:uid="{00000000-0005-0000-0000-0000F9080000}"/>
    <cellStyle name="Comma 4 2 6 10" xfId="8840" xr:uid="{8E8878A2-68AC-4EA6-9BAE-D31F7CAB14F4}"/>
    <cellStyle name="Comma 4 2 6 2" xfId="681" xr:uid="{00000000-0005-0000-0000-0000FA080000}"/>
    <cellStyle name="Comma 4 2 6 2 2" xfId="2952" xr:uid="{00000000-0005-0000-0000-0000FB080000}"/>
    <cellStyle name="Comma 4 2 6 2 2 2" xfId="7175" xr:uid="{00000000-0005-0000-0000-0000FC080000}"/>
    <cellStyle name="Comma 4 2 6 2 2 2 2" xfId="15617" xr:uid="{6CF337BA-E228-4EC4-9CD5-F79654250D0B}"/>
    <cellStyle name="Comma 4 2 6 2 2 3" xfId="11399" xr:uid="{30475DC7-27E5-403E-A6C5-46FBC3285664}"/>
    <cellStyle name="Comma 4 2 6 2 3" xfId="5030" xr:uid="{00000000-0005-0000-0000-0000FD080000}"/>
    <cellStyle name="Comma 4 2 6 2 3 2" xfId="13472" xr:uid="{00FB322B-731D-4A5B-9AA3-E1AAEF968CA5}"/>
    <cellStyle name="Comma 4 2 6 2 4" xfId="9254" xr:uid="{554B8F01-FEEF-4078-8D68-F57E83862252}"/>
    <cellStyle name="Comma 4 2 6 3" xfId="1134" xr:uid="{00000000-0005-0000-0000-0000FE080000}"/>
    <cellStyle name="Comma 4 2 6 3 2" xfId="3365" xr:uid="{00000000-0005-0000-0000-0000FF080000}"/>
    <cellStyle name="Comma 4 2 6 3 2 2" xfId="7588" xr:uid="{00000000-0005-0000-0000-000000090000}"/>
    <cellStyle name="Comma 4 2 6 3 2 2 2" xfId="16030" xr:uid="{0CE53DEA-2218-4470-B08C-619521AC01D3}"/>
    <cellStyle name="Comma 4 2 6 3 2 3" xfId="11812" xr:uid="{FC70120E-5F43-489F-B86D-D51D399E317E}"/>
    <cellStyle name="Comma 4 2 6 3 3" xfId="5443" xr:uid="{00000000-0005-0000-0000-000001090000}"/>
    <cellStyle name="Comma 4 2 6 3 3 2" xfId="13885" xr:uid="{E56AF6BF-BB7B-4302-9B75-2A70E8E3AC6D}"/>
    <cellStyle name="Comma 4 2 6 3 4" xfId="9667" xr:uid="{9C055D9F-3218-4DC3-91ED-7136093C299A}"/>
    <cellStyle name="Comma 4 2 6 4" xfId="1548" xr:uid="{00000000-0005-0000-0000-000002090000}"/>
    <cellStyle name="Comma 4 2 6 4 2" xfId="3778" xr:uid="{00000000-0005-0000-0000-000003090000}"/>
    <cellStyle name="Comma 4 2 6 4 2 2" xfId="8001" xr:uid="{00000000-0005-0000-0000-000004090000}"/>
    <cellStyle name="Comma 4 2 6 4 2 2 2" xfId="16443" xr:uid="{1A476F2A-0122-46A2-AACB-92329CD72651}"/>
    <cellStyle name="Comma 4 2 6 4 2 3" xfId="12225" xr:uid="{8DF1E5DD-7297-4852-BA6F-525C245915E8}"/>
    <cellStyle name="Comma 4 2 6 4 3" xfId="5856" xr:uid="{00000000-0005-0000-0000-000005090000}"/>
    <cellStyle name="Comma 4 2 6 4 3 2" xfId="14298" xr:uid="{ED36FE02-FEB4-4955-868B-6B7C828B1627}"/>
    <cellStyle name="Comma 4 2 6 4 4" xfId="10080" xr:uid="{8DD42573-4436-43FE-92A7-022C186FEA28}"/>
    <cellStyle name="Comma 4 2 6 5" xfId="1962" xr:uid="{00000000-0005-0000-0000-000006090000}"/>
    <cellStyle name="Comma 4 2 6 5 2" xfId="4191" xr:uid="{00000000-0005-0000-0000-000007090000}"/>
    <cellStyle name="Comma 4 2 6 5 2 2" xfId="8414" xr:uid="{00000000-0005-0000-0000-000008090000}"/>
    <cellStyle name="Comma 4 2 6 5 2 2 2" xfId="16856" xr:uid="{8FB4058D-29B2-470E-943C-A3FE4577FCB1}"/>
    <cellStyle name="Comma 4 2 6 5 2 3" xfId="12638" xr:uid="{1CE0E2EA-7F8F-450A-B358-49F32E23B4A8}"/>
    <cellStyle name="Comma 4 2 6 5 3" xfId="6269" xr:uid="{00000000-0005-0000-0000-000009090000}"/>
    <cellStyle name="Comma 4 2 6 5 3 2" xfId="14711" xr:uid="{936F0C92-E05B-4632-9EAC-DC31F2931AFF}"/>
    <cellStyle name="Comma 4 2 6 5 4" xfId="10493" xr:uid="{1BD5B1E7-948C-4C90-86DE-4CFC1603C849}"/>
    <cellStyle name="Comma 4 2 6 6" xfId="2397" xr:uid="{00000000-0005-0000-0000-00000A090000}"/>
    <cellStyle name="Comma 4 2 6 6 2" xfId="6682" xr:uid="{00000000-0005-0000-0000-00000B090000}"/>
    <cellStyle name="Comma 4 2 6 6 2 2" xfId="15124" xr:uid="{0188C3A2-317E-4AFF-A509-D46B40019CD5}"/>
    <cellStyle name="Comma 4 2 6 6 3" xfId="10906" xr:uid="{A005A7D9-93BB-4EB7-B2D9-A2C7B7E2030F}"/>
    <cellStyle name="Comma 4 2 6 7" xfId="2366" xr:uid="{00000000-0005-0000-0000-00000C090000}"/>
    <cellStyle name="Comma 4 2 6 8" xfId="2775" xr:uid="{00000000-0005-0000-0000-00000D090000}"/>
    <cellStyle name="Comma 4 2 6 8 2" xfId="6999" xr:uid="{00000000-0005-0000-0000-00000E090000}"/>
    <cellStyle name="Comma 4 2 6 8 2 2" xfId="15441" xr:uid="{C7BFC8F5-C1A6-4F25-BC54-5D832FCC72DC}"/>
    <cellStyle name="Comma 4 2 6 8 3" xfId="11223" xr:uid="{21A7167B-FF56-4895-994F-510AAE8F1CC4}"/>
    <cellStyle name="Comma 4 2 6 9" xfId="4616" xr:uid="{00000000-0005-0000-0000-00000F090000}"/>
    <cellStyle name="Comma 4 2 6 9 2" xfId="13058" xr:uid="{135FD504-E48A-4B2A-9D17-5D7C60D5BCE6}"/>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0 2 2" xfId="15442" xr:uid="{39CF1371-9A8C-4C78-BA6C-8F1DE1F868E1}"/>
    <cellStyle name="Comma 4 3 2 10 3" xfId="11224" xr:uid="{C28913A3-1FCC-4795-B15C-1A9F15A8DA67}"/>
    <cellStyle name="Comma 4 3 2 11" xfId="4617" xr:uid="{00000000-0005-0000-0000-000014090000}"/>
    <cellStyle name="Comma 4 3 2 11 2" xfId="13059" xr:uid="{CC0A26FB-F90B-4D41-8AD5-E6A6B3889456}"/>
    <cellStyle name="Comma 4 3 2 12" xfId="8841" xr:uid="{E20B15BB-127E-4607-8224-A623E6619F78}"/>
    <cellStyle name="Comma 4 3 2 2" xfId="146" xr:uid="{00000000-0005-0000-0000-000015090000}"/>
    <cellStyle name="Comma 4 3 2 2 10" xfId="4618" xr:uid="{00000000-0005-0000-0000-000016090000}"/>
    <cellStyle name="Comma 4 3 2 2 10 2" xfId="13060" xr:uid="{145BD61A-B78E-448E-9557-1218BC12A9B5}"/>
    <cellStyle name="Comma 4 3 2 2 11" xfId="8842" xr:uid="{591FB886-3766-4DBD-B224-39D47EBFE127}"/>
    <cellStyle name="Comma 4 3 2 2 2" xfId="147" xr:uid="{00000000-0005-0000-0000-000017090000}"/>
    <cellStyle name="Comma 4 3 2 2 2 10" xfId="8843" xr:uid="{21FDB8E2-7428-46C9-A499-85D34B089478}"/>
    <cellStyle name="Comma 4 3 2 2 2 2" xfId="684" xr:uid="{00000000-0005-0000-0000-000018090000}"/>
    <cellStyle name="Comma 4 3 2 2 2 2 2" xfId="2955" xr:uid="{00000000-0005-0000-0000-000019090000}"/>
    <cellStyle name="Comma 4 3 2 2 2 2 2 2" xfId="7178" xr:uid="{00000000-0005-0000-0000-00001A090000}"/>
    <cellStyle name="Comma 4 3 2 2 2 2 2 2 2" xfId="15620" xr:uid="{C1BF5101-651E-41F9-99D5-49C0BA2B94FC}"/>
    <cellStyle name="Comma 4 3 2 2 2 2 2 3" xfId="11402" xr:uid="{545E27C2-DFC4-4856-B4DB-7A0DA5FD2640}"/>
    <cellStyle name="Comma 4 3 2 2 2 2 3" xfId="5033" xr:uid="{00000000-0005-0000-0000-00001B090000}"/>
    <cellStyle name="Comma 4 3 2 2 2 2 3 2" xfId="13475" xr:uid="{F9E0AEAA-BFFD-491A-89EB-2DDD886E4815}"/>
    <cellStyle name="Comma 4 3 2 2 2 2 4" xfId="9257" xr:uid="{8A5FE6A5-45DF-4316-8FD1-7DD2C0A19D36}"/>
    <cellStyle name="Comma 4 3 2 2 2 3" xfId="1137" xr:uid="{00000000-0005-0000-0000-00001C090000}"/>
    <cellStyle name="Comma 4 3 2 2 2 3 2" xfId="3368" xr:uid="{00000000-0005-0000-0000-00001D090000}"/>
    <cellStyle name="Comma 4 3 2 2 2 3 2 2" xfId="7591" xr:uid="{00000000-0005-0000-0000-00001E090000}"/>
    <cellStyle name="Comma 4 3 2 2 2 3 2 2 2" xfId="16033" xr:uid="{22E2C12C-893B-4A16-B9A9-A0682E8F517C}"/>
    <cellStyle name="Comma 4 3 2 2 2 3 2 3" xfId="11815" xr:uid="{834A2F9F-6D0B-4919-AFC3-70EBC81EDBE5}"/>
    <cellStyle name="Comma 4 3 2 2 2 3 3" xfId="5446" xr:uid="{00000000-0005-0000-0000-00001F090000}"/>
    <cellStyle name="Comma 4 3 2 2 2 3 3 2" xfId="13888" xr:uid="{9C9A7D3D-1505-4329-8E0D-E2D563EA98F9}"/>
    <cellStyle name="Comma 4 3 2 2 2 3 4" xfId="9670" xr:uid="{F480E8D8-3BBC-4FCC-8BD9-457CD422752B}"/>
    <cellStyle name="Comma 4 3 2 2 2 4" xfId="1551" xr:uid="{00000000-0005-0000-0000-000020090000}"/>
    <cellStyle name="Comma 4 3 2 2 2 4 2" xfId="3781" xr:uid="{00000000-0005-0000-0000-000021090000}"/>
    <cellStyle name="Comma 4 3 2 2 2 4 2 2" xfId="8004" xr:uid="{00000000-0005-0000-0000-000022090000}"/>
    <cellStyle name="Comma 4 3 2 2 2 4 2 2 2" xfId="16446" xr:uid="{4E419BB8-1706-4697-B986-B9EA35281520}"/>
    <cellStyle name="Comma 4 3 2 2 2 4 2 3" xfId="12228" xr:uid="{4236E8A5-A655-4578-9372-F1A32C4282C5}"/>
    <cellStyle name="Comma 4 3 2 2 2 4 3" xfId="5859" xr:uid="{00000000-0005-0000-0000-000023090000}"/>
    <cellStyle name="Comma 4 3 2 2 2 4 3 2" xfId="14301" xr:uid="{DA1B33A3-ABCB-4A07-9F38-6EF6CBCDAE37}"/>
    <cellStyle name="Comma 4 3 2 2 2 4 4" xfId="10083" xr:uid="{41A90F6B-50BF-4B32-8F2D-402A3F39D675}"/>
    <cellStyle name="Comma 4 3 2 2 2 5" xfId="1965" xr:uid="{00000000-0005-0000-0000-000024090000}"/>
    <cellStyle name="Comma 4 3 2 2 2 5 2" xfId="4194" xr:uid="{00000000-0005-0000-0000-000025090000}"/>
    <cellStyle name="Comma 4 3 2 2 2 5 2 2" xfId="8417" xr:uid="{00000000-0005-0000-0000-000026090000}"/>
    <cellStyle name="Comma 4 3 2 2 2 5 2 2 2" xfId="16859" xr:uid="{8F90FFE2-C4DA-4411-8352-BC3BD01737A7}"/>
    <cellStyle name="Comma 4 3 2 2 2 5 2 3" xfId="12641" xr:uid="{8E0E1AE4-4E29-4993-BE87-C75EAC1A9D63}"/>
    <cellStyle name="Comma 4 3 2 2 2 5 3" xfId="6272" xr:uid="{00000000-0005-0000-0000-000027090000}"/>
    <cellStyle name="Comma 4 3 2 2 2 5 3 2" xfId="14714" xr:uid="{B0571602-8EA8-421D-9608-1D742DDBB620}"/>
    <cellStyle name="Comma 4 3 2 2 2 5 4" xfId="10496" xr:uid="{E08A43BF-AEED-49D0-964A-395AC3A54E48}"/>
    <cellStyle name="Comma 4 3 2 2 2 6" xfId="2400" xr:uid="{00000000-0005-0000-0000-000028090000}"/>
    <cellStyle name="Comma 4 3 2 2 2 6 2" xfId="6685" xr:uid="{00000000-0005-0000-0000-000029090000}"/>
    <cellStyle name="Comma 4 3 2 2 2 6 2 2" xfId="15127" xr:uid="{A9537B2E-F509-48DE-BA08-6968991A99A4}"/>
    <cellStyle name="Comma 4 3 2 2 2 6 3" xfId="10909" xr:uid="{217C96F7-11BD-457A-AFEA-11104C9154AC}"/>
    <cellStyle name="Comma 4 3 2 2 2 7" xfId="2363" xr:uid="{00000000-0005-0000-0000-00002A090000}"/>
    <cellStyle name="Comma 4 3 2 2 2 8" xfId="2778" xr:uid="{00000000-0005-0000-0000-00002B090000}"/>
    <cellStyle name="Comma 4 3 2 2 2 8 2" xfId="7002" xr:uid="{00000000-0005-0000-0000-00002C090000}"/>
    <cellStyle name="Comma 4 3 2 2 2 8 2 2" xfId="15444" xr:uid="{11F1840E-23B2-4320-9BCF-399AC01813A9}"/>
    <cellStyle name="Comma 4 3 2 2 2 8 3" xfId="11226" xr:uid="{FC3523A3-485F-4AF8-A5BD-30F7BADFB2E0}"/>
    <cellStyle name="Comma 4 3 2 2 2 9" xfId="4619" xr:uid="{00000000-0005-0000-0000-00002D090000}"/>
    <cellStyle name="Comma 4 3 2 2 2 9 2" xfId="13061" xr:uid="{4D3EC3BF-50E3-4BBE-8A32-16640DC2EFB7}"/>
    <cellStyle name="Comma 4 3 2 2 3" xfId="683" xr:uid="{00000000-0005-0000-0000-00002E090000}"/>
    <cellStyle name="Comma 4 3 2 2 3 2" xfId="2954" xr:uid="{00000000-0005-0000-0000-00002F090000}"/>
    <cellStyle name="Comma 4 3 2 2 3 2 2" xfId="7177" xr:uid="{00000000-0005-0000-0000-000030090000}"/>
    <cellStyle name="Comma 4 3 2 2 3 2 2 2" xfId="15619" xr:uid="{B80E6405-EE6C-499C-BAD1-1B5D383D1EE2}"/>
    <cellStyle name="Comma 4 3 2 2 3 2 3" xfId="11401" xr:uid="{B0ED0CFF-E35C-4D75-BA60-DEE1C2EDB6BC}"/>
    <cellStyle name="Comma 4 3 2 2 3 3" xfId="5032" xr:uid="{00000000-0005-0000-0000-000031090000}"/>
    <cellStyle name="Comma 4 3 2 2 3 3 2" xfId="13474" xr:uid="{F9F00586-ADBA-4046-A2B5-5E627EC1106A}"/>
    <cellStyle name="Comma 4 3 2 2 3 4" xfId="9256" xr:uid="{FE3E5A75-1C93-42CB-BB81-818FAF82341A}"/>
    <cellStyle name="Comma 4 3 2 2 4" xfId="1136" xr:uid="{00000000-0005-0000-0000-000032090000}"/>
    <cellStyle name="Comma 4 3 2 2 4 2" xfId="3367" xr:uid="{00000000-0005-0000-0000-000033090000}"/>
    <cellStyle name="Comma 4 3 2 2 4 2 2" xfId="7590" xr:uid="{00000000-0005-0000-0000-000034090000}"/>
    <cellStyle name="Comma 4 3 2 2 4 2 2 2" xfId="16032" xr:uid="{DD4C9D64-4C1B-4966-BAE5-F329DA45DC4F}"/>
    <cellStyle name="Comma 4 3 2 2 4 2 3" xfId="11814" xr:uid="{E605953D-00C0-48DA-B430-1F704439CDE3}"/>
    <cellStyle name="Comma 4 3 2 2 4 3" xfId="5445" xr:uid="{00000000-0005-0000-0000-000035090000}"/>
    <cellStyle name="Comma 4 3 2 2 4 3 2" xfId="13887" xr:uid="{29D7C326-F37D-44D4-896F-D0DF7CA3CEB3}"/>
    <cellStyle name="Comma 4 3 2 2 4 4" xfId="9669" xr:uid="{8EE3E014-567F-4312-8153-0CD2672FFE22}"/>
    <cellStyle name="Comma 4 3 2 2 5" xfId="1550" xr:uid="{00000000-0005-0000-0000-000036090000}"/>
    <cellStyle name="Comma 4 3 2 2 5 2" xfId="3780" xr:uid="{00000000-0005-0000-0000-000037090000}"/>
    <cellStyle name="Comma 4 3 2 2 5 2 2" xfId="8003" xr:uid="{00000000-0005-0000-0000-000038090000}"/>
    <cellStyle name="Comma 4 3 2 2 5 2 2 2" xfId="16445" xr:uid="{1753661E-ABFE-46F4-A055-552B792FF28B}"/>
    <cellStyle name="Comma 4 3 2 2 5 2 3" xfId="12227" xr:uid="{0D9A0524-11A3-4A39-A3CB-E2CE3EA8AAB4}"/>
    <cellStyle name="Comma 4 3 2 2 5 3" xfId="5858" xr:uid="{00000000-0005-0000-0000-000039090000}"/>
    <cellStyle name="Comma 4 3 2 2 5 3 2" xfId="14300" xr:uid="{A5F430B5-1553-484E-9498-4055EA4DA059}"/>
    <cellStyle name="Comma 4 3 2 2 5 4" xfId="10082" xr:uid="{1FC53D0E-3650-4A00-97AC-61DB37A553C5}"/>
    <cellStyle name="Comma 4 3 2 2 6" xfId="1964" xr:uid="{00000000-0005-0000-0000-00003A090000}"/>
    <cellStyle name="Comma 4 3 2 2 6 2" xfId="4193" xr:uid="{00000000-0005-0000-0000-00003B090000}"/>
    <cellStyle name="Comma 4 3 2 2 6 2 2" xfId="8416" xr:uid="{00000000-0005-0000-0000-00003C090000}"/>
    <cellStyle name="Comma 4 3 2 2 6 2 2 2" xfId="16858" xr:uid="{6799D83F-9286-4E60-8A49-AA8902490654}"/>
    <cellStyle name="Comma 4 3 2 2 6 2 3" xfId="12640" xr:uid="{D601837D-AA07-4246-8374-7304D6021DA4}"/>
    <cellStyle name="Comma 4 3 2 2 6 3" xfId="6271" xr:uid="{00000000-0005-0000-0000-00003D090000}"/>
    <cellStyle name="Comma 4 3 2 2 6 3 2" xfId="14713" xr:uid="{41F46D7F-BDB8-4990-A06F-B805B79B3CA9}"/>
    <cellStyle name="Comma 4 3 2 2 6 4" xfId="10495" xr:uid="{1C0947B1-C092-483F-91BA-5FDF919CA52E}"/>
    <cellStyle name="Comma 4 3 2 2 7" xfId="2399" xr:uid="{00000000-0005-0000-0000-00003E090000}"/>
    <cellStyle name="Comma 4 3 2 2 7 2" xfId="6684" xr:uid="{00000000-0005-0000-0000-00003F090000}"/>
    <cellStyle name="Comma 4 3 2 2 7 2 2" xfId="15126" xr:uid="{D55A5F12-A2CE-4340-A51B-48FE1CE4F55C}"/>
    <cellStyle name="Comma 4 3 2 2 7 3" xfId="10908" xr:uid="{5EB5B65C-27BC-412F-80FD-C36532660EDC}"/>
    <cellStyle name="Comma 4 3 2 2 8" xfId="2364" xr:uid="{00000000-0005-0000-0000-000040090000}"/>
    <cellStyle name="Comma 4 3 2 2 9" xfId="2777" xr:uid="{00000000-0005-0000-0000-000041090000}"/>
    <cellStyle name="Comma 4 3 2 2 9 2" xfId="7001" xr:uid="{00000000-0005-0000-0000-000042090000}"/>
    <cellStyle name="Comma 4 3 2 2 9 2 2" xfId="15443" xr:uid="{46847EBD-7FC2-4BB2-936C-55AF979D4EA5}"/>
    <cellStyle name="Comma 4 3 2 2 9 3" xfId="11225" xr:uid="{0976A56D-2373-4858-AE65-6D2899D0CD7E}"/>
    <cellStyle name="Comma 4 3 2 3" xfId="148" xr:uid="{00000000-0005-0000-0000-000043090000}"/>
    <cellStyle name="Comma 4 3 2 3 10" xfId="8844" xr:uid="{69770F60-D6A6-4E8A-B0B8-375A44BCBA48}"/>
    <cellStyle name="Comma 4 3 2 3 2" xfId="685" xr:uid="{00000000-0005-0000-0000-000044090000}"/>
    <cellStyle name="Comma 4 3 2 3 2 2" xfId="2956" xr:uid="{00000000-0005-0000-0000-000045090000}"/>
    <cellStyle name="Comma 4 3 2 3 2 2 2" xfId="7179" xr:uid="{00000000-0005-0000-0000-000046090000}"/>
    <cellStyle name="Comma 4 3 2 3 2 2 2 2" xfId="15621" xr:uid="{5EFA6474-1026-464C-BD6C-5E27C183D916}"/>
    <cellStyle name="Comma 4 3 2 3 2 2 3" xfId="11403" xr:uid="{3CBF59BB-3554-4DC1-84AA-A7CC3D3D75BB}"/>
    <cellStyle name="Comma 4 3 2 3 2 3" xfId="5034" xr:uid="{00000000-0005-0000-0000-000047090000}"/>
    <cellStyle name="Comma 4 3 2 3 2 3 2" xfId="13476" xr:uid="{26E74997-229D-449C-B202-1570E9C33307}"/>
    <cellStyle name="Comma 4 3 2 3 2 4" xfId="9258" xr:uid="{3FDA51BE-9ABE-4EF1-9AB7-19CBBF5E0A0D}"/>
    <cellStyle name="Comma 4 3 2 3 3" xfId="1138" xr:uid="{00000000-0005-0000-0000-000048090000}"/>
    <cellStyle name="Comma 4 3 2 3 3 2" xfId="3369" xr:uid="{00000000-0005-0000-0000-000049090000}"/>
    <cellStyle name="Comma 4 3 2 3 3 2 2" xfId="7592" xr:uid="{00000000-0005-0000-0000-00004A090000}"/>
    <cellStyle name="Comma 4 3 2 3 3 2 2 2" xfId="16034" xr:uid="{7DB311AC-1145-4AB4-8D52-55C92B6C0A5E}"/>
    <cellStyle name="Comma 4 3 2 3 3 2 3" xfId="11816" xr:uid="{EF7054D0-2D30-45C3-AAB7-58901C618AD8}"/>
    <cellStyle name="Comma 4 3 2 3 3 3" xfId="5447" xr:uid="{00000000-0005-0000-0000-00004B090000}"/>
    <cellStyle name="Comma 4 3 2 3 3 3 2" xfId="13889" xr:uid="{E67CEB06-7804-4F63-AD99-663A5E87A3E1}"/>
    <cellStyle name="Comma 4 3 2 3 3 4" xfId="9671" xr:uid="{51565441-9775-4EDE-9B3A-A056FF5F73F4}"/>
    <cellStyle name="Comma 4 3 2 3 4" xfId="1552" xr:uid="{00000000-0005-0000-0000-00004C090000}"/>
    <cellStyle name="Comma 4 3 2 3 4 2" xfId="3782" xr:uid="{00000000-0005-0000-0000-00004D090000}"/>
    <cellStyle name="Comma 4 3 2 3 4 2 2" xfId="8005" xr:uid="{00000000-0005-0000-0000-00004E090000}"/>
    <cellStyle name="Comma 4 3 2 3 4 2 2 2" xfId="16447" xr:uid="{B1B7CA21-F3ED-406E-8795-02C72BFF8EC4}"/>
    <cellStyle name="Comma 4 3 2 3 4 2 3" xfId="12229" xr:uid="{62D88AE7-C47D-49AB-91DB-190CE4EC5DFC}"/>
    <cellStyle name="Comma 4 3 2 3 4 3" xfId="5860" xr:uid="{00000000-0005-0000-0000-00004F090000}"/>
    <cellStyle name="Comma 4 3 2 3 4 3 2" xfId="14302" xr:uid="{EECB6E16-A438-43B4-92E0-DCA2C0C6B3C7}"/>
    <cellStyle name="Comma 4 3 2 3 4 4" xfId="10084" xr:uid="{ECC74273-49A7-42B9-8552-125D569EB19A}"/>
    <cellStyle name="Comma 4 3 2 3 5" xfId="1966" xr:uid="{00000000-0005-0000-0000-000050090000}"/>
    <cellStyle name="Comma 4 3 2 3 5 2" xfId="4195" xr:uid="{00000000-0005-0000-0000-000051090000}"/>
    <cellStyle name="Comma 4 3 2 3 5 2 2" xfId="8418" xr:uid="{00000000-0005-0000-0000-000052090000}"/>
    <cellStyle name="Comma 4 3 2 3 5 2 2 2" xfId="16860" xr:uid="{7097AC09-8E04-4E76-8772-1B1B4E9EA52A}"/>
    <cellStyle name="Comma 4 3 2 3 5 2 3" xfId="12642" xr:uid="{9F95D858-A331-41DD-A29D-EE82DA265099}"/>
    <cellStyle name="Comma 4 3 2 3 5 3" xfId="6273" xr:uid="{00000000-0005-0000-0000-000053090000}"/>
    <cellStyle name="Comma 4 3 2 3 5 3 2" xfId="14715" xr:uid="{D5DDB402-5311-49E8-B1AC-A508FEA955B5}"/>
    <cellStyle name="Comma 4 3 2 3 5 4" xfId="10497" xr:uid="{3DD5FC02-EDBA-4258-97EA-4C5BF7D053BE}"/>
    <cellStyle name="Comma 4 3 2 3 6" xfId="2401" xr:uid="{00000000-0005-0000-0000-000054090000}"/>
    <cellStyle name="Comma 4 3 2 3 6 2" xfId="6686" xr:uid="{00000000-0005-0000-0000-000055090000}"/>
    <cellStyle name="Comma 4 3 2 3 6 2 2" xfId="15128" xr:uid="{3145D152-99E6-47AD-B363-31A27552DDD8}"/>
    <cellStyle name="Comma 4 3 2 3 6 3" xfId="10910" xr:uid="{D38EBB8A-A154-4C08-921F-7C0BB7FF1268}"/>
    <cellStyle name="Comma 4 3 2 3 7" xfId="2362" xr:uid="{00000000-0005-0000-0000-000056090000}"/>
    <cellStyle name="Comma 4 3 2 3 8" xfId="2779" xr:uid="{00000000-0005-0000-0000-000057090000}"/>
    <cellStyle name="Comma 4 3 2 3 8 2" xfId="7003" xr:uid="{00000000-0005-0000-0000-000058090000}"/>
    <cellStyle name="Comma 4 3 2 3 8 2 2" xfId="15445" xr:uid="{22B4A695-2552-4CBE-8E59-3F938AF6B1F9}"/>
    <cellStyle name="Comma 4 3 2 3 8 3" xfId="11227" xr:uid="{27B1721A-B061-4C44-BA4D-C52FE07B6110}"/>
    <cellStyle name="Comma 4 3 2 3 9" xfId="4620" xr:uid="{00000000-0005-0000-0000-000059090000}"/>
    <cellStyle name="Comma 4 3 2 3 9 2" xfId="13062" xr:uid="{994DFF28-E48E-46F5-9D70-E2D5D813F238}"/>
    <cellStyle name="Comma 4 3 2 4" xfId="682" xr:uid="{00000000-0005-0000-0000-00005A090000}"/>
    <cellStyle name="Comma 4 3 2 4 2" xfId="2953" xr:uid="{00000000-0005-0000-0000-00005B090000}"/>
    <cellStyle name="Comma 4 3 2 4 2 2" xfId="7176" xr:uid="{00000000-0005-0000-0000-00005C090000}"/>
    <cellStyle name="Comma 4 3 2 4 2 2 2" xfId="15618" xr:uid="{2F674C32-9B1A-4685-B02C-6F9819AD79C8}"/>
    <cellStyle name="Comma 4 3 2 4 2 3" xfId="11400" xr:uid="{AB3EDD35-30A1-425E-8E37-89AD65A6F543}"/>
    <cellStyle name="Comma 4 3 2 4 3" xfId="5031" xr:uid="{00000000-0005-0000-0000-00005D090000}"/>
    <cellStyle name="Comma 4 3 2 4 3 2" xfId="13473" xr:uid="{8B7CD575-3A51-42DC-AF85-9B7AF476C2B9}"/>
    <cellStyle name="Comma 4 3 2 4 4" xfId="9255" xr:uid="{0A6B38EC-F31C-485A-917A-A9DF11B34E05}"/>
    <cellStyle name="Comma 4 3 2 5" xfId="1135" xr:uid="{00000000-0005-0000-0000-00005E090000}"/>
    <cellStyle name="Comma 4 3 2 5 2" xfId="3366" xr:uid="{00000000-0005-0000-0000-00005F090000}"/>
    <cellStyle name="Comma 4 3 2 5 2 2" xfId="7589" xr:uid="{00000000-0005-0000-0000-000060090000}"/>
    <cellStyle name="Comma 4 3 2 5 2 2 2" xfId="16031" xr:uid="{D7E62AE4-3A8C-470F-9631-174E7A267D40}"/>
    <cellStyle name="Comma 4 3 2 5 2 3" xfId="11813" xr:uid="{80FD00D7-990C-4EFB-BD6A-AB95F0C88B62}"/>
    <cellStyle name="Comma 4 3 2 5 3" xfId="5444" xr:uid="{00000000-0005-0000-0000-000061090000}"/>
    <cellStyle name="Comma 4 3 2 5 3 2" xfId="13886" xr:uid="{849D608E-EAE3-4C01-812D-AE8041245765}"/>
    <cellStyle name="Comma 4 3 2 5 4" xfId="9668" xr:uid="{A025DF39-2CC3-4880-8F4D-315B2B97D171}"/>
    <cellStyle name="Comma 4 3 2 6" xfId="1549" xr:uid="{00000000-0005-0000-0000-000062090000}"/>
    <cellStyle name="Comma 4 3 2 6 2" xfId="3779" xr:uid="{00000000-0005-0000-0000-000063090000}"/>
    <cellStyle name="Comma 4 3 2 6 2 2" xfId="8002" xr:uid="{00000000-0005-0000-0000-000064090000}"/>
    <cellStyle name="Comma 4 3 2 6 2 2 2" xfId="16444" xr:uid="{EA71A539-30CF-419F-9A6D-6B773928FC4B}"/>
    <cellStyle name="Comma 4 3 2 6 2 3" xfId="12226" xr:uid="{4CAACE9E-D55A-4E05-91B6-B7806FE4D951}"/>
    <cellStyle name="Comma 4 3 2 6 3" xfId="5857" xr:uid="{00000000-0005-0000-0000-000065090000}"/>
    <cellStyle name="Comma 4 3 2 6 3 2" xfId="14299" xr:uid="{F2BC63D7-B4DE-47FF-8DE3-68BCB4609E92}"/>
    <cellStyle name="Comma 4 3 2 6 4" xfId="10081" xr:uid="{6FFC57FD-447E-4841-8FBF-3D85AACE117C}"/>
    <cellStyle name="Comma 4 3 2 7" xfId="1963" xr:uid="{00000000-0005-0000-0000-000066090000}"/>
    <cellStyle name="Comma 4 3 2 7 2" xfId="4192" xr:uid="{00000000-0005-0000-0000-000067090000}"/>
    <cellStyle name="Comma 4 3 2 7 2 2" xfId="8415" xr:uid="{00000000-0005-0000-0000-000068090000}"/>
    <cellStyle name="Comma 4 3 2 7 2 2 2" xfId="16857" xr:uid="{0753861E-153A-482A-B692-27342C04418A}"/>
    <cellStyle name="Comma 4 3 2 7 2 3" xfId="12639" xr:uid="{5337754F-3ABB-4E57-A37B-F2D1600BDD41}"/>
    <cellStyle name="Comma 4 3 2 7 3" xfId="6270" xr:uid="{00000000-0005-0000-0000-000069090000}"/>
    <cellStyle name="Comma 4 3 2 7 3 2" xfId="14712" xr:uid="{34D18BEA-BAAB-4216-AD4B-72388CEDFD85}"/>
    <cellStyle name="Comma 4 3 2 7 4" xfId="10494" xr:uid="{6ADD3B73-C71B-4CB6-A610-30381BA3C247}"/>
    <cellStyle name="Comma 4 3 2 8" xfId="2398" xr:uid="{00000000-0005-0000-0000-00006A090000}"/>
    <cellStyle name="Comma 4 3 2 8 2" xfId="6683" xr:uid="{00000000-0005-0000-0000-00006B090000}"/>
    <cellStyle name="Comma 4 3 2 8 2 2" xfId="15125" xr:uid="{D53899B6-5086-4310-9F51-0EA05B266226}"/>
    <cellStyle name="Comma 4 3 2 8 3" xfId="10907" xr:uid="{0206C55E-E3B3-41DA-A43F-D442AD37A29A}"/>
    <cellStyle name="Comma 4 3 2 9" xfId="2365" xr:uid="{00000000-0005-0000-0000-00006C090000}"/>
    <cellStyle name="Comma 4 3 3" xfId="149" xr:uid="{00000000-0005-0000-0000-00006D090000}"/>
    <cellStyle name="Comma 4 3 3 10" xfId="4621" xr:uid="{00000000-0005-0000-0000-00006E090000}"/>
    <cellStyle name="Comma 4 3 3 10 2" xfId="13063" xr:uid="{D32849D2-2613-4FF8-A152-255DDF03226F}"/>
    <cellStyle name="Comma 4 3 3 11" xfId="8845" xr:uid="{044CDC8C-6836-475A-A6F8-7362A709CFFF}"/>
    <cellStyle name="Comma 4 3 3 2" xfId="150" xr:uid="{00000000-0005-0000-0000-00006F090000}"/>
    <cellStyle name="Comma 4 3 3 2 10" xfId="8846" xr:uid="{6809B5B3-FDCA-41C4-A016-2743DEE19E1E}"/>
    <cellStyle name="Comma 4 3 3 2 2" xfId="687" xr:uid="{00000000-0005-0000-0000-000070090000}"/>
    <cellStyle name="Comma 4 3 3 2 2 2" xfId="2958" xr:uid="{00000000-0005-0000-0000-000071090000}"/>
    <cellStyle name="Comma 4 3 3 2 2 2 2" xfId="7181" xr:uid="{00000000-0005-0000-0000-000072090000}"/>
    <cellStyle name="Comma 4 3 3 2 2 2 2 2" xfId="15623" xr:uid="{86CAD6FE-B7AE-4EFC-A139-A9EB21281785}"/>
    <cellStyle name="Comma 4 3 3 2 2 2 3" xfId="11405" xr:uid="{F1CC9C6B-3D01-4ABC-8903-5F5D8383CD3B}"/>
    <cellStyle name="Comma 4 3 3 2 2 3" xfId="5036" xr:uid="{00000000-0005-0000-0000-000073090000}"/>
    <cellStyle name="Comma 4 3 3 2 2 3 2" xfId="13478" xr:uid="{7C31195A-FF23-4BFC-9849-0A765AF96903}"/>
    <cellStyle name="Comma 4 3 3 2 2 4" xfId="9260" xr:uid="{0F65E565-A8E2-400C-ABE3-331736DDA18E}"/>
    <cellStyle name="Comma 4 3 3 2 3" xfId="1140" xr:uid="{00000000-0005-0000-0000-000074090000}"/>
    <cellStyle name="Comma 4 3 3 2 3 2" xfId="3371" xr:uid="{00000000-0005-0000-0000-000075090000}"/>
    <cellStyle name="Comma 4 3 3 2 3 2 2" xfId="7594" xr:uid="{00000000-0005-0000-0000-000076090000}"/>
    <cellStyle name="Comma 4 3 3 2 3 2 2 2" xfId="16036" xr:uid="{D1689075-0B7E-485F-9628-54C92E0075B4}"/>
    <cellStyle name="Comma 4 3 3 2 3 2 3" xfId="11818" xr:uid="{F5CF5F27-C1FF-4DC7-B829-E9537A2ADCB2}"/>
    <cellStyle name="Comma 4 3 3 2 3 3" xfId="5449" xr:uid="{00000000-0005-0000-0000-000077090000}"/>
    <cellStyle name="Comma 4 3 3 2 3 3 2" xfId="13891" xr:uid="{0019C860-67C6-403B-9A60-03E3FAFCE879}"/>
    <cellStyle name="Comma 4 3 3 2 3 4" xfId="9673" xr:uid="{D0ADD27D-72AF-491F-BD6C-304226316EF9}"/>
    <cellStyle name="Comma 4 3 3 2 4" xfId="1554" xr:uid="{00000000-0005-0000-0000-000078090000}"/>
    <cellStyle name="Comma 4 3 3 2 4 2" xfId="3784" xr:uid="{00000000-0005-0000-0000-000079090000}"/>
    <cellStyle name="Comma 4 3 3 2 4 2 2" xfId="8007" xr:uid="{00000000-0005-0000-0000-00007A090000}"/>
    <cellStyle name="Comma 4 3 3 2 4 2 2 2" xfId="16449" xr:uid="{CA2EA530-C9FE-43E3-BDD3-A88C0A1EBCDD}"/>
    <cellStyle name="Comma 4 3 3 2 4 2 3" xfId="12231" xr:uid="{6C30D853-6E87-4B7D-A908-A60A9E78B83E}"/>
    <cellStyle name="Comma 4 3 3 2 4 3" xfId="5862" xr:uid="{00000000-0005-0000-0000-00007B090000}"/>
    <cellStyle name="Comma 4 3 3 2 4 3 2" xfId="14304" xr:uid="{E3761D84-A7E8-41E8-B11E-6B8E6A731B50}"/>
    <cellStyle name="Comma 4 3 3 2 4 4" xfId="10086" xr:uid="{EE6CC080-A8BB-422A-AC02-D542341CF04A}"/>
    <cellStyle name="Comma 4 3 3 2 5" xfId="1968" xr:uid="{00000000-0005-0000-0000-00007C090000}"/>
    <cellStyle name="Comma 4 3 3 2 5 2" xfId="4197" xr:uid="{00000000-0005-0000-0000-00007D090000}"/>
    <cellStyle name="Comma 4 3 3 2 5 2 2" xfId="8420" xr:uid="{00000000-0005-0000-0000-00007E090000}"/>
    <cellStyle name="Comma 4 3 3 2 5 2 2 2" xfId="16862" xr:uid="{9F87D308-1AF8-4A77-9FC7-F2D03D1F286D}"/>
    <cellStyle name="Comma 4 3 3 2 5 2 3" xfId="12644" xr:uid="{DF4FA63E-A9D4-471D-A365-C0E985F9020D}"/>
    <cellStyle name="Comma 4 3 3 2 5 3" xfId="6275" xr:uid="{00000000-0005-0000-0000-00007F090000}"/>
    <cellStyle name="Comma 4 3 3 2 5 3 2" xfId="14717" xr:uid="{2E578819-7BAC-46A4-83F7-4AF147B548C8}"/>
    <cellStyle name="Comma 4 3 3 2 5 4" xfId="10499" xr:uid="{14CC8C55-3516-4343-A72D-0BA9AE148699}"/>
    <cellStyle name="Comma 4 3 3 2 6" xfId="2403" xr:uid="{00000000-0005-0000-0000-000080090000}"/>
    <cellStyle name="Comma 4 3 3 2 6 2" xfId="6688" xr:uid="{00000000-0005-0000-0000-000081090000}"/>
    <cellStyle name="Comma 4 3 3 2 6 2 2" xfId="15130" xr:uid="{69319122-F201-4C33-843D-74DAD838605B}"/>
    <cellStyle name="Comma 4 3 3 2 6 3" xfId="10912" xr:uid="{62740212-D00F-4FE5-99A2-3A735A3C360E}"/>
    <cellStyle name="Comma 4 3 3 2 7" xfId="2360" xr:uid="{00000000-0005-0000-0000-000082090000}"/>
    <cellStyle name="Comma 4 3 3 2 8" xfId="2781" xr:uid="{00000000-0005-0000-0000-000083090000}"/>
    <cellStyle name="Comma 4 3 3 2 8 2" xfId="7005" xr:uid="{00000000-0005-0000-0000-000084090000}"/>
    <cellStyle name="Comma 4 3 3 2 8 2 2" xfId="15447" xr:uid="{B7B41081-D750-4944-B392-3DDE3CAB5C24}"/>
    <cellStyle name="Comma 4 3 3 2 8 3" xfId="11229" xr:uid="{C90F9919-646D-4005-923C-AFE4614E9BB7}"/>
    <cellStyle name="Comma 4 3 3 2 9" xfId="4622" xr:uid="{00000000-0005-0000-0000-000085090000}"/>
    <cellStyle name="Comma 4 3 3 2 9 2" xfId="13064" xr:uid="{83E4D87C-8F3A-4A23-84F5-8F41AB21CA01}"/>
    <cellStyle name="Comma 4 3 3 3" xfId="686" xr:uid="{00000000-0005-0000-0000-000086090000}"/>
    <cellStyle name="Comma 4 3 3 3 2" xfId="2957" xr:uid="{00000000-0005-0000-0000-000087090000}"/>
    <cellStyle name="Comma 4 3 3 3 2 2" xfId="7180" xr:uid="{00000000-0005-0000-0000-000088090000}"/>
    <cellStyle name="Comma 4 3 3 3 2 2 2" xfId="15622" xr:uid="{BA30DF09-C7D0-48FE-A8F3-E504941DFB54}"/>
    <cellStyle name="Comma 4 3 3 3 2 3" xfId="11404" xr:uid="{6AE9E63F-FB62-4DF8-81B7-F30313F12392}"/>
    <cellStyle name="Comma 4 3 3 3 3" xfId="5035" xr:uid="{00000000-0005-0000-0000-000089090000}"/>
    <cellStyle name="Comma 4 3 3 3 3 2" xfId="13477" xr:uid="{47325D48-C887-434D-A6D4-0A3780DFE459}"/>
    <cellStyle name="Comma 4 3 3 3 4" xfId="9259" xr:uid="{9F0A5E02-1E80-49CA-89A3-021ADDD036DE}"/>
    <cellStyle name="Comma 4 3 3 4" xfId="1139" xr:uid="{00000000-0005-0000-0000-00008A090000}"/>
    <cellStyle name="Comma 4 3 3 4 2" xfId="3370" xr:uid="{00000000-0005-0000-0000-00008B090000}"/>
    <cellStyle name="Comma 4 3 3 4 2 2" xfId="7593" xr:uid="{00000000-0005-0000-0000-00008C090000}"/>
    <cellStyle name="Comma 4 3 3 4 2 2 2" xfId="16035" xr:uid="{C0A6B93F-FE53-4A89-9F3B-D96DA30EAEFB}"/>
    <cellStyle name="Comma 4 3 3 4 2 3" xfId="11817" xr:uid="{F46502D6-5CFD-4D74-81EC-324AA8C0EE06}"/>
    <cellStyle name="Comma 4 3 3 4 3" xfId="5448" xr:uid="{00000000-0005-0000-0000-00008D090000}"/>
    <cellStyle name="Comma 4 3 3 4 3 2" xfId="13890" xr:uid="{5F9C73F7-5F2B-48F2-9328-7DAD1BF0964E}"/>
    <cellStyle name="Comma 4 3 3 4 4" xfId="9672" xr:uid="{A1EA3FE8-2BD9-4980-BAF2-C5632B44F18D}"/>
    <cellStyle name="Comma 4 3 3 5" xfId="1553" xr:uid="{00000000-0005-0000-0000-00008E090000}"/>
    <cellStyle name="Comma 4 3 3 5 2" xfId="3783" xr:uid="{00000000-0005-0000-0000-00008F090000}"/>
    <cellStyle name="Comma 4 3 3 5 2 2" xfId="8006" xr:uid="{00000000-0005-0000-0000-000090090000}"/>
    <cellStyle name="Comma 4 3 3 5 2 2 2" xfId="16448" xr:uid="{969C93C3-6EBF-493B-8061-6C0ABBBC3B1C}"/>
    <cellStyle name="Comma 4 3 3 5 2 3" xfId="12230" xr:uid="{3583224D-71D2-4367-A7DA-ED748CCD75D1}"/>
    <cellStyle name="Comma 4 3 3 5 3" xfId="5861" xr:uid="{00000000-0005-0000-0000-000091090000}"/>
    <cellStyle name="Comma 4 3 3 5 3 2" xfId="14303" xr:uid="{AB3C0264-11CA-42BF-B93C-281BFEA2A2AF}"/>
    <cellStyle name="Comma 4 3 3 5 4" xfId="10085" xr:uid="{1E60C19D-414D-447F-A472-9553B88BDFDF}"/>
    <cellStyle name="Comma 4 3 3 6" xfId="1967" xr:uid="{00000000-0005-0000-0000-000092090000}"/>
    <cellStyle name="Comma 4 3 3 6 2" xfId="4196" xr:uid="{00000000-0005-0000-0000-000093090000}"/>
    <cellStyle name="Comma 4 3 3 6 2 2" xfId="8419" xr:uid="{00000000-0005-0000-0000-000094090000}"/>
    <cellStyle name="Comma 4 3 3 6 2 2 2" xfId="16861" xr:uid="{0B41AF83-0730-41BC-A420-9AC07D7589FC}"/>
    <cellStyle name="Comma 4 3 3 6 2 3" xfId="12643" xr:uid="{A5EC753D-9D23-4B52-B0C2-054212387BCC}"/>
    <cellStyle name="Comma 4 3 3 6 3" xfId="6274" xr:uid="{00000000-0005-0000-0000-000095090000}"/>
    <cellStyle name="Comma 4 3 3 6 3 2" xfId="14716" xr:uid="{F65DE7C4-0A19-4803-8C2C-B2237DEF9F55}"/>
    <cellStyle name="Comma 4 3 3 6 4" xfId="10498" xr:uid="{DF7E9187-0C36-4BD4-91E9-ABC9344C785E}"/>
    <cellStyle name="Comma 4 3 3 7" xfId="2402" xr:uid="{00000000-0005-0000-0000-000096090000}"/>
    <cellStyle name="Comma 4 3 3 7 2" xfId="6687" xr:uid="{00000000-0005-0000-0000-000097090000}"/>
    <cellStyle name="Comma 4 3 3 7 2 2" xfId="15129" xr:uid="{46B847A6-39BE-4B4E-8FC0-1C08BFD05E51}"/>
    <cellStyle name="Comma 4 3 3 7 3" xfId="10911" xr:uid="{91994E3D-0A75-49EE-AF8D-3B0880B20FA6}"/>
    <cellStyle name="Comma 4 3 3 8" xfId="2361" xr:uid="{00000000-0005-0000-0000-000098090000}"/>
    <cellStyle name="Comma 4 3 3 9" xfId="2780" xr:uid="{00000000-0005-0000-0000-000099090000}"/>
    <cellStyle name="Comma 4 3 3 9 2" xfId="7004" xr:uid="{00000000-0005-0000-0000-00009A090000}"/>
    <cellStyle name="Comma 4 3 3 9 2 2" xfId="15446" xr:uid="{202631A5-97C8-4E2C-AAC0-2DE0133C1A5A}"/>
    <cellStyle name="Comma 4 3 3 9 3" xfId="11228" xr:uid="{70DF1001-F517-478D-93BA-00EC35C5E850}"/>
    <cellStyle name="Comma 4 3 4" xfId="151" xr:uid="{00000000-0005-0000-0000-00009B090000}"/>
    <cellStyle name="Comma 4 3 4 10" xfId="8847" xr:uid="{BB1C727E-9010-4275-893D-07B7080C5DAE}"/>
    <cellStyle name="Comma 4 3 4 2" xfId="688" xr:uid="{00000000-0005-0000-0000-00009C090000}"/>
    <cellStyle name="Comma 4 3 4 2 2" xfId="2959" xr:uid="{00000000-0005-0000-0000-00009D090000}"/>
    <cellStyle name="Comma 4 3 4 2 2 2" xfId="7182" xr:uid="{00000000-0005-0000-0000-00009E090000}"/>
    <cellStyle name="Comma 4 3 4 2 2 2 2" xfId="15624" xr:uid="{E8FA6115-065A-4A57-9B12-1FE81E4F1A9E}"/>
    <cellStyle name="Comma 4 3 4 2 2 3" xfId="11406" xr:uid="{8BE97D7C-4AA1-4E17-868B-1304C68E61CF}"/>
    <cellStyle name="Comma 4 3 4 2 3" xfId="5037" xr:uid="{00000000-0005-0000-0000-00009F090000}"/>
    <cellStyle name="Comma 4 3 4 2 3 2" xfId="13479" xr:uid="{EB90274E-834F-4D78-B06E-4B0981CAF403}"/>
    <cellStyle name="Comma 4 3 4 2 4" xfId="9261" xr:uid="{95E880E0-4EDD-40F2-A356-E6770FC60DF0}"/>
    <cellStyle name="Comma 4 3 4 3" xfId="1141" xr:uid="{00000000-0005-0000-0000-0000A0090000}"/>
    <cellStyle name="Comma 4 3 4 3 2" xfId="3372" xr:uid="{00000000-0005-0000-0000-0000A1090000}"/>
    <cellStyle name="Comma 4 3 4 3 2 2" xfId="7595" xr:uid="{00000000-0005-0000-0000-0000A2090000}"/>
    <cellStyle name="Comma 4 3 4 3 2 2 2" xfId="16037" xr:uid="{83A16D72-8C18-46D5-811A-D1B61CC81335}"/>
    <cellStyle name="Comma 4 3 4 3 2 3" xfId="11819" xr:uid="{DA8B7F58-1696-4796-A195-B6F20D26D00B}"/>
    <cellStyle name="Comma 4 3 4 3 3" xfId="5450" xr:uid="{00000000-0005-0000-0000-0000A3090000}"/>
    <cellStyle name="Comma 4 3 4 3 3 2" xfId="13892" xr:uid="{B4745B5B-CC87-4CAE-B241-CA9ACC334227}"/>
    <cellStyle name="Comma 4 3 4 3 4" xfId="9674" xr:uid="{6FEBA5B8-EFA7-43D3-881A-FD4036A16D57}"/>
    <cellStyle name="Comma 4 3 4 4" xfId="1555" xr:uid="{00000000-0005-0000-0000-0000A4090000}"/>
    <cellStyle name="Comma 4 3 4 4 2" xfId="3785" xr:uid="{00000000-0005-0000-0000-0000A5090000}"/>
    <cellStyle name="Comma 4 3 4 4 2 2" xfId="8008" xr:uid="{00000000-0005-0000-0000-0000A6090000}"/>
    <cellStyle name="Comma 4 3 4 4 2 2 2" xfId="16450" xr:uid="{14D70031-32A2-4A77-844F-DDC826892084}"/>
    <cellStyle name="Comma 4 3 4 4 2 3" xfId="12232" xr:uid="{57A2B491-F965-483C-BA46-3C87730AB8E5}"/>
    <cellStyle name="Comma 4 3 4 4 3" xfId="5863" xr:uid="{00000000-0005-0000-0000-0000A7090000}"/>
    <cellStyle name="Comma 4 3 4 4 3 2" xfId="14305" xr:uid="{90AD30A4-9E27-4294-92C0-B8B0FECB02D9}"/>
    <cellStyle name="Comma 4 3 4 4 4" xfId="10087" xr:uid="{26707AB5-69B6-4E4F-B8DB-D10C761C37E4}"/>
    <cellStyle name="Comma 4 3 4 5" xfId="1969" xr:uid="{00000000-0005-0000-0000-0000A8090000}"/>
    <cellStyle name="Comma 4 3 4 5 2" xfId="4198" xr:uid="{00000000-0005-0000-0000-0000A9090000}"/>
    <cellStyle name="Comma 4 3 4 5 2 2" xfId="8421" xr:uid="{00000000-0005-0000-0000-0000AA090000}"/>
    <cellStyle name="Comma 4 3 4 5 2 2 2" xfId="16863" xr:uid="{B56EBFC8-493E-4DBA-975C-E9CE1CD4F1EF}"/>
    <cellStyle name="Comma 4 3 4 5 2 3" xfId="12645" xr:uid="{E7ADBCDA-B9B8-49B1-94C8-258CCACA397E}"/>
    <cellStyle name="Comma 4 3 4 5 3" xfId="6276" xr:uid="{00000000-0005-0000-0000-0000AB090000}"/>
    <cellStyle name="Comma 4 3 4 5 3 2" xfId="14718" xr:uid="{BDB30821-139C-46D6-A860-558FD3639A61}"/>
    <cellStyle name="Comma 4 3 4 5 4" xfId="10500" xr:uid="{26703E52-509E-4E6A-9C02-DC9DD10E1183}"/>
    <cellStyle name="Comma 4 3 4 6" xfId="2404" xr:uid="{00000000-0005-0000-0000-0000AC090000}"/>
    <cellStyle name="Comma 4 3 4 6 2" xfId="6689" xr:uid="{00000000-0005-0000-0000-0000AD090000}"/>
    <cellStyle name="Comma 4 3 4 6 2 2" xfId="15131" xr:uid="{7A3A7777-9780-48E5-ACA7-BEFE568CCA03}"/>
    <cellStyle name="Comma 4 3 4 6 3" xfId="10913" xr:uid="{7EE1520A-4D16-4BDF-9EEE-DD6377AF9118}"/>
    <cellStyle name="Comma 4 3 4 7" xfId="2700" xr:uid="{00000000-0005-0000-0000-0000AE090000}"/>
    <cellStyle name="Comma 4 3 4 8" xfId="2782" xr:uid="{00000000-0005-0000-0000-0000AF090000}"/>
    <cellStyle name="Comma 4 3 4 8 2" xfId="7006" xr:uid="{00000000-0005-0000-0000-0000B0090000}"/>
    <cellStyle name="Comma 4 3 4 8 2 2" xfId="15448" xr:uid="{3512CEBD-8A48-43AE-AA06-4BB22832F872}"/>
    <cellStyle name="Comma 4 3 4 8 3" xfId="11230" xr:uid="{0B182FC2-D9E3-4974-827C-9466DC78393D}"/>
    <cellStyle name="Comma 4 3 4 9" xfId="4623" xr:uid="{00000000-0005-0000-0000-0000B1090000}"/>
    <cellStyle name="Comma 4 3 4 9 2" xfId="13065" xr:uid="{AA525BAA-64A9-4078-A939-86C996226742}"/>
    <cellStyle name="Comma 4 3 5" xfId="152" xr:uid="{00000000-0005-0000-0000-0000B2090000}"/>
    <cellStyle name="Comma 4 3 5 10" xfId="8848" xr:uid="{9D766264-2F27-4C3D-8EC2-186498E5F538}"/>
    <cellStyle name="Comma 4 3 5 2" xfId="689" xr:uid="{00000000-0005-0000-0000-0000B3090000}"/>
    <cellStyle name="Comma 4 3 5 2 2" xfId="2960" xr:uid="{00000000-0005-0000-0000-0000B4090000}"/>
    <cellStyle name="Comma 4 3 5 2 2 2" xfId="7183" xr:uid="{00000000-0005-0000-0000-0000B5090000}"/>
    <cellStyle name="Comma 4 3 5 2 2 2 2" xfId="15625" xr:uid="{02738668-6AFF-43AE-9532-0BC25959F11E}"/>
    <cellStyle name="Comma 4 3 5 2 2 3" xfId="11407" xr:uid="{7D649DE1-8D0B-4291-84A7-80476684C40B}"/>
    <cellStyle name="Comma 4 3 5 2 3" xfId="5038" xr:uid="{00000000-0005-0000-0000-0000B6090000}"/>
    <cellStyle name="Comma 4 3 5 2 3 2" xfId="13480" xr:uid="{4E7509CA-E24B-46F1-A7FF-58EE159922B4}"/>
    <cellStyle name="Comma 4 3 5 2 4" xfId="9262" xr:uid="{4D2C3A0D-F4CA-4724-B924-28F4BE00555B}"/>
    <cellStyle name="Comma 4 3 5 3" xfId="1142" xr:uid="{00000000-0005-0000-0000-0000B7090000}"/>
    <cellStyle name="Comma 4 3 5 3 2" xfId="3373" xr:uid="{00000000-0005-0000-0000-0000B8090000}"/>
    <cellStyle name="Comma 4 3 5 3 2 2" xfId="7596" xr:uid="{00000000-0005-0000-0000-0000B9090000}"/>
    <cellStyle name="Comma 4 3 5 3 2 2 2" xfId="16038" xr:uid="{61F62537-53DE-442C-BA71-FCCB3746698E}"/>
    <cellStyle name="Comma 4 3 5 3 2 3" xfId="11820" xr:uid="{51916725-3567-4374-AF9B-E9EE3ECDDF9B}"/>
    <cellStyle name="Comma 4 3 5 3 3" xfId="5451" xr:uid="{00000000-0005-0000-0000-0000BA090000}"/>
    <cellStyle name="Comma 4 3 5 3 3 2" xfId="13893" xr:uid="{5EF83ACE-68B6-4BC8-B763-733745ECD0C7}"/>
    <cellStyle name="Comma 4 3 5 3 4" xfId="9675" xr:uid="{433FA6A7-BD47-4C83-B21C-0F127BDC9D55}"/>
    <cellStyle name="Comma 4 3 5 4" xfId="1556" xr:uid="{00000000-0005-0000-0000-0000BB090000}"/>
    <cellStyle name="Comma 4 3 5 4 2" xfId="3786" xr:uid="{00000000-0005-0000-0000-0000BC090000}"/>
    <cellStyle name="Comma 4 3 5 4 2 2" xfId="8009" xr:uid="{00000000-0005-0000-0000-0000BD090000}"/>
    <cellStyle name="Comma 4 3 5 4 2 2 2" xfId="16451" xr:uid="{1C4B4DF8-78B6-44F4-B8EF-A899F7058340}"/>
    <cellStyle name="Comma 4 3 5 4 2 3" xfId="12233" xr:uid="{86603460-0290-4A38-9BCA-EBF9C50047EC}"/>
    <cellStyle name="Comma 4 3 5 4 3" xfId="5864" xr:uid="{00000000-0005-0000-0000-0000BE090000}"/>
    <cellStyle name="Comma 4 3 5 4 3 2" xfId="14306" xr:uid="{2938EC0E-366A-4899-86D3-D27413210C2F}"/>
    <cellStyle name="Comma 4 3 5 4 4" xfId="10088" xr:uid="{62FC9418-886F-41CF-926C-6DA35189C369}"/>
    <cellStyle name="Comma 4 3 5 5" xfId="1970" xr:uid="{00000000-0005-0000-0000-0000BF090000}"/>
    <cellStyle name="Comma 4 3 5 5 2" xfId="4199" xr:uid="{00000000-0005-0000-0000-0000C0090000}"/>
    <cellStyle name="Comma 4 3 5 5 2 2" xfId="8422" xr:uid="{00000000-0005-0000-0000-0000C1090000}"/>
    <cellStyle name="Comma 4 3 5 5 2 2 2" xfId="16864" xr:uid="{179B2AE5-E5D2-4C3B-B083-33180CA1AD1D}"/>
    <cellStyle name="Comma 4 3 5 5 2 3" xfId="12646" xr:uid="{BA55DDC8-E131-47A7-AAA4-F3F5EA54ABDE}"/>
    <cellStyle name="Comma 4 3 5 5 3" xfId="6277" xr:uid="{00000000-0005-0000-0000-0000C2090000}"/>
    <cellStyle name="Comma 4 3 5 5 3 2" xfId="14719" xr:uid="{885DB70A-8FC4-4586-BD4D-10E4BD151F79}"/>
    <cellStyle name="Comma 4 3 5 5 4" xfId="10501" xr:uid="{AB8727E9-36A8-4488-B915-D52F9509A27C}"/>
    <cellStyle name="Comma 4 3 5 6" xfId="2405" xr:uid="{00000000-0005-0000-0000-0000C3090000}"/>
    <cellStyle name="Comma 4 3 5 6 2" xfId="6690" xr:uid="{00000000-0005-0000-0000-0000C4090000}"/>
    <cellStyle name="Comma 4 3 5 6 2 2" xfId="15132" xr:uid="{36C067D9-3A04-4BA4-9F4A-39E4E66F2C00}"/>
    <cellStyle name="Comma 4 3 5 6 3" xfId="10914" xr:uid="{09A89C23-A657-463D-82E1-5C98F975C9C8}"/>
    <cellStyle name="Comma 4 3 5 7" xfId="2701" xr:uid="{00000000-0005-0000-0000-0000C5090000}"/>
    <cellStyle name="Comma 4 3 5 8" xfId="2783" xr:uid="{00000000-0005-0000-0000-0000C6090000}"/>
    <cellStyle name="Comma 4 3 5 8 2" xfId="7007" xr:uid="{00000000-0005-0000-0000-0000C7090000}"/>
    <cellStyle name="Comma 4 3 5 8 2 2" xfId="15449" xr:uid="{BA058651-D3A6-4A60-AD09-E38292AA2C30}"/>
    <cellStyle name="Comma 4 3 5 8 3" xfId="11231" xr:uid="{123AEDF3-E646-445F-813F-4672577B35E3}"/>
    <cellStyle name="Comma 4 3 5 9" xfId="4624" xr:uid="{00000000-0005-0000-0000-0000C8090000}"/>
    <cellStyle name="Comma 4 3 5 9 2" xfId="13066" xr:uid="{FA49AE86-508C-4B45-A3E7-A59AF52D4377}"/>
    <cellStyle name="Comma 4 4" xfId="153" xr:uid="{00000000-0005-0000-0000-0000C9090000}"/>
    <cellStyle name="Comma 4 4 10" xfId="2784" xr:uid="{00000000-0005-0000-0000-0000CA090000}"/>
    <cellStyle name="Comma 4 4 10 2" xfId="7008" xr:uid="{00000000-0005-0000-0000-0000CB090000}"/>
    <cellStyle name="Comma 4 4 10 2 2" xfId="15450" xr:uid="{1BD6666D-083A-4D8C-A508-2377C8917166}"/>
    <cellStyle name="Comma 4 4 10 3" xfId="11232" xr:uid="{57B0A55B-6121-4125-A1A0-AE15E90BE6CC}"/>
    <cellStyle name="Comma 4 4 11" xfId="4625" xr:uid="{00000000-0005-0000-0000-0000CC090000}"/>
    <cellStyle name="Comma 4 4 11 2" xfId="13067" xr:uid="{6BD752B2-D308-4E10-B618-63FC0A0EEFFB}"/>
    <cellStyle name="Comma 4 4 12" xfId="8849" xr:uid="{17454172-DC4E-4C02-83B7-DBC9DCF2420C}"/>
    <cellStyle name="Comma 4 4 2" xfId="154" xr:uid="{00000000-0005-0000-0000-0000CD090000}"/>
    <cellStyle name="Comma 4 4 2 10" xfId="4626" xr:uid="{00000000-0005-0000-0000-0000CE090000}"/>
    <cellStyle name="Comma 4 4 2 10 2" xfId="13068" xr:uid="{9DD3D548-7617-4BE2-9401-A5AEB6578C09}"/>
    <cellStyle name="Comma 4 4 2 11" xfId="8850" xr:uid="{5602DFC9-859F-4561-B70C-7B27AEF43630}"/>
    <cellStyle name="Comma 4 4 2 2" xfId="155" xr:uid="{00000000-0005-0000-0000-0000CF090000}"/>
    <cellStyle name="Comma 4 4 2 2 10" xfId="8851" xr:uid="{415DC56F-7D17-420E-ACBD-77223652151C}"/>
    <cellStyle name="Comma 4 4 2 2 2" xfId="692" xr:uid="{00000000-0005-0000-0000-0000D0090000}"/>
    <cellStyle name="Comma 4 4 2 2 2 2" xfId="2963" xr:uid="{00000000-0005-0000-0000-0000D1090000}"/>
    <cellStyle name="Comma 4 4 2 2 2 2 2" xfId="7186" xr:uid="{00000000-0005-0000-0000-0000D2090000}"/>
    <cellStyle name="Comma 4 4 2 2 2 2 2 2" xfId="15628" xr:uid="{B0BF16A0-67C5-451A-A452-CB33BE1ED8FE}"/>
    <cellStyle name="Comma 4 4 2 2 2 2 3" xfId="11410" xr:uid="{1E4972FA-84C4-4024-9A7D-08880C1E8263}"/>
    <cellStyle name="Comma 4 4 2 2 2 3" xfId="5041" xr:uid="{00000000-0005-0000-0000-0000D3090000}"/>
    <cellStyle name="Comma 4 4 2 2 2 3 2" xfId="13483" xr:uid="{F2E69B34-AA27-48FD-96B6-5391DC227DEE}"/>
    <cellStyle name="Comma 4 4 2 2 2 4" xfId="9265" xr:uid="{461BFA7C-0E1A-45EA-B764-2F8EFF38CC2C}"/>
    <cellStyle name="Comma 4 4 2 2 3" xfId="1145" xr:uid="{00000000-0005-0000-0000-0000D4090000}"/>
    <cellStyle name="Comma 4 4 2 2 3 2" xfId="3376" xr:uid="{00000000-0005-0000-0000-0000D5090000}"/>
    <cellStyle name="Comma 4 4 2 2 3 2 2" xfId="7599" xr:uid="{00000000-0005-0000-0000-0000D6090000}"/>
    <cellStyle name="Comma 4 4 2 2 3 2 2 2" xfId="16041" xr:uid="{1E01EC96-0399-4247-A577-EFE76AD82F80}"/>
    <cellStyle name="Comma 4 4 2 2 3 2 3" xfId="11823" xr:uid="{F98AAD8F-0E9C-4350-AFAC-E945BD21C1F0}"/>
    <cellStyle name="Comma 4 4 2 2 3 3" xfId="5454" xr:uid="{00000000-0005-0000-0000-0000D7090000}"/>
    <cellStyle name="Comma 4 4 2 2 3 3 2" xfId="13896" xr:uid="{AABD6886-E6D5-4AB8-8C16-A257EC52015C}"/>
    <cellStyle name="Comma 4 4 2 2 3 4" xfId="9678" xr:uid="{D9268B2C-4E2E-4F5A-B928-C3078DECABDD}"/>
    <cellStyle name="Comma 4 4 2 2 4" xfId="1559" xr:uid="{00000000-0005-0000-0000-0000D8090000}"/>
    <cellStyle name="Comma 4 4 2 2 4 2" xfId="3789" xr:uid="{00000000-0005-0000-0000-0000D9090000}"/>
    <cellStyle name="Comma 4 4 2 2 4 2 2" xfId="8012" xr:uid="{00000000-0005-0000-0000-0000DA090000}"/>
    <cellStyle name="Comma 4 4 2 2 4 2 2 2" xfId="16454" xr:uid="{D4ABEAB3-8756-4080-B873-436B2556ACDD}"/>
    <cellStyle name="Comma 4 4 2 2 4 2 3" xfId="12236" xr:uid="{401D5F06-6C70-481B-B9CA-6B0DBE30E389}"/>
    <cellStyle name="Comma 4 4 2 2 4 3" xfId="5867" xr:uid="{00000000-0005-0000-0000-0000DB090000}"/>
    <cellStyle name="Comma 4 4 2 2 4 3 2" xfId="14309" xr:uid="{12193C37-262D-4C3B-998D-CA4FDA7EACFF}"/>
    <cellStyle name="Comma 4 4 2 2 4 4" xfId="10091" xr:uid="{08402C8A-272A-4040-9D2D-B0C11CC89B19}"/>
    <cellStyle name="Comma 4 4 2 2 5" xfId="1973" xr:uid="{00000000-0005-0000-0000-0000DC090000}"/>
    <cellStyle name="Comma 4 4 2 2 5 2" xfId="4202" xr:uid="{00000000-0005-0000-0000-0000DD090000}"/>
    <cellStyle name="Comma 4 4 2 2 5 2 2" xfId="8425" xr:uid="{00000000-0005-0000-0000-0000DE090000}"/>
    <cellStyle name="Comma 4 4 2 2 5 2 2 2" xfId="16867" xr:uid="{EF265170-B9F7-402A-A3BF-951DF882DE73}"/>
    <cellStyle name="Comma 4 4 2 2 5 2 3" xfId="12649" xr:uid="{3F17F42F-4EDE-46B2-8D17-F3FF2AA07C3A}"/>
    <cellStyle name="Comma 4 4 2 2 5 3" xfId="6280" xr:uid="{00000000-0005-0000-0000-0000DF090000}"/>
    <cellStyle name="Comma 4 4 2 2 5 3 2" xfId="14722" xr:uid="{89B0BC92-8A0D-42F7-9BDD-2E7486B8BFB3}"/>
    <cellStyle name="Comma 4 4 2 2 5 4" xfId="10504" xr:uid="{075D4D02-430D-44A4-BFB4-B0CD4EA50239}"/>
    <cellStyle name="Comma 4 4 2 2 6" xfId="2408" xr:uid="{00000000-0005-0000-0000-0000E0090000}"/>
    <cellStyle name="Comma 4 4 2 2 6 2" xfId="6693" xr:uid="{00000000-0005-0000-0000-0000E1090000}"/>
    <cellStyle name="Comma 4 4 2 2 6 2 2" xfId="15135" xr:uid="{F59D0748-4D77-4408-AB57-B8030A81B05F}"/>
    <cellStyle name="Comma 4 4 2 2 6 3" xfId="10917" xr:uid="{9F2EBEC7-44F8-4228-BE00-438057261909}"/>
    <cellStyle name="Comma 4 4 2 2 7" xfId="2704" xr:uid="{00000000-0005-0000-0000-0000E2090000}"/>
    <cellStyle name="Comma 4 4 2 2 8" xfId="2786" xr:uid="{00000000-0005-0000-0000-0000E3090000}"/>
    <cellStyle name="Comma 4 4 2 2 8 2" xfId="7010" xr:uid="{00000000-0005-0000-0000-0000E4090000}"/>
    <cellStyle name="Comma 4 4 2 2 8 2 2" xfId="15452" xr:uid="{63D25996-69C7-4E95-97F5-64E06171A1B6}"/>
    <cellStyle name="Comma 4 4 2 2 8 3" xfId="11234" xr:uid="{D85662D3-0E24-4544-A85F-308E04BBA867}"/>
    <cellStyle name="Comma 4 4 2 2 9" xfId="4627" xr:uid="{00000000-0005-0000-0000-0000E5090000}"/>
    <cellStyle name="Comma 4 4 2 2 9 2" xfId="13069" xr:uid="{70DE715E-C633-4385-BA53-E596277423F6}"/>
    <cellStyle name="Comma 4 4 2 3" xfId="691" xr:uid="{00000000-0005-0000-0000-0000E6090000}"/>
    <cellStyle name="Comma 4 4 2 3 2" xfId="2962" xr:uid="{00000000-0005-0000-0000-0000E7090000}"/>
    <cellStyle name="Comma 4 4 2 3 2 2" xfId="7185" xr:uid="{00000000-0005-0000-0000-0000E8090000}"/>
    <cellStyle name="Comma 4 4 2 3 2 2 2" xfId="15627" xr:uid="{8BA428F7-A7F4-413F-B7B8-B6C3A82DEEE2}"/>
    <cellStyle name="Comma 4 4 2 3 2 3" xfId="11409" xr:uid="{CDCE1216-44D8-4143-9AE0-3DC82BDD98C5}"/>
    <cellStyle name="Comma 4 4 2 3 3" xfId="5040" xr:uid="{00000000-0005-0000-0000-0000E9090000}"/>
    <cellStyle name="Comma 4 4 2 3 3 2" xfId="13482" xr:uid="{7B53096E-C7C6-46E1-BF37-DF1405F7D4FC}"/>
    <cellStyle name="Comma 4 4 2 3 4" xfId="9264" xr:uid="{F283AF47-1014-4A6A-9B91-BC8821704654}"/>
    <cellStyle name="Comma 4 4 2 4" xfId="1144" xr:uid="{00000000-0005-0000-0000-0000EA090000}"/>
    <cellStyle name="Comma 4 4 2 4 2" xfId="3375" xr:uid="{00000000-0005-0000-0000-0000EB090000}"/>
    <cellStyle name="Comma 4 4 2 4 2 2" xfId="7598" xr:uid="{00000000-0005-0000-0000-0000EC090000}"/>
    <cellStyle name="Comma 4 4 2 4 2 2 2" xfId="16040" xr:uid="{C4D56B1E-FF73-46F4-A8B2-8406A1985573}"/>
    <cellStyle name="Comma 4 4 2 4 2 3" xfId="11822" xr:uid="{B34E10EF-84AF-4717-9DC2-10FD535218ED}"/>
    <cellStyle name="Comma 4 4 2 4 3" xfId="5453" xr:uid="{00000000-0005-0000-0000-0000ED090000}"/>
    <cellStyle name="Comma 4 4 2 4 3 2" xfId="13895" xr:uid="{A57C154D-18D4-4924-BF92-6BF167218C61}"/>
    <cellStyle name="Comma 4 4 2 4 4" xfId="9677" xr:uid="{292384FC-1492-491C-A032-2962CEAB01A1}"/>
    <cellStyle name="Comma 4 4 2 5" xfId="1558" xr:uid="{00000000-0005-0000-0000-0000EE090000}"/>
    <cellStyle name="Comma 4 4 2 5 2" xfId="3788" xr:uid="{00000000-0005-0000-0000-0000EF090000}"/>
    <cellStyle name="Comma 4 4 2 5 2 2" xfId="8011" xr:uid="{00000000-0005-0000-0000-0000F0090000}"/>
    <cellStyle name="Comma 4 4 2 5 2 2 2" xfId="16453" xr:uid="{D1E0B157-6DCA-414E-976E-240E61D015F2}"/>
    <cellStyle name="Comma 4 4 2 5 2 3" xfId="12235" xr:uid="{182D77A0-9AD5-4D3F-B031-B4D4C9F524D2}"/>
    <cellStyle name="Comma 4 4 2 5 3" xfId="5866" xr:uid="{00000000-0005-0000-0000-0000F1090000}"/>
    <cellStyle name="Comma 4 4 2 5 3 2" xfId="14308" xr:uid="{BBE8DA10-B2AE-4018-B639-EF0495E9AD76}"/>
    <cellStyle name="Comma 4 4 2 5 4" xfId="10090" xr:uid="{DB3223FC-CA98-4964-BBD7-145ECD4F06E6}"/>
    <cellStyle name="Comma 4 4 2 6" xfId="1972" xr:uid="{00000000-0005-0000-0000-0000F2090000}"/>
    <cellStyle name="Comma 4 4 2 6 2" xfId="4201" xr:uid="{00000000-0005-0000-0000-0000F3090000}"/>
    <cellStyle name="Comma 4 4 2 6 2 2" xfId="8424" xr:uid="{00000000-0005-0000-0000-0000F4090000}"/>
    <cellStyle name="Comma 4 4 2 6 2 2 2" xfId="16866" xr:uid="{52AD5F86-E37A-4635-9447-9A3775E2A0BD}"/>
    <cellStyle name="Comma 4 4 2 6 2 3" xfId="12648" xr:uid="{ED45E1CF-6FEB-490D-9262-8F1F863AB6D3}"/>
    <cellStyle name="Comma 4 4 2 6 3" xfId="6279" xr:uid="{00000000-0005-0000-0000-0000F5090000}"/>
    <cellStyle name="Comma 4 4 2 6 3 2" xfId="14721" xr:uid="{77C210C3-A70C-4A3D-9506-E008F2C7CDB0}"/>
    <cellStyle name="Comma 4 4 2 6 4" xfId="10503" xr:uid="{38651C81-75EC-478A-BB7A-0409FAF1FE1D}"/>
    <cellStyle name="Comma 4 4 2 7" xfId="2407" xr:uid="{00000000-0005-0000-0000-0000F6090000}"/>
    <cellStyle name="Comma 4 4 2 7 2" xfId="6692" xr:uid="{00000000-0005-0000-0000-0000F7090000}"/>
    <cellStyle name="Comma 4 4 2 7 2 2" xfId="15134" xr:uid="{4858E65E-53B3-42C3-A101-C816FB137323}"/>
    <cellStyle name="Comma 4 4 2 7 3" xfId="10916" xr:uid="{34789897-8CDB-4CB9-987B-1261F75E8EE6}"/>
    <cellStyle name="Comma 4 4 2 8" xfId="2703" xr:uid="{00000000-0005-0000-0000-0000F8090000}"/>
    <cellStyle name="Comma 4 4 2 9" xfId="2785" xr:uid="{00000000-0005-0000-0000-0000F9090000}"/>
    <cellStyle name="Comma 4 4 2 9 2" xfId="7009" xr:uid="{00000000-0005-0000-0000-0000FA090000}"/>
    <cellStyle name="Comma 4 4 2 9 2 2" xfId="15451" xr:uid="{1EB82874-6A6C-4FD5-84DC-B577C1C86A60}"/>
    <cellStyle name="Comma 4 4 2 9 3" xfId="11233" xr:uid="{BA92E877-2511-4952-98D5-1E4054F73BA8}"/>
    <cellStyle name="Comma 4 4 3" xfId="156" xr:uid="{00000000-0005-0000-0000-0000FB090000}"/>
    <cellStyle name="Comma 4 4 3 10" xfId="8852" xr:uid="{DE1F3B21-B837-4B8D-B60C-5BD86FB187E2}"/>
    <cellStyle name="Comma 4 4 3 2" xfId="693" xr:uid="{00000000-0005-0000-0000-0000FC090000}"/>
    <cellStyle name="Comma 4 4 3 2 2" xfId="2964" xr:uid="{00000000-0005-0000-0000-0000FD090000}"/>
    <cellStyle name="Comma 4 4 3 2 2 2" xfId="7187" xr:uid="{00000000-0005-0000-0000-0000FE090000}"/>
    <cellStyle name="Comma 4 4 3 2 2 2 2" xfId="15629" xr:uid="{BBE2EB88-2951-4F76-8AAA-ADBBBDB76FB8}"/>
    <cellStyle name="Comma 4 4 3 2 2 3" xfId="11411" xr:uid="{0052FEF7-6E33-4DD9-852F-BE84AD3E61E0}"/>
    <cellStyle name="Comma 4 4 3 2 3" xfId="5042" xr:uid="{00000000-0005-0000-0000-0000FF090000}"/>
    <cellStyle name="Comma 4 4 3 2 3 2" xfId="13484" xr:uid="{63E443BA-ABF4-4AAF-8E5C-1E9A7E5E36FC}"/>
    <cellStyle name="Comma 4 4 3 2 4" xfId="9266" xr:uid="{A99627E5-CA66-4F8F-AE24-7A44D92A8C6E}"/>
    <cellStyle name="Comma 4 4 3 3" xfId="1146" xr:uid="{00000000-0005-0000-0000-0000000A0000}"/>
    <cellStyle name="Comma 4 4 3 3 2" xfId="3377" xr:uid="{00000000-0005-0000-0000-0000010A0000}"/>
    <cellStyle name="Comma 4 4 3 3 2 2" xfId="7600" xr:uid="{00000000-0005-0000-0000-0000020A0000}"/>
    <cellStyle name="Comma 4 4 3 3 2 2 2" xfId="16042" xr:uid="{648339F5-7340-4AA2-A35C-EC310D8CBA5F}"/>
    <cellStyle name="Comma 4 4 3 3 2 3" xfId="11824" xr:uid="{DC1CA164-9441-405D-B641-5E1D0FFD3CA8}"/>
    <cellStyle name="Comma 4 4 3 3 3" xfId="5455" xr:uid="{00000000-0005-0000-0000-0000030A0000}"/>
    <cellStyle name="Comma 4 4 3 3 3 2" xfId="13897" xr:uid="{39EAC659-07F7-4D28-BC94-DB95D35A4FB5}"/>
    <cellStyle name="Comma 4 4 3 3 4" xfId="9679" xr:uid="{7442B1A3-7060-4892-AB7C-B6E21BD3F4C0}"/>
    <cellStyle name="Comma 4 4 3 4" xfId="1560" xr:uid="{00000000-0005-0000-0000-0000040A0000}"/>
    <cellStyle name="Comma 4 4 3 4 2" xfId="3790" xr:uid="{00000000-0005-0000-0000-0000050A0000}"/>
    <cellStyle name="Comma 4 4 3 4 2 2" xfId="8013" xr:uid="{00000000-0005-0000-0000-0000060A0000}"/>
    <cellStyle name="Comma 4 4 3 4 2 2 2" xfId="16455" xr:uid="{EF280D7F-33F6-4F3C-AD52-6A10B1DD805B}"/>
    <cellStyle name="Comma 4 4 3 4 2 3" xfId="12237" xr:uid="{185E8005-12F0-49B1-A9FA-220CF623F41E}"/>
    <cellStyle name="Comma 4 4 3 4 3" xfId="5868" xr:uid="{00000000-0005-0000-0000-0000070A0000}"/>
    <cellStyle name="Comma 4 4 3 4 3 2" xfId="14310" xr:uid="{BAE7284D-6FA8-48D4-9230-E59D32AFD080}"/>
    <cellStyle name="Comma 4 4 3 4 4" xfId="10092" xr:uid="{7F4EBB24-0CC0-4507-B3A8-5F8A996B5954}"/>
    <cellStyle name="Comma 4 4 3 5" xfId="1974" xr:uid="{00000000-0005-0000-0000-0000080A0000}"/>
    <cellStyle name="Comma 4 4 3 5 2" xfId="4203" xr:uid="{00000000-0005-0000-0000-0000090A0000}"/>
    <cellStyle name="Comma 4 4 3 5 2 2" xfId="8426" xr:uid="{00000000-0005-0000-0000-00000A0A0000}"/>
    <cellStyle name="Comma 4 4 3 5 2 2 2" xfId="16868" xr:uid="{19CF2649-EFDF-4BB7-83FA-BDC55D99B06F}"/>
    <cellStyle name="Comma 4 4 3 5 2 3" xfId="12650" xr:uid="{4431FF56-A03A-4055-8A4D-A04C5FAA340F}"/>
    <cellStyle name="Comma 4 4 3 5 3" xfId="6281" xr:uid="{00000000-0005-0000-0000-00000B0A0000}"/>
    <cellStyle name="Comma 4 4 3 5 3 2" xfId="14723" xr:uid="{1A3E50C6-EF35-43BF-87F0-4801DFE61291}"/>
    <cellStyle name="Comma 4 4 3 5 4" xfId="10505" xr:uid="{EBC93F18-8B7E-4715-8976-BE8C15F01952}"/>
    <cellStyle name="Comma 4 4 3 6" xfId="2409" xr:uid="{00000000-0005-0000-0000-00000C0A0000}"/>
    <cellStyle name="Comma 4 4 3 6 2" xfId="6694" xr:uid="{00000000-0005-0000-0000-00000D0A0000}"/>
    <cellStyle name="Comma 4 4 3 6 2 2" xfId="15136" xr:uid="{7FF853C3-5EE5-4B15-B71B-F301BBB7C745}"/>
    <cellStyle name="Comma 4 4 3 6 3" xfId="10918" xr:uid="{04E51D29-6F77-46F8-8947-F5DEAAB5598A}"/>
    <cellStyle name="Comma 4 4 3 7" xfId="2705" xr:uid="{00000000-0005-0000-0000-00000E0A0000}"/>
    <cellStyle name="Comma 4 4 3 8" xfId="2787" xr:uid="{00000000-0005-0000-0000-00000F0A0000}"/>
    <cellStyle name="Comma 4 4 3 8 2" xfId="7011" xr:uid="{00000000-0005-0000-0000-0000100A0000}"/>
    <cellStyle name="Comma 4 4 3 8 2 2" xfId="15453" xr:uid="{EBB2A880-D187-40AB-9DC9-7ABB33F6EDC4}"/>
    <cellStyle name="Comma 4 4 3 8 3" xfId="11235" xr:uid="{A4E6B45E-6EA3-40FC-9F8A-2C8FA697C217}"/>
    <cellStyle name="Comma 4 4 3 9" xfId="4628" xr:uid="{00000000-0005-0000-0000-0000110A0000}"/>
    <cellStyle name="Comma 4 4 3 9 2" xfId="13070" xr:uid="{0AD6F949-9552-48E0-8BC3-4C191682350A}"/>
    <cellStyle name="Comma 4 4 4" xfId="690" xr:uid="{00000000-0005-0000-0000-0000120A0000}"/>
    <cellStyle name="Comma 4 4 4 2" xfId="2961" xr:uid="{00000000-0005-0000-0000-0000130A0000}"/>
    <cellStyle name="Comma 4 4 4 2 2" xfId="7184" xr:uid="{00000000-0005-0000-0000-0000140A0000}"/>
    <cellStyle name="Comma 4 4 4 2 2 2" xfId="15626" xr:uid="{0A5F1123-B16B-4083-95B5-C8A2951720A4}"/>
    <cellStyle name="Comma 4 4 4 2 3" xfId="11408" xr:uid="{6FF7B0E1-3BFE-41FD-BC8A-1A253EDC8908}"/>
    <cellStyle name="Comma 4 4 4 3" xfId="5039" xr:uid="{00000000-0005-0000-0000-0000150A0000}"/>
    <cellStyle name="Comma 4 4 4 3 2" xfId="13481" xr:uid="{9D3334B0-E221-45BD-89AD-D5024D819BEC}"/>
    <cellStyle name="Comma 4 4 4 4" xfId="9263" xr:uid="{8FBDB5FA-82F4-4356-B499-08F1008415C4}"/>
    <cellStyle name="Comma 4 4 5" xfId="1143" xr:uid="{00000000-0005-0000-0000-0000160A0000}"/>
    <cellStyle name="Comma 4 4 5 2" xfId="3374" xr:uid="{00000000-0005-0000-0000-0000170A0000}"/>
    <cellStyle name="Comma 4 4 5 2 2" xfId="7597" xr:uid="{00000000-0005-0000-0000-0000180A0000}"/>
    <cellStyle name="Comma 4 4 5 2 2 2" xfId="16039" xr:uid="{D2E687C2-8650-4832-856A-FF523B3F8F0E}"/>
    <cellStyle name="Comma 4 4 5 2 3" xfId="11821" xr:uid="{93FAC0F0-92C5-4BBE-BC81-0B548D519E07}"/>
    <cellStyle name="Comma 4 4 5 3" xfId="5452" xr:uid="{00000000-0005-0000-0000-0000190A0000}"/>
    <cellStyle name="Comma 4 4 5 3 2" xfId="13894" xr:uid="{CF4C68E9-EE57-4E75-A875-52107DB21E51}"/>
    <cellStyle name="Comma 4 4 5 4" xfId="9676" xr:uid="{D5E24744-09DA-43A1-B3DB-468264D1FB1D}"/>
    <cellStyle name="Comma 4 4 6" xfId="1557" xr:uid="{00000000-0005-0000-0000-00001A0A0000}"/>
    <cellStyle name="Comma 4 4 6 2" xfId="3787" xr:uid="{00000000-0005-0000-0000-00001B0A0000}"/>
    <cellStyle name="Comma 4 4 6 2 2" xfId="8010" xr:uid="{00000000-0005-0000-0000-00001C0A0000}"/>
    <cellStyle name="Comma 4 4 6 2 2 2" xfId="16452" xr:uid="{5BE74814-BBE8-46FB-9702-57EC165C914A}"/>
    <cellStyle name="Comma 4 4 6 2 3" xfId="12234" xr:uid="{B995BC43-994A-4340-BA44-C6834A86A3A5}"/>
    <cellStyle name="Comma 4 4 6 3" xfId="5865" xr:uid="{00000000-0005-0000-0000-00001D0A0000}"/>
    <cellStyle name="Comma 4 4 6 3 2" xfId="14307" xr:uid="{4353B1A8-DCD2-4028-8009-DDAD8F2D1DF2}"/>
    <cellStyle name="Comma 4 4 6 4" xfId="10089" xr:uid="{D771B9E8-A646-4826-BE8A-A66FA00C9A86}"/>
    <cellStyle name="Comma 4 4 7" xfId="1971" xr:uid="{00000000-0005-0000-0000-00001E0A0000}"/>
    <cellStyle name="Comma 4 4 7 2" xfId="4200" xr:uid="{00000000-0005-0000-0000-00001F0A0000}"/>
    <cellStyle name="Comma 4 4 7 2 2" xfId="8423" xr:uid="{00000000-0005-0000-0000-0000200A0000}"/>
    <cellStyle name="Comma 4 4 7 2 2 2" xfId="16865" xr:uid="{9D57F2DE-F5DE-4250-925F-5C67C0F2CD5C}"/>
    <cellStyle name="Comma 4 4 7 2 3" xfId="12647" xr:uid="{60740EAC-3FF4-49C6-8020-7C21C74D8D0C}"/>
    <cellStyle name="Comma 4 4 7 3" xfId="6278" xr:uid="{00000000-0005-0000-0000-0000210A0000}"/>
    <cellStyle name="Comma 4 4 7 3 2" xfId="14720" xr:uid="{57572434-8637-43C9-9531-AC03EAC82BCA}"/>
    <cellStyle name="Comma 4 4 7 4" xfId="10502" xr:uid="{30DB43A5-0C6C-48F5-B97C-07C53B9551CD}"/>
    <cellStyle name="Comma 4 4 8" xfId="2406" xr:uid="{00000000-0005-0000-0000-0000220A0000}"/>
    <cellStyle name="Comma 4 4 8 2" xfId="6691" xr:uid="{00000000-0005-0000-0000-0000230A0000}"/>
    <cellStyle name="Comma 4 4 8 2 2" xfId="15133" xr:uid="{12CC76DA-4AD8-4489-954B-88C824F314D9}"/>
    <cellStyle name="Comma 4 4 8 3" xfId="10915" xr:uid="{495B3F02-E9BF-47F1-A4BA-7ED24CFBF96C}"/>
    <cellStyle name="Comma 4 4 9" xfId="2702" xr:uid="{00000000-0005-0000-0000-0000240A0000}"/>
    <cellStyle name="Comma 4 5" xfId="157" xr:uid="{00000000-0005-0000-0000-0000250A0000}"/>
    <cellStyle name="Comma 4 5 10" xfId="4629" xr:uid="{00000000-0005-0000-0000-0000260A0000}"/>
    <cellStyle name="Comma 4 5 10 2" xfId="13071" xr:uid="{9217C0DE-F9BD-41C5-8049-340EDA298403}"/>
    <cellStyle name="Comma 4 5 11" xfId="8853" xr:uid="{0D966A5A-DA51-4F12-A8D5-3AB5467B9841}"/>
    <cellStyle name="Comma 4 5 2" xfId="158" xr:uid="{00000000-0005-0000-0000-0000270A0000}"/>
    <cellStyle name="Comma 4 5 2 10" xfId="8854" xr:uid="{450B54D8-2283-4599-BA0A-183A5C797F96}"/>
    <cellStyle name="Comma 4 5 2 2" xfId="695" xr:uid="{00000000-0005-0000-0000-0000280A0000}"/>
    <cellStyle name="Comma 4 5 2 2 2" xfId="2966" xr:uid="{00000000-0005-0000-0000-0000290A0000}"/>
    <cellStyle name="Comma 4 5 2 2 2 2" xfId="7189" xr:uid="{00000000-0005-0000-0000-00002A0A0000}"/>
    <cellStyle name="Comma 4 5 2 2 2 2 2" xfId="15631" xr:uid="{3CF1C293-8B57-4391-B4E5-DA08907B08BB}"/>
    <cellStyle name="Comma 4 5 2 2 2 3" xfId="11413" xr:uid="{06843395-D322-4F5D-B7CE-3FB3C76C9C55}"/>
    <cellStyle name="Comma 4 5 2 2 3" xfId="5044" xr:uid="{00000000-0005-0000-0000-00002B0A0000}"/>
    <cellStyle name="Comma 4 5 2 2 3 2" xfId="13486" xr:uid="{EBEA0C76-4394-490C-B24C-A81D27173BA3}"/>
    <cellStyle name="Comma 4 5 2 2 4" xfId="9268" xr:uid="{4A3CE515-12D5-4AEC-971B-2A0DF2076B9B}"/>
    <cellStyle name="Comma 4 5 2 3" xfId="1148" xr:uid="{00000000-0005-0000-0000-00002C0A0000}"/>
    <cellStyle name="Comma 4 5 2 3 2" xfId="3379" xr:uid="{00000000-0005-0000-0000-00002D0A0000}"/>
    <cellStyle name="Comma 4 5 2 3 2 2" xfId="7602" xr:uid="{00000000-0005-0000-0000-00002E0A0000}"/>
    <cellStyle name="Comma 4 5 2 3 2 2 2" xfId="16044" xr:uid="{684D7107-9A8F-4A90-BED1-EDE9F1761B18}"/>
    <cellStyle name="Comma 4 5 2 3 2 3" xfId="11826" xr:uid="{85D442E4-A63B-468A-A022-E7EEC08C24AA}"/>
    <cellStyle name="Comma 4 5 2 3 3" xfId="5457" xr:uid="{00000000-0005-0000-0000-00002F0A0000}"/>
    <cellStyle name="Comma 4 5 2 3 3 2" xfId="13899" xr:uid="{799BA580-C8E9-4E8F-AE27-8F947A226BD6}"/>
    <cellStyle name="Comma 4 5 2 3 4" xfId="9681" xr:uid="{4CDADEB1-9C0C-4870-8E66-3FF534AC7A0F}"/>
    <cellStyle name="Comma 4 5 2 4" xfId="1562" xr:uid="{00000000-0005-0000-0000-0000300A0000}"/>
    <cellStyle name="Comma 4 5 2 4 2" xfId="3792" xr:uid="{00000000-0005-0000-0000-0000310A0000}"/>
    <cellStyle name="Comma 4 5 2 4 2 2" xfId="8015" xr:uid="{00000000-0005-0000-0000-0000320A0000}"/>
    <cellStyle name="Comma 4 5 2 4 2 2 2" xfId="16457" xr:uid="{55B9E494-958D-4018-8011-891C9C801D9E}"/>
    <cellStyle name="Comma 4 5 2 4 2 3" xfId="12239" xr:uid="{B115E0A4-3A8A-466F-8506-8B3B4A3912FB}"/>
    <cellStyle name="Comma 4 5 2 4 3" xfId="5870" xr:uid="{00000000-0005-0000-0000-0000330A0000}"/>
    <cellStyle name="Comma 4 5 2 4 3 2" xfId="14312" xr:uid="{5E081F99-8F3A-43C3-835F-5C9067C17BAE}"/>
    <cellStyle name="Comma 4 5 2 4 4" xfId="10094" xr:uid="{4778287A-8198-4ABD-B7AA-71118461248C}"/>
    <cellStyle name="Comma 4 5 2 5" xfId="1976" xr:uid="{00000000-0005-0000-0000-0000340A0000}"/>
    <cellStyle name="Comma 4 5 2 5 2" xfId="4205" xr:uid="{00000000-0005-0000-0000-0000350A0000}"/>
    <cellStyle name="Comma 4 5 2 5 2 2" xfId="8428" xr:uid="{00000000-0005-0000-0000-0000360A0000}"/>
    <cellStyle name="Comma 4 5 2 5 2 2 2" xfId="16870" xr:uid="{47523753-D62F-40A7-AF02-B6D40A6C6D34}"/>
    <cellStyle name="Comma 4 5 2 5 2 3" xfId="12652" xr:uid="{5AB1E1A3-62C9-4B27-A5B2-2EB85B10FB68}"/>
    <cellStyle name="Comma 4 5 2 5 3" xfId="6283" xr:uid="{00000000-0005-0000-0000-0000370A0000}"/>
    <cellStyle name="Comma 4 5 2 5 3 2" xfId="14725" xr:uid="{7E779B14-5FE1-405D-90F8-A3AAC950529D}"/>
    <cellStyle name="Comma 4 5 2 5 4" xfId="10507" xr:uid="{2D90CDA0-D608-4D6D-B6E9-E790A9C2E88F}"/>
    <cellStyle name="Comma 4 5 2 6" xfId="2411" xr:uid="{00000000-0005-0000-0000-0000380A0000}"/>
    <cellStyle name="Comma 4 5 2 6 2" xfId="6696" xr:uid="{00000000-0005-0000-0000-0000390A0000}"/>
    <cellStyle name="Comma 4 5 2 6 2 2" xfId="15138" xr:uid="{1084DB3D-A7FB-429B-89D6-83573ABB03BE}"/>
    <cellStyle name="Comma 4 5 2 6 3" xfId="10920" xr:uid="{A9E117E7-3FEA-4334-B05C-09AD052C803A}"/>
    <cellStyle name="Comma 4 5 2 7" xfId="2707" xr:uid="{00000000-0005-0000-0000-00003A0A0000}"/>
    <cellStyle name="Comma 4 5 2 8" xfId="2789" xr:uid="{00000000-0005-0000-0000-00003B0A0000}"/>
    <cellStyle name="Comma 4 5 2 8 2" xfId="7013" xr:uid="{00000000-0005-0000-0000-00003C0A0000}"/>
    <cellStyle name="Comma 4 5 2 8 2 2" xfId="15455" xr:uid="{E436EA49-11CC-4FD8-B534-4EC253B045BE}"/>
    <cellStyle name="Comma 4 5 2 8 3" xfId="11237" xr:uid="{7C47B9DD-D279-4FEF-ABA9-8EF7E1C8F956}"/>
    <cellStyle name="Comma 4 5 2 9" xfId="4630" xr:uid="{00000000-0005-0000-0000-00003D0A0000}"/>
    <cellStyle name="Comma 4 5 2 9 2" xfId="13072" xr:uid="{C00C5067-1409-44B9-B1B6-40E6D1D1F596}"/>
    <cellStyle name="Comma 4 5 3" xfId="694" xr:uid="{00000000-0005-0000-0000-00003E0A0000}"/>
    <cellStyle name="Comma 4 5 3 2" xfId="2965" xr:uid="{00000000-0005-0000-0000-00003F0A0000}"/>
    <cellStyle name="Comma 4 5 3 2 2" xfId="7188" xr:uid="{00000000-0005-0000-0000-0000400A0000}"/>
    <cellStyle name="Comma 4 5 3 2 2 2" xfId="15630" xr:uid="{3B5C4BAA-25F3-4EFB-94FD-14E6882E872A}"/>
    <cellStyle name="Comma 4 5 3 2 3" xfId="11412" xr:uid="{142B06BB-003C-4982-A0A3-EC40B4005E57}"/>
    <cellStyle name="Comma 4 5 3 3" xfId="5043" xr:uid="{00000000-0005-0000-0000-0000410A0000}"/>
    <cellStyle name="Comma 4 5 3 3 2" xfId="13485" xr:uid="{0A3C128D-987C-4028-BAC4-E0CBBE8F4ED9}"/>
    <cellStyle name="Comma 4 5 3 4" xfId="9267" xr:uid="{D7A4DBEC-A0B4-4930-A4FA-46AD44233665}"/>
    <cellStyle name="Comma 4 5 4" xfId="1147" xr:uid="{00000000-0005-0000-0000-0000420A0000}"/>
    <cellStyle name="Comma 4 5 4 2" xfId="3378" xr:uid="{00000000-0005-0000-0000-0000430A0000}"/>
    <cellStyle name="Comma 4 5 4 2 2" xfId="7601" xr:uid="{00000000-0005-0000-0000-0000440A0000}"/>
    <cellStyle name="Comma 4 5 4 2 2 2" xfId="16043" xr:uid="{722B3EA0-9E6A-4242-8B24-F33222D13B16}"/>
    <cellStyle name="Comma 4 5 4 2 3" xfId="11825" xr:uid="{8F4C57CC-A683-4F0B-B742-B93BFC2588C9}"/>
    <cellStyle name="Comma 4 5 4 3" xfId="5456" xr:uid="{00000000-0005-0000-0000-0000450A0000}"/>
    <cellStyle name="Comma 4 5 4 3 2" xfId="13898" xr:uid="{8DDCBE07-EB21-4280-98EE-5DCD4550DFF7}"/>
    <cellStyle name="Comma 4 5 4 4" xfId="9680" xr:uid="{47A0F7C9-D2EA-49AE-BB04-8B211ECE1AFD}"/>
    <cellStyle name="Comma 4 5 5" xfId="1561" xr:uid="{00000000-0005-0000-0000-0000460A0000}"/>
    <cellStyle name="Comma 4 5 5 2" xfId="3791" xr:uid="{00000000-0005-0000-0000-0000470A0000}"/>
    <cellStyle name="Comma 4 5 5 2 2" xfId="8014" xr:uid="{00000000-0005-0000-0000-0000480A0000}"/>
    <cellStyle name="Comma 4 5 5 2 2 2" xfId="16456" xr:uid="{825E4791-6748-4371-A5A6-F74564119063}"/>
    <cellStyle name="Comma 4 5 5 2 3" xfId="12238" xr:uid="{F50B3C97-F469-440A-BB0B-A4A6525D123B}"/>
    <cellStyle name="Comma 4 5 5 3" xfId="5869" xr:uid="{00000000-0005-0000-0000-0000490A0000}"/>
    <cellStyle name="Comma 4 5 5 3 2" xfId="14311" xr:uid="{D1D8D4E2-9037-4F4E-B44F-C6A8E0477607}"/>
    <cellStyle name="Comma 4 5 5 4" xfId="10093" xr:uid="{8A6CB3A8-D953-4032-BEA8-1CB598C50145}"/>
    <cellStyle name="Comma 4 5 6" xfId="1975" xr:uid="{00000000-0005-0000-0000-00004A0A0000}"/>
    <cellStyle name="Comma 4 5 6 2" xfId="4204" xr:uid="{00000000-0005-0000-0000-00004B0A0000}"/>
    <cellStyle name="Comma 4 5 6 2 2" xfId="8427" xr:uid="{00000000-0005-0000-0000-00004C0A0000}"/>
    <cellStyle name="Comma 4 5 6 2 2 2" xfId="16869" xr:uid="{26739393-8EFA-4F1C-A915-062655D6FC6A}"/>
    <cellStyle name="Comma 4 5 6 2 3" xfId="12651" xr:uid="{46F2465A-9320-41A8-8060-F8A517FA4DAA}"/>
    <cellStyle name="Comma 4 5 6 3" xfId="6282" xr:uid="{00000000-0005-0000-0000-00004D0A0000}"/>
    <cellStyle name="Comma 4 5 6 3 2" xfId="14724" xr:uid="{3373629F-0759-4C23-9087-512AFEC46141}"/>
    <cellStyle name="Comma 4 5 6 4" xfId="10506" xr:uid="{5B52C27B-3189-4177-8FB0-9C03A0D33BC9}"/>
    <cellStyle name="Comma 4 5 7" xfId="2410" xr:uid="{00000000-0005-0000-0000-00004E0A0000}"/>
    <cellStyle name="Comma 4 5 7 2" xfId="6695" xr:uid="{00000000-0005-0000-0000-00004F0A0000}"/>
    <cellStyle name="Comma 4 5 7 2 2" xfId="15137" xr:uid="{C74C9052-5C60-4EEB-B93A-64C927A86804}"/>
    <cellStyle name="Comma 4 5 7 3" xfId="10919" xr:uid="{84D4259F-5E5E-4449-8BB5-4E69BAC9BF6D}"/>
    <cellStyle name="Comma 4 5 8" xfId="2706" xr:uid="{00000000-0005-0000-0000-0000500A0000}"/>
    <cellStyle name="Comma 4 5 9" xfId="2788" xr:uid="{00000000-0005-0000-0000-0000510A0000}"/>
    <cellStyle name="Comma 4 5 9 2" xfId="7012" xr:uid="{00000000-0005-0000-0000-0000520A0000}"/>
    <cellStyle name="Comma 4 5 9 2 2" xfId="15454" xr:uid="{13236137-4CFC-4506-BC5A-3B46B2AD3760}"/>
    <cellStyle name="Comma 4 5 9 3" xfId="11236" xr:uid="{462B1F62-1F87-476D-8C65-A5A3F70DEE9B}"/>
    <cellStyle name="Comma 4 6" xfId="159" xr:uid="{00000000-0005-0000-0000-0000530A0000}"/>
    <cellStyle name="Comma 4 6 10" xfId="8855" xr:uid="{FBCD6CE1-476E-458F-B4CC-10132C5DEF20}"/>
    <cellStyle name="Comma 4 6 2" xfId="696" xr:uid="{00000000-0005-0000-0000-0000540A0000}"/>
    <cellStyle name="Comma 4 6 2 2" xfId="2967" xr:uid="{00000000-0005-0000-0000-0000550A0000}"/>
    <cellStyle name="Comma 4 6 2 2 2" xfId="7190" xr:uid="{00000000-0005-0000-0000-0000560A0000}"/>
    <cellStyle name="Comma 4 6 2 2 2 2" xfId="15632" xr:uid="{95C1CD22-9B43-4BBE-9E3C-DD60F2D5FED7}"/>
    <cellStyle name="Comma 4 6 2 2 3" xfId="11414" xr:uid="{59FB9C51-1400-42BF-B54B-AD2C7280F344}"/>
    <cellStyle name="Comma 4 6 2 3" xfId="5045" xr:uid="{00000000-0005-0000-0000-0000570A0000}"/>
    <cellStyle name="Comma 4 6 2 3 2" xfId="13487" xr:uid="{87D43FFB-3274-4022-ADEA-73DA00682E8C}"/>
    <cellStyle name="Comma 4 6 2 4" xfId="9269" xr:uid="{3516C6FE-8FE2-4E65-B005-D7746276BA70}"/>
    <cellStyle name="Comma 4 6 3" xfId="1149" xr:uid="{00000000-0005-0000-0000-0000580A0000}"/>
    <cellStyle name="Comma 4 6 3 2" xfId="3380" xr:uid="{00000000-0005-0000-0000-0000590A0000}"/>
    <cellStyle name="Comma 4 6 3 2 2" xfId="7603" xr:uid="{00000000-0005-0000-0000-00005A0A0000}"/>
    <cellStyle name="Comma 4 6 3 2 2 2" xfId="16045" xr:uid="{4F7D510D-98FF-459E-81E4-A522745296CA}"/>
    <cellStyle name="Comma 4 6 3 2 3" xfId="11827" xr:uid="{EDBB447C-7F26-48E3-867F-D80F3675BCD6}"/>
    <cellStyle name="Comma 4 6 3 3" xfId="5458" xr:uid="{00000000-0005-0000-0000-00005B0A0000}"/>
    <cellStyle name="Comma 4 6 3 3 2" xfId="13900" xr:uid="{572AF328-F1E3-42EA-B6A4-BFD427750273}"/>
    <cellStyle name="Comma 4 6 3 4" xfId="9682" xr:uid="{4BABD4EB-1243-43DB-ACC3-7CB183DD0211}"/>
    <cellStyle name="Comma 4 6 4" xfId="1563" xr:uid="{00000000-0005-0000-0000-00005C0A0000}"/>
    <cellStyle name="Comma 4 6 4 2" xfId="3793" xr:uid="{00000000-0005-0000-0000-00005D0A0000}"/>
    <cellStyle name="Comma 4 6 4 2 2" xfId="8016" xr:uid="{00000000-0005-0000-0000-00005E0A0000}"/>
    <cellStyle name="Comma 4 6 4 2 2 2" xfId="16458" xr:uid="{2BE9580F-7DC3-4E7E-B409-59C0B989A4B9}"/>
    <cellStyle name="Comma 4 6 4 2 3" xfId="12240" xr:uid="{4370A122-85DF-4582-B6BF-1A2B0F7B0C08}"/>
    <cellStyle name="Comma 4 6 4 3" xfId="5871" xr:uid="{00000000-0005-0000-0000-00005F0A0000}"/>
    <cellStyle name="Comma 4 6 4 3 2" xfId="14313" xr:uid="{D17DB814-90C0-4A10-B5A9-C2EF24B899E7}"/>
    <cellStyle name="Comma 4 6 4 4" xfId="10095" xr:uid="{C6865BEA-6A73-4D97-98B9-D62D8C71C065}"/>
    <cellStyle name="Comma 4 6 5" xfId="1977" xr:uid="{00000000-0005-0000-0000-0000600A0000}"/>
    <cellStyle name="Comma 4 6 5 2" xfId="4206" xr:uid="{00000000-0005-0000-0000-0000610A0000}"/>
    <cellStyle name="Comma 4 6 5 2 2" xfId="8429" xr:uid="{00000000-0005-0000-0000-0000620A0000}"/>
    <cellStyle name="Comma 4 6 5 2 2 2" xfId="16871" xr:uid="{6959894F-5078-4D8C-900A-3BF21259C2FF}"/>
    <cellStyle name="Comma 4 6 5 2 3" xfId="12653" xr:uid="{E60BB346-A7B2-4F88-8395-A307F9A465D6}"/>
    <cellStyle name="Comma 4 6 5 3" xfId="6284" xr:uid="{00000000-0005-0000-0000-0000630A0000}"/>
    <cellStyle name="Comma 4 6 5 3 2" xfId="14726" xr:uid="{DC0F2EFE-E27A-46BF-9BCA-57F487BE6D8D}"/>
    <cellStyle name="Comma 4 6 5 4" xfId="10508" xr:uid="{5BFE3128-EAC7-4FA3-A49A-A5AD41EB0DD6}"/>
    <cellStyle name="Comma 4 6 6" xfId="2412" xr:uid="{00000000-0005-0000-0000-0000640A0000}"/>
    <cellStyle name="Comma 4 6 6 2" xfId="6697" xr:uid="{00000000-0005-0000-0000-0000650A0000}"/>
    <cellStyle name="Comma 4 6 6 2 2" xfId="15139" xr:uid="{5B3DE2C3-F03E-43A8-89B6-600C33234A16}"/>
    <cellStyle name="Comma 4 6 6 3" xfId="10921" xr:uid="{52789B33-1EFB-4B90-9394-C86200AA7C25}"/>
    <cellStyle name="Comma 4 6 7" xfId="2708" xr:uid="{00000000-0005-0000-0000-0000660A0000}"/>
    <cellStyle name="Comma 4 6 8" xfId="2790" xr:uid="{00000000-0005-0000-0000-0000670A0000}"/>
    <cellStyle name="Comma 4 6 8 2" xfId="7014" xr:uid="{00000000-0005-0000-0000-0000680A0000}"/>
    <cellStyle name="Comma 4 6 8 2 2" xfId="15456" xr:uid="{8BA27826-9EBA-455A-B6C5-56C3C639E3C8}"/>
    <cellStyle name="Comma 4 6 8 3" xfId="11238" xr:uid="{3A70146E-723F-475C-BB25-AF8234423E4F}"/>
    <cellStyle name="Comma 4 6 9" xfId="4631" xr:uid="{00000000-0005-0000-0000-0000690A0000}"/>
    <cellStyle name="Comma 4 6 9 2" xfId="13073" xr:uid="{8077732F-22F2-4216-8B0C-BEC9161D110B}"/>
    <cellStyle name="Comma 4 7" xfId="160" xr:uid="{00000000-0005-0000-0000-00006A0A0000}"/>
    <cellStyle name="Comma 4 7 10" xfId="8856" xr:uid="{7160A986-8F7E-4387-968C-D72519EEC2B5}"/>
    <cellStyle name="Comma 4 7 2" xfId="697" xr:uid="{00000000-0005-0000-0000-00006B0A0000}"/>
    <cellStyle name="Comma 4 7 2 2" xfId="2968" xr:uid="{00000000-0005-0000-0000-00006C0A0000}"/>
    <cellStyle name="Comma 4 7 2 2 2" xfId="7191" xr:uid="{00000000-0005-0000-0000-00006D0A0000}"/>
    <cellStyle name="Comma 4 7 2 2 2 2" xfId="15633" xr:uid="{47A75B35-001A-4114-98BA-F28AB440403E}"/>
    <cellStyle name="Comma 4 7 2 2 3" xfId="11415" xr:uid="{B4891B0D-9353-4F01-8090-FB0D34115AE6}"/>
    <cellStyle name="Comma 4 7 2 3" xfId="5046" xr:uid="{00000000-0005-0000-0000-00006E0A0000}"/>
    <cellStyle name="Comma 4 7 2 3 2" xfId="13488" xr:uid="{23B0ABC7-B114-4F3E-A54D-57B2544AEB11}"/>
    <cellStyle name="Comma 4 7 2 4" xfId="9270" xr:uid="{2B30A738-C766-4442-AF10-98E90BBDFDE4}"/>
    <cellStyle name="Comma 4 7 3" xfId="1150" xr:uid="{00000000-0005-0000-0000-00006F0A0000}"/>
    <cellStyle name="Comma 4 7 3 2" xfId="3381" xr:uid="{00000000-0005-0000-0000-0000700A0000}"/>
    <cellStyle name="Comma 4 7 3 2 2" xfId="7604" xr:uid="{00000000-0005-0000-0000-0000710A0000}"/>
    <cellStyle name="Comma 4 7 3 2 2 2" xfId="16046" xr:uid="{F6B9FFB6-DD32-4A71-A8B8-5583F4B5EFC5}"/>
    <cellStyle name="Comma 4 7 3 2 3" xfId="11828" xr:uid="{701C3685-3209-4A6A-BA1C-18D2608F8894}"/>
    <cellStyle name="Comma 4 7 3 3" xfId="5459" xr:uid="{00000000-0005-0000-0000-0000720A0000}"/>
    <cellStyle name="Comma 4 7 3 3 2" xfId="13901" xr:uid="{5B00B21C-486A-41C9-BCFF-DBB0625798A5}"/>
    <cellStyle name="Comma 4 7 3 4" xfId="9683" xr:uid="{AFD11E36-E241-41F7-BA6B-52AAFAD906A6}"/>
    <cellStyle name="Comma 4 7 4" xfId="1564" xr:uid="{00000000-0005-0000-0000-0000730A0000}"/>
    <cellStyle name="Comma 4 7 4 2" xfId="3794" xr:uid="{00000000-0005-0000-0000-0000740A0000}"/>
    <cellStyle name="Comma 4 7 4 2 2" xfId="8017" xr:uid="{00000000-0005-0000-0000-0000750A0000}"/>
    <cellStyle name="Comma 4 7 4 2 2 2" xfId="16459" xr:uid="{EB193AA6-CC3E-43AF-B0BA-7C30E6B25C5A}"/>
    <cellStyle name="Comma 4 7 4 2 3" xfId="12241" xr:uid="{A9B85501-DBCD-4409-A336-C7F2E63E465D}"/>
    <cellStyle name="Comma 4 7 4 3" xfId="5872" xr:uid="{00000000-0005-0000-0000-0000760A0000}"/>
    <cellStyle name="Comma 4 7 4 3 2" xfId="14314" xr:uid="{70FCC6C9-A9D5-462D-8AC3-44FEF9B12D14}"/>
    <cellStyle name="Comma 4 7 4 4" xfId="10096" xr:uid="{C5B17E8E-306C-4E04-BC97-41E5037AEC6E}"/>
    <cellStyle name="Comma 4 7 5" xfId="1978" xr:uid="{00000000-0005-0000-0000-0000770A0000}"/>
    <cellStyle name="Comma 4 7 5 2" xfId="4207" xr:uid="{00000000-0005-0000-0000-0000780A0000}"/>
    <cellStyle name="Comma 4 7 5 2 2" xfId="8430" xr:uid="{00000000-0005-0000-0000-0000790A0000}"/>
    <cellStyle name="Comma 4 7 5 2 2 2" xfId="16872" xr:uid="{539B8651-FAEF-45AE-A25E-5697C86132C9}"/>
    <cellStyle name="Comma 4 7 5 2 3" xfId="12654" xr:uid="{92439C99-76B0-45CF-A0CC-9919A9E88850}"/>
    <cellStyle name="Comma 4 7 5 3" xfId="6285" xr:uid="{00000000-0005-0000-0000-00007A0A0000}"/>
    <cellStyle name="Comma 4 7 5 3 2" xfId="14727" xr:uid="{C7E7A6F7-DF89-46E4-B361-662BF06B7B4F}"/>
    <cellStyle name="Comma 4 7 5 4" xfId="10509" xr:uid="{BBC8C3D7-1ABF-4DCA-A21E-666897256A84}"/>
    <cellStyle name="Comma 4 7 6" xfId="2413" xr:uid="{00000000-0005-0000-0000-00007B0A0000}"/>
    <cellStyle name="Comma 4 7 6 2" xfId="6698" xr:uid="{00000000-0005-0000-0000-00007C0A0000}"/>
    <cellStyle name="Comma 4 7 6 2 2" xfId="15140" xr:uid="{5487DC04-16FF-419E-99B2-8A657B85B033}"/>
    <cellStyle name="Comma 4 7 6 3" xfId="10922" xr:uid="{C354FB3C-225B-46FC-98B6-2ADEAA8DE5A9}"/>
    <cellStyle name="Comma 4 7 7" xfId="2709" xr:uid="{00000000-0005-0000-0000-00007D0A0000}"/>
    <cellStyle name="Comma 4 7 8" xfId="2791" xr:uid="{00000000-0005-0000-0000-00007E0A0000}"/>
    <cellStyle name="Comma 4 7 8 2" xfId="7015" xr:uid="{00000000-0005-0000-0000-00007F0A0000}"/>
    <cellStyle name="Comma 4 7 8 2 2" xfId="15457" xr:uid="{BC0002DF-32E3-4FBC-BC0D-843AB5972FF1}"/>
    <cellStyle name="Comma 4 7 8 3" xfId="11239" xr:uid="{BCB6D873-D8A1-4D63-9E72-66E47638B550}"/>
    <cellStyle name="Comma 4 7 9" xfId="4632" xr:uid="{00000000-0005-0000-0000-0000800A0000}"/>
    <cellStyle name="Comma 4 7 9 2" xfId="13074" xr:uid="{02A9AF65-6F3F-404B-8611-C313E02CD775}"/>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12942" xr:uid="{B6F65581-F54B-4112-A33A-5C73CAB113D4}"/>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2 2" xfId="17159" xr:uid="{2071F93B-DFBF-4A9B-9AFB-D6361A85EB02}"/>
    <cellStyle name="Currency 14 3" xfId="8720" xr:uid="{729B09A7-2394-4D7C-912C-1471FB3455A3}"/>
    <cellStyle name="Currency 14 3 2" xfId="8724" xr:uid="{1945FB0F-31EC-4D98-B64C-BAFBADA341A1}"/>
    <cellStyle name="Currency 14 3 2 2" xfId="8727" xr:uid="{03BA8DEE-11D2-406B-B26D-8EE163916FB0}"/>
    <cellStyle name="Currency 14 3 2 2 2" xfId="17168" xr:uid="{8B64FD45-3A46-4B1D-8273-C8CB16FCDF55}"/>
    <cellStyle name="Currency 14 3 2 3" xfId="17165" xr:uid="{72719AE8-9416-49F4-AAF5-756CCE89EAEA}"/>
    <cellStyle name="Currency 14 3 3" xfId="17162" xr:uid="{F7F5744A-A30C-421C-A06E-F8895A4E41CE}"/>
    <cellStyle name="Currency 14 4" xfId="12945" xr:uid="{E17B0577-2D23-4A4C-A2D2-1DAAF400AE7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0 2 2" xfId="15458" xr:uid="{62F3F0AD-BD16-42C6-BC26-36A53822078E}"/>
    <cellStyle name="Currency 3 2 2 10 3" xfId="11240" xr:uid="{7BE02714-CBE4-44EE-9BC0-0476F6FC933B}"/>
    <cellStyle name="Currency 3 2 2 11" xfId="4633" xr:uid="{00000000-0005-0000-0000-0000A50A0000}"/>
    <cellStyle name="Currency 3 2 2 11 2" xfId="13075" xr:uid="{F65A1A58-DB5E-4F04-945E-5F7E9707E715}"/>
    <cellStyle name="Currency 3 2 2 12" xfId="8857" xr:uid="{39E05C1C-A962-4F54-B68F-2B0044DF868D}"/>
    <cellStyle name="Currency 3 2 2 2" xfId="179" xr:uid="{00000000-0005-0000-0000-0000A60A0000}"/>
    <cellStyle name="Currency 3 2 2 2 10" xfId="4634" xr:uid="{00000000-0005-0000-0000-0000A70A0000}"/>
    <cellStyle name="Currency 3 2 2 2 10 2" xfId="13076" xr:uid="{5EE9DE0F-D135-46E5-AA74-6C51802C7130}"/>
    <cellStyle name="Currency 3 2 2 2 11" xfId="8858" xr:uid="{B53E982B-DC9C-4FE2-B4DA-207CD04A958B}"/>
    <cellStyle name="Currency 3 2 2 2 2" xfId="180" xr:uid="{00000000-0005-0000-0000-0000A80A0000}"/>
    <cellStyle name="Currency 3 2 2 2 2 10" xfId="8859" xr:uid="{4FDDD5A6-3947-4972-89E2-93813A650411}"/>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2 2 2" xfId="15636" xr:uid="{FC46C8DC-8F93-4B1B-A8C4-A8BEBA3F287F}"/>
    <cellStyle name="Currency 3 2 2 2 2 2 2 3" xfId="11418" xr:uid="{FC5C743F-2CF3-4E00-BCFC-E6D6D798FBE1}"/>
    <cellStyle name="Currency 3 2 2 2 2 2 3" xfId="5049" xr:uid="{00000000-0005-0000-0000-0000AC0A0000}"/>
    <cellStyle name="Currency 3 2 2 2 2 2 3 2" xfId="13491" xr:uid="{8CECF4B2-8FEB-4243-8ECD-953743750494}"/>
    <cellStyle name="Currency 3 2 2 2 2 2 4" xfId="9273" xr:uid="{2BD19127-EA5C-4F70-A48C-E3AB6C39F736}"/>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2 2 2" xfId="16049" xr:uid="{A0DE620A-3A9C-4CB1-B37D-A2AD6C0E28F8}"/>
    <cellStyle name="Currency 3 2 2 2 2 3 2 3" xfId="11831" xr:uid="{6376DF73-B4EE-43CB-A596-BCB8B6004F78}"/>
    <cellStyle name="Currency 3 2 2 2 2 3 3" xfId="5462" xr:uid="{00000000-0005-0000-0000-0000B00A0000}"/>
    <cellStyle name="Currency 3 2 2 2 2 3 3 2" xfId="13904" xr:uid="{A78B69BD-E24E-4C0C-B558-1B4448DF1577}"/>
    <cellStyle name="Currency 3 2 2 2 2 3 4" xfId="9686" xr:uid="{CF06044E-E589-4D86-A292-9F12E969088A}"/>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2 2 2" xfId="16462" xr:uid="{43A28C7D-D59D-40FD-91B4-B381972D2234}"/>
    <cellStyle name="Currency 3 2 2 2 2 4 2 3" xfId="12244" xr:uid="{8CDE8DE6-AE4C-49D2-842D-E6B9157255DF}"/>
    <cellStyle name="Currency 3 2 2 2 2 4 3" xfId="5875" xr:uid="{00000000-0005-0000-0000-0000B40A0000}"/>
    <cellStyle name="Currency 3 2 2 2 2 4 3 2" xfId="14317" xr:uid="{0E2AF109-C355-40EE-9FC6-B36D680FBCCC}"/>
    <cellStyle name="Currency 3 2 2 2 2 4 4" xfId="10099" xr:uid="{84581845-EF0B-49A7-A73D-591C57467A7E}"/>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2 2 2" xfId="16875" xr:uid="{DE833418-3E0C-4934-8348-D6C0E75178E7}"/>
    <cellStyle name="Currency 3 2 2 2 2 5 2 3" xfId="12657" xr:uid="{F2F15169-2078-4472-A3F7-FDFD21D71FFA}"/>
    <cellStyle name="Currency 3 2 2 2 2 5 3" xfId="6288" xr:uid="{00000000-0005-0000-0000-0000B80A0000}"/>
    <cellStyle name="Currency 3 2 2 2 2 5 3 2" xfId="14730" xr:uid="{70394897-6410-4D2B-B143-A88406E19645}"/>
    <cellStyle name="Currency 3 2 2 2 2 5 4" xfId="10512" xr:uid="{2F15EAD3-A155-48AF-A14D-E7303C8A5124}"/>
    <cellStyle name="Currency 3 2 2 2 2 6" xfId="2416" xr:uid="{00000000-0005-0000-0000-0000B90A0000}"/>
    <cellStyle name="Currency 3 2 2 2 2 6 2" xfId="6701" xr:uid="{00000000-0005-0000-0000-0000BA0A0000}"/>
    <cellStyle name="Currency 3 2 2 2 2 6 2 2" xfId="15143" xr:uid="{C71082FB-9638-42E4-A29B-1A2FEE6B96FA}"/>
    <cellStyle name="Currency 3 2 2 2 2 6 3" xfId="10925" xr:uid="{D4E369D4-BF2A-4C8F-A4A3-8E3289B81EA4}"/>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8 2 2" xfId="15460" xr:uid="{DBC989EB-E118-42C0-B73E-C8A1FFB6594E}"/>
    <cellStyle name="Currency 3 2 2 2 2 8 3" xfId="11242" xr:uid="{BD425397-9AAE-4E82-A8C9-C02BBAF85B5D}"/>
    <cellStyle name="Currency 3 2 2 2 2 9" xfId="4635" xr:uid="{00000000-0005-0000-0000-0000BE0A0000}"/>
    <cellStyle name="Currency 3 2 2 2 2 9 2" xfId="13077" xr:uid="{6FF79B51-167A-4A5A-9FF5-6C7C38A36851}"/>
    <cellStyle name="Currency 3 2 2 2 3" xfId="709" xr:uid="{00000000-0005-0000-0000-0000BF0A0000}"/>
    <cellStyle name="Currency 3 2 2 2 3 2" xfId="2970" xr:uid="{00000000-0005-0000-0000-0000C00A0000}"/>
    <cellStyle name="Currency 3 2 2 2 3 2 2" xfId="7193" xr:uid="{00000000-0005-0000-0000-0000C10A0000}"/>
    <cellStyle name="Currency 3 2 2 2 3 2 2 2" xfId="15635" xr:uid="{6D44B4AE-DDB1-42E3-B1C5-B7BB264B4D91}"/>
    <cellStyle name="Currency 3 2 2 2 3 2 3" xfId="11417" xr:uid="{A49C6920-5492-4B7E-BC51-AC173572F28F}"/>
    <cellStyle name="Currency 3 2 2 2 3 3" xfId="5048" xr:uid="{00000000-0005-0000-0000-0000C20A0000}"/>
    <cellStyle name="Currency 3 2 2 2 3 3 2" xfId="13490" xr:uid="{2C5D27D4-840F-46C9-B71C-703DAD46A3A9}"/>
    <cellStyle name="Currency 3 2 2 2 3 4" xfId="9272" xr:uid="{217AAA0F-9D59-4632-AFE5-2E44CAC59BE8}"/>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2 2 2" xfId="16048" xr:uid="{4C0ECAA9-824F-4C20-BADB-E1607B07B482}"/>
    <cellStyle name="Currency 3 2 2 2 4 2 3" xfId="11830" xr:uid="{1552601F-C859-4273-9960-2AB096026959}"/>
    <cellStyle name="Currency 3 2 2 2 4 3" xfId="5461" xr:uid="{00000000-0005-0000-0000-0000C60A0000}"/>
    <cellStyle name="Currency 3 2 2 2 4 3 2" xfId="13903" xr:uid="{A7CAE412-D0CC-4686-922F-0887EEA1940B}"/>
    <cellStyle name="Currency 3 2 2 2 4 4" xfId="9685" xr:uid="{CCA11471-115E-4B76-BC49-F80568AF777C}"/>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2 2 2" xfId="16461" xr:uid="{AFAA7063-DFD3-498D-9C30-670751B687CB}"/>
    <cellStyle name="Currency 3 2 2 2 5 2 3" xfId="12243" xr:uid="{09F110D2-70D0-4727-B34C-7F74EB06CB5A}"/>
    <cellStyle name="Currency 3 2 2 2 5 3" xfId="5874" xr:uid="{00000000-0005-0000-0000-0000CA0A0000}"/>
    <cellStyle name="Currency 3 2 2 2 5 3 2" xfId="14316" xr:uid="{9DBDA74E-0305-4979-9020-72E7E3C92D48}"/>
    <cellStyle name="Currency 3 2 2 2 5 4" xfId="10098" xr:uid="{3BFE2324-2402-4071-A164-9BF443CCBD39}"/>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2 2 2" xfId="16874" xr:uid="{090837D8-9A9D-4F78-9C6F-9A240EB95FE9}"/>
    <cellStyle name="Currency 3 2 2 2 6 2 3" xfId="12656" xr:uid="{83EE2766-4A8C-45F1-9E58-C746C53E9BB6}"/>
    <cellStyle name="Currency 3 2 2 2 6 3" xfId="6287" xr:uid="{00000000-0005-0000-0000-0000CE0A0000}"/>
    <cellStyle name="Currency 3 2 2 2 6 3 2" xfId="14729" xr:uid="{CE77A984-E914-4C4B-9CEE-D00FB8BF640C}"/>
    <cellStyle name="Currency 3 2 2 2 6 4" xfId="10511" xr:uid="{BFD524E4-F216-47A3-B6A7-A2774E8BE3AF}"/>
    <cellStyle name="Currency 3 2 2 2 7" xfId="2415" xr:uid="{00000000-0005-0000-0000-0000CF0A0000}"/>
    <cellStyle name="Currency 3 2 2 2 7 2" xfId="6700" xr:uid="{00000000-0005-0000-0000-0000D00A0000}"/>
    <cellStyle name="Currency 3 2 2 2 7 2 2" xfId="15142" xr:uid="{4C013DA2-E512-44B1-AFC9-E89ADEF74A4A}"/>
    <cellStyle name="Currency 3 2 2 2 7 3" xfId="10924" xr:uid="{27FF728E-75BD-4879-BD0B-7EC792D7C11C}"/>
    <cellStyle name="Currency 3 2 2 2 8" xfId="2712" xr:uid="{00000000-0005-0000-0000-0000D10A0000}"/>
    <cellStyle name="Currency 3 2 2 2 9" xfId="2793" xr:uid="{00000000-0005-0000-0000-0000D20A0000}"/>
    <cellStyle name="Currency 3 2 2 2 9 2" xfId="7017" xr:uid="{00000000-0005-0000-0000-0000D30A0000}"/>
    <cellStyle name="Currency 3 2 2 2 9 2 2" xfId="15459" xr:uid="{40F18C38-9A7E-4E6E-91DC-B0A26A938804}"/>
    <cellStyle name="Currency 3 2 2 2 9 3" xfId="11241" xr:uid="{408A4999-57A0-45CF-B916-F40DE4FFB073}"/>
    <cellStyle name="Currency 3 2 2 3" xfId="181" xr:uid="{00000000-0005-0000-0000-0000D40A0000}"/>
    <cellStyle name="Currency 3 2 2 3 10" xfId="8860" xr:uid="{857804E2-CB77-46E5-A99D-4B8BFD0149C8}"/>
    <cellStyle name="Currency 3 2 2 3 2" xfId="711" xr:uid="{00000000-0005-0000-0000-0000D50A0000}"/>
    <cellStyle name="Currency 3 2 2 3 2 2" xfId="2972" xr:uid="{00000000-0005-0000-0000-0000D60A0000}"/>
    <cellStyle name="Currency 3 2 2 3 2 2 2" xfId="7195" xr:uid="{00000000-0005-0000-0000-0000D70A0000}"/>
    <cellStyle name="Currency 3 2 2 3 2 2 2 2" xfId="15637" xr:uid="{2C74F905-42C6-4FEC-8EBA-16A6BFAA9D0E}"/>
    <cellStyle name="Currency 3 2 2 3 2 2 3" xfId="11419" xr:uid="{D2998F4C-F56C-4D63-B58B-02B6648B8D44}"/>
    <cellStyle name="Currency 3 2 2 3 2 3" xfId="5050" xr:uid="{00000000-0005-0000-0000-0000D80A0000}"/>
    <cellStyle name="Currency 3 2 2 3 2 3 2" xfId="13492" xr:uid="{2B8DD024-A32A-4581-8EE5-19861AA2E7D8}"/>
    <cellStyle name="Currency 3 2 2 3 2 4" xfId="9274" xr:uid="{BAA8984B-EE8C-41FD-84F4-090AAC4C248F}"/>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2 2 2" xfId="16050" xr:uid="{0F46ED52-7FEA-4F3B-AACE-410048FB6D36}"/>
    <cellStyle name="Currency 3 2 2 3 3 2 3" xfId="11832" xr:uid="{387D87A6-9146-4919-A6AD-3C0943A14F54}"/>
    <cellStyle name="Currency 3 2 2 3 3 3" xfId="5463" xr:uid="{00000000-0005-0000-0000-0000DC0A0000}"/>
    <cellStyle name="Currency 3 2 2 3 3 3 2" xfId="13905" xr:uid="{87E73D35-C3E3-4D9A-BB67-D00F9F25F1AD}"/>
    <cellStyle name="Currency 3 2 2 3 3 4" xfId="9687" xr:uid="{091A21A1-2846-419D-AE87-AFEE5E75D761}"/>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2 2 2" xfId="16463" xr:uid="{A304B74C-833E-44B8-95C8-DB87831F2763}"/>
    <cellStyle name="Currency 3 2 2 3 4 2 3" xfId="12245" xr:uid="{F9E2A7D7-2B25-4B50-8DCD-848411919257}"/>
    <cellStyle name="Currency 3 2 2 3 4 3" xfId="5876" xr:uid="{00000000-0005-0000-0000-0000E00A0000}"/>
    <cellStyle name="Currency 3 2 2 3 4 3 2" xfId="14318" xr:uid="{5BAC8059-51A2-4725-A516-3318C1BC77B2}"/>
    <cellStyle name="Currency 3 2 2 3 4 4" xfId="10100" xr:uid="{C7B44142-FA81-4094-BA2D-B05F8A87DF2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2 2 2" xfId="16876" xr:uid="{9E3AB965-18F6-4BA5-9A77-F6D3FF5F6056}"/>
    <cellStyle name="Currency 3 2 2 3 5 2 3" xfId="12658" xr:uid="{A8E1ABB0-3399-485B-9107-73919D09E3FD}"/>
    <cellStyle name="Currency 3 2 2 3 5 3" xfId="6289" xr:uid="{00000000-0005-0000-0000-0000E40A0000}"/>
    <cellStyle name="Currency 3 2 2 3 5 3 2" xfId="14731" xr:uid="{9986C2E9-4821-417F-930F-5698001C87B2}"/>
    <cellStyle name="Currency 3 2 2 3 5 4" xfId="10513" xr:uid="{7226520C-6CA7-4E54-96FD-08619B67E954}"/>
    <cellStyle name="Currency 3 2 2 3 6" xfId="2417" xr:uid="{00000000-0005-0000-0000-0000E50A0000}"/>
    <cellStyle name="Currency 3 2 2 3 6 2" xfId="6702" xr:uid="{00000000-0005-0000-0000-0000E60A0000}"/>
    <cellStyle name="Currency 3 2 2 3 6 2 2" xfId="15144" xr:uid="{18D970D2-125B-47B6-A6F2-B5B119F3E157}"/>
    <cellStyle name="Currency 3 2 2 3 6 3" xfId="10926" xr:uid="{0888D049-9FA8-46BA-B4FB-E213E55FFE72}"/>
    <cellStyle name="Currency 3 2 2 3 7" xfId="2714" xr:uid="{00000000-0005-0000-0000-0000E70A0000}"/>
    <cellStyle name="Currency 3 2 2 3 8" xfId="2795" xr:uid="{00000000-0005-0000-0000-0000E80A0000}"/>
    <cellStyle name="Currency 3 2 2 3 8 2" xfId="7019" xr:uid="{00000000-0005-0000-0000-0000E90A0000}"/>
    <cellStyle name="Currency 3 2 2 3 8 2 2" xfId="15461" xr:uid="{D8B83598-29DA-41D0-845E-A25DF1422034}"/>
    <cellStyle name="Currency 3 2 2 3 8 3" xfId="11243" xr:uid="{AA986969-C52D-4197-A2F8-AC5B4A7A3942}"/>
    <cellStyle name="Currency 3 2 2 3 9" xfId="4636" xr:uid="{00000000-0005-0000-0000-0000EA0A0000}"/>
    <cellStyle name="Currency 3 2 2 3 9 2" xfId="13078" xr:uid="{8199C198-F9E9-4687-BB37-2325D65E091B}"/>
    <cellStyle name="Currency 3 2 2 4" xfId="708" xr:uid="{00000000-0005-0000-0000-0000EB0A0000}"/>
    <cellStyle name="Currency 3 2 2 4 2" xfId="2969" xr:uid="{00000000-0005-0000-0000-0000EC0A0000}"/>
    <cellStyle name="Currency 3 2 2 4 2 2" xfId="7192" xr:uid="{00000000-0005-0000-0000-0000ED0A0000}"/>
    <cellStyle name="Currency 3 2 2 4 2 2 2" xfId="15634" xr:uid="{3BCDB206-174E-402D-908E-C79833F0BE6E}"/>
    <cellStyle name="Currency 3 2 2 4 2 3" xfId="11416" xr:uid="{04DFF386-F00D-4E07-A71F-95C9BF0D35DA}"/>
    <cellStyle name="Currency 3 2 2 4 3" xfId="5047" xr:uid="{00000000-0005-0000-0000-0000EE0A0000}"/>
    <cellStyle name="Currency 3 2 2 4 3 2" xfId="13489" xr:uid="{56119AE7-A0F3-4064-8D60-77C6B5659D55}"/>
    <cellStyle name="Currency 3 2 2 4 4" xfId="9271" xr:uid="{6A67C054-8060-4357-A0F6-5E19C8B21923}"/>
    <cellStyle name="Currency 3 2 2 5" xfId="1151" xr:uid="{00000000-0005-0000-0000-0000EF0A0000}"/>
    <cellStyle name="Currency 3 2 2 5 2" xfId="3382" xr:uid="{00000000-0005-0000-0000-0000F00A0000}"/>
    <cellStyle name="Currency 3 2 2 5 2 2" xfId="7605" xr:uid="{00000000-0005-0000-0000-0000F10A0000}"/>
    <cellStyle name="Currency 3 2 2 5 2 2 2" xfId="16047" xr:uid="{95594719-716C-42FF-808E-AB9268ABC6F6}"/>
    <cellStyle name="Currency 3 2 2 5 2 3" xfId="11829" xr:uid="{CFF84D7A-6551-4C18-A9F3-433B1E3A0F13}"/>
    <cellStyle name="Currency 3 2 2 5 3" xfId="5460" xr:uid="{00000000-0005-0000-0000-0000F20A0000}"/>
    <cellStyle name="Currency 3 2 2 5 3 2" xfId="13902" xr:uid="{A7824E43-961F-43BB-AFE2-AC5EA71CDAE7}"/>
    <cellStyle name="Currency 3 2 2 5 4" xfId="9684" xr:uid="{2693620F-85DD-4F8E-99B9-A1CCEFA4417E}"/>
    <cellStyle name="Currency 3 2 2 6" xfId="1565" xr:uid="{00000000-0005-0000-0000-0000F30A0000}"/>
    <cellStyle name="Currency 3 2 2 6 2" xfId="3795" xr:uid="{00000000-0005-0000-0000-0000F40A0000}"/>
    <cellStyle name="Currency 3 2 2 6 2 2" xfId="8018" xr:uid="{00000000-0005-0000-0000-0000F50A0000}"/>
    <cellStyle name="Currency 3 2 2 6 2 2 2" xfId="16460" xr:uid="{5EFEF31F-A4F0-463E-90BF-1AC547C87357}"/>
    <cellStyle name="Currency 3 2 2 6 2 3" xfId="12242" xr:uid="{CBAD65A9-703C-474E-A5EA-971AAE505AE2}"/>
    <cellStyle name="Currency 3 2 2 6 3" xfId="5873" xr:uid="{00000000-0005-0000-0000-0000F60A0000}"/>
    <cellStyle name="Currency 3 2 2 6 3 2" xfId="14315" xr:uid="{AD9B8438-5736-4006-8B46-E1F0CD9C5243}"/>
    <cellStyle name="Currency 3 2 2 6 4" xfId="10097" xr:uid="{8DF58589-DC01-48E7-A284-846FF49D90AB}"/>
    <cellStyle name="Currency 3 2 2 7" xfId="1979" xr:uid="{00000000-0005-0000-0000-0000F70A0000}"/>
    <cellStyle name="Currency 3 2 2 7 2" xfId="4208" xr:uid="{00000000-0005-0000-0000-0000F80A0000}"/>
    <cellStyle name="Currency 3 2 2 7 2 2" xfId="8431" xr:uid="{00000000-0005-0000-0000-0000F90A0000}"/>
    <cellStyle name="Currency 3 2 2 7 2 2 2" xfId="16873" xr:uid="{C72EDC76-0B0C-4BFD-BD83-EE691AA02302}"/>
    <cellStyle name="Currency 3 2 2 7 2 3" xfId="12655" xr:uid="{0F20F3C4-0123-43F7-AFC2-B0BA4539D59B}"/>
    <cellStyle name="Currency 3 2 2 7 3" xfId="6286" xr:uid="{00000000-0005-0000-0000-0000FA0A0000}"/>
    <cellStyle name="Currency 3 2 2 7 3 2" xfId="14728" xr:uid="{724D7883-EE3E-4E65-A052-A5B22F034417}"/>
    <cellStyle name="Currency 3 2 2 7 4" xfId="10510" xr:uid="{661DF84C-CDA6-4081-93E2-16010883FEA2}"/>
    <cellStyle name="Currency 3 2 2 8" xfId="2414" xr:uid="{00000000-0005-0000-0000-0000FB0A0000}"/>
    <cellStyle name="Currency 3 2 2 8 2" xfId="6699" xr:uid="{00000000-0005-0000-0000-0000FC0A0000}"/>
    <cellStyle name="Currency 3 2 2 8 2 2" xfId="15141" xr:uid="{882101D4-33C4-41E6-97B6-34D636D8C30F}"/>
    <cellStyle name="Currency 3 2 2 8 3" xfId="10923" xr:uid="{F6AEB713-DB60-4275-8E6A-707A7DA4A408}"/>
    <cellStyle name="Currency 3 2 2 9" xfId="2711" xr:uid="{00000000-0005-0000-0000-0000FD0A0000}"/>
    <cellStyle name="Currency 3 2 3" xfId="182" xr:uid="{00000000-0005-0000-0000-0000FE0A0000}"/>
    <cellStyle name="Currency 3 2 3 10" xfId="4637" xr:uid="{00000000-0005-0000-0000-0000FF0A0000}"/>
    <cellStyle name="Currency 3 2 3 10 2" xfId="13079" xr:uid="{BA3C4EC8-EAB0-49DF-9EC2-8C21FC526A71}"/>
    <cellStyle name="Currency 3 2 3 11" xfId="8861" xr:uid="{69C7471E-FD4F-4903-8F27-828A3AE14CCE}"/>
    <cellStyle name="Currency 3 2 3 2" xfId="183" xr:uid="{00000000-0005-0000-0000-0000000B0000}"/>
    <cellStyle name="Currency 3 2 3 2 10" xfId="8862" xr:uid="{955B4174-24C2-4ADB-93F0-8DB261E14EE7}"/>
    <cellStyle name="Currency 3 2 3 2 2" xfId="713" xr:uid="{00000000-0005-0000-0000-0000010B0000}"/>
    <cellStyle name="Currency 3 2 3 2 2 2" xfId="2974" xr:uid="{00000000-0005-0000-0000-0000020B0000}"/>
    <cellStyle name="Currency 3 2 3 2 2 2 2" xfId="7197" xr:uid="{00000000-0005-0000-0000-0000030B0000}"/>
    <cellStyle name="Currency 3 2 3 2 2 2 2 2" xfId="15639" xr:uid="{86D34C47-5286-4AD0-8E0E-EDACBC832489}"/>
    <cellStyle name="Currency 3 2 3 2 2 2 3" xfId="11421" xr:uid="{DE233E64-FFD8-41C7-89D9-5D778089EA3E}"/>
    <cellStyle name="Currency 3 2 3 2 2 3" xfId="5052" xr:uid="{00000000-0005-0000-0000-0000040B0000}"/>
    <cellStyle name="Currency 3 2 3 2 2 3 2" xfId="13494" xr:uid="{9029721B-21CC-4935-BB67-711E086942C3}"/>
    <cellStyle name="Currency 3 2 3 2 2 4" xfId="9276" xr:uid="{2C9E827F-EF6E-40E4-BECC-E0D522F7810E}"/>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2 2 2" xfId="16052" xr:uid="{3E3C0C4D-DC36-41E2-92CD-0AA33C88A611}"/>
    <cellStyle name="Currency 3 2 3 2 3 2 3" xfId="11834" xr:uid="{4D5B1DF4-DBFF-4654-97E3-9968844033D4}"/>
    <cellStyle name="Currency 3 2 3 2 3 3" xfId="5465" xr:uid="{00000000-0005-0000-0000-0000080B0000}"/>
    <cellStyle name="Currency 3 2 3 2 3 3 2" xfId="13907" xr:uid="{F18C921D-AED0-4C0C-8DB9-3C7ABEBCC011}"/>
    <cellStyle name="Currency 3 2 3 2 3 4" xfId="9689" xr:uid="{E3FFA308-DD18-42BD-AFBC-0E917B6D8B01}"/>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2 2 2" xfId="16465" xr:uid="{6594C577-A38E-4B5A-A33C-D7DC7083F86F}"/>
    <cellStyle name="Currency 3 2 3 2 4 2 3" xfId="12247" xr:uid="{DB7B7D06-4421-4555-B26F-0F3296C63B36}"/>
    <cellStyle name="Currency 3 2 3 2 4 3" xfId="5878" xr:uid="{00000000-0005-0000-0000-00000C0B0000}"/>
    <cellStyle name="Currency 3 2 3 2 4 3 2" xfId="14320" xr:uid="{033DFDF0-89BA-47B1-9A01-E026064BCA5A}"/>
    <cellStyle name="Currency 3 2 3 2 4 4" xfId="10102" xr:uid="{AD6DB6CF-085A-418A-AE56-15D71CD5334F}"/>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2 2 2" xfId="16878" xr:uid="{4F51379A-8263-488E-BAF8-FB6B2EA6B173}"/>
    <cellStyle name="Currency 3 2 3 2 5 2 3" xfId="12660" xr:uid="{0072142E-1BB1-4A73-BA4F-E5D095903238}"/>
    <cellStyle name="Currency 3 2 3 2 5 3" xfId="6291" xr:uid="{00000000-0005-0000-0000-0000100B0000}"/>
    <cellStyle name="Currency 3 2 3 2 5 3 2" xfId="14733" xr:uid="{1FB16897-7090-435E-A6B2-9D10E312F00D}"/>
    <cellStyle name="Currency 3 2 3 2 5 4" xfId="10515" xr:uid="{40FC1DB3-1DE8-4044-AB78-779EE68216B6}"/>
    <cellStyle name="Currency 3 2 3 2 6" xfId="2419" xr:uid="{00000000-0005-0000-0000-0000110B0000}"/>
    <cellStyle name="Currency 3 2 3 2 6 2" xfId="6704" xr:uid="{00000000-0005-0000-0000-0000120B0000}"/>
    <cellStyle name="Currency 3 2 3 2 6 2 2" xfId="15146" xr:uid="{97783B05-827F-4A9B-A7D9-4C2E5FBA1984}"/>
    <cellStyle name="Currency 3 2 3 2 6 3" xfId="10928" xr:uid="{2D72FD9F-3B3C-42F7-B57D-F41BE6D4973E}"/>
    <cellStyle name="Currency 3 2 3 2 7" xfId="2716" xr:uid="{00000000-0005-0000-0000-0000130B0000}"/>
    <cellStyle name="Currency 3 2 3 2 8" xfId="2797" xr:uid="{00000000-0005-0000-0000-0000140B0000}"/>
    <cellStyle name="Currency 3 2 3 2 8 2" xfId="7021" xr:uid="{00000000-0005-0000-0000-0000150B0000}"/>
    <cellStyle name="Currency 3 2 3 2 8 2 2" xfId="15463" xr:uid="{D03D95C3-0475-46B0-A70D-7AC0754D84BA}"/>
    <cellStyle name="Currency 3 2 3 2 8 3" xfId="11245" xr:uid="{05F6DF7F-96B2-4873-8B36-1EDA4B89674C}"/>
    <cellStyle name="Currency 3 2 3 2 9" xfId="4638" xr:uid="{00000000-0005-0000-0000-0000160B0000}"/>
    <cellStyle name="Currency 3 2 3 2 9 2" xfId="13080" xr:uid="{18A6C46D-4E6D-4C10-8664-0BF6BE3D7512}"/>
    <cellStyle name="Currency 3 2 3 3" xfId="712" xr:uid="{00000000-0005-0000-0000-0000170B0000}"/>
    <cellStyle name="Currency 3 2 3 3 2" xfId="2973" xr:uid="{00000000-0005-0000-0000-0000180B0000}"/>
    <cellStyle name="Currency 3 2 3 3 2 2" xfId="7196" xr:uid="{00000000-0005-0000-0000-0000190B0000}"/>
    <cellStyle name="Currency 3 2 3 3 2 2 2" xfId="15638" xr:uid="{29310F3F-2B82-4015-9F63-8423358EE3EE}"/>
    <cellStyle name="Currency 3 2 3 3 2 3" xfId="11420" xr:uid="{4D88E2F8-BCEA-4F10-A688-F7E43D06437F}"/>
    <cellStyle name="Currency 3 2 3 3 3" xfId="5051" xr:uid="{00000000-0005-0000-0000-00001A0B0000}"/>
    <cellStyle name="Currency 3 2 3 3 3 2" xfId="13493" xr:uid="{3D27F29B-94C0-4F65-827C-4ACE0725272D}"/>
    <cellStyle name="Currency 3 2 3 3 4" xfId="9275" xr:uid="{B94E51F1-873F-412C-9F40-FDB66F447345}"/>
    <cellStyle name="Currency 3 2 3 4" xfId="1155" xr:uid="{00000000-0005-0000-0000-00001B0B0000}"/>
    <cellStyle name="Currency 3 2 3 4 2" xfId="3386" xr:uid="{00000000-0005-0000-0000-00001C0B0000}"/>
    <cellStyle name="Currency 3 2 3 4 2 2" xfId="7609" xr:uid="{00000000-0005-0000-0000-00001D0B0000}"/>
    <cellStyle name="Currency 3 2 3 4 2 2 2" xfId="16051" xr:uid="{4085419C-2732-4C6E-833E-D0AE4A67EAEE}"/>
    <cellStyle name="Currency 3 2 3 4 2 3" xfId="11833" xr:uid="{8BC96B7C-5DC7-4280-89DF-BE8C440F7E52}"/>
    <cellStyle name="Currency 3 2 3 4 3" xfId="5464" xr:uid="{00000000-0005-0000-0000-00001E0B0000}"/>
    <cellStyle name="Currency 3 2 3 4 3 2" xfId="13906" xr:uid="{A5B3D66F-BC69-4685-8D86-B6182787BE30}"/>
    <cellStyle name="Currency 3 2 3 4 4" xfId="9688" xr:uid="{9E19FB49-D5EE-4839-8B14-55138D858B0D}"/>
    <cellStyle name="Currency 3 2 3 5" xfId="1569" xr:uid="{00000000-0005-0000-0000-00001F0B0000}"/>
    <cellStyle name="Currency 3 2 3 5 2" xfId="3799" xr:uid="{00000000-0005-0000-0000-0000200B0000}"/>
    <cellStyle name="Currency 3 2 3 5 2 2" xfId="8022" xr:uid="{00000000-0005-0000-0000-0000210B0000}"/>
    <cellStyle name="Currency 3 2 3 5 2 2 2" xfId="16464" xr:uid="{54EDA3AC-EC51-47FC-9458-435B3FD945B2}"/>
    <cellStyle name="Currency 3 2 3 5 2 3" xfId="12246" xr:uid="{5A639683-E9A8-4268-BC51-FB7ACC937C56}"/>
    <cellStyle name="Currency 3 2 3 5 3" xfId="5877" xr:uid="{00000000-0005-0000-0000-0000220B0000}"/>
    <cellStyle name="Currency 3 2 3 5 3 2" xfId="14319" xr:uid="{C54DD554-9CFD-4455-AA28-ED8AFBAB7245}"/>
    <cellStyle name="Currency 3 2 3 5 4" xfId="10101" xr:uid="{9C104E6F-2FDD-4544-B2EF-DD84B0E1B3E0}"/>
    <cellStyle name="Currency 3 2 3 6" xfId="1983" xr:uid="{00000000-0005-0000-0000-0000230B0000}"/>
    <cellStyle name="Currency 3 2 3 6 2" xfId="4212" xr:uid="{00000000-0005-0000-0000-0000240B0000}"/>
    <cellStyle name="Currency 3 2 3 6 2 2" xfId="8435" xr:uid="{00000000-0005-0000-0000-0000250B0000}"/>
    <cellStyle name="Currency 3 2 3 6 2 2 2" xfId="16877" xr:uid="{120C5FC4-4E84-4384-9408-03E442463D6B}"/>
    <cellStyle name="Currency 3 2 3 6 2 3" xfId="12659" xr:uid="{4A573108-85B2-4015-875E-A6D620203FAA}"/>
    <cellStyle name="Currency 3 2 3 6 3" xfId="6290" xr:uid="{00000000-0005-0000-0000-0000260B0000}"/>
    <cellStyle name="Currency 3 2 3 6 3 2" xfId="14732" xr:uid="{5BC0F89C-FAD2-4A12-A376-F684E83FBBB9}"/>
    <cellStyle name="Currency 3 2 3 6 4" xfId="10514" xr:uid="{AD242761-6CFB-4FFE-A6B8-AED7782AE8E9}"/>
    <cellStyle name="Currency 3 2 3 7" xfId="2418" xr:uid="{00000000-0005-0000-0000-0000270B0000}"/>
    <cellStyle name="Currency 3 2 3 7 2" xfId="6703" xr:uid="{00000000-0005-0000-0000-0000280B0000}"/>
    <cellStyle name="Currency 3 2 3 7 2 2" xfId="15145" xr:uid="{176A161C-6545-43A6-95A4-FD39D720082D}"/>
    <cellStyle name="Currency 3 2 3 7 3" xfId="10927" xr:uid="{5AB7106A-D333-4128-858C-E7B34977476D}"/>
    <cellStyle name="Currency 3 2 3 8" xfId="2715" xr:uid="{00000000-0005-0000-0000-0000290B0000}"/>
    <cellStyle name="Currency 3 2 3 9" xfId="2796" xr:uid="{00000000-0005-0000-0000-00002A0B0000}"/>
    <cellStyle name="Currency 3 2 3 9 2" xfId="7020" xr:uid="{00000000-0005-0000-0000-00002B0B0000}"/>
    <cellStyle name="Currency 3 2 3 9 2 2" xfId="15462" xr:uid="{C363D2B0-4A4C-49DE-B11F-B85334941E5D}"/>
    <cellStyle name="Currency 3 2 3 9 3" xfId="11244" xr:uid="{BF2BA84F-567D-4411-B8BD-3B5369762A28}"/>
    <cellStyle name="Currency 3 2 4" xfId="184" xr:uid="{00000000-0005-0000-0000-00002C0B0000}"/>
    <cellStyle name="Currency 3 2 4 10" xfId="8863" xr:uid="{6AD61938-CFAF-453C-9F57-98D8ED591E10}"/>
    <cellStyle name="Currency 3 2 4 2" xfId="714" xr:uid="{00000000-0005-0000-0000-00002D0B0000}"/>
    <cellStyle name="Currency 3 2 4 2 2" xfId="2975" xr:uid="{00000000-0005-0000-0000-00002E0B0000}"/>
    <cellStyle name="Currency 3 2 4 2 2 2" xfId="7198" xr:uid="{00000000-0005-0000-0000-00002F0B0000}"/>
    <cellStyle name="Currency 3 2 4 2 2 2 2" xfId="15640" xr:uid="{BF1CE56A-F10E-4918-B345-EC5FB14177ED}"/>
    <cellStyle name="Currency 3 2 4 2 2 3" xfId="11422" xr:uid="{8F129AD7-03A3-4254-906C-9EC37F27F356}"/>
    <cellStyle name="Currency 3 2 4 2 3" xfId="5053" xr:uid="{00000000-0005-0000-0000-0000300B0000}"/>
    <cellStyle name="Currency 3 2 4 2 3 2" xfId="13495" xr:uid="{0F1E0857-9CFA-487D-A858-C4907808033A}"/>
    <cellStyle name="Currency 3 2 4 2 4" xfId="9277" xr:uid="{91B8D6C7-3DF1-4A20-89A2-D9A3CD6B3137}"/>
    <cellStyle name="Currency 3 2 4 3" xfId="1157" xr:uid="{00000000-0005-0000-0000-0000310B0000}"/>
    <cellStyle name="Currency 3 2 4 3 2" xfId="3388" xr:uid="{00000000-0005-0000-0000-0000320B0000}"/>
    <cellStyle name="Currency 3 2 4 3 2 2" xfId="7611" xr:uid="{00000000-0005-0000-0000-0000330B0000}"/>
    <cellStyle name="Currency 3 2 4 3 2 2 2" xfId="16053" xr:uid="{5CB7433D-80F6-4377-B803-C178A537A27F}"/>
    <cellStyle name="Currency 3 2 4 3 2 3" xfId="11835" xr:uid="{2EEA20CF-6148-4948-A99D-538E685DF4F6}"/>
    <cellStyle name="Currency 3 2 4 3 3" xfId="5466" xr:uid="{00000000-0005-0000-0000-0000340B0000}"/>
    <cellStyle name="Currency 3 2 4 3 3 2" xfId="13908" xr:uid="{8D71806C-3875-47AB-8E0D-B99E9BDFADF9}"/>
    <cellStyle name="Currency 3 2 4 3 4" xfId="9690" xr:uid="{DA01B995-7A8F-4094-994A-EFF0D31F954E}"/>
    <cellStyle name="Currency 3 2 4 4" xfId="1571" xr:uid="{00000000-0005-0000-0000-0000350B0000}"/>
    <cellStyle name="Currency 3 2 4 4 2" xfId="3801" xr:uid="{00000000-0005-0000-0000-0000360B0000}"/>
    <cellStyle name="Currency 3 2 4 4 2 2" xfId="8024" xr:uid="{00000000-0005-0000-0000-0000370B0000}"/>
    <cellStyle name="Currency 3 2 4 4 2 2 2" xfId="16466" xr:uid="{BA8A60A9-3F39-45D9-9F90-2F45AE870F53}"/>
    <cellStyle name="Currency 3 2 4 4 2 3" xfId="12248" xr:uid="{92FD002A-673B-4CE0-9103-568411507B5D}"/>
    <cellStyle name="Currency 3 2 4 4 3" xfId="5879" xr:uid="{00000000-0005-0000-0000-0000380B0000}"/>
    <cellStyle name="Currency 3 2 4 4 3 2" xfId="14321" xr:uid="{C39EE70F-CE46-432C-A8D6-BFEFA81CFF84}"/>
    <cellStyle name="Currency 3 2 4 4 4" xfId="10103" xr:uid="{B252AD41-08E2-4DAC-BCD1-4735DBC17082}"/>
    <cellStyle name="Currency 3 2 4 5" xfId="1985" xr:uid="{00000000-0005-0000-0000-0000390B0000}"/>
    <cellStyle name="Currency 3 2 4 5 2" xfId="4214" xr:uid="{00000000-0005-0000-0000-00003A0B0000}"/>
    <cellStyle name="Currency 3 2 4 5 2 2" xfId="8437" xr:uid="{00000000-0005-0000-0000-00003B0B0000}"/>
    <cellStyle name="Currency 3 2 4 5 2 2 2" xfId="16879" xr:uid="{908136E0-9D5E-4323-AC01-521D7E826EB8}"/>
    <cellStyle name="Currency 3 2 4 5 2 3" xfId="12661" xr:uid="{68E0D862-E5C6-4E6D-ADCA-02905483E5B4}"/>
    <cellStyle name="Currency 3 2 4 5 3" xfId="6292" xr:uid="{00000000-0005-0000-0000-00003C0B0000}"/>
    <cellStyle name="Currency 3 2 4 5 3 2" xfId="14734" xr:uid="{F0B6AC6F-B0C7-41AA-A02C-B85E63D07E8B}"/>
    <cellStyle name="Currency 3 2 4 5 4" xfId="10516" xr:uid="{3E0FFF64-5C35-4252-8849-05C785D67098}"/>
    <cellStyle name="Currency 3 2 4 6" xfId="2420" xr:uid="{00000000-0005-0000-0000-00003D0B0000}"/>
    <cellStyle name="Currency 3 2 4 6 2" xfId="6705" xr:uid="{00000000-0005-0000-0000-00003E0B0000}"/>
    <cellStyle name="Currency 3 2 4 6 2 2" xfId="15147" xr:uid="{8AC94690-1233-4F65-B42E-871636157ACB}"/>
    <cellStyle name="Currency 3 2 4 6 3" xfId="10929" xr:uid="{5BD19256-9681-4BE7-9FBC-EECA40D1C9F4}"/>
    <cellStyle name="Currency 3 2 4 7" xfId="2717" xr:uid="{00000000-0005-0000-0000-00003F0B0000}"/>
    <cellStyle name="Currency 3 2 4 8" xfId="2798" xr:uid="{00000000-0005-0000-0000-0000400B0000}"/>
    <cellStyle name="Currency 3 2 4 8 2" xfId="7022" xr:uid="{00000000-0005-0000-0000-0000410B0000}"/>
    <cellStyle name="Currency 3 2 4 8 2 2" xfId="15464" xr:uid="{FC274C8F-CFA6-4E05-87A8-1D756E630E95}"/>
    <cellStyle name="Currency 3 2 4 8 3" xfId="11246" xr:uid="{17A1F264-705A-4D3C-87CC-09345F4E6DC6}"/>
    <cellStyle name="Currency 3 2 4 9" xfId="4639" xr:uid="{00000000-0005-0000-0000-0000420B0000}"/>
    <cellStyle name="Currency 3 2 4 9 2" xfId="13081" xr:uid="{739DF416-E5E0-459C-AC93-20B3F97B5B0E}"/>
    <cellStyle name="Currency 3 2 5" xfId="185" xr:uid="{00000000-0005-0000-0000-0000430B0000}"/>
    <cellStyle name="Currency 3 2 5 10" xfId="8864" xr:uid="{A38E8DC3-0B94-4F2D-A914-8966901DE0B5}"/>
    <cellStyle name="Currency 3 2 5 2" xfId="715" xr:uid="{00000000-0005-0000-0000-0000440B0000}"/>
    <cellStyle name="Currency 3 2 5 2 2" xfId="2976" xr:uid="{00000000-0005-0000-0000-0000450B0000}"/>
    <cellStyle name="Currency 3 2 5 2 2 2" xfId="7199" xr:uid="{00000000-0005-0000-0000-0000460B0000}"/>
    <cellStyle name="Currency 3 2 5 2 2 2 2" xfId="15641" xr:uid="{A8AFFC44-2103-4DE5-87B8-6E362CD7BDE9}"/>
    <cellStyle name="Currency 3 2 5 2 2 3" xfId="11423" xr:uid="{804FD6E3-8EB8-482C-9C0C-F3CE317A0501}"/>
    <cellStyle name="Currency 3 2 5 2 3" xfId="5054" xr:uid="{00000000-0005-0000-0000-0000470B0000}"/>
    <cellStyle name="Currency 3 2 5 2 3 2" xfId="13496" xr:uid="{96E36309-A748-4E1B-88AA-832E0469FA0D}"/>
    <cellStyle name="Currency 3 2 5 2 4" xfId="9278" xr:uid="{B58C2E39-9DFD-4C43-BFC4-2D5C432DA384}"/>
    <cellStyle name="Currency 3 2 5 3" xfId="1158" xr:uid="{00000000-0005-0000-0000-0000480B0000}"/>
    <cellStyle name="Currency 3 2 5 3 2" xfId="3389" xr:uid="{00000000-0005-0000-0000-0000490B0000}"/>
    <cellStyle name="Currency 3 2 5 3 2 2" xfId="7612" xr:uid="{00000000-0005-0000-0000-00004A0B0000}"/>
    <cellStyle name="Currency 3 2 5 3 2 2 2" xfId="16054" xr:uid="{D66EFE3A-69CA-48B9-9BB3-BB0168B927AC}"/>
    <cellStyle name="Currency 3 2 5 3 2 3" xfId="11836" xr:uid="{894D282B-B9A0-4248-B191-9C97442C6ABD}"/>
    <cellStyle name="Currency 3 2 5 3 3" xfId="5467" xr:uid="{00000000-0005-0000-0000-00004B0B0000}"/>
    <cellStyle name="Currency 3 2 5 3 3 2" xfId="13909" xr:uid="{56193FA3-D8D6-4EB0-8BB5-0DF463D28EDE}"/>
    <cellStyle name="Currency 3 2 5 3 4" xfId="9691" xr:uid="{5A393063-BD43-439C-B7F2-19512802AC81}"/>
    <cellStyle name="Currency 3 2 5 4" xfId="1572" xr:uid="{00000000-0005-0000-0000-00004C0B0000}"/>
    <cellStyle name="Currency 3 2 5 4 2" xfId="3802" xr:uid="{00000000-0005-0000-0000-00004D0B0000}"/>
    <cellStyle name="Currency 3 2 5 4 2 2" xfId="8025" xr:uid="{00000000-0005-0000-0000-00004E0B0000}"/>
    <cellStyle name="Currency 3 2 5 4 2 2 2" xfId="16467" xr:uid="{BAF1DA48-4467-49EA-80E5-89E8B934EE67}"/>
    <cellStyle name="Currency 3 2 5 4 2 3" xfId="12249" xr:uid="{6627E409-BAD8-467B-A28B-0E4FA8928A90}"/>
    <cellStyle name="Currency 3 2 5 4 3" xfId="5880" xr:uid="{00000000-0005-0000-0000-00004F0B0000}"/>
    <cellStyle name="Currency 3 2 5 4 3 2" xfId="14322" xr:uid="{348B510D-468F-4708-969D-D17F656DDF67}"/>
    <cellStyle name="Currency 3 2 5 4 4" xfId="10104" xr:uid="{EEEA895A-1EEF-4486-8653-98B7A42308E3}"/>
    <cellStyle name="Currency 3 2 5 5" xfId="1986" xr:uid="{00000000-0005-0000-0000-0000500B0000}"/>
    <cellStyle name="Currency 3 2 5 5 2" xfId="4215" xr:uid="{00000000-0005-0000-0000-0000510B0000}"/>
    <cellStyle name="Currency 3 2 5 5 2 2" xfId="8438" xr:uid="{00000000-0005-0000-0000-0000520B0000}"/>
    <cellStyle name="Currency 3 2 5 5 2 2 2" xfId="16880" xr:uid="{384E869B-8C60-4013-B337-78F844323BDF}"/>
    <cellStyle name="Currency 3 2 5 5 2 3" xfId="12662" xr:uid="{F1732297-C510-4202-9E77-E85C030CD7DD}"/>
    <cellStyle name="Currency 3 2 5 5 3" xfId="6293" xr:uid="{00000000-0005-0000-0000-0000530B0000}"/>
    <cellStyle name="Currency 3 2 5 5 3 2" xfId="14735" xr:uid="{DC030291-3474-4DA1-8B11-35D25B0C5136}"/>
    <cellStyle name="Currency 3 2 5 5 4" xfId="10517" xr:uid="{61C7DA0C-BAB2-45E1-A9CC-BB5E92C74127}"/>
    <cellStyle name="Currency 3 2 5 6" xfId="2421" xr:uid="{00000000-0005-0000-0000-0000540B0000}"/>
    <cellStyle name="Currency 3 2 5 6 2" xfId="6706" xr:uid="{00000000-0005-0000-0000-0000550B0000}"/>
    <cellStyle name="Currency 3 2 5 6 2 2" xfId="15148" xr:uid="{5CB22B29-3B94-4E29-A7A7-82FFB7442B3B}"/>
    <cellStyle name="Currency 3 2 5 6 3" xfId="10930" xr:uid="{3B1CD4FF-ACDA-43E0-BC9E-E52F59E2D38A}"/>
    <cellStyle name="Currency 3 2 5 7" xfId="2718" xr:uid="{00000000-0005-0000-0000-0000560B0000}"/>
    <cellStyle name="Currency 3 2 5 8" xfId="2799" xr:uid="{00000000-0005-0000-0000-0000570B0000}"/>
    <cellStyle name="Currency 3 2 5 8 2" xfId="7023" xr:uid="{00000000-0005-0000-0000-0000580B0000}"/>
    <cellStyle name="Currency 3 2 5 8 2 2" xfId="15465" xr:uid="{DF5F3C4D-0BCF-4510-BBA8-14E21B7377BA}"/>
    <cellStyle name="Currency 3 2 5 8 3" xfId="11247" xr:uid="{6E3F35F4-811C-4AE6-8047-8773726AA954}"/>
    <cellStyle name="Currency 3 2 5 9" xfId="4640" xr:uid="{00000000-0005-0000-0000-0000590B0000}"/>
    <cellStyle name="Currency 3 2 5 9 2" xfId="13082" xr:uid="{C321BCD9-BD75-448D-9EF8-B25615E2B1D3}"/>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0 2 2" xfId="15466" xr:uid="{0925968F-6ED2-4AEC-AF71-5F4DBCCA286A}"/>
    <cellStyle name="Currency 5 2 2 2 10 3" xfId="11248" xr:uid="{32585447-400A-498F-A6FC-59870929F25F}"/>
    <cellStyle name="Currency 5 2 2 2 11" xfId="4641" xr:uid="{00000000-0005-0000-0000-00006C0B0000}"/>
    <cellStyle name="Currency 5 2 2 2 11 2" xfId="13083" xr:uid="{290EE9E7-6256-4FB2-9AF1-7FEC11284A60}"/>
    <cellStyle name="Currency 5 2 2 2 12" xfId="8865" xr:uid="{99A1DFFD-82A9-43C8-A2B9-95849398075B}"/>
    <cellStyle name="Currency 5 2 2 2 2" xfId="197" xr:uid="{00000000-0005-0000-0000-00006D0B0000}"/>
    <cellStyle name="Currency 5 2 2 2 2 10" xfId="4642" xr:uid="{00000000-0005-0000-0000-00006E0B0000}"/>
    <cellStyle name="Currency 5 2 2 2 2 10 2" xfId="13084" xr:uid="{586F2E10-CC73-45D5-B1AC-2C5963679EE6}"/>
    <cellStyle name="Currency 5 2 2 2 2 11" xfId="8866" xr:uid="{4091CE03-B255-4305-AECF-17384F788E61}"/>
    <cellStyle name="Currency 5 2 2 2 2 2" xfId="198" xr:uid="{00000000-0005-0000-0000-00006F0B0000}"/>
    <cellStyle name="Currency 5 2 2 2 2 2 10" xfId="8867" xr:uid="{9A266554-DB5B-479A-96C0-172D77582022}"/>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2 2 2" xfId="15644" xr:uid="{F4FD1243-0F04-42BB-B427-26F361C40B4B}"/>
    <cellStyle name="Currency 5 2 2 2 2 2 2 2 3" xfId="11426" xr:uid="{2F8E820F-B2B8-497A-9CD5-9BD8516D1DD1}"/>
    <cellStyle name="Currency 5 2 2 2 2 2 2 3" xfId="5057" xr:uid="{00000000-0005-0000-0000-0000730B0000}"/>
    <cellStyle name="Currency 5 2 2 2 2 2 2 3 2" xfId="13499" xr:uid="{B7902B1A-2686-4BF8-B3B4-EA50174E8B16}"/>
    <cellStyle name="Currency 5 2 2 2 2 2 2 4" xfId="9281" xr:uid="{3144FA23-443C-4770-B845-98F798C9ADD6}"/>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2 2 2" xfId="16057" xr:uid="{FFF489E4-3CE8-4012-B8C6-C32FC1CC2154}"/>
    <cellStyle name="Currency 5 2 2 2 2 2 3 2 3" xfId="11839" xr:uid="{1DD91A52-7133-4CC6-90E0-77CCC6BFBFB1}"/>
    <cellStyle name="Currency 5 2 2 2 2 2 3 3" xfId="5470" xr:uid="{00000000-0005-0000-0000-0000770B0000}"/>
    <cellStyle name="Currency 5 2 2 2 2 2 3 3 2" xfId="13912" xr:uid="{39807531-936C-4A88-BF86-848FE5FDCC7B}"/>
    <cellStyle name="Currency 5 2 2 2 2 2 3 4" xfId="9694" xr:uid="{FD14F8A7-05C8-4F9B-B698-FB1DD5D3AC98}"/>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2 2 2" xfId="16470" xr:uid="{A7F18E65-E55E-499F-A328-B5F5785979B3}"/>
    <cellStyle name="Currency 5 2 2 2 2 2 4 2 3" xfId="12252" xr:uid="{212AC395-6706-41AD-8B5C-CB09E99D3BF9}"/>
    <cellStyle name="Currency 5 2 2 2 2 2 4 3" xfId="5883" xr:uid="{00000000-0005-0000-0000-00007B0B0000}"/>
    <cellStyle name="Currency 5 2 2 2 2 2 4 3 2" xfId="14325" xr:uid="{E8C26CB8-913F-44EC-981B-B2FB668E1E47}"/>
    <cellStyle name="Currency 5 2 2 2 2 2 4 4" xfId="10107" xr:uid="{559BABEE-26DF-4733-A36A-697F032BB008}"/>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2 2 2" xfId="16883" xr:uid="{A759892A-4BD4-4B72-AC61-CC30FF00A0C6}"/>
    <cellStyle name="Currency 5 2 2 2 2 2 5 2 3" xfId="12665" xr:uid="{C39CA70E-D5CD-4C5A-80B5-40BCDEB138C4}"/>
    <cellStyle name="Currency 5 2 2 2 2 2 5 3" xfId="6296" xr:uid="{00000000-0005-0000-0000-00007F0B0000}"/>
    <cellStyle name="Currency 5 2 2 2 2 2 5 3 2" xfId="14738" xr:uid="{0F4DBA44-021D-46C9-9CD3-322AE29A60B1}"/>
    <cellStyle name="Currency 5 2 2 2 2 2 5 4" xfId="10520" xr:uid="{703C3003-D63C-4032-95B2-E037AB0A9C63}"/>
    <cellStyle name="Currency 5 2 2 2 2 2 6" xfId="2424" xr:uid="{00000000-0005-0000-0000-0000800B0000}"/>
    <cellStyle name="Currency 5 2 2 2 2 2 6 2" xfId="6709" xr:uid="{00000000-0005-0000-0000-0000810B0000}"/>
    <cellStyle name="Currency 5 2 2 2 2 2 6 2 2" xfId="15151" xr:uid="{4700610F-E76D-47DB-9B10-7313D34BC5BA}"/>
    <cellStyle name="Currency 5 2 2 2 2 2 6 3" xfId="10933" xr:uid="{6D89F430-94E8-4933-A0AF-22F061598A34}"/>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8 2 2" xfId="15468" xr:uid="{8F86BE56-F6E4-4C5B-A372-65986AA1AAB8}"/>
    <cellStyle name="Currency 5 2 2 2 2 2 8 3" xfId="11250" xr:uid="{472A70BC-B941-478E-8A1B-19C3C2A219E9}"/>
    <cellStyle name="Currency 5 2 2 2 2 2 9" xfId="4643" xr:uid="{00000000-0005-0000-0000-0000850B0000}"/>
    <cellStyle name="Currency 5 2 2 2 2 2 9 2" xfId="13085" xr:uid="{5C7EBC3D-AF42-40D4-91E3-A07EB1854FD9}"/>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2 2 2" xfId="15643" xr:uid="{292209F9-8280-4423-8521-5CA5FB638AA0}"/>
    <cellStyle name="Currency 5 2 2 2 2 3 2 3" xfId="11425" xr:uid="{80CA07C2-554C-4146-92E8-03CD4BBA70B4}"/>
    <cellStyle name="Currency 5 2 2 2 2 3 3" xfId="5056" xr:uid="{00000000-0005-0000-0000-0000890B0000}"/>
    <cellStyle name="Currency 5 2 2 2 2 3 3 2" xfId="13498" xr:uid="{D6239800-A960-4C7F-924E-9271E7FC3F63}"/>
    <cellStyle name="Currency 5 2 2 2 2 3 4" xfId="9280" xr:uid="{54A28B28-4FA7-4816-A490-E87F4F92FCB8}"/>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2 2 2" xfId="16056" xr:uid="{730F5880-BFFE-465A-8751-29D7F9A4603C}"/>
    <cellStyle name="Currency 5 2 2 2 2 4 2 3" xfId="11838" xr:uid="{2D536018-1957-4C80-9371-A1C1EC387778}"/>
    <cellStyle name="Currency 5 2 2 2 2 4 3" xfId="5469" xr:uid="{00000000-0005-0000-0000-00008D0B0000}"/>
    <cellStyle name="Currency 5 2 2 2 2 4 3 2" xfId="13911" xr:uid="{14EBE63F-7BF4-49E2-A48F-46B7E6F1E192}"/>
    <cellStyle name="Currency 5 2 2 2 2 4 4" xfId="9693" xr:uid="{EB48EAA7-E439-4D76-98B0-FD45B8C1272D}"/>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2 2 2" xfId="16469" xr:uid="{111D5DDE-54BE-469B-8F5E-33BD08C0708D}"/>
    <cellStyle name="Currency 5 2 2 2 2 5 2 3" xfId="12251" xr:uid="{77F0ABD5-7E4D-4F17-A891-1944D1F1F058}"/>
    <cellStyle name="Currency 5 2 2 2 2 5 3" xfId="5882" xr:uid="{00000000-0005-0000-0000-0000910B0000}"/>
    <cellStyle name="Currency 5 2 2 2 2 5 3 2" xfId="14324" xr:uid="{011F1885-5228-477B-B27C-D6CB0EB47C22}"/>
    <cellStyle name="Currency 5 2 2 2 2 5 4" xfId="10106" xr:uid="{CA7DB739-C130-4F84-868C-F955DEAF1013}"/>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2 2 2" xfId="16882" xr:uid="{ADDCEA8A-D7E2-41F8-A4D1-B584262D5211}"/>
    <cellStyle name="Currency 5 2 2 2 2 6 2 3" xfId="12664" xr:uid="{FED70DB2-3191-4968-8A38-6E9353C9BAFC}"/>
    <cellStyle name="Currency 5 2 2 2 2 6 3" xfId="6295" xr:uid="{00000000-0005-0000-0000-0000950B0000}"/>
    <cellStyle name="Currency 5 2 2 2 2 6 3 2" xfId="14737" xr:uid="{813E6BD6-ABAA-4B35-8AC5-398F3254D7CB}"/>
    <cellStyle name="Currency 5 2 2 2 2 6 4" xfId="10519" xr:uid="{D6257602-1F87-4245-86EF-FC2304FD2E02}"/>
    <cellStyle name="Currency 5 2 2 2 2 7" xfId="2423" xr:uid="{00000000-0005-0000-0000-0000960B0000}"/>
    <cellStyle name="Currency 5 2 2 2 2 7 2" xfId="6708" xr:uid="{00000000-0005-0000-0000-0000970B0000}"/>
    <cellStyle name="Currency 5 2 2 2 2 7 2 2" xfId="15150" xr:uid="{A8634E4C-29DF-43C1-9631-313C36624AFB}"/>
    <cellStyle name="Currency 5 2 2 2 2 7 3" xfId="10932" xr:uid="{944F39BE-FD3B-4D4E-ABC3-CE493802D27A}"/>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2 9 2 2" xfId="15467" xr:uid="{90510073-8C36-4F4A-9EB8-C762A0C01A93}"/>
    <cellStyle name="Currency 5 2 2 2 2 9 3" xfId="11249" xr:uid="{35DC3C83-30BA-4355-8D66-4F4104CF559F}"/>
    <cellStyle name="Currency 5 2 2 2 3" xfId="199" xr:uid="{00000000-0005-0000-0000-00009B0B0000}"/>
    <cellStyle name="Currency 5 2 2 2 3 10" xfId="8868" xr:uid="{74E5BF54-98DC-4B68-8355-90727773E921}"/>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2 2 2" xfId="15645" xr:uid="{DDF8B94C-C69F-4D43-A51D-B0A8ED756867}"/>
    <cellStyle name="Currency 5 2 2 2 3 2 2 3" xfId="11427" xr:uid="{5638E62B-44A4-45A3-AFBD-308723455A46}"/>
    <cellStyle name="Currency 5 2 2 2 3 2 3" xfId="5058" xr:uid="{00000000-0005-0000-0000-00009F0B0000}"/>
    <cellStyle name="Currency 5 2 2 2 3 2 3 2" xfId="13500" xr:uid="{27C1321B-3441-4485-AB33-4C243C0A3B1B}"/>
    <cellStyle name="Currency 5 2 2 2 3 2 4" xfId="9282" xr:uid="{6D04A590-7CA9-4E66-B026-5FCFB7DA3CC6}"/>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2 2 2" xfId="16058" xr:uid="{16C0646E-0F55-4149-B971-A154D4FD26E8}"/>
    <cellStyle name="Currency 5 2 2 2 3 3 2 3" xfId="11840" xr:uid="{99137140-E13B-4393-A7E0-25D82EDC8D82}"/>
    <cellStyle name="Currency 5 2 2 2 3 3 3" xfId="5471" xr:uid="{00000000-0005-0000-0000-0000A30B0000}"/>
    <cellStyle name="Currency 5 2 2 2 3 3 3 2" xfId="13913" xr:uid="{DDBDBE90-2B47-436A-96E1-9ADCF1C81F04}"/>
    <cellStyle name="Currency 5 2 2 2 3 3 4" xfId="9695" xr:uid="{C2842097-DE3D-46D2-88BA-897872E65A28}"/>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2 2 2" xfId="16471" xr:uid="{E78A1C91-859C-408B-A986-1C153DB8062F}"/>
    <cellStyle name="Currency 5 2 2 2 3 4 2 3" xfId="12253" xr:uid="{23B7FEA6-9764-4637-AF6D-CBF677FE65A4}"/>
    <cellStyle name="Currency 5 2 2 2 3 4 3" xfId="5884" xr:uid="{00000000-0005-0000-0000-0000A70B0000}"/>
    <cellStyle name="Currency 5 2 2 2 3 4 3 2" xfId="14326" xr:uid="{5B14DD4A-80E6-4C78-A47C-7639D54907F9}"/>
    <cellStyle name="Currency 5 2 2 2 3 4 4" xfId="10108" xr:uid="{AC749174-AC95-41CE-9926-8890DBD6D8FC}"/>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2 2 2" xfId="16884" xr:uid="{32315964-E50E-476B-BF2B-A257A6916F64}"/>
    <cellStyle name="Currency 5 2 2 2 3 5 2 3" xfId="12666" xr:uid="{FFD70D65-E94B-4596-9EF2-2F6EE73687CF}"/>
    <cellStyle name="Currency 5 2 2 2 3 5 3" xfId="6297" xr:uid="{00000000-0005-0000-0000-0000AB0B0000}"/>
    <cellStyle name="Currency 5 2 2 2 3 5 3 2" xfId="14739" xr:uid="{A7212267-38E3-47E9-9C43-9121B2C32D54}"/>
    <cellStyle name="Currency 5 2 2 2 3 5 4" xfId="10521" xr:uid="{90044AD0-9B9E-4955-A8CE-BC26A9879ABD}"/>
    <cellStyle name="Currency 5 2 2 2 3 6" xfId="2425" xr:uid="{00000000-0005-0000-0000-0000AC0B0000}"/>
    <cellStyle name="Currency 5 2 2 2 3 6 2" xfId="6710" xr:uid="{00000000-0005-0000-0000-0000AD0B0000}"/>
    <cellStyle name="Currency 5 2 2 2 3 6 2 2" xfId="15152" xr:uid="{C338D34C-DD79-4FDE-9A05-DD4A2C03777C}"/>
    <cellStyle name="Currency 5 2 2 2 3 6 3" xfId="10934" xr:uid="{C32B70D2-8053-42B7-8E14-37070C9B93EF}"/>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8 2 2" xfId="15469" xr:uid="{A242A320-66AB-41EE-88D6-43C1991ECA90}"/>
    <cellStyle name="Currency 5 2 2 2 3 8 3" xfId="11251" xr:uid="{24EB1230-5E27-4444-9800-DA9AFB9876BA}"/>
    <cellStyle name="Currency 5 2 2 2 3 9" xfId="4644" xr:uid="{00000000-0005-0000-0000-0000B10B0000}"/>
    <cellStyle name="Currency 5 2 2 2 3 9 2" xfId="13086" xr:uid="{D6D19406-D9A4-4E30-A6B2-CB9542321B6D}"/>
    <cellStyle name="Currency 5 2 2 2 4" xfId="723" xr:uid="{00000000-0005-0000-0000-0000B20B0000}"/>
    <cellStyle name="Currency 5 2 2 2 4 2" xfId="2977" xr:uid="{00000000-0005-0000-0000-0000B30B0000}"/>
    <cellStyle name="Currency 5 2 2 2 4 2 2" xfId="7200" xr:uid="{00000000-0005-0000-0000-0000B40B0000}"/>
    <cellStyle name="Currency 5 2 2 2 4 2 2 2" xfId="15642" xr:uid="{7FC7A885-085E-49F1-8911-4A3BFB546F6A}"/>
    <cellStyle name="Currency 5 2 2 2 4 2 3" xfId="11424" xr:uid="{A49ECF82-C767-4533-A50E-EBBD77BE227D}"/>
    <cellStyle name="Currency 5 2 2 2 4 3" xfId="5055" xr:uid="{00000000-0005-0000-0000-0000B50B0000}"/>
    <cellStyle name="Currency 5 2 2 2 4 3 2" xfId="13497" xr:uid="{7766C543-D95B-4CA1-87C0-7C900BAD39E6}"/>
    <cellStyle name="Currency 5 2 2 2 4 4" xfId="9279" xr:uid="{71355CDF-867D-4E86-A1E0-9CE2AD2BC248}"/>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2 2 2" xfId="16055" xr:uid="{7795DB9C-F912-4994-A372-48D254D4303B}"/>
    <cellStyle name="Currency 5 2 2 2 5 2 3" xfId="11837" xr:uid="{BA6CEFF1-C982-4AD0-9141-8EBBA28C448F}"/>
    <cellStyle name="Currency 5 2 2 2 5 3" xfId="5468" xr:uid="{00000000-0005-0000-0000-0000B90B0000}"/>
    <cellStyle name="Currency 5 2 2 2 5 3 2" xfId="13910" xr:uid="{378B55A7-DC78-46A8-A02E-C85605D91DD3}"/>
    <cellStyle name="Currency 5 2 2 2 5 4" xfId="9692" xr:uid="{30CF2AF7-B391-4E28-8E23-05D9B88EDFA2}"/>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2 2 2" xfId="16468" xr:uid="{743048C5-0C7B-4031-881A-1DA7F2894F70}"/>
    <cellStyle name="Currency 5 2 2 2 6 2 3" xfId="12250" xr:uid="{63889B55-91BE-4533-8492-2087DA64C0B0}"/>
    <cellStyle name="Currency 5 2 2 2 6 3" xfId="5881" xr:uid="{00000000-0005-0000-0000-0000BD0B0000}"/>
    <cellStyle name="Currency 5 2 2 2 6 3 2" xfId="14323" xr:uid="{373A0B92-3E1A-4BC2-A400-E4AF5C266B2D}"/>
    <cellStyle name="Currency 5 2 2 2 6 4" xfId="10105" xr:uid="{375C394D-24FC-4769-891C-06D4C4902B27}"/>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2 2 2" xfId="16881" xr:uid="{17B1FF32-EA1B-4AF6-A586-9EA18CD923F6}"/>
    <cellStyle name="Currency 5 2 2 2 7 2 3" xfId="12663" xr:uid="{11955054-0967-4C36-86F7-DAB16D416BAC}"/>
    <cellStyle name="Currency 5 2 2 2 7 3" xfId="6294" xr:uid="{00000000-0005-0000-0000-0000C10B0000}"/>
    <cellStyle name="Currency 5 2 2 2 7 3 2" xfId="14736" xr:uid="{7FA9BDFB-503F-488B-BDBC-3A43AFF69EED}"/>
    <cellStyle name="Currency 5 2 2 2 7 4" xfId="10518" xr:uid="{A2B360AB-2DD7-430A-BBE5-7F99E18C4315}"/>
    <cellStyle name="Currency 5 2 2 2 8" xfId="2422" xr:uid="{00000000-0005-0000-0000-0000C20B0000}"/>
    <cellStyle name="Currency 5 2 2 2 8 2" xfId="6707" xr:uid="{00000000-0005-0000-0000-0000C30B0000}"/>
    <cellStyle name="Currency 5 2 2 2 8 2 2" xfId="15149" xr:uid="{52A66FFD-8B76-45C6-BE8B-205AA71673D7}"/>
    <cellStyle name="Currency 5 2 2 2 8 3" xfId="10931" xr:uid="{5B4A888D-9A59-4E34-952E-93DBB094388E}"/>
    <cellStyle name="Currency 5 2 2 2 9" xfId="2719" xr:uid="{00000000-0005-0000-0000-0000C40B0000}"/>
    <cellStyle name="Currency 5 2 2 3" xfId="200" xr:uid="{00000000-0005-0000-0000-0000C50B0000}"/>
    <cellStyle name="Currency 5 2 2 3 10" xfId="4645" xr:uid="{00000000-0005-0000-0000-0000C60B0000}"/>
    <cellStyle name="Currency 5 2 2 3 10 2" xfId="13087" xr:uid="{CDFDC067-947A-4211-B85D-4207DA992CCD}"/>
    <cellStyle name="Currency 5 2 2 3 11" xfId="8869" xr:uid="{EF774320-2723-497F-BCE0-CC4216D6F5C0}"/>
    <cellStyle name="Currency 5 2 2 3 2" xfId="201" xr:uid="{00000000-0005-0000-0000-0000C70B0000}"/>
    <cellStyle name="Currency 5 2 2 3 2 10" xfId="8870" xr:uid="{254934EC-CD96-4718-9DD3-82E802E818DA}"/>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2 2 2" xfId="15647" xr:uid="{F39B7BF3-77A8-4F72-AE8D-48326DC11825}"/>
    <cellStyle name="Currency 5 2 2 3 2 2 2 3" xfId="11429" xr:uid="{B9CF1042-3DEE-47C5-9393-157C1B5DE28D}"/>
    <cellStyle name="Currency 5 2 2 3 2 2 3" xfId="5060" xr:uid="{00000000-0005-0000-0000-0000CB0B0000}"/>
    <cellStyle name="Currency 5 2 2 3 2 2 3 2" xfId="13502" xr:uid="{30AB0D66-A150-4633-866C-1DE6CF341614}"/>
    <cellStyle name="Currency 5 2 2 3 2 2 4" xfId="9284" xr:uid="{E6CCA54C-1149-4308-8FF2-7BD2A7719DA3}"/>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2 2 2" xfId="16060" xr:uid="{841D991F-5CA7-4BA2-B94C-CC6C339F4650}"/>
    <cellStyle name="Currency 5 2 2 3 2 3 2 3" xfId="11842" xr:uid="{DD32CFE0-37F4-4CA6-8956-C08E12FCEC4B}"/>
    <cellStyle name="Currency 5 2 2 3 2 3 3" xfId="5473" xr:uid="{00000000-0005-0000-0000-0000CF0B0000}"/>
    <cellStyle name="Currency 5 2 2 3 2 3 3 2" xfId="13915" xr:uid="{D8D5B4D4-F9A6-4B84-A4AF-A8644F8D8587}"/>
    <cellStyle name="Currency 5 2 2 3 2 3 4" xfId="9697" xr:uid="{F949ECD0-82E1-4DDD-AAF5-02F6C08A935D}"/>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2 2 2" xfId="16473" xr:uid="{70C6560E-4B22-4BD1-AE4D-66E96FF4AC82}"/>
    <cellStyle name="Currency 5 2 2 3 2 4 2 3" xfId="12255" xr:uid="{CC3B9709-D70C-4DFB-AA91-78B7D2150109}"/>
    <cellStyle name="Currency 5 2 2 3 2 4 3" xfId="5886" xr:uid="{00000000-0005-0000-0000-0000D30B0000}"/>
    <cellStyle name="Currency 5 2 2 3 2 4 3 2" xfId="14328" xr:uid="{DCE6CE9E-41F7-4A83-96FB-59AB0DEB40F7}"/>
    <cellStyle name="Currency 5 2 2 3 2 4 4" xfId="10110" xr:uid="{C2BB8890-21C6-4AE6-B402-BB6159ABF4B9}"/>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2 2 2" xfId="16886" xr:uid="{D6BA7204-BA77-42EC-834C-13ABC88F4F61}"/>
    <cellStyle name="Currency 5 2 2 3 2 5 2 3" xfId="12668" xr:uid="{527D756C-4030-4A9C-9322-A32EEC9ADFB9}"/>
    <cellStyle name="Currency 5 2 2 3 2 5 3" xfId="6299" xr:uid="{00000000-0005-0000-0000-0000D70B0000}"/>
    <cellStyle name="Currency 5 2 2 3 2 5 3 2" xfId="14741" xr:uid="{8C63BC42-0F86-4985-93B2-A778D7CD684B}"/>
    <cellStyle name="Currency 5 2 2 3 2 5 4" xfId="10523" xr:uid="{45E5D9DB-89F0-486D-8813-5788EFF629EA}"/>
    <cellStyle name="Currency 5 2 2 3 2 6" xfId="2427" xr:uid="{00000000-0005-0000-0000-0000D80B0000}"/>
    <cellStyle name="Currency 5 2 2 3 2 6 2" xfId="6712" xr:uid="{00000000-0005-0000-0000-0000D90B0000}"/>
    <cellStyle name="Currency 5 2 2 3 2 6 2 2" xfId="15154" xr:uid="{98EC0141-73B2-4841-ACDB-E527D8A65675}"/>
    <cellStyle name="Currency 5 2 2 3 2 6 3" xfId="10936" xr:uid="{2A2AF990-6A33-4CFF-855E-B21E938C3806}"/>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8 2 2" xfId="15471" xr:uid="{0A97B78E-086D-450A-9730-D2F4AA0BE0F3}"/>
    <cellStyle name="Currency 5 2 2 3 2 8 3" xfId="11253" xr:uid="{E4DB58BD-4D28-4319-B459-CD2BEBD15FAE}"/>
    <cellStyle name="Currency 5 2 2 3 2 9" xfId="4646" xr:uid="{00000000-0005-0000-0000-0000DD0B0000}"/>
    <cellStyle name="Currency 5 2 2 3 2 9 2" xfId="13088" xr:uid="{CCFEFB13-CEE1-4F6A-9846-5BB5F177A52C}"/>
    <cellStyle name="Currency 5 2 2 3 3" xfId="727" xr:uid="{00000000-0005-0000-0000-0000DE0B0000}"/>
    <cellStyle name="Currency 5 2 2 3 3 2" xfId="2981" xr:uid="{00000000-0005-0000-0000-0000DF0B0000}"/>
    <cellStyle name="Currency 5 2 2 3 3 2 2" xfId="7204" xr:uid="{00000000-0005-0000-0000-0000E00B0000}"/>
    <cellStyle name="Currency 5 2 2 3 3 2 2 2" xfId="15646" xr:uid="{1660F85B-4D61-405A-B108-7BDE89B79984}"/>
    <cellStyle name="Currency 5 2 2 3 3 2 3" xfId="11428" xr:uid="{4168C9A6-4A89-452B-A2F9-A45108F422B6}"/>
    <cellStyle name="Currency 5 2 2 3 3 3" xfId="5059" xr:uid="{00000000-0005-0000-0000-0000E10B0000}"/>
    <cellStyle name="Currency 5 2 2 3 3 3 2" xfId="13501" xr:uid="{0AECC10D-EA8A-4402-9982-57E3C33CBE15}"/>
    <cellStyle name="Currency 5 2 2 3 3 4" xfId="9283" xr:uid="{D5E50856-CC53-43EF-B580-4CFBA45588A5}"/>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2 2 2" xfId="16059" xr:uid="{825A10AC-82AF-4CCD-96A1-1D909E396B74}"/>
    <cellStyle name="Currency 5 2 2 3 4 2 3" xfId="11841" xr:uid="{570C9E32-C484-4836-AF92-B636CA466921}"/>
    <cellStyle name="Currency 5 2 2 3 4 3" xfId="5472" xr:uid="{00000000-0005-0000-0000-0000E50B0000}"/>
    <cellStyle name="Currency 5 2 2 3 4 3 2" xfId="13914" xr:uid="{A02AC5E8-781B-4F34-A240-9E72C0287015}"/>
    <cellStyle name="Currency 5 2 2 3 4 4" xfId="9696" xr:uid="{6C5D18BB-067A-475B-9A88-1610854B254B}"/>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2 2 2" xfId="16472" xr:uid="{B7899C33-7697-4F3D-BCF8-37AEAE3B4BED}"/>
    <cellStyle name="Currency 5 2 2 3 5 2 3" xfId="12254" xr:uid="{C3FBF888-CA6B-4EEC-827D-B0ED92F4F0C8}"/>
    <cellStyle name="Currency 5 2 2 3 5 3" xfId="5885" xr:uid="{00000000-0005-0000-0000-0000E90B0000}"/>
    <cellStyle name="Currency 5 2 2 3 5 3 2" xfId="14327" xr:uid="{941AA0EE-59D0-4EBC-A8E8-3B3BF15B133B}"/>
    <cellStyle name="Currency 5 2 2 3 5 4" xfId="10109" xr:uid="{007CFA2E-971E-4EFD-8428-E5E5ACBE309C}"/>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2 2 2" xfId="16885" xr:uid="{B7CBA48B-C99A-4247-B640-91FF0D6DC31D}"/>
    <cellStyle name="Currency 5 2 2 3 6 2 3" xfId="12667" xr:uid="{30257C6E-D80C-4092-822A-B68B579BE107}"/>
    <cellStyle name="Currency 5 2 2 3 6 3" xfId="6298" xr:uid="{00000000-0005-0000-0000-0000ED0B0000}"/>
    <cellStyle name="Currency 5 2 2 3 6 3 2" xfId="14740" xr:uid="{B6447C1C-0119-4A8D-BEFD-C2B99063297C}"/>
    <cellStyle name="Currency 5 2 2 3 6 4" xfId="10522" xr:uid="{DA6B31C3-EE07-41B7-B0F7-69C20A07B0D5}"/>
    <cellStyle name="Currency 5 2 2 3 7" xfId="2426" xr:uid="{00000000-0005-0000-0000-0000EE0B0000}"/>
    <cellStyle name="Currency 5 2 2 3 7 2" xfId="6711" xr:uid="{00000000-0005-0000-0000-0000EF0B0000}"/>
    <cellStyle name="Currency 5 2 2 3 7 2 2" xfId="15153" xr:uid="{7345C4EB-E950-4E6F-AD5D-B526DFF24DA9}"/>
    <cellStyle name="Currency 5 2 2 3 7 3" xfId="10935" xr:uid="{E1077C8C-9E23-49DF-8BB2-1BEE81E6915D}"/>
    <cellStyle name="Currency 5 2 2 3 8" xfId="2723" xr:uid="{00000000-0005-0000-0000-0000F00B0000}"/>
    <cellStyle name="Currency 5 2 2 3 9" xfId="2804" xr:uid="{00000000-0005-0000-0000-0000F10B0000}"/>
    <cellStyle name="Currency 5 2 2 3 9 2" xfId="7028" xr:uid="{00000000-0005-0000-0000-0000F20B0000}"/>
    <cellStyle name="Currency 5 2 2 3 9 2 2" xfId="15470" xr:uid="{54913947-FB80-495B-A5B0-1741A8C23898}"/>
    <cellStyle name="Currency 5 2 2 3 9 3" xfId="11252" xr:uid="{525ADA00-3A15-4A1F-990C-E8E762E92250}"/>
    <cellStyle name="Currency 5 2 2 4" xfId="202" xr:uid="{00000000-0005-0000-0000-0000F30B0000}"/>
    <cellStyle name="Currency 5 2 2 4 10" xfId="8871" xr:uid="{D1E0DBDD-5D4B-4FB2-8F88-E66593781063}"/>
    <cellStyle name="Currency 5 2 2 4 2" xfId="729" xr:uid="{00000000-0005-0000-0000-0000F40B0000}"/>
    <cellStyle name="Currency 5 2 2 4 2 2" xfId="2983" xr:uid="{00000000-0005-0000-0000-0000F50B0000}"/>
    <cellStyle name="Currency 5 2 2 4 2 2 2" xfId="7206" xr:uid="{00000000-0005-0000-0000-0000F60B0000}"/>
    <cellStyle name="Currency 5 2 2 4 2 2 2 2" xfId="15648" xr:uid="{E3E360C6-2471-439D-BBB5-7EF6D70F102B}"/>
    <cellStyle name="Currency 5 2 2 4 2 2 3" xfId="11430" xr:uid="{B180B7D6-F89B-4D99-A0DD-869F741A2A8C}"/>
    <cellStyle name="Currency 5 2 2 4 2 3" xfId="5061" xr:uid="{00000000-0005-0000-0000-0000F70B0000}"/>
    <cellStyle name="Currency 5 2 2 4 2 3 2" xfId="13503" xr:uid="{F34B19FC-C433-49E7-A7A8-2D6ED04B9EFD}"/>
    <cellStyle name="Currency 5 2 2 4 2 4" xfId="9285" xr:uid="{2100521C-6D6C-45B7-A24F-06596B6CE875}"/>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2 2 2" xfId="16061" xr:uid="{09F2AC08-C480-4436-A5EA-8C56A4096FEC}"/>
    <cellStyle name="Currency 5 2 2 4 3 2 3" xfId="11843" xr:uid="{1E3CE144-0BAF-40AE-B198-D42A83EE5E0D}"/>
    <cellStyle name="Currency 5 2 2 4 3 3" xfId="5474" xr:uid="{00000000-0005-0000-0000-0000FB0B0000}"/>
    <cellStyle name="Currency 5 2 2 4 3 3 2" xfId="13916" xr:uid="{FA83A8D6-9730-473A-B085-AA4C58B9E4E9}"/>
    <cellStyle name="Currency 5 2 2 4 3 4" xfId="9698" xr:uid="{D3E9C3F4-750D-40CA-BE7C-F9A58B0489B8}"/>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2 2 2" xfId="16474" xr:uid="{834F4109-45EE-4446-8FDA-D125DD3EF016}"/>
    <cellStyle name="Currency 5 2 2 4 4 2 3" xfId="12256" xr:uid="{19850753-CA81-4AC1-A84C-E6E554F86705}"/>
    <cellStyle name="Currency 5 2 2 4 4 3" xfId="5887" xr:uid="{00000000-0005-0000-0000-0000FF0B0000}"/>
    <cellStyle name="Currency 5 2 2 4 4 3 2" xfId="14329" xr:uid="{2C5C840E-566E-43DB-842F-506563A36BC2}"/>
    <cellStyle name="Currency 5 2 2 4 4 4" xfId="10111" xr:uid="{71B3F60F-497F-47E0-98F6-D79F02FAFDD8}"/>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2 2 2" xfId="16887" xr:uid="{F76E0583-1FEC-452F-8789-545F66043C33}"/>
    <cellStyle name="Currency 5 2 2 4 5 2 3" xfId="12669" xr:uid="{EACCDFF9-4D1F-4366-B31B-75E263D872F1}"/>
    <cellStyle name="Currency 5 2 2 4 5 3" xfId="6300" xr:uid="{00000000-0005-0000-0000-0000030C0000}"/>
    <cellStyle name="Currency 5 2 2 4 5 3 2" xfId="14742" xr:uid="{A432D5CA-BCA5-4478-8AAA-DD2D3B53C9DE}"/>
    <cellStyle name="Currency 5 2 2 4 5 4" xfId="10524" xr:uid="{522588BC-F078-4625-A9AF-0863C2EAA40A}"/>
    <cellStyle name="Currency 5 2 2 4 6" xfId="2428" xr:uid="{00000000-0005-0000-0000-0000040C0000}"/>
    <cellStyle name="Currency 5 2 2 4 6 2" xfId="6713" xr:uid="{00000000-0005-0000-0000-0000050C0000}"/>
    <cellStyle name="Currency 5 2 2 4 6 2 2" xfId="15155" xr:uid="{99C8C68D-1C50-44BF-8065-C76D58C0A8D1}"/>
    <cellStyle name="Currency 5 2 2 4 6 3" xfId="10937" xr:uid="{AA63EA9F-0CF1-49BF-81C1-A893C85C5AD9}"/>
    <cellStyle name="Currency 5 2 2 4 7" xfId="2725" xr:uid="{00000000-0005-0000-0000-0000060C0000}"/>
    <cellStyle name="Currency 5 2 2 4 8" xfId="2806" xr:uid="{00000000-0005-0000-0000-0000070C0000}"/>
    <cellStyle name="Currency 5 2 2 4 8 2" xfId="7030" xr:uid="{00000000-0005-0000-0000-0000080C0000}"/>
    <cellStyle name="Currency 5 2 2 4 8 2 2" xfId="15472" xr:uid="{EC5A9965-AF4E-47C7-8B24-491C0DDF8FAD}"/>
    <cellStyle name="Currency 5 2 2 4 8 3" xfId="11254" xr:uid="{4F37C14C-7646-4CBF-9DF0-A4DF7693E791}"/>
    <cellStyle name="Currency 5 2 2 4 9" xfId="4647" xr:uid="{00000000-0005-0000-0000-0000090C0000}"/>
    <cellStyle name="Currency 5 2 2 4 9 2" xfId="13089" xr:uid="{880E9585-7460-46EC-8C04-57E68FC7E729}"/>
    <cellStyle name="Currency 5 2 2 5" xfId="203" xr:uid="{00000000-0005-0000-0000-00000A0C0000}"/>
    <cellStyle name="Currency 5 2 2 5 10" xfId="8872" xr:uid="{DE8BFB96-2DA9-4CEA-88A5-34DAAF289CB5}"/>
    <cellStyle name="Currency 5 2 2 5 2" xfId="730" xr:uid="{00000000-0005-0000-0000-00000B0C0000}"/>
    <cellStyle name="Currency 5 2 2 5 2 2" xfId="2984" xr:uid="{00000000-0005-0000-0000-00000C0C0000}"/>
    <cellStyle name="Currency 5 2 2 5 2 2 2" xfId="7207" xr:uid="{00000000-0005-0000-0000-00000D0C0000}"/>
    <cellStyle name="Currency 5 2 2 5 2 2 2 2" xfId="15649" xr:uid="{74E2B07B-CDE1-4467-9DC1-FA01E103B678}"/>
    <cellStyle name="Currency 5 2 2 5 2 2 3" xfId="11431" xr:uid="{26F91CB1-2943-4431-96DB-A0B3BAD9225B}"/>
    <cellStyle name="Currency 5 2 2 5 2 3" xfId="5062" xr:uid="{00000000-0005-0000-0000-00000E0C0000}"/>
    <cellStyle name="Currency 5 2 2 5 2 3 2" xfId="13504" xr:uid="{A44CA823-ECD5-4248-9DFB-843553242CB8}"/>
    <cellStyle name="Currency 5 2 2 5 2 4" xfId="9286" xr:uid="{4A6791D1-B58E-4F99-8913-3742D4EBA29D}"/>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2 2 2" xfId="16062" xr:uid="{07CD3C63-5C91-43A8-9D19-06F6CF66F2B2}"/>
    <cellStyle name="Currency 5 2 2 5 3 2 3" xfId="11844" xr:uid="{FAA13C22-762B-446D-9844-443948933161}"/>
    <cellStyle name="Currency 5 2 2 5 3 3" xfId="5475" xr:uid="{00000000-0005-0000-0000-0000120C0000}"/>
    <cellStyle name="Currency 5 2 2 5 3 3 2" xfId="13917" xr:uid="{246FE1B6-30F3-4768-9708-6F6C6464E2BB}"/>
    <cellStyle name="Currency 5 2 2 5 3 4" xfId="9699" xr:uid="{C3ABFA64-F54D-4B32-BF74-6DDB81439D53}"/>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2 2 2" xfId="16475" xr:uid="{2A04BDF3-9F03-4F8B-8D88-8B85949BA3E7}"/>
    <cellStyle name="Currency 5 2 2 5 4 2 3" xfId="12257" xr:uid="{64FD0F1C-3C94-4E82-AC4E-1F592070C706}"/>
    <cellStyle name="Currency 5 2 2 5 4 3" xfId="5888" xr:uid="{00000000-0005-0000-0000-0000160C0000}"/>
    <cellStyle name="Currency 5 2 2 5 4 3 2" xfId="14330" xr:uid="{04E41B86-EB20-4D0E-A649-10C632600A9D}"/>
    <cellStyle name="Currency 5 2 2 5 4 4" xfId="10112" xr:uid="{D8891FAC-2D0C-4771-AB06-61CEE379B419}"/>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2 2 2" xfId="16888" xr:uid="{BB824A72-5388-4D67-BC73-9131A3957499}"/>
    <cellStyle name="Currency 5 2 2 5 5 2 3" xfId="12670" xr:uid="{913ED599-73DD-4042-A493-ACFD5A1D3C13}"/>
    <cellStyle name="Currency 5 2 2 5 5 3" xfId="6301" xr:uid="{00000000-0005-0000-0000-00001A0C0000}"/>
    <cellStyle name="Currency 5 2 2 5 5 3 2" xfId="14743" xr:uid="{3FDB7E39-C051-468A-8547-241B3E37CD9F}"/>
    <cellStyle name="Currency 5 2 2 5 5 4" xfId="10525" xr:uid="{30CA513B-87A8-49F6-8129-B4EF25C374E3}"/>
    <cellStyle name="Currency 5 2 2 5 6" xfId="2429" xr:uid="{00000000-0005-0000-0000-00001B0C0000}"/>
    <cellStyle name="Currency 5 2 2 5 6 2" xfId="6714" xr:uid="{00000000-0005-0000-0000-00001C0C0000}"/>
    <cellStyle name="Currency 5 2 2 5 6 2 2" xfId="15156" xr:uid="{39E99951-61CE-4745-B688-14478D0CFB2F}"/>
    <cellStyle name="Currency 5 2 2 5 6 3" xfId="10938" xr:uid="{44BCB738-DBC3-48AC-9FAE-C767C6D000D9}"/>
    <cellStyle name="Currency 5 2 2 5 7" xfId="2726" xr:uid="{00000000-0005-0000-0000-00001D0C0000}"/>
    <cellStyle name="Currency 5 2 2 5 8" xfId="2807" xr:uid="{00000000-0005-0000-0000-00001E0C0000}"/>
    <cellStyle name="Currency 5 2 2 5 8 2" xfId="7031" xr:uid="{00000000-0005-0000-0000-00001F0C0000}"/>
    <cellStyle name="Currency 5 2 2 5 8 2 2" xfId="15473" xr:uid="{525E41AD-0BC7-4939-BEE3-044AE2C63B4F}"/>
    <cellStyle name="Currency 5 2 2 5 8 3" xfId="11255" xr:uid="{7D28943C-29CC-4C0D-9CBF-91B0546F2873}"/>
    <cellStyle name="Currency 5 2 2 5 9" xfId="4648" xr:uid="{00000000-0005-0000-0000-0000200C0000}"/>
    <cellStyle name="Currency 5 2 2 5 9 2" xfId="13090" xr:uid="{BEBFCD1A-302D-4DB5-920D-2C6DDD833CCE}"/>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10 2" xfId="13091" xr:uid="{CBBC8BBF-B9E3-4465-AA8A-363468EE46ED}"/>
    <cellStyle name="Currency 5 2 4 11" xfId="8873" xr:uid="{7633FCB6-B2A6-41E2-826C-FFCD6392E203}"/>
    <cellStyle name="Currency 5 2 4 2" xfId="206" xr:uid="{00000000-0005-0000-0000-0000250C0000}"/>
    <cellStyle name="Currency 5 2 4 2 10" xfId="8874" xr:uid="{9EAF24D7-7817-4AD9-8C66-F1C9447221AF}"/>
    <cellStyle name="Currency 5 2 4 2 2" xfId="733" xr:uid="{00000000-0005-0000-0000-0000260C0000}"/>
    <cellStyle name="Currency 5 2 4 2 2 2" xfId="2986" xr:uid="{00000000-0005-0000-0000-0000270C0000}"/>
    <cellStyle name="Currency 5 2 4 2 2 2 2" xfId="7209" xr:uid="{00000000-0005-0000-0000-0000280C0000}"/>
    <cellStyle name="Currency 5 2 4 2 2 2 2 2" xfId="15651" xr:uid="{A6F48E3E-CB55-4E36-8033-78D710F9CF18}"/>
    <cellStyle name="Currency 5 2 4 2 2 2 3" xfId="11433" xr:uid="{94DB17CE-1FE0-4785-87EA-52A64BF45F73}"/>
    <cellStyle name="Currency 5 2 4 2 2 3" xfId="5064" xr:uid="{00000000-0005-0000-0000-0000290C0000}"/>
    <cellStyle name="Currency 5 2 4 2 2 3 2" xfId="13506" xr:uid="{CC38ABAB-E03A-41BF-ADE0-A7268F74491B}"/>
    <cellStyle name="Currency 5 2 4 2 2 4" xfId="9288" xr:uid="{EF289EA3-8E31-4728-B242-106FDFF1F31B}"/>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2 2 2" xfId="16064" xr:uid="{D3C3418E-B43F-4989-9969-A25D69F75523}"/>
    <cellStyle name="Currency 5 2 4 2 3 2 3" xfId="11846" xr:uid="{6BF79AB9-0B1B-4984-8C31-47AD7C28C826}"/>
    <cellStyle name="Currency 5 2 4 2 3 3" xfId="5477" xr:uid="{00000000-0005-0000-0000-00002D0C0000}"/>
    <cellStyle name="Currency 5 2 4 2 3 3 2" xfId="13919" xr:uid="{6E49F1B8-375D-4E90-BA89-DA8D9B6AED0A}"/>
    <cellStyle name="Currency 5 2 4 2 3 4" xfId="9701" xr:uid="{F5C4F80F-A82B-4141-BF06-EFF92F4D6F1F}"/>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2 2 2" xfId="16477" xr:uid="{CBB28B81-1796-40B8-9000-DFFE39114618}"/>
    <cellStyle name="Currency 5 2 4 2 4 2 3" xfId="12259" xr:uid="{7FA5AF79-FB55-43E2-8E66-DE097143DF88}"/>
    <cellStyle name="Currency 5 2 4 2 4 3" xfId="5890" xr:uid="{00000000-0005-0000-0000-0000310C0000}"/>
    <cellStyle name="Currency 5 2 4 2 4 3 2" xfId="14332" xr:uid="{F0B425AE-F26A-4239-8234-3B2542BB7B5E}"/>
    <cellStyle name="Currency 5 2 4 2 4 4" xfId="10114" xr:uid="{BEEEDCD9-67AA-4BF1-A8C8-CA109F1D4BBF}"/>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2 2 2" xfId="16890" xr:uid="{57A50FD7-A083-4834-BCC5-F1246ABFC58C}"/>
    <cellStyle name="Currency 5 2 4 2 5 2 3" xfId="12672" xr:uid="{039D2014-EE71-4FFC-AD0E-81B2696AC8C7}"/>
    <cellStyle name="Currency 5 2 4 2 5 3" xfId="6303" xr:uid="{00000000-0005-0000-0000-0000350C0000}"/>
    <cellStyle name="Currency 5 2 4 2 5 3 2" xfId="14745" xr:uid="{B7A16DE6-3AAA-4788-8F46-FB2DECEC09BB}"/>
    <cellStyle name="Currency 5 2 4 2 5 4" xfId="10527" xr:uid="{32CA82F5-C0A4-47DD-8669-C80E45C1A874}"/>
    <cellStyle name="Currency 5 2 4 2 6" xfId="2431" xr:uid="{00000000-0005-0000-0000-0000360C0000}"/>
    <cellStyle name="Currency 5 2 4 2 6 2" xfId="6716" xr:uid="{00000000-0005-0000-0000-0000370C0000}"/>
    <cellStyle name="Currency 5 2 4 2 6 2 2" xfId="15158" xr:uid="{F25B33F4-3FCA-4B67-AFAD-469B6043A9C1}"/>
    <cellStyle name="Currency 5 2 4 2 6 3" xfId="10940" xr:uid="{FBB664BA-F4B7-43C6-95D8-405E65A178E8}"/>
    <cellStyle name="Currency 5 2 4 2 7" xfId="2728" xr:uid="{00000000-0005-0000-0000-0000380C0000}"/>
    <cellStyle name="Currency 5 2 4 2 8" xfId="2809" xr:uid="{00000000-0005-0000-0000-0000390C0000}"/>
    <cellStyle name="Currency 5 2 4 2 8 2" xfId="7033" xr:uid="{00000000-0005-0000-0000-00003A0C0000}"/>
    <cellStyle name="Currency 5 2 4 2 8 2 2" xfId="15475" xr:uid="{E5BA91E3-18C9-4A6D-9861-CE92220924D1}"/>
    <cellStyle name="Currency 5 2 4 2 8 3" xfId="11257" xr:uid="{94DA875C-D967-473C-97BC-5C81AFEBAC72}"/>
    <cellStyle name="Currency 5 2 4 2 9" xfId="4650" xr:uid="{00000000-0005-0000-0000-00003B0C0000}"/>
    <cellStyle name="Currency 5 2 4 2 9 2" xfId="13092" xr:uid="{9F2BC594-DA94-4A77-B059-A741F8D263D8}"/>
    <cellStyle name="Currency 5 2 4 3" xfId="732" xr:uid="{00000000-0005-0000-0000-00003C0C0000}"/>
    <cellStyle name="Currency 5 2 4 3 2" xfId="2985" xr:uid="{00000000-0005-0000-0000-00003D0C0000}"/>
    <cellStyle name="Currency 5 2 4 3 2 2" xfId="7208" xr:uid="{00000000-0005-0000-0000-00003E0C0000}"/>
    <cellStyle name="Currency 5 2 4 3 2 2 2" xfId="15650" xr:uid="{27AEAA3C-151D-4B62-860C-392F4FD442AE}"/>
    <cellStyle name="Currency 5 2 4 3 2 3" xfId="11432" xr:uid="{758FFE4E-BC46-4F76-BC3B-2F6A6E82299F}"/>
    <cellStyle name="Currency 5 2 4 3 3" xfId="5063" xr:uid="{00000000-0005-0000-0000-00003F0C0000}"/>
    <cellStyle name="Currency 5 2 4 3 3 2" xfId="13505" xr:uid="{95C8F364-A48A-4E73-8062-D1381562A711}"/>
    <cellStyle name="Currency 5 2 4 3 4" xfId="9287" xr:uid="{F1DD6F30-C42E-4E0C-AB88-D70C23800161}"/>
    <cellStyle name="Currency 5 2 4 4" xfId="1167" xr:uid="{00000000-0005-0000-0000-0000400C0000}"/>
    <cellStyle name="Currency 5 2 4 4 2" xfId="3398" xr:uid="{00000000-0005-0000-0000-0000410C0000}"/>
    <cellStyle name="Currency 5 2 4 4 2 2" xfId="7621" xr:uid="{00000000-0005-0000-0000-0000420C0000}"/>
    <cellStyle name="Currency 5 2 4 4 2 2 2" xfId="16063" xr:uid="{35D2A833-F1D6-446A-8A17-246DFF01CDB0}"/>
    <cellStyle name="Currency 5 2 4 4 2 3" xfId="11845" xr:uid="{1BDF4788-B086-4A69-86D7-DB5C579ADBBA}"/>
    <cellStyle name="Currency 5 2 4 4 3" xfId="5476" xr:uid="{00000000-0005-0000-0000-0000430C0000}"/>
    <cellStyle name="Currency 5 2 4 4 3 2" xfId="13918" xr:uid="{695BF713-4135-43E4-9CCC-2D3D81BB11F4}"/>
    <cellStyle name="Currency 5 2 4 4 4" xfId="9700" xr:uid="{AB51C4DD-DD43-44F2-A41C-EF4323685F53}"/>
    <cellStyle name="Currency 5 2 4 5" xfId="1581" xr:uid="{00000000-0005-0000-0000-0000440C0000}"/>
    <cellStyle name="Currency 5 2 4 5 2" xfId="3811" xr:uid="{00000000-0005-0000-0000-0000450C0000}"/>
    <cellStyle name="Currency 5 2 4 5 2 2" xfId="8034" xr:uid="{00000000-0005-0000-0000-0000460C0000}"/>
    <cellStyle name="Currency 5 2 4 5 2 2 2" xfId="16476" xr:uid="{C85868D1-ABA4-4579-B9AE-7C3D1211FE0C}"/>
    <cellStyle name="Currency 5 2 4 5 2 3" xfId="12258" xr:uid="{DCF84EA6-E438-45B0-9F23-5FBF6F87D687}"/>
    <cellStyle name="Currency 5 2 4 5 3" xfId="5889" xr:uid="{00000000-0005-0000-0000-0000470C0000}"/>
    <cellStyle name="Currency 5 2 4 5 3 2" xfId="14331" xr:uid="{C7BFF8B5-2E6C-4551-A2D3-7B28C724640D}"/>
    <cellStyle name="Currency 5 2 4 5 4" xfId="10113" xr:uid="{C0F13EC1-B0E8-4BB0-944E-5200D4AB2365}"/>
    <cellStyle name="Currency 5 2 4 6" xfId="1995" xr:uid="{00000000-0005-0000-0000-0000480C0000}"/>
    <cellStyle name="Currency 5 2 4 6 2" xfId="4224" xr:uid="{00000000-0005-0000-0000-0000490C0000}"/>
    <cellStyle name="Currency 5 2 4 6 2 2" xfId="8447" xr:uid="{00000000-0005-0000-0000-00004A0C0000}"/>
    <cellStyle name="Currency 5 2 4 6 2 2 2" xfId="16889" xr:uid="{267AEFCA-2A04-435D-AC38-3124B09A7CB8}"/>
    <cellStyle name="Currency 5 2 4 6 2 3" xfId="12671" xr:uid="{53720AF2-AD11-4585-AD88-BB7B4FA2B960}"/>
    <cellStyle name="Currency 5 2 4 6 3" xfId="6302" xr:uid="{00000000-0005-0000-0000-00004B0C0000}"/>
    <cellStyle name="Currency 5 2 4 6 3 2" xfId="14744" xr:uid="{4CBCF522-78E0-440E-803A-77D6AB7C367D}"/>
    <cellStyle name="Currency 5 2 4 6 4" xfId="10526" xr:uid="{4758BF99-EB05-4237-896B-69C0D18C33A4}"/>
    <cellStyle name="Currency 5 2 4 7" xfId="2430" xr:uid="{00000000-0005-0000-0000-00004C0C0000}"/>
    <cellStyle name="Currency 5 2 4 7 2" xfId="6715" xr:uid="{00000000-0005-0000-0000-00004D0C0000}"/>
    <cellStyle name="Currency 5 2 4 7 2 2" xfId="15157" xr:uid="{8F8F5943-DE85-4735-9BB3-3FE30187D442}"/>
    <cellStyle name="Currency 5 2 4 7 3" xfId="10939" xr:uid="{67CC574B-43A2-4075-BC2F-0B014ADB4C8A}"/>
    <cellStyle name="Currency 5 2 4 8" xfId="2727" xr:uid="{00000000-0005-0000-0000-00004E0C0000}"/>
    <cellStyle name="Currency 5 2 4 9" xfId="2808" xr:uid="{00000000-0005-0000-0000-00004F0C0000}"/>
    <cellStyle name="Currency 5 2 4 9 2" xfId="7032" xr:uid="{00000000-0005-0000-0000-0000500C0000}"/>
    <cellStyle name="Currency 5 2 4 9 2 2" xfId="15474" xr:uid="{AC0CD9AB-E969-4230-BDE9-43AB2A06C5BF}"/>
    <cellStyle name="Currency 5 2 4 9 3" xfId="11256" xr:uid="{BF55D28E-ED91-467A-8EE8-9EF536596520}"/>
    <cellStyle name="Currency 5 2 5" xfId="207" xr:uid="{00000000-0005-0000-0000-0000510C0000}"/>
    <cellStyle name="Currency 5 2 5 10" xfId="8875" xr:uid="{BF96A2C5-EFB8-4B4A-A9D1-45B63F228C67}"/>
    <cellStyle name="Currency 5 2 5 2" xfId="734" xr:uid="{00000000-0005-0000-0000-0000520C0000}"/>
    <cellStyle name="Currency 5 2 5 2 2" xfId="2987" xr:uid="{00000000-0005-0000-0000-0000530C0000}"/>
    <cellStyle name="Currency 5 2 5 2 2 2" xfId="7210" xr:uid="{00000000-0005-0000-0000-0000540C0000}"/>
    <cellStyle name="Currency 5 2 5 2 2 2 2" xfId="15652" xr:uid="{26D1EAA5-E87C-45C7-9BAF-23BAF52B01BF}"/>
    <cellStyle name="Currency 5 2 5 2 2 3" xfId="11434" xr:uid="{A34CBE0D-D333-4C14-8BB8-AEEDC116F984}"/>
    <cellStyle name="Currency 5 2 5 2 3" xfId="5065" xr:uid="{00000000-0005-0000-0000-0000550C0000}"/>
    <cellStyle name="Currency 5 2 5 2 3 2" xfId="13507" xr:uid="{968116E7-C9FD-480E-8B5D-D03FAFD2250A}"/>
    <cellStyle name="Currency 5 2 5 2 4" xfId="9289" xr:uid="{5A8CD486-7001-488D-9FEC-057D1921D911}"/>
    <cellStyle name="Currency 5 2 5 3" xfId="1169" xr:uid="{00000000-0005-0000-0000-0000560C0000}"/>
    <cellStyle name="Currency 5 2 5 3 2" xfId="3400" xr:uid="{00000000-0005-0000-0000-0000570C0000}"/>
    <cellStyle name="Currency 5 2 5 3 2 2" xfId="7623" xr:uid="{00000000-0005-0000-0000-0000580C0000}"/>
    <cellStyle name="Currency 5 2 5 3 2 2 2" xfId="16065" xr:uid="{893045D3-56C3-48F3-B787-CEFEC1F0C645}"/>
    <cellStyle name="Currency 5 2 5 3 2 3" xfId="11847" xr:uid="{E42704AD-41E5-47B0-9E7A-157859A3CD4B}"/>
    <cellStyle name="Currency 5 2 5 3 3" xfId="5478" xr:uid="{00000000-0005-0000-0000-0000590C0000}"/>
    <cellStyle name="Currency 5 2 5 3 3 2" xfId="13920" xr:uid="{DBBE1A23-5ECB-4C1C-AE53-5B98BF2B2AE1}"/>
    <cellStyle name="Currency 5 2 5 3 4" xfId="9702" xr:uid="{815A3261-D8ED-450F-9EA1-B3F100AB93ED}"/>
    <cellStyle name="Currency 5 2 5 4" xfId="1583" xr:uid="{00000000-0005-0000-0000-00005A0C0000}"/>
    <cellStyle name="Currency 5 2 5 4 2" xfId="3813" xr:uid="{00000000-0005-0000-0000-00005B0C0000}"/>
    <cellStyle name="Currency 5 2 5 4 2 2" xfId="8036" xr:uid="{00000000-0005-0000-0000-00005C0C0000}"/>
    <cellStyle name="Currency 5 2 5 4 2 2 2" xfId="16478" xr:uid="{2A5AA238-03BE-4146-804A-199961D6654C}"/>
    <cellStyle name="Currency 5 2 5 4 2 3" xfId="12260" xr:uid="{FECCB202-A889-4DC7-9473-23F197DB05B9}"/>
    <cellStyle name="Currency 5 2 5 4 3" xfId="5891" xr:uid="{00000000-0005-0000-0000-00005D0C0000}"/>
    <cellStyle name="Currency 5 2 5 4 3 2" xfId="14333" xr:uid="{5EE2A992-2C98-4D97-87D3-E092FEDE04B6}"/>
    <cellStyle name="Currency 5 2 5 4 4" xfId="10115" xr:uid="{2DE50BF3-080B-4622-A73B-A90EB062FB83}"/>
    <cellStyle name="Currency 5 2 5 5" xfId="1997" xr:uid="{00000000-0005-0000-0000-00005E0C0000}"/>
    <cellStyle name="Currency 5 2 5 5 2" xfId="4226" xr:uid="{00000000-0005-0000-0000-00005F0C0000}"/>
    <cellStyle name="Currency 5 2 5 5 2 2" xfId="8449" xr:uid="{00000000-0005-0000-0000-0000600C0000}"/>
    <cellStyle name="Currency 5 2 5 5 2 2 2" xfId="16891" xr:uid="{E2D88541-0E78-4BBF-9441-8FE7E55E376B}"/>
    <cellStyle name="Currency 5 2 5 5 2 3" xfId="12673" xr:uid="{610C9556-101A-4474-89CA-78532AA34C61}"/>
    <cellStyle name="Currency 5 2 5 5 3" xfId="6304" xr:uid="{00000000-0005-0000-0000-0000610C0000}"/>
    <cellStyle name="Currency 5 2 5 5 3 2" xfId="14746" xr:uid="{B1D66B45-4EB7-4FE0-9C52-309E930E4556}"/>
    <cellStyle name="Currency 5 2 5 5 4" xfId="10528" xr:uid="{43F75A41-9F0B-4D43-B990-EDD75AEC625F}"/>
    <cellStyle name="Currency 5 2 5 6" xfId="2432" xr:uid="{00000000-0005-0000-0000-0000620C0000}"/>
    <cellStyle name="Currency 5 2 5 6 2" xfId="6717" xr:uid="{00000000-0005-0000-0000-0000630C0000}"/>
    <cellStyle name="Currency 5 2 5 6 2 2" xfId="15159" xr:uid="{B8612304-BDBF-431C-83FA-EDD8591C6F49}"/>
    <cellStyle name="Currency 5 2 5 6 3" xfId="10941" xr:uid="{0DE41A24-4455-4B53-98B0-90CEA5F7885D}"/>
    <cellStyle name="Currency 5 2 5 7" xfId="2729" xr:uid="{00000000-0005-0000-0000-0000640C0000}"/>
    <cellStyle name="Currency 5 2 5 8" xfId="2810" xr:uid="{00000000-0005-0000-0000-0000650C0000}"/>
    <cellStyle name="Currency 5 2 5 8 2" xfId="7034" xr:uid="{00000000-0005-0000-0000-0000660C0000}"/>
    <cellStyle name="Currency 5 2 5 8 2 2" xfId="15476" xr:uid="{FA656DFD-7B44-4A1C-981C-C02724A98CFD}"/>
    <cellStyle name="Currency 5 2 5 8 3" xfId="11258" xr:uid="{90DAC9BC-FA8A-4F8A-B661-E7AF9B61C61E}"/>
    <cellStyle name="Currency 5 2 5 9" xfId="4651" xr:uid="{00000000-0005-0000-0000-0000670C0000}"/>
    <cellStyle name="Currency 5 2 5 9 2" xfId="13093" xr:uid="{A9118120-4040-4621-AF62-DDA0CFD26053}"/>
    <cellStyle name="Currency 5 2 6" xfId="208" xr:uid="{00000000-0005-0000-0000-0000680C0000}"/>
    <cellStyle name="Currency 5 2 6 10" xfId="8876" xr:uid="{BEF891F0-C2B1-484B-A5D5-606DE991622F}"/>
    <cellStyle name="Currency 5 2 6 2" xfId="735" xr:uid="{00000000-0005-0000-0000-0000690C0000}"/>
    <cellStyle name="Currency 5 2 6 2 2" xfId="2988" xr:uid="{00000000-0005-0000-0000-00006A0C0000}"/>
    <cellStyle name="Currency 5 2 6 2 2 2" xfId="7211" xr:uid="{00000000-0005-0000-0000-00006B0C0000}"/>
    <cellStyle name="Currency 5 2 6 2 2 2 2" xfId="15653" xr:uid="{4138353F-775F-4549-A12C-6A95B0CA11B4}"/>
    <cellStyle name="Currency 5 2 6 2 2 3" xfId="11435" xr:uid="{FD25C6C0-37D6-4D83-8329-322E7F0B0FF2}"/>
    <cellStyle name="Currency 5 2 6 2 3" xfId="5066" xr:uid="{00000000-0005-0000-0000-00006C0C0000}"/>
    <cellStyle name="Currency 5 2 6 2 3 2" xfId="13508" xr:uid="{8FA7AB5F-18D3-44CB-BA59-BEE0E1933449}"/>
    <cellStyle name="Currency 5 2 6 2 4" xfId="9290" xr:uid="{8DA5AE02-21A4-448A-BA00-34264572C73B}"/>
    <cellStyle name="Currency 5 2 6 3" xfId="1170" xr:uid="{00000000-0005-0000-0000-00006D0C0000}"/>
    <cellStyle name="Currency 5 2 6 3 2" xfId="3401" xr:uid="{00000000-0005-0000-0000-00006E0C0000}"/>
    <cellStyle name="Currency 5 2 6 3 2 2" xfId="7624" xr:uid="{00000000-0005-0000-0000-00006F0C0000}"/>
    <cellStyle name="Currency 5 2 6 3 2 2 2" xfId="16066" xr:uid="{AAB814DB-9060-4E9F-99B4-9AE01E45C654}"/>
    <cellStyle name="Currency 5 2 6 3 2 3" xfId="11848" xr:uid="{C200DD10-2C32-41BD-88FE-87AEB92EE3CC}"/>
    <cellStyle name="Currency 5 2 6 3 3" xfId="5479" xr:uid="{00000000-0005-0000-0000-0000700C0000}"/>
    <cellStyle name="Currency 5 2 6 3 3 2" xfId="13921" xr:uid="{7D5B1750-125F-4CFA-80DE-BB58FE5DA88F}"/>
    <cellStyle name="Currency 5 2 6 3 4" xfId="9703" xr:uid="{8A090365-0B6D-4F50-A620-AC6C98887F36}"/>
    <cellStyle name="Currency 5 2 6 4" xfId="1584" xr:uid="{00000000-0005-0000-0000-0000710C0000}"/>
    <cellStyle name="Currency 5 2 6 4 2" xfId="3814" xr:uid="{00000000-0005-0000-0000-0000720C0000}"/>
    <cellStyle name="Currency 5 2 6 4 2 2" xfId="8037" xr:uid="{00000000-0005-0000-0000-0000730C0000}"/>
    <cellStyle name="Currency 5 2 6 4 2 2 2" xfId="16479" xr:uid="{673D023C-6B42-4679-9DF8-DC02D3095C51}"/>
    <cellStyle name="Currency 5 2 6 4 2 3" xfId="12261" xr:uid="{57A4B24F-D1F8-40E3-9C66-BF7B4BCD27F1}"/>
    <cellStyle name="Currency 5 2 6 4 3" xfId="5892" xr:uid="{00000000-0005-0000-0000-0000740C0000}"/>
    <cellStyle name="Currency 5 2 6 4 3 2" xfId="14334" xr:uid="{7F22599A-85C0-48DA-B5DE-9D7C07E4DFE5}"/>
    <cellStyle name="Currency 5 2 6 4 4" xfId="10116" xr:uid="{CBCB1731-700E-466E-A284-D2C960A50278}"/>
    <cellStyle name="Currency 5 2 6 5" xfId="1998" xr:uid="{00000000-0005-0000-0000-0000750C0000}"/>
    <cellStyle name="Currency 5 2 6 5 2" xfId="4227" xr:uid="{00000000-0005-0000-0000-0000760C0000}"/>
    <cellStyle name="Currency 5 2 6 5 2 2" xfId="8450" xr:uid="{00000000-0005-0000-0000-0000770C0000}"/>
    <cellStyle name="Currency 5 2 6 5 2 2 2" xfId="16892" xr:uid="{D97EDFC6-5C29-46EC-82AD-A92EE1AC8987}"/>
    <cellStyle name="Currency 5 2 6 5 2 3" xfId="12674" xr:uid="{4F34A9FA-0F64-48AA-9BD3-F893839D5AF8}"/>
    <cellStyle name="Currency 5 2 6 5 3" xfId="6305" xr:uid="{00000000-0005-0000-0000-0000780C0000}"/>
    <cellStyle name="Currency 5 2 6 5 3 2" xfId="14747" xr:uid="{1ABAA84B-CA18-41C4-B639-CA2433845766}"/>
    <cellStyle name="Currency 5 2 6 5 4" xfId="10529" xr:uid="{8B5267DD-8FC2-4230-97E2-578681850A6E}"/>
    <cellStyle name="Currency 5 2 6 6" xfId="2433" xr:uid="{00000000-0005-0000-0000-0000790C0000}"/>
    <cellStyle name="Currency 5 2 6 6 2" xfId="6718" xr:uid="{00000000-0005-0000-0000-00007A0C0000}"/>
    <cellStyle name="Currency 5 2 6 6 2 2" xfId="15160" xr:uid="{0E3D9C37-7F82-4F96-B2E7-3D8DF9C136AC}"/>
    <cellStyle name="Currency 5 2 6 6 3" xfId="10942" xr:uid="{B5C7FB20-39FE-426B-ABEC-68807F0812ED}"/>
    <cellStyle name="Currency 5 2 6 7" xfId="2730" xr:uid="{00000000-0005-0000-0000-00007B0C0000}"/>
    <cellStyle name="Currency 5 2 6 8" xfId="2811" xr:uid="{00000000-0005-0000-0000-00007C0C0000}"/>
    <cellStyle name="Currency 5 2 6 8 2" xfId="7035" xr:uid="{00000000-0005-0000-0000-00007D0C0000}"/>
    <cellStyle name="Currency 5 2 6 8 2 2" xfId="15477" xr:uid="{2873AAF2-7F7A-453C-BB28-ECA6CAFE7692}"/>
    <cellStyle name="Currency 5 2 6 8 3" xfId="11259" xr:uid="{24F08E27-FD87-4753-AFB0-8516B1A804D0}"/>
    <cellStyle name="Currency 5 2 6 9" xfId="4652" xr:uid="{00000000-0005-0000-0000-00007E0C0000}"/>
    <cellStyle name="Currency 5 2 6 9 2" xfId="13094" xr:uid="{BC13A96F-9704-49C3-82FB-34E3F0D9C907}"/>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0 2 2" xfId="15478" xr:uid="{B2011763-D13E-4396-ADD4-70F642474682}"/>
    <cellStyle name="Currency 5 3 2 10 3" xfId="11260" xr:uid="{1166DD11-B5ED-4F8A-9C89-91ABECBB1663}"/>
    <cellStyle name="Currency 5 3 2 11" xfId="4653" xr:uid="{00000000-0005-0000-0000-0000840C0000}"/>
    <cellStyle name="Currency 5 3 2 11 2" xfId="13095" xr:uid="{14CD635C-4D93-4DBB-B0E1-682369F7DC35}"/>
    <cellStyle name="Currency 5 3 2 12" xfId="8877" xr:uid="{CEE40374-5BCB-440A-B03B-AB4C64FC0173}"/>
    <cellStyle name="Currency 5 3 2 2" xfId="211" xr:uid="{00000000-0005-0000-0000-0000850C0000}"/>
    <cellStyle name="Currency 5 3 2 2 10" xfId="4654" xr:uid="{00000000-0005-0000-0000-0000860C0000}"/>
    <cellStyle name="Currency 5 3 2 2 10 2" xfId="13096" xr:uid="{0EA80DD0-E256-4D6A-88D2-43E35F16AFD6}"/>
    <cellStyle name="Currency 5 3 2 2 11" xfId="8878" xr:uid="{C1D9B326-EC83-4005-BCC8-ECD7859B54CD}"/>
    <cellStyle name="Currency 5 3 2 2 2" xfId="212" xr:uid="{00000000-0005-0000-0000-0000870C0000}"/>
    <cellStyle name="Currency 5 3 2 2 2 10" xfId="8879" xr:uid="{7F9A90AC-9816-4873-96BB-C50DC1263AC4}"/>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2 2 2" xfId="15656" xr:uid="{2E0E4562-43F2-4343-9C1B-35BA057C553C}"/>
    <cellStyle name="Currency 5 3 2 2 2 2 2 3" xfId="11438" xr:uid="{DE81F529-27F0-436F-B3A5-40F877630736}"/>
    <cellStyle name="Currency 5 3 2 2 2 2 3" xfId="5069" xr:uid="{00000000-0005-0000-0000-00008B0C0000}"/>
    <cellStyle name="Currency 5 3 2 2 2 2 3 2" xfId="13511" xr:uid="{425DBA9B-AD98-48B3-A5D3-3516F18E1364}"/>
    <cellStyle name="Currency 5 3 2 2 2 2 4" xfId="9293" xr:uid="{19593471-EA7D-497A-AEA5-117FE5C880D9}"/>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2 2 2" xfId="16069" xr:uid="{5A643DCA-E247-4FBA-A34D-0AB730270D96}"/>
    <cellStyle name="Currency 5 3 2 2 2 3 2 3" xfId="11851" xr:uid="{2F3407EA-3974-4E81-B9C5-BA2E75250A99}"/>
    <cellStyle name="Currency 5 3 2 2 2 3 3" xfId="5482" xr:uid="{00000000-0005-0000-0000-00008F0C0000}"/>
    <cellStyle name="Currency 5 3 2 2 2 3 3 2" xfId="13924" xr:uid="{A978533B-6362-4933-B578-E3DB3465A9E9}"/>
    <cellStyle name="Currency 5 3 2 2 2 3 4" xfId="9706" xr:uid="{E6E78B04-4C37-4AF1-B740-776E91C7972C}"/>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2 2 2" xfId="16482" xr:uid="{F860EB6E-0BD2-4A5A-B91B-BFFB18EF48BD}"/>
    <cellStyle name="Currency 5 3 2 2 2 4 2 3" xfId="12264" xr:uid="{4746711A-888B-4783-BB91-C539C046F446}"/>
    <cellStyle name="Currency 5 3 2 2 2 4 3" xfId="5895" xr:uid="{00000000-0005-0000-0000-0000930C0000}"/>
    <cellStyle name="Currency 5 3 2 2 2 4 3 2" xfId="14337" xr:uid="{CB91D370-AA77-4766-9D7E-E7600B704BD9}"/>
    <cellStyle name="Currency 5 3 2 2 2 4 4" xfId="10119" xr:uid="{9165D34A-8463-4F38-9B2E-3C2800A31A88}"/>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2 2 2" xfId="16895" xr:uid="{5982BB70-9371-499D-AD9C-E9B0EF226C4A}"/>
    <cellStyle name="Currency 5 3 2 2 2 5 2 3" xfId="12677" xr:uid="{7867301A-C084-4A3B-ACB1-8C3947901627}"/>
    <cellStyle name="Currency 5 3 2 2 2 5 3" xfId="6308" xr:uid="{00000000-0005-0000-0000-0000970C0000}"/>
    <cellStyle name="Currency 5 3 2 2 2 5 3 2" xfId="14750" xr:uid="{D4D23CE2-9C57-49E7-8BBF-6386DC1509FA}"/>
    <cellStyle name="Currency 5 3 2 2 2 5 4" xfId="10532" xr:uid="{60C0A438-4675-4EBB-8090-C5F0E2EC6AB9}"/>
    <cellStyle name="Currency 5 3 2 2 2 6" xfId="2436" xr:uid="{00000000-0005-0000-0000-0000980C0000}"/>
    <cellStyle name="Currency 5 3 2 2 2 6 2" xfId="6721" xr:uid="{00000000-0005-0000-0000-0000990C0000}"/>
    <cellStyle name="Currency 5 3 2 2 2 6 2 2" xfId="15163" xr:uid="{414DE155-2F62-44AC-9B3E-7C41277EF99F}"/>
    <cellStyle name="Currency 5 3 2 2 2 6 3" xfId="10945" xr:uid="{7FA03552-5EDB-441C-82E6-0D9FA0194EDE}"/>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8 2 2" xfId="15480" xr:uid="{DC289EBD-F7E6-4EA0-B459-04694A414F17}"/>
    <cellStyle name="Currency 5 3 2 2 2 8 3" xfId="11262" xr:uid="{F8B0951C-0E7F-4138-A407-2421719AB7FB}"/>
    <cellStyle name="Currency 5 3 2 2 2 9" xfId="4655" xr:uid="{00000000-0005-0000-0000-00009D0C0000}"/>
    <cellStyle name="Currency 5 3 2 2 2 9 2" xfId="13097" xr:uid="{B34D515D-EC88-4889-A8D9-62C81996C636}"/>
    <cellStyle name="Currency 5 3 2 2 3" xfId="737" xr:uid="{00000000-0005-0000-0000-00009E0C0000}"/>
    <cellStyle name="Currency 5 3 2 2 3 2" xfId="2990" xr:uid="{00000000-0005-0000-0000-00009F0C0000}"/>
    <cellStyle name="Currency 5 3 2 2 3 2 2" xfId="7213" xr:uid="{00000000-0005-0000-0000-0000A00C0000}"/>
    <cellStyle name="Currency 5 3 2 2 3 2 2 2" xfId="15655" xr:uid="{65F22D23-F8ED-4A93-8AF6-BD64EE38F047}"/>
    <cellStyle name="Currency 5 3 2 2 3 2 3" xfId="11437" xr:uid="{6E654D19-8154-446E-9628-3A231A8417DE}"/>
    <cellStyle name="Currency 5 3 2 2 3 3" xfId="5068" xr:uid="{00000000-0005-0000-0000-0000A10C0000}"/>
    <cellStyle name="Currency 5 3 2 2 3 3 2" xfId="13510" xr:uid="{BA51B924-0CCE-4835-BEBA-46A37D394064}"/>
    <cellStyle name="Currency 5 3 2 2 3 4" xfId="9292" xr:uid="{CF96D63B-8EB3-4190-A924-82FF2F8707F7}"/>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2 2 2" xfId="16068" xr:uid="{76A77FB6-2EE2-4121-9213-9875BCE2E43A}"/>
    <cellStyle name="Currency 5 3 2 2 4 2 3" xfId="11850" xr:uid="{2495C6BE-0D00-42E2-BE61-F14BED93C853}"/>
    <cellStyle name="Currency 5 3 2 2 4 3" xfId="5481" xr:uid="{00000000-0005-0000-0000-0000A50C0000}"/>
    <cellStyle name="Currency 5 3 2 2 4 3 2" xfId="13923" xr:uid="{E74CDAE5-F76D-465D-B5C4-7D3C03BCEBA8}"/>
    <cellStyle name="Currency 5 3 2 2 4 4" xfId="9705" xr:uid="{D11C4329-EAA9-47B2-AE46-765CED242366}"/>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2 2 2" xfId="16481" xr:uid="{BB24B28F-2306-4EE8-B458-6A9CE8B10117}"/>
    <cellStyle name="Currency 5 3 2 2 5 2 3" xfId="12263" xr:uid="{77042B74-AA0D-4BF5-B211-A93D0F590A1E}"/>
    <cellStyle name="Currency 5 3 2 2 5 3" xfId="5894" xr:uid="{00000000-0005-0000-0000-0000A90C0000}"/>
    <cellStyle name="Currency 5 3 2 2 5 3 2" xfId="14336" xr:uid="{69EA0211-D840-41E4-A5E2-3149B645B6FC}"/>
    <cellStyle name="Currency 5 3 2 2 5 4" xfId="10118" xr:uid="{E4BFF9AB-FAAA-4C59-8B83-18C8B0B0E8C5}"/>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2 2 2" xfId="16894" xr:uid="{77118A4E-9753-40F6-B557-7967FFF3EB03}"/>
    <cellStyle name="Currency 5 3 2 2 6 2 3" xfId="12676" xr:uid="{37B0F847-4B71-4178-97AD-4E47AB0F0FA4}"/>
    <cellStyle name="Currency 5 3 2 2 6 3" xfId="6307" xr:uid="{00000000-0005-0000-0000-0000AD0C0000}"/>
    <cellStyle name="Currency 5 3 2 2 6 3 2" xfId="14749" xr:uid="{7EC1F1D5-C65A-452A-ADB8-7DC8F8580EFB}"/>
    <cellStyle name="Currency 5 3 2 2 6 4" xfId="10531" xr:uid="{248E68C2-4527-497F-9E08-2B082C9785AB}"/>
    <cellStyle name="Currency 5 3 2 2 7" xfId="2435" xr:uid="{00000000-0005-0000-0000-0000AE0C0000}"/>
    <cellStyle name="Currency 5 3 2 2 7 2" xfId="6720" xr:uid="{00000000-0005-0000-0000-0000AF0C0000}"/>
    <cellStyle name="Currency 5 3 2 2 7 2 2" xfId="15162" xr:uid="{164FFCCB-3FDE-4135-90A7-4E8B89C913EF}"/>
    <cellStyle name="Currency 5 3 2 2 7 3" xfId="10944" xr:uid="{7D95BC0C-BD4F-4AE9-9A94-60D441BB1615}"/>
    <cellStyle name="Currency 5 3 2 2 8" xfId="2732" xr:uid="{00000000-0005-0000-0000-0000B00C0000}"/>
    <cellStyle name="Currency 5 3 2 2 9" xfId="2813" xr:uid="{00000000-0005-0000-0000-0000B10C0000}"/>
    <cellStyle name="Currency 5 3 2 2 9 2" xfId="7037" xr:uid="{00000000-0005-0000-0000-0000B20C0000}"/>
    <cellStyle name="Currency 5 3 2 2 9 2 2" xfId="15479" xr:uid="{467C541A-2838-4545-BFB0-B90D845C0D88}"/>
    <cellStyle name="Currency 5 3 2 2 9 3" xfId="11261" xr:uid="{709D140E-F692-43EA-99B1-E89BFECEF0BC}"/>
    <cellStyle name="Currency 5 3 2 3" xfId="213" xr:uid="{00000000-0005-0000-0000-0000B30C0000}"/>
    <cellStyle name="Currency 5 3 2 3 10" xfId="8880" xr:uid="{BD82D01E-D4AE-427F-AB19-EB4C19AE48D5}"/>
    <cellStyle name="Currency 5 3 2 3 2" xfId="739" xr:uid="{00000000-0005-0000-0000-0000B40C0000}"/>
    <cellStyle name="Currency 5 3 2 3 2 2" xfId="2992" xr:uid="{00000000-0005-0000-0000-0000B50C0000}"/>
    <cellStyle name="Currency 5 3 2 3 2 2 2" xfId="7215" xr:uid="{00000000-0005-0000-0000-0000B60C0000}"/>
    <cellStyle name="Currency 5 3 2 3 2 2 2 2" xfId="15657" xr:uid="{0D2C55FA-C194-4535-BF25-8C023DE02C2F}"/>
    <cellStyle name="Currency 5 3 2 3 2 2 3" xfId="11439" xr:uid="{3B245933-74D3-49F1-87B4-30C118E46539}"/>
    <cellStyle name="Currency 5 3 2 3 2 3" xfId="5070" xr:uid="{00000000-0005-0000-0000-0000B70C0000}"/>
    <cellStyle name="Currency 5 3 2 3 2 3 2" xfId="13512" xr:uid="{9D13C0E0-0C2F-44F3-8CD4-32221B324247}"/>
    <cellStyle name="Currency 5 3 2 3 2 4" xfId="9294" xr:uid="{2A3A9577-8C67-4F01-B3EB-8B70A9D9E222}"/>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2 2 2" xfId="16070" xr:uid="{757F5860-72B3-424A-A597-1769D779FAD5}"/>
    <cellStyle name="Currency 5 3 2 3 3 2 3" xfId="11852" xr:uid="{9F514258-8C98-4620-A774-9E0D2F360E83}"/>
    <cellStyle name="Currency 5 3 2 3 3 3" xfId="5483" xr:uid="{00000000-0005-0000-0000-0000BB0C0000}"/>
    <cellStyle name="Currency 5 3 2 3 3 3 2" xfId="13925" xr:uid="{B9BB26AE-2219-4BE6-8CDF-623281FF727A}"/>
    <cellStyle name="Currency 5 3 2 3 3 4" xfId="9707" xr:uid="{BBEE77A2-7208-4C6C-9BBA-3C16C515121F}"/>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2 2 2" xfId="16483" xr:uid="{269C0954-1608-46E2-8610-6F99F83083E7}"/>
    <cellStyle name="Currency 5 3 2 3 4 2 3" xfId="12265" xr:uid="{D1C39AAC-4272-4C4E-B83A-12865DCC8885}"/>
    <cellStyle name="Currency 5 3 2 3 4 3" xfId="5896" xr:uid="{00000000-0005-0000-0000-0000BF0C0000}"/>
    <cellStyle name="Currency 5 3 2 3 4 3 2" xfId="14338" xr:uid="{150F353C-A81D-4C56-8D86-BF43481B20AF}"/>
    <cellStyle name="Currency 5 3 2 3 4 4" xfId="10120" xr:uid="{8C8B03AE-18C7-4FDF-81F1-257383F4B2A1}"/>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2 2 2" xfId="16896" xr:uid="{0E2E35D8-5F34-41DF-BB54-D861C012D05D}"/>
    <cellStyle name="Currency 5 3 2 3 5 2 3" xfId="12678" xr:uid="{2B91ACFD-8950-4C2A-A10E-CF021847EAB5}"/>
    <cellStyle name="Currency 5 3 2 3 5 3" xfId="6309" xr:uid="{00000000-0005-0000-0000-0000C30C0000}"/>
    <cellStyle name="Currency 5 3 2 3 5 3 2" xfId="14751" xr:uid="{E9301A6E-09AA-4D0C-B9BD-DF9691585187}"/>
    <cellStyle name="Currency 5 3 2 3 5 4" xfId="10533" xr:uid="{0BB4A3DC-72E9-43A0-A88A-4247E40120DE}"/>
    <cellStyle name="Currency 5 3 2 3 6" xfId="2437" xr:uid="{00000000-0005-0000-0000-0000C40C0000}"/>
    <cellStyle name="Currency 5 3 2 3 6 2" xfId="6722" xr:uid="{00000000-0005-0000-0000-0000C50C0000}"/>
    <cellStyle name="Currency 5 3 2 3 6 2 2" xfId="15164" xr:uid="{B2FF5AD1-511A-43FB-B5BE-DA9E0FEB760E}"/>
    <cellStyle name="Currency 5 3 2 3 6 3" xfId="10946" xr:uid="{1A8F4284-B7FB-4918-B417-EDA1793B12DD}"/>
    <cellStyle name="Currency 5 3 2 3 7" xfId="2734" xr:uid="{00000000-0005-0000-0000-0000C60C0000}"/>
    <cellStyle name="Currency 5 3 2 3 8" xfId="2815" xr:uid="{00000000-0005-0000-0000-0000C70C0000}"/>
    <cellStyle name="Currency 5 3 2 3 8 2" xfId="7039" xr:uid="{00000000-0005-0000-0000-0000C80C0000}"/>
    <cellStyle name="Currency 5 3 2 3 8 2 2" xfId="15481" xr:uid="{E74B6FFD-7127-4752-AC00-99805E68D0FE}"/>
    <cellStyle name="Currency 5 3 2 3 8 3" xfId="11263" xr:uid="{B564EA9D-3636-4225-A330-BBFF1C296404}"/>
    <cellStyle name="Currency 5 3 2 3 9" xfId="4656" xr:uid="{00000000-0005-0000-0000-0000C90C0000}"/>
    <cellStyle name="Currency 5 3 2 3 9 2" xfId="13098" xr:uid="{F5265727-4562-4F54-AA18-D60242C052A3}"/>
    <cellStyle name="Currency 5 3 2 4" xfId="736" xr:uid="{00000000-0005-0000-0000-0000CA0C0000}"/>
    <cellStyle name="Currency 5 3 2 4 2" xfId="2989" xr:uid="{00000000-0005-0000-0000-0000CB0C0000}"/>
    <cellStyle name="Currency 5 3 2 4 2 2" xfId="7212" xr:uid="{00000000-0005-0000-0000-0000CC0C0000}"/>
    <cellStyle name="Currency 5 3 2 4 2 2 2" xfId="15654" xr:uid="{800851A8-2D10-421B-938C-AE13BB276339}"/>
    <cellStyle name="Currency 5 3 2 4 2 3" xfId="11436" xr:uid="{5B147CBD-5491-437D-A25B-0D15BB451D03}"/>
    <cellStyle name="Currency 5 3 2 4 3" xfId="5067" xr:uid="{00000000-0005-0000-0000-0000CD0C0000}"/>
    <cellStyle name="Currency 5 3 2 4 3 2" xfId="13509" xr:uid="{EE78E706-3467-47D1-917D-14E0D35CA0DC}"/>
    <cellStyle name="Currency 5 3 2 4 4" xfId="9291" xr:uid="{596821D5-E77D-4E9F-BEE3-72990AE50C07}"/>
    <cellStyle name="Currency 5 3 2 5" xfId="1171" xr:uid="{00000000-0005-0000-0000-0000CE0C0000}"/>
    <cellStyle name="Currency 5 3 2 5 2" xfId="3402" xr:uid="{00000000-0005-0000-0000-0000CF0C0000}"/>
    <cellStyle name="Currency 5 3 2 5 2 2" xfId="7625" xr:uid="{00000000-0005-0000-0000-0000D00C0000}"/>
    <cellStyle name="Currency 5 3 2 5 2 2 2" xfId="16067" xr:uid="{A9A47D2A-2C1E-4323-A3D4-30D26EB3A007}"/>
    <cellStyle name="Currency 5 3 2 5 2 3" xfId="11849" xr:uid="{81DA4AC3-515A-405E-B203-E39F6F02828A}"/>
    <cellStyle name="Currency 5 3 2 5 3" xfId="5480" xr:uid="{00000000-0005-0000-0000-0000D10C0000}"/>
    <cellStyle name="Currency 5 3 2 5 3 2" xfId="13922" xr:uid="{DE56B11A-BD11-4BCD-98DA-2819DA041204}"/>
    <cellStyle name="Currency 5 3 2 5 4" xfId="9704" xr:uid="{0994C90D-1B6B-45B5-9081-9736AE3B4248}"/>
    <cellStyle name="Currency 5 3 2 6" xfId="1585" xr:uid="{00000000-0005-0000-0000-0000D20C0000}"/>
    <cellStyle name="Currency 5 3 2 6 2" xfId="3815" xr:uid="{00000000-0005-0000-0000-0000D30C0000}"/>
    <cellStyle name="Currency 5 3 2 6 2 2" xfId="8038" xr:uid="{00000000-0005-0000-0000-0000D40C0000}"/>
    <cellStyle name="Currency 5 3 2 6 2 2 2" xfId="16480" xr:uid="{744EA5BD-E28C-4E44-B89A-12550FAC1FE8}"/>
    <cellStyle name="Currency 5 3 2 6 2 3" xfId="12262" xr:uid="{43EAD712-020D-45D7-A95C-53EB8A58DD64}"/>
    <cellStyle name="Currency 5 3 2 6 3" xfId="5893" xr:uid="{00000000-0005-0000-0000-0000D50C0000}"/>
    <cellStyle name="Currency 5 3 2 6 3 2" xfId="14335" xr:uid="{5AF909F9-C58A-4B1D-BC08-E0AA0049BCFC}"/>
    <cellStyle name="Currency 5 3 2 6 4" xfId="10117" xr:uid="{44A2DCC1-4CB4-4E7E-BABF-DD936FFC3F9D}"/>
    <cellStyle name="Currency 5 3 2 7" xfId="1999" xr:uid="{00000000-0005-0000-0000-0000D60C0000}"/>
    <cellStyle name="Currency 5 3 2 7 2" xfId="4228" xr:uid="{00000000-0005-0000-0000-0000D70C0000}"/>
    <cellStyle name="Currency 5 3 2 7 2 2" xfId="8451" xr:uid="{00000000-0005-0000-0000-0000D80C0000}"/>
    <cellStyle name="Currency 5 3 2 7 2 2 2" xfId="16893" xr:uid="{A80EA691-95B0-4AAA-BB38-150373BBA76D}"/>
    <cellStyle name="Currency 5 3 2 7 2 3" xfId="12675" xr:uid="{FEF0F4EF-3392-4CC5-8701-C340FAFAE492}"/>
    <cellStyle name="Currency 5 3 2 7 3" xfId="6306" xr:uid="{00000000-0005-0000-0000-0000D90C0000}"/>
    <cellStyle name="Currency 5 3 2 7 3 2" xfId="14748" xr:uid="{8884DECA-554B-4BFC-9253-B018BCEB6035}"/>
    <cellStyle name="Currency 5 3 2 7 4" xfId="10530" xr:uid="{771D5A69-6930-4B07-BAEB-8EC937E7DF24}"/>
    <cellStyle name="Currency 5 3 2 8" xfId="2434" xr:uid="{00000000-0005-0000-0000-0000DA0C0000}"/>
    <cellStyle name="Currency 5 3 2 8 2" xfId="6719" xr:uid="{00000000-0005-0000-0000-0000DB0C0000}"/>
    <cellStyle name="Currency 5 3 2 8 2 2" xfId="15161" xr:uid="{372B9DA7-6C5B-4494-806D-6D7FDE76027D}"/>
    <cellStyle name="Currency 5 3 2 8 3" xfId="10943" xr:uid="{D27EB693-AEDD-4C62-853B-1D0DC1548639}"/>
    <cellStyle name="Currency 5 3 2 9" xfId="2731" xr:uid="{00000000-0005-0000-0000-0000DC0C0000}"/>
    <cellStyle name="Currency 5 3 3" xfId="214" xr:uid="{00000000-0005-0000-0000-0000DD0C0000}"/>
    <cellStyle name="Currency 5 3 3 10" xfId="4657" xr:uid="{00000000-0005-0000-0000-0000DE0C0000}"/>
    <cellStyle name="Currency 5 3 3 10 2" xfId="13099" xr:uid="{58A1E492-A934-40B3-BD31-3D8073B84A31}"/>
    <cellStyle name="Currency 5 3 3 11" xfId="8881" xr:uid="{BFAD5BD4-7061-4B60-A15E-E3A4D2E19600}"/>
    <cellStyle name="Currency 5 3 3 2" xfId="215" xr:uid="{00000000-0005-0000-0000-0000DF0C0000}"/>
    <cellStyle name="Currency 5 3 3 2 10" xfId="8882" xr:uid="{5B55B126-DD09-4CA8-A2C5-CFEAC3EE6AC4}"/>
    <cellStyle name="Currency 5 3 3 2 2" xfId="741" xr:uid="{00000000-0005-0000-0000-0000E00C0000}"/>
    <cellStyle name="Currency 5 3 3 2 2 2" xfId="2994" xr:uid="{00000000-0005-0000-0000-0000E10C0000}"/>
    <cellStyle name="Currency 5 3 3 2 2 2 2" xfId="7217" xr:uid="{00000000-0005-0000-0000-0000E20C0000}"/>
    <cellStyle name="Currency 5 3 3 2 2 2 2 2" xfId="15659" xr:uid="{ED7029B1-7E27-4FF9-96C1-13ADB18AF6D4}"/>
    <cellStyle name="Currency 5 3 3 2 2 2 3" xfId="11441" xr:uid="{B3AEB375-A77D-484E-A9C4-F9B0B3A1C5CB}"/>
    <cellStyle name="Currency 5 3 3 2 2 3" xfId="5072" xr:uid="{00000000-0005-0000-0000-0000E30C0000}"/>
    <cellStyle name="Currency 5 3 3 2 2 3 2" xfId="13514" xr:uid="{B8534993-7E68-4EF5-BCFF-51DBEEFA8183}"/>
    <cellStyle name="Currency 5 3 3 2 2 4" xfId="9296" xr:uid="{56768C77-8A80-4383-ADF4-7FFC80092AFB}"/>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2 2 2" xfId="16072" xr:uid="{2834814D-5953-4173-A98F-09A0FAD31259}"/>
    <cellStyle name="Currency 5 3 3 2 3 2 3" xfId="11854" xr:uid="{03677E78-DD01-43A1-8AD4-CE1757CE635F}"/>
    <cellStyle name="Currency 5 3 3 2 3 3" xfId="5485" xr:uid="{00000000-0005-0000-0000-0000E70C0000}"/>
    <cellStyle name="Currency 5 3 3 2 3 3 2" xfId="13927" xr:uid="{6EDDFE2A-4008-4F0E-89C6-0ED9EA6E1844}"/>
    <cellStyle name="Currency 5 3 3 2 3 4" xfId="9709" xr:uid="{19F5357B-7B40-4B80-835B-E65D35D4D5B6}"/>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2 2 2" xfId="16485" xr:uid="{64112741-DF2E-419B-BBCB-28CD5F4E2250}"/>
    <cellStyle name="Currency 5 3 3 2 4 2 3" xfId="12267" xr:uid="{D6B8CABD-7F90-46D0-9CC4-CA5AF594ABCF}"/>
    <cellStyle name="Currency 5 3 3 2 4 3" xfId="5898" xr:uid="{00000000-0005-0000-0000-0000EB0C0000}"/>
    <cellStyle name="Currency 5 3 3 2 4 3 2" xfId="14340" xr:uid="{8E7D26E3-75AB-4FCC-9CD5-00710B440E9F}"/>
    <cellStyle name="Currency 5 3 3 2 4 4" xfId="10122" xr:uid="{9F5AAE25-68FB-40D5-B29D-E047D6873109}"/>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2 2 2" xfId="16898" xr:uid="{9B41D28C-1837-4703-9D81-17346E9AEB81}"/>
    <cellStyle name="Currency 5 3 3 2 5 2 3" xfId="12680" xr:uid="{C40E8509-B088-48AE-BCB4-3EB2743418B1}"/>
    <cellStyle name="Currency 5 3 3 2 5 3" xfId="6311" xr:uid="{00000000-0005-0000-0000-0000EF0C0000}"/>
    <cellStyle name="Currency 5 3 3 2 5 3 2" xfId="14753" xr:uid="{FE5E6B12-0F53-42F0-B445-CEEBD70BE132}"/>
    <cellStyle name="Currency 5 3 3 2 5 4" xfId="10535" xr:uid="{BB0B6223-F4ED-482D-9CC3-2FA6CF35BFE9}"/>
    <cellStyle name="Currency 5 3 3 2 6" xfId="2439" xr:uid="{00000000-0005-0000-0000-0000F00C0000}"/>
    <cellStyle name="Currency 5 3 3 2 6 2" xfId="6724" xr:uid="{00000000-0005-0000-0000-0000F10C0000}"/>
    <cellStyle name="Currency 5 3 3 2 6 2 2" xfId="15166" xr:uid="{71B92C62-55AA-42B5-8CE2-A2184BAF6283}"/>
    <cellStyle name="Currency 5 3 3 2 6 3" xfId="10948" xr:uid="{46B8983D-A4B6-485A-B10C-326C2DD58AE6}"/>
    <cellStyle name="Currency 5 3 3 2 7" xfId="2736" xr:uid="{00000000-0005-0000-0000-0000F20C0000}"/>
    <cellStyle name="Currency 5 3 3 2 8" xfId="2817" xr:uid="{00000000-0005-0000-0000-0000F30C0000}"/>
    <cellStyle name="Currency 5 3 3 2 8 2" xfId="7041" xr:uid="{00000000-0005-0000-0000-0000F40C0000}"/>
    <cellStyle name="Currency 5 3 3 2 8 2 2" xfId="15483" xr:uid="{40092F4B-38F4-4F73-B474-D82D1E0BAFD7}"/>
    <cellStyle name="Currency 5 3 3 2 8 3" xfId="11265" xr:uid="{E76C0217-EF66-47EF-93D4-B43D6C9D9043}"/>
    <cellStyle name="Currency 5 3 3 2 9" xfId="4658" xr:uid="{00000000-0005-0000-0000-0000F50C0000}"/>
    <cellStyle name="Currency 5 3 3 2 9 2" xfId="13100" xr:uid="{EEA60CED-9780-4A47-A940-19CA75D62CFE}"/>
    <cellStyle name="Currency 5 3 3 3" xfId="740" xr:uid="{00000000-0005-0000-0000-0000F60C0000}"/>
    <cellStyle name="Currency 5 3 3 3 2" xfId="2993" xr:uid="{00000000-0005-0000-0000-0000F70C0000}"/>
    <cellStyle name="Currency 5 3 3 3 2 2" xfId="7216" xr:uid="{00000000-0005-0000-0000-0000F80C0000}"/>
    <cellStyle name="Currency 5 3 3 3 2 2 2" xfId="15658" xr:uid="{97C1C5CC-AA9E-4BAA-AFC0-BB34464FD8F4}"/>
    <cellStyle name="Currency 5 3 3 3 2 3" xfId="11440" xr:uid="{6FBE0D5A-3D9D-49A5-9C6C-A4D26CEC949F}"/>
    <cellStyle name="Currency 5 3 3 3 3" xfId="5071" xr:uid="{00000000-0005-0000-0000-0000F90C0000}"/>
    <cellStyle name="Currency 5 3 3 3 3 2" xfId="13513" xr:uid="{C5072C24-F634-4B08-A985-01EEFCFECE13}"/>
    <cellStyle name="Currency 5 3 3 3 4" xfId="9295" xr:uid="{4FB6679D-C3AD-45E0-8EF2-85C1B0F6161E}"/>
    <cellStyle name="Currency 5 3 3 4" xfId="1175" xr:uid="{00000000-0005-0000-0000-0000FA0C0000}"/>
    <cellStyle name="Currency 5 3 3 4 2" xfId="3406" xr:uid="{00000000-0005-0000-0000-0000FB0C0000}"/>
    <cellStyle name="Currency 5 3 3 4 2 2" xfId="7629" xr:uid="{00000000-0005-0000-0000-0000FC0C0000}"/>
    <cellStyle name="Currency 5 3 3 4 2 2 2" xfId="16071" xr:uid="{3BDA7A38-4A54-411B-A47B-5511178067D0}"/>
    <cellStyle name="Currency 5 3 3 4 2 3" xfId="11853" xr:uid="{066B3B02-B7AE-49C8-8D13-FC1E849B7D07}"/>
    <cellStyle name="Currency 5 3 3 4 3" xfId="5484" xr:uid="{00000000-0005-0000-0000-0000FD0C0000}"/>
    <cellStyle name="Currency 5 3 3 4 3 2" xfId="13926" xr:uid="{A94C7D6F-7D61-465E-80CB-568D6DF00101}"/>
    <cellStyle name="Currency 5 3 3 4 4" xfId="9708" xr:uid="{FC4DFB7F-99BA-4A4E-B213-640C6070A020}"/>
    <cellStyle name="Currency 5 3 3 5" xfId="1589" xr:uid="{00000000-0005-0000-0000-0000FE0C0000}"/>
    <cellStyle name="Currency 5 3 3 5 2" xfId="3819" xr:uid="{00000000-0005-0000-0000-0000FF0C0000}"/>
    <cellStyle name="Currency 5 3 3 5 2 2" xfId="8042" xr:uid="{00000000-0005-0000-0000-0000000D0000}"/>
    <cellStyle name="Currency 5 3 3 5 2 2 2" xfId="16484" xr:uid="{6C7921C9-41BF-45B5-AD6D-239E19B9CCE8}"/>
    <cellStyle name="Currency 5 3 3 5 2 3" xfId="12266" xr:uid="{0A9152C9-189B-48D5-86A6-579F89DD4A37}"/>
    <cellStyle name="Currency 5 3 3 5 3" xfId="5897" xr:uid="{00000000-0005-0000-0000-0000010D0000}"/>
    <cellStyle name="Currency 5 3 3 5 3 2" xfId="14339" xr:uid="{56939D57-35DF-4298-BA73-B6276FD67E7B}"/>
    <cellStyle name="Currency 5 3 3 5 4" xfId="10121" xr:uid="{08684D18-C9CE-4D8E-A618-98E4E231C420}"/>
    <cellStyle name="Currency 5 3 3 6" xfId="2003" xr:uid="{00000000-0005-0000-0000-0000020D0000}"/>
    <cellStyle name="Currency 5 3 3 6 2" xfId="4232" xr:uid="{00000000-0005-0000-0000-0000030D0000}"/>
    <cellStyle name="Currency 5 3 3 6 2 2" xfId="8455" xr:uid="{00000000-0005-0000-0000-0000040D0000}"/>
    <cellStyle name="Currency 5 3 3 6 2 2 2" xfId="16897" xr:uid="{D46980C1-F11B-4ACD-B495-DEF41074B28A}"/>
    <cellStyle name="Currency 5 3 3 6 2 3" xfId="12679" xr:uid="{F6F1250A-30BB-4FEF-8F70-18077FC4CE98}"/>
    <cellStyle name="Currency 5 3 3 6 3" xfId="6310" xr:uid="{00000000-0005-0000-0000-0000050D0000}"/>
    <cellStyle name="Currency 5 3 3 6 3 2" xfId="14752" xr:uid="{3E3B39DB-06BC-4646-B67A-CCE29A166006}"/>
    <cellStyle name="Currency 5 3 3 6 4" xfId="10534" xr:uid="{7EDCB4B7-B863-48EB-AACF-5DA23A8E4CB9}"/>
    <cellStyle name="Currency 5 3 3 7" xfId="2438" xr:uid="{00000000-0005-0000-0000-0000060D0000}"/>
    <cellStyle name="Currency 5 3 3 7 2" xfId="6723" xr:uid="{00000000-0005-0000-0000-0000070D0000}"/>
    <cellStyle name="Currency 5 3 3 7 2 2" xfId="15165" xr:uid="{BF93C584-E822-44BB-A6E8-EAC84058921C}"/>
    <cellStyle name="Currency 5 3 3 7 3" xfId="10947" xr:uid="{8C4D1204-1523-4DB3-984C-40FC2489C0B5}"/>
    <cellStyle name="Currency 5 3 3 8" xfId="2735" xr:uid="{00000000-0005-0000-0000-0000080D0000}"/>
    <cellStyle name="Currency 5 3 3 9" xfId="2816" xr:uid="{00000000-0005-0000-0000-0000090D0000}"/>
    <cellStyle name="Currency 5 3 3 9 2" xfId="7040" xr:uid="{00000000-0005-0000-0000-00000A0D0000}"/>
    <cellStyle name="Currency 5 3 3 9 2 2" xfId="15482" xr:uid="{65AE4C06-612F-41DB-8F18-D153AB7B79A1}"/>
    <cellStyle name="Currency 5 3 3 9 3" xfId="11264" xr:uid="{A7F5B15B-1610-46CD-8484-7940343FEFAD}"/>
    <cellStyle name="Currency 5 3 4" xfId="216" xr:uid="{00000000-0005-0000-0000-00000B0D0000}"/>
    <cellStyle name="Currency 5 3 4 10" xfId="8883" xr:uid="{AFFA45BC-A58E-46C6-B611-C62F268D19DF}"/>
    <cellStyle name="Currency 5 3 4 2" xfId="742" xr:uid="{00000000-0005-0000-0000-00000C0D0000}"/>
    <cellStyle name="Currency 5 3 4 2 2" xfId="2995" xr:uid="{00000000-0005-0000-0000-00000D0D0000}"/>
    <cellStyle name="Currency 5 3 4 2 2 2" xfId="7218" xr:uid="{00000000-0005-0000-0000-00000E0D0000}"/>
    <cellStyle name="Currency 5 3 4 2 2 2 2" xfId="15660" xr:uid="{F5F60D9E-103E-48BB-8984-8989587260A1}"/>
    <cellStyle name="Currency 5 3 4 2 2 3" xfId="11442" xr:uid="{9896A7B5-9683-4C44-84E2-451119CF6F86}"/>
    <cellStyle name="Currency 5 3 4 2 3" xfId="5073" xr:uid="{00000000-0005-0000-0000-00000F0D0000}"/>
    <cellStyle name="Currency 5 3 4 2 3 2" xfId="13515" xr:uid="{15837B6E-825B-447F-9D33-F62DD03B72B8}"/>
    <cellStyle name="Currency 5 3 4 2 4" xfId="9297" xr:uid="{DB75D14A-287A-41F8-AB57-51C7731614F4}"/>
    <cellStyle name="Currency 5 3 4 3" xfId="1177" xr:uid="{00000000-0005-0000-0000-0000100D0000}"/>
    <cellStyle name="Currency 5 3 4 3 2" xfId="3408" xr:uid="{00000000-0005-0000-0000-0000110D0000}"/>
    <cellStyle name="Currency 5 3 4 3 2 2" xfId="7631" xr:uid="{00000000-0005-0000-0000-0000120D0000}"/>
    <cellStyle name="Currency 5 3 4 3 2 2 2" xfId="16073" xr:uid="{F1FE18DA-F338-4E91-B865-EE8F40F6A9C5}"/>
    <cellStyle name="Currency 5 3 4 3 2 3" xfId="11855" xr:uid="{09D815BA-1593-424A-95EE-381A907DCECD}"/>
    <cellStyle name="Currency 5 3 4 3 3" xfId="5486" xr:uid="{00000000-0005-0000-0000-0000130D0000}"/>
    <cellStyle name="Currency 5 3 4 3 3 2" xfId="13928" xr:uid="{C4EDA536-D44B-4311-8A97-54381B088233}"/>
    <cellStyle name="Currency 5 3 4 3 4" xfId="9710" xr:uid="{5770F52B-4AC6-4833-B1BA-BD26080BBFC1}"/>
    <cellStyle name="Currency 5 3 4 4" xfId="1591" xr:uid="{00000000-0005-0000-0000-0000140D0000}"/>
    <cellStyle name="Currency 5 3 4 4 2" xfId="3821" xr:uid="{00000000-0005-0000-0000-0000150D0000}"/>
    <cellStyle name="Currency 5 3 4 4 2 2" xfId="8044" xr:uid="{00000000-0005-0000-0000-0000160D0000}"/>
    <cellStyle name="Currency 5 3 4 4 2 2 2" xfId="16486" xr:uid="{E1FB35BE-6933-4765-A339-1F2EA9E06272}"/>
    <cellStyle name="Currency 5 3 4 4 2 3" xfId="12268" xr:uid="{84541226-606E-4C3D-959F-30F63DA4777C}"/>
    <cellStyle name="Currency 5 3 4 4 3" xfId="5899" xr:uid="{00000000-0005-0000-0000-0000170D0000}"/>
    <cellStyle name="Currency 5 3 4 4 3 2" xfId="14341" xr:uid="{384AE0F2-4F1C-4DB1-9EB2-3DE369A18593}"/>
    <cellStyle name="Currency 5 3 4 4 4" xfId="10123" xr:uid="{0D92676B-461B-4164-B4FA-708CEC3D419E}"/>
    <cellStyle name="Currency 5 3 4 5" xfId="2005" xr:uid="{00000000-0005-0000-0000-0000180D0000}"/>
    <cellStyle name="Currency 5 3 4 5 2" xfId="4234" xr:uid="{00000000-0005-0000-0000-0000190D0000}"/>
    <cellStyle name="Currency 5 3 4 5 2 2" xfId="8457" xr:uid="{00000000-0005-0000-0000-00001A0D0000}"/>
    <cellStyle name="Currency 5 3 4 5 2 2 2" xfId="16899" xr:uid="{D1065905-E4BD-4073-A809-6A136F601565}"/>
    <cellStyle name="Currency 5 3 4 5 2 3" xfId="12681" xr:uid="{E123FFC1-C002-4DAF-9F90-4EBB374F1BA2}"/>
    <cellStyle name="Currency 5 3 4 5 3" xfId="6312" xr:uid="{00000000-0005-0000-0000-00001B0D0000}"/>
    <cellStyle name="Currency 5 3 4 5 3 2" xfId="14754" xr:uid="{6B0EC051-E4D4-436C-8E00-CFE9D2704EB9}"/>
    <cellStyle name="Currency 5 3 4 5 4" xfId="10536" xr:uid="{5DA28D2A-B15F-4367-8FB3-CDC3E352B3D0}"/>
    <cellStyle name="Currency 5 3 4 6" xfId="2440" xr:uid="{00000000-0005-0000-0000-00001C0D0000}"/>
    <cellStyle name="Currency 5 3 4 6 2" xfId="6725" xr:uid="{00000000-0005-0000-0000-00001D0D0000}"/>
    <cellStyle name="Currency 5 3 4 6 2 2" xfId="15167" xr:uid="{2F318198-0036-4926-BE86-BAED31118137}"/>
    <cellStyle name="Currency 5 3 4 6 3" xfId="10949" xr:uid="{9AF7469A-6070-4FE8-8E72-EDF83711C1FC}"/>
    <cellStyle name="Currency 5 3 4 7" xfId="2737" xr:uid="{00000000-0005-0000-0000-00001E0D0000}"/>
    <cellStyle name="Currency 5 3 4 8" xfId="2818" xr:uid="{00000000-0005-0000-0000-00001F0D0000}"/>
    <cellStyle name="Currency 5 3 4 8 2" xfId="7042" xr:uid="{00000000-0005-0000-0000-0000200D0000}"/>
    <cellStyle name="Currency 5 3 4 8 2 2" xfId="15484" xr:uid="{9674D0CD-5A88-4F3B-A0FE-A2F28517B0FA}"/>
    <cellStyle name="Currency 5 3 4 8 3" xfId="11266" xr:uid="{8E9C52D4-D07E-401F-924A-9ABFC327E628}"/>
    <cellStyle name="Currency 5 3 4 9" xfId="4659" xr:uid="{00000000-0005-0000-0000-0000210D0000}"/>
    <cellStyle name="Currency 5 3 4 9 2" xfId="13101" xr:uid="{C241B4DF-941F-4E68-AB80-02CD3976ADDB}"/>
    <cellStyle name="Currency 5 3 5" xfId="217" xr:uid="{00000000-0005-0000-0000-0000220D0000}"/>
    <cellStyle name="Currency 5 3 5 10" xfId="8884" xr:uid="{0CA8F5DA-59BB-46D7-B96B-6912540C6941}"/>
    <cellStyle name="Currency 5 3 5 2" xfId="743" xr:uid="{00000000-0005-0000-0000-0000230D0000}"/>
    <cellStyle name="Currency 5 3 5 2 2" xfId="2996" xr:uid="{00000000-0005-0000-0000-0000240D0000}"/>
    <cellStyle name="Currency 5 3 5 2 2 2" xfId="7219" xr:uid="{00000000-0005-0000-0000-0000250D0000}"/>
    <cellStyle name="Currency 5 3 5 2 2 2 2" xfId="15661" xr:uid="{11F93001-4011-4027-815E-F70CC052E0D5}"/>
    <cellStyle name="Currency 5 3 5 2 2 3" xfId="11443" xr:uid="{67A6C493-6B86-4E5F-9560-AF145F6A610C}"/>
    <cellStyle name="Currency 5 3 5 2 3" xfId="5074" xr:uid="{00000000-0005-0000-0000-0000260D0000}"/>
    <cellStyle name="Currency 5 3 5 2 3 2" xfId="13516" xr:uid="{08FFCD92-969F-4E92-99D5-68A3EF0DED76}"/>
    <cellStyle name="Currency 5 3 5 2 4" xfId="9298" xr:uid="{FD205366-C889-438B-8F85-FC343DEBC50C}"/>
    <cellStyle name="Currency 5 3 5 3" xfId="1178" xr:uid="{00000000-0005-0000-0000-0000270D0000}"/>
    <cellStyle name="Currency 5 3 5 3 2" xfId="3409" xr:uid="{00000000-0005-0000-0000-0000280D0000}"/>
    <cellStyle name="Currency 5 3 5 3 2 2" xfId="7632" xr:uid="{00000000-0005-0000-0000-0000290D0000}"/>
    <cellStyle name="Currency 5 3 5 3 2 2 2" xfId="16074" xr:uid="{2BD50F9A-CE99-4015-8DB7-076F7C384334}"/>
    <cellStyle name="Currency 5 3 5 3 2 3" xfId="11856" xr:uid="{3296A864-4726-48F2-898E-48881B185433}"/>
    <cellStyle name="Currency 5 3 5 3 3" xfId="5487" xr:uid="{00000000-0005-0000-0000-00002A0D0000}"/>
    <cellStyle name="Currency 5 3 5 3 3 2" xfId="13929" xr:uid="{0B00DA06-131B-4BA3-A492-923B50EB701E}"/>
    <cellStyle name="Currency 5 3 5 3 4" xfId="9711" xr:uid="{285395E0-E423-4759-9531-9982AFDFA041}"/>
    <cellStyle name="Currency 5 3 5 4" xfId="1592" xr:uid="{00000000-0005-0000-0000-00002B0D0000}"/>
    <cellStyle name="Currency 5 3 5 4 2" xfId="3822" xr:uid="{00000000-0005-0000-0000-00002C0D0000}"/>
    <cellStyle name="Currency 5 3 5 4 2 2" xfId="8045" xr:uid="{00000000-0005-0000-0000-00002D0D0000}"/>
    <cellStyle name="Currency 5 3 5 4 2 2 2" xfId="16487" xr:uid="{7F351CFF-DFD9-47F2-9B13-24CCB247334A}"/>
    <cellStyle name="Currency 5 3 5 4 2 3" xfId="12269" xr:uid="{A305FB05-3E4F-436F-A934-04AB270733BA}"/>
    <cellStyle name="Currency 5 3 5 4 3" xfId="5900" xr:uid="{00000000-0005-0000-0000-00002E0D0000}"/>
    <cellStyle name="Currency 5 3 5 4 3 2" xfId="14342" xr:uid="{19913312-77C2-4454-ACEC-B109DDEF6FEA}"/>
    <cellStyle name="Currency 5 3 5 4 4" xfId="10124" xr:uid="{C8ED5411-EF6C-4700-B64D-840BDCBD2DD0}"/>
    <cellStyle name="Currency 5 3 5 5" xfId="2006" xr:uid="{00000000-0005-0000-0000-00002F0D0000}"/>
    <cellStyle name="Currency 5 3 5 5 2" xfId="4235" xr:uid="{00000000-0005-0000-0000-0000300D0000}"/>
    <cellStyle name="Currency 5 3 5 5 2 2" xfId="8458" xr:uid="{00000000-0005-0000-0000-0000310D0000}"/>
    <cellStyle name="Currency 5 3 5 5 2 2 2" xfId="16900" xr:uid="{9B7F6768-00D2-4684-A199-55FB53E70E7A}"/>
    <cellStyle name="Currency 5 3 5 5 2 3" xfId="12682" xr:uid="{863AAA2E-6119-4007-8613-AA43CD64D3D3}"/>
    <cellStyle name="Currency 5 3 5 5 3" xfId="6313" xr:uid="{00000000-0005-0000-0000-0000320D0000}"/>
    <cellStyle name="Currency 5 3 5 5 3 2" xfId="14755" xr:uid="{FFC4F9AB-645B-4B7D-8CD9-D613D8104C5C}"/>
    <cellStyle name="Currency 5 3 5 5 4" xfId="10537" xr:uid="{90ADE1C4-44E8-4A89-9AE3-1C39082795FA}"/>
    <cellStyle name="Currency 5 3 5 6" xfId="2441" xr:uid="{00000000-0005-0000-0000-0000330D0000}"/>
    <cellStyle name="Currency 5 3 5 6 2" xfId="6726" xr:uid="{00000000-0005-0000-0000-0000340D0000}"/>
    <cellStyle name="Currency 5 3 5 6 2 2" xfId="15168" xr:uid="{4F4EBC71-5B2E-49E7-AEFE-45E5B85A0598}"/>
    <cellStyle name="Currency 5 3 5 6 3" xfId="10950" xr:uid="{BAEA5CE2-9E2F-4F5A-89AA-037BFF91FDBD}"/>
    <cellStyle name="Currency 5 3 5 7" xfId="2738" xr:uid="{00000000-0005-0000-0000-0000350D0000}"/>
    <cellStyle name="Currency 5 3 5 8" xfId="2819" xr:uid="{00000000-0005-0000-0000-0000360D0000}"/>
    <cellStyle name="Currency 5 3 5 8 2" xfId="7043" xr:uid="{00000000-0005-0000-0000-0000370D0000}"/>
    <cellStyle name="Currency 5 3 5 8 2 2" xfId="15485" xr:uid="{866EF010-1E30-4F84-A28D-A2C24948AAAF}"/>
    <cellStyle name="Currency 5 3 5 8 3" xfId="11267" xr:uid="{562ACFBA-1FE8-4ADC-BA79-C76CCC9D410A}"/>
    <cellStyle name="Currency 5 3 5 9" xfId="4660" xr:uid="{00000000-0005-0000-0000-0000380D0000}"/>
    <cellStyle name="Currency 5 3 5 9 2" xfId="13102" xr:uid="{5A61A1D7-1DBB-41A6-A1F9-5D0AF7804A75}"/>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10 2" xfId="13103" xr:uid="{C70E4AE3-8247-480C-BC78-F603ECE739A1}"/>
    <cellStyle name="Currency 5 5 11" xfId="8885" xr:uid="{EA1EA10A-9DC1-444F-9EC6-F5AA2CE05600}"/>
    <cellStyle name="Currency 5 5 2" xfId="220" xr:uid="{00000000-0005-0000-0000-00003D0D0000}"/>
    <cellStyle name="Currency 5 5 2 10" xfId="8886" xr:uid="{AAC2AD76-DBB5-49DC-9BB7-10A735B8A2F1}"/>
    <cellStyle name="Currency 5 5 2 2" xfId="746" xr:uid="{00000000-0005-0000-0000-00003E0D0000}"/>
    <cellStyle name="Currency 5 5 2 2 2" xfId="2998" xr:uid="{00000000-0005-0000-0000-00003F0D0000}"/>
    <cellStyle name="Currency 5 5 2 2 2 2" xfId="7221" xr:uid="{00000000-0005-0000-0000-0000400D0000}"/>
    <cellStyle name="Currency 5 5 2 2 2 2 2" xfId="15663" xr:uid="{3D1AE199-8DE1-47C9-8671-8CF94F413294}"/>
    <cellStyle name="Currency 5 5 2 2 2 3" xfId="11445" xr:uid="{D9365779-AC65-4210-9F3D-23A564FA6F02}"/>
    <cellStyle name="Currency 5 5 2 2 3" xfId="5076" xr:uid="{00000000-0005-0000-0000-0000410D0000}"/>
    <cellStyle name="Currency 5 5 2 2 3 2" xfId="13518" xr:uid="{EF8C9E17-107E-4D78-9BA6-07C1D211B546}"/>
    <cellStyle name="Currency 5 5 2 2 4" xfId="9300" xr:uid="{488BFA50-2A8E-4C40-8770-59A82FE2ADF8}"/>
    <cellStyle name="Currency 5 5 2 3" xfId="1180" xr:uid="{00000000-0005-0000-0000-0000420D0000}"/>
    <cellStyle name="Currency 5 5 2 3 2" xfId="3411" xr:uid="{00000000-0005-0000-0000-0000430D0000}"/>
    <cellStyle name="Currency 5 5 2 3 2 2" xfId="7634" xr:uid="{00000000-0005-0000-0000-0000440D0000}"/>
    <cellStyle name="Currency 5 5 2 3 2 2 2" xfId="16076" xr:uid="{4A6E59CB-50C2-40F7-A399-67C5B07E8D27}"/>
    <cellStyle name="Currency 5 5 2 3 2 3" xfId="11858" xr:uid="{75047732-38B4-43E2-9388-05C704911C11}"/>
    <cellStyle name="Currency 5 5 2 3 3" xfId="5489" xr:uid="{00000000-0005-0000-0000-0000450D0000}"/>
    <cellStyle name="Currency 5 5 2 3 3 2" xfId="13931" xr:uid="{238E6A96-E1E7-4437-8055-8952C19CF40D}"/>
    <cellStyle name="Currency 5 5 2 3 4" xfId="9713" xr:uid="{B6E2E90F-3A63-4AEF-9E5D-6DAB60DC9E8F}"/>
    <cellStyle name="Currency 5 5 2 4" xfId="1594" xr:uid="{00000000-0005-0000-0000-0000460D0000}"/>
    <cellStyle name="Currency 5 5 2 4 2" xfId="3824" xr:uid="{00000000-0005-0000-0000-0000470D0000}"/>
    <cellStyle name="Currency 5 5 2 4 2 2" xfId="8047" xr:uid="{00000000-0005-0000-0000-0000480D0000}"/>
    <cellStyle name="Currency 5 5 2 4 2 2 2" xfId="16489" xr:uid="{7C323F8B-F04C-4B34-86DA-F20BDB48D7AE}"/>
    <cellStyle name="Currency 5 5 2 4 2 3" xfId="12271" xr:uid="{96577572-9F35-4D26-A853-325846ABB6A8}"/>
    <cellStyle name="Currency 5 5 2 4 3" xfId="5902" xr:uid="{00000000-0005-0000-0000-0000490D0000}"/>
    <cellStyle name="Currency 5 5 2 4 3 2" xfId="14344" xr:uid="{0C49FCAD-112F-4751-8DF1-0C15B02E27D6}"/>
    <cellStyle name="Currency 5 5 2 4 4" xfId="10126" xr:uid="{83FEFFCC-32C5-4DB4-AA3F-AE0FBFF9C1EF}"/>
    <cellStyle name="Currency 5 5 2 5" xfId="2008" xr:uid="{00000000-0005-0000-0000-00004A0D0000}"/>
    <cellStyle name="Currency 5 5 2 5 2" xfId="4237" xr:uid="{00000000-0005-0000-0000-00004B0D0000}"/>
    <cellStyle name="Currency 5 5 2 5 2 2" xfId="8460" xr:uid="{00000000-0005-0000-0000-00004C0D0000}"/>
    <cellStyle name="Currency 5 5 2 5 2 2 2" xfId="16902" xr:uid="{CB567802-2343-42EE-8CCE-ABDACFFA5B80}"/>
    <cellStyle name="Currency 5 5 2 5 2 3" xfId="12684" xr:uid="{6C42DADA-E721-4F44-B980-907FE17D87BB}"/>
    <cellStyle name="Currency 5 5 2 5 3" xfId="6315" xr:uid="{00000000-0005-0000-0000-00004D0D0000}"/>
    <cellStyle name="Currency 5 5 2 5 3 2" xfId="14757" xr:uid="{9C097CB0-3DC4-4690-A82E-CDC7BB464B0C}"/>
    <cellStyle name="Currency 5 5 2 5 4" xfId="10539" xr:uid="{12E4708B-3140-466F-AD71-D7B229CAC4A2}"/>
    <cellStyle name="Currency 5 5 2 6" xfId="2443" xr:uid="{00000000-0005-0000-0000-00004E0D0000}"/>
    <cellStyle name="Currency 5 5 2 6 2" xfId="6728" xr:uid="{00000000-0005-0000-0000-00004F0D0000}"/>
    <cellStyle name="Currency 5 5 2 6 2 2" xfId="15170" xr:uid="{472CBEB7-1FCA-42A2-88F2-DB0FA2C16405}"/>
    <cellStyle name="Currency 5 5 2 6 3" xfId="10952" xr:uid="{F1345B11-458A-4403-9078-7E3676393F70}"/>
    <cellStyle name="Currency 5 5 2 7" xfId="2740" xr:uid="{00000000-0005-0000-0000-0000500D0000}"/>
    <cellStyle name="Currency 5 5 2 8" xfId="2821" xr:uid="{00000000-0005-0000-0000-0000510D0000}"/>
    <cellStyle name="Currency 5 5 2 8 2" xfId="7045" xr:uid="{00000000-0005-0000-0000-0000520D0000}"/>
    <cellStyle name="Currency 5 5 2 8 2 2" xfId="15487" xr:uid="{248D2F48-429A-419E-B08A-CCB5D8D28DDC}"/>
    <cellStyle name="Currency 5 5 2 8 3" xfId="11269" xr:uid="{55ECEE04-E2F4-4202-AEC5-19AEAEAF49F3}"/>
    <cellStyle name="Currency 5 5 2 9" xfId="4662" xr:uid="{00000000-0005-0000-0000-0000530D0000}"/>
    <cellStyle name="Currency 5 5 2 9 2" xfId="13104" xr:uid="{62F05C2F-E22D-4620-B426-CC905EA46382}"/>
    <cellStyle name="Currency 5 5 3" xfId="745" xr:uid="{00000000-0005-0000-0000-0000540D0000}"/>
    <cellStyle name="Currency 5 5 3 2" xfId="2997" xr:uid="{00000000-0005-0000-0000-0000550D0000}"/>
    <cellStyle name="Currency 5 5 3 2 2" xfId="7220" xr:uid="{00000000-0005-0000-0000-0000560D0000}"/>
    <cellStyle name="Currency 5 5 3 2 2 2" xfId="15662" xr:uid="{1A41F62F-FACD-4150-8E7B-276903F01151}"/>
    <cellStyle name="Currency 5 5 3 2 3" xfId="11444" xr:uid="{25B33258-034B-4A51-9147-AE7DC5CC21C9}"/>
    <cellStyle name="Currency 5 5 3 3" xfId="5075" xr:uid="{00000000-0005-0000-0000-0000570D0000}"/>
    <cellStyle name="Currency 5 5 3 3 2" xfId="13517" xr:uid="{01971BB5-21C7-4052-9F96-F6A3E6903F27}"/>
    <cellStyle name="Currency 5 5 3 4" xfId="9299" xr:uid="{74555A81-4F65-4C5F-A53F-8B908F7292F3}"/>
    <cellStyle name="Currency 5 5 4" xfId="1179" xr:uid="{00000000-0005-0000-0000-0000580D0000}"/>
    <cellStyle name="Currency 5 5 4 2" xfId="3410" xr:uid="{00000000-0005-0000-0000-0000590D0000}"/>
    <cellStyle name="Currency 5 5 4 2 2" xfId="7633" xr:uid="{00000000-0005-0000-0000-00005A0D0000}"/>
    <cellStyle name="Currency 5 5 4 2 2 2" xfId="16075" xr:uid="{E0D3D053-729B-4E9C-90CA-7CB44404BA24}"/>
    <cellStyle name="Currency 5 5 4 2 3" xfId="11857" xr:uid="{0F55C669-9285-48DC-BA54-0D666E88A156}"/>
    <cellStyle name="Currency 5 5 4 3" xfId="5488" xr:uid="{00000000-0005-0000-0000-00005B0D0000}"/>
    <cellStyle name="Currency 5 5 4 3 2" xfId="13930" xr:uid="{44DD5A11-3BFF-4028-A675-7E4D3EE9B72E}"/>
    <cellStyle name="Currency 5 5 4 4" xfId="9712" xr:uid="{4F3963D1-BBBE-44BF-B353-2BAFFFD50D02}"/>
    <cellStyle name="Currency 5 5 5" xfId="1593" xr:uid="{00000000-0005-0000-0000-00005C0D0000}"/>
    <cellStyle name="Currency 5 5 5 2" xfId="3823" xr:uid="{00000000-0005-0000-0000-00005D0D0000}"/>
    <cellStyle name="Currency 5 5 5 2 2" xfId="8046" xr:uid="{00000000-0005-0000-0000-00005E0D0000}"/>
    <cellStyle name="Currency 5 5 5 2 2 2" xfId="16488" xr:uid="{A86D89B1-8C4B-4C29-AE32-F834D3B1C5B3}"/>
    <cellStyle name="Currency 5 5 5 2 3" xfId="12270" xr:uid="{0F64437B-0798-41B4-B5EB-3B1D071CBAE8}"/>
    <cellStyle name="Currency 5 5 5 3" xfId="5901" xr:uid="{00000000-0005-0000-0000-00005F0D0000}"/>
    <cellStyle name="Currency 5 5 5 3 2" xfId="14343" xr:uid="{F95A2B50-508D-4BEE-8613-6179AA4127F9}"/>
    <cellStyle name="Currency 5 5 5 4" xfId="10125" xr:uid="{C8632773-8864-4D77-9E39-2BAB255C04C9}"/>
    <cellStyle name="Currency 5 5 6" xfId="2007" xr:uid="{00000000-0005-0000-0000-0000600D0000}"/>
    <cellStyle name="Currency 5 5 6 2" xfId="4236" xr:uid="{00000000-0005-0000-0000-0000610D0000}"/>
    <cellStyle name="Currency 5 5 6 2 2" xfId="8459" xr:uid="{00000000-0005-0000-0000-0000620D0000}"/>
    <cellStyle name="Currency 5 5 6 2 2 2" xfId="16901" xr:uid="{CC7D4FFB-6ECD-43D9-AA3D-216A4064DACB}"/>
    <cellStyle name="Currency 5 5 6 2 3" xfId="12683" xr:uid="{D23B4AA4-23E6-4892-91C5-F85B98878FCC}"/>
    <cellStyle name="Currency 5 5 6 3" xfId="6314" xr:uid="{00000000-0005-0000-0000-0000630D0000}"/>
    <cellStyle name="Currency 5 5 6 3 2" xfId="14756" xr:uid="{364D29CF-A124-4C66-82D2-BAE3A14EC81A}"/>
    <cellStyle name="Currency 5 5 6 4" xfId="10538" xr:uid="{35A6CACC-2080-4D5C-AF1E-283A05541A6F}"/>
    <cellStyle name="Currency 5 5 7" xfId="2442" xr:uid="{00000000-0005-0000-0000-0000640D0000}"/>
    <cellStyle name="Currency 5 5 7 2" xfId="6727" xr:uid="{00000000-0005-0000-0000-0000650D0000}"/>
    <cellStyle name="Currency 5 5 7 2 2" xfId="15169" xr:uid="{5CBEDD90-0C39-4426-9DB1-1F88CE0F9FDE}"/>
    <cellStyle name="Currency 5 5 7 3" xfId="10951" xr:uid="{EE3272AE-6D1A-41D4-8194-21E135336959}"/>
    <cellStyle name="Currency 5 5 8" xfId="2739" xr:uid="{00000000-0005-0000-0000-0000660D0000}"/>
    <cellStyle name="Currency 5 5 9" xfId="2820" xr:uid="{00000000-0005-0000-0000-0000670D0000}"/>
    <cellStyle name="Currency 5 5 9 2" xfId="7044" xr:uid="{00000000-0005-0000-0000-0000680D0000}"/>
    <cellStyle name="Currency 5 5 9 2 2" xfId="15486" xr:uid="{B06A35AF-ED3A-41E3-BEED-0B05EFF02C6A}"/>
    <cellStyle name="Currency 5 5 9 3" xfId="11268" xr:uid="{9BD96E5C-5AC9-4AD1-B493-833E015EC549}"/>
    <cellStyle name="Currency 5 6" xfId="221" xr:uid="{00000000-0005-0000-0000-0000690D0000}"/>
    <cellStyle name="Currency 5 6 10" xfId="8887" xr:uid="{2349D8A6-0E70-44AB-A7E0-81CC1958BC43}"/>
    <cellStyle name="Currency 5 6 2" xfId="747" xr:uid="{00000000-0005-0000-0000-00006A0D0000}"/>
    <cellStyle name="Currency 5 6 2 2" xfId="2999" xr:uid="{00000000-0005-0000-0000-00006B0D0000}"/>
    <cellStyle name="Currency 5 6 2 2 2" xfId="7222" xr:uid="{00000000-0005-0000-0000-00006C0D0000}"/>
    <cellStyle name="Currency 5 6 2 2 2 2" xfId="15664" xr:uid="{F5D2ABCD-245C-4AC8-8B6A-897C5CCFD52A}"/>
    <cellStyle name="Currency 5 6 2 2 3" xfId="11446" xr:uid="{081114AB-80B1-4C80-B43A-EEFE50D6F89A}"/>
    <cellStyle name="Currency 5 6 2 3" xfId="5077" xr:uid="{00000000-0005-0000-0000-00006D0D0000}"/>
    <cellStyle name="Currency 5 6 2 3 2" xfId="13519" xr:uid="{E8389F84-2AA6-4C77-8C81-AB443D34B88A}"/>
    <cellStyle name="Currency 5 6 2 4" xfId="9301" xr:uid="{4FD46E23-F371-4A0D-B37E-17E341FC8D85}"/>
    <cellStyle name="Currency 5 6 3" xfId="1181" xr:uid="{00000000-0005-0000-0000-00006E0D0000}"/>
    <cellStyle name="Currency 5 6 3 2" xfId="3412" xr:uid="{00000000-0005-0000-0000-00006F0D0000}"/>
    <cellStyle name="Currency 5 6 3 2 2" xfId="7635" xr:uid="{00000000-0005-0000-0000-0000700D0000}"/>
    <cellStyle name="Currency 5 6 3 2 2 2" xfId="16077" xr:uid="{4F76E210-32B9-495A-A20D-6BDA25AC44F9}"/>
    <cellStyle name="Currency 5 6 3 2 3" xfId="11859" xr:uid="{5475431F-83EB-459A-87D7-46A46F0015C4}"/>
    <cellStyle name="Currency 5 6 3 3" xfId="5490" xr:uid="{00000000-0005-0000-0000-0000710D0000}"/>
    <cellStyle name="Currency 5 6 3 3 2" xfId="13932" xr:uid="{0D0A81C8-DC2F-4984-9502-C7093CF73117}"/>
    <cellStyle name="Currency 5 6 3 4" xfId="9714" xr:uid="{07707C8A-7A4B-4CB9-8351-78EAADB805E4}"/>
    <cellStyle name="Currency 5 6 4" xfId="1595" xr:uid="{00000000-0005-0000-0000-0000720D0000}"/>
    <cellStyle name="Currency 5 6 4 2" xfId="3825" xr:uid="{00000000-0005-0000-0000-0000730D0000}"/>
    <cellStyle name="Currency 5 6 4 2 2" xfId="8048" xr:uid="{00000000-0005-0000-0000-0000740D0000}"/>
    <cellStyle name="Currency 5 6 4 2 2 2" xfId="16490" xr:uid="{B2FC4A0C-EEAB-4929-BD03-2EBE13B0143F}"/>
    <cellStyle name="Currency 5 6 4 2 3" xfId="12272" xr:uid="{8D1770B3-596F-44C2-AEC3-75C771D563DA}"/>
    <cellStyle name="Currency 5 6 4 3" xfId="5903" xr:uid="{00000000-0005-0000-0000-0000750D0000}"/>
    <cellStyle name="Currency 5 6 4 3 2" xfId="14345" xr:uid="{556B0C1D-1042-45B1-9E91-943CB62A76D3}"/>
    <cellStyle name="Currency 5 6 4 4" xfId="10127" xr:uid="{106BEADF-F754-483B-ADD5-C1D60F886DBD}"/>
    <cellStyle name="Currency 5 6 5" xfId="2009" xr:uid="{00000000-0005-0000-0000-0000760D0000}"/>
    <cellStyle name="Currency 5 6 5 2" xfId="4238" xr:uid="{00000000-0005-0000-0000-0000770D0000}"/>
    <cellStyle name="Currency 5 6 5 2 2" xfId="8461" xr:uid="{00000000-0005-0000-0000-0000780D0000}"/>
    <cellStyle name="Currency 5 6 5 2 2 2" xfId="16903" xr:uid="{27B9291D-DCA1-4D5D-A253-4D7F9585500A}"/>
    <cellStyle name="Currency 5 6 5 2 3" xfId="12685" xr:uid="{FBEFF4C9-FD7A-4108-A0DC-14BD4D6E0B25}"/>
    <cellStyle name="Currency 5 6 5 3" xfId="6316" xr:uid="{00000000-0005-0000-0000-0000790D0000}"/>
    <cellStyle name="Currency 5 6 5 3 2" xfId="14758" xr:uid="{E9851C00-C02D-4BC7-B3E0-18ED4DA72922}"/>
    <cellStyle name="Currency 5 6 5 4" xfId="10540" xr:uid="{10984958-CB8A-49E6-8C9F-81EC88226952}"/>
    <cellStyle name="Currency 5 6 6" xfId="2444" xr:uid="{00000000-0005-0000-0000-00007A0D0000}"/>
    <cellStyle name="Currency 5 6 6 2" xfId="6729" xr:uid="{00000000-0005-0000-0000-00007B0D0000}"/>
    <cellStyle name="Currency 5 6 6 2 2" xfId="15171" xr:uid="{97D72560-7666-4600-BDD6-7C512AA9AEB6}"/>
    <cellStyle name="Currency 5 6 6 3" xfId="10953" xr:uid="{49774274-C3D1-4F74-81BB-3219CAA0BA3D}"/>
    <cellStyle name="Currency 5 6 7" xfId="2741" xr:uid="{00000000-0005-0000-0000-00007C0D0000}"/>
    <cellStyle name="Currency 5 6 8" xfId="2822" xr:uid="{00000000-0005-0000-0000-00007D0D0000}"/>
    <cellStyle name="Currency 5 6 8 2" xfId="7046" xr:uid="{00000000-0005-0000-0000-00007E0D0000}"/>
    <cellStyle name="Currency 5 6 8 2 2" xfId="15488" xr:uid="{57D7A100-F2BD-40FF-8BE7-99E2D4BEEBB5}"/>
    <cellStyle name="Currency 5 6 8 3" xfId="11270" xr:uid="{79BA7558-5793-4F2B-82B9-56EA90AB70B1}"/>
    <cellStyle name="Currency 5 6 9" xfId="4663" xr:uid="{00000000-0005-0000-0000-00007F0D0000}"/>
    <cellStyle name="Currency 5 6 9 2" xfId="13105" xr:uid="{BC3CD1E2-3ECC-48EF-B3BA-0F5CEA9CA654}"/>
    <cellStyle name="Currency 5 7" xfId="222" xr:uid="{00000000-0005-0000-0000-0000800D0000}"/>
    <cellStyle name="Currency 5 7 10" xfId="8888" xr:uid="{4C3A51D0-CB24-4B5A-A77F-AAF65AD53EE7}"/>
    <cellStyle name="Currency 5 7 2" xfId="748" xr:uid="{00000000-0005-0000-0000-0000810D0000}"/>
    <cellStyle name="Currency 5 7 2 2" xfId="3000" xr:uid="{00000000-0005-0000-0000-0000820D0000}"/>
    <cellStyle name="Currency 5 7 2 2 2" xfId="7223" xr:uid="{00000000-0005-0000-0000-0000830D0000}"/>
    <cellStyle name="Currency 5 7 2 2 2 2" xfId="15665" xr:uid="{D44AF9D0-A0B6-4C51-90C3-2DD117345522}"/>
    <cellStyle name="Currency 5 7 2 2 3" xfId="11447" xr:uid="{CC4E1081-FD80-4FD3-BD56-D5816F7C442B}"/>
    <cellStyle name="Currency 5 7 2 3" xfId="5078" xr:uid="{00000000-0005-0000-0000-0000840D0000}"/>
    <cellStyle name="Currency 5 7 2 3 2" xfId="13520" xr:uid="{F4344D6B-E0BF-4091-B8BB-978F2EEA7FF0}"/>
    <cellStyle name="Currency 5 7 2 4" xfId="9302" xr:uid="{BE28F7DD-585E-41DA-9D42-CF64B82B1551}"/>
    <cellStyle name="Currency 5 7 3" xfId="1182" xr:uid="{00000000-0005-0000-0000-0000850D0000}"/>
    <cellStyle name="Currency 5 7 3 2" xfId="3413" xr:uid="{00000000-0005-0000-0000-0000860D0000}"/>
    <cellStyle name="Currency 5 7 3 2 2" xfId="7636" xr:uid="{00000000-0005-0000-0000-0000870D0000}"/>
    <cellStyle name="Currency 5 7 3 2 2 2" xfId="16078" xr:uid="{1A810B92-FA24-4D81-AA1D-3352B847AB97}"/>
    <cellStyle name="Currency 5 7 3 2 3" xfId="11860" xr:uid="{F0DA77BC-0788-4D72-855E-E8C22224E005}"/>
    <cellStyle name="Currency 5 7 3 3" xfId="5491" xr:uid="{00000000-0005-0000-0000-0000880D0000}"/>
    <cellStyle name="Currency 5 7 3 3 2" xfId="13933" xr:uid="{4D177FCB-6731-46BC-A1BC-3084B71D0147}"/>
    <cellStyle name="Currency 5 7 3 4" xfId="9715" xr:uid="{8072C735-73FA-4CD9-9541-9AC1A0F300AD}"/>
    <cellStyle name="Currency 5 7 4" xfId="1596" xr:uid="{00000000-0005-0000-0000-0000890D0000}"/>
    <cellStyle name="Currency 5 7 4 2" xfId="3826" xr:uid="{00000000-0005-0000-0000-00008A0D0000}"/>
    <cellStyle name="Currency 5 7 4 2 2" xfId="8049" xr:uid="{00000000-0005-0000-0000-00008B0D0000}"/>
    <cellStyle name="Currency 5 7 4 2 2 2" xfId="16491" xr:uid="{CDCAE01E-8E5E-4288-BA54-782AC7F83B51}"/>
    <cellStyle name="Currency 5 7 4 2 3" xfId="12273" xr:uid="{29A9AAB4-40F6-43C0-848A-2D206F3868B1}"/>
    <cellStyle name="Currency 5 7 4 3" xfId="5904" xr:uid="{00000000-0005-0000-0000-00008C0D0000}"/>
    <cellStyle name="Currency 5 7 4 3 2" xfId="14346" xr:uid="{A31A663D-78A5-49C5-AA6E-52FCBF4611B3}"/>
    <cellStyle name="Currency 5 7 4 4" xfId="10128" xr:uid="{E1233104-B61C-4402-96F2-D15603F7F509}"/>
    <cellStyle name="Currency 5 7 5" xfId="2010" xr:uid="{00000000-0005-0000-0000-00008D0D0000}"/>
    <cellStyle name="Currency 5 7 5 2" xfId="4239" xr:uid="{00000000-0005-0000-0000-00008E0D0000}"/>
    <cellStyle name="Currency 5 7 5 2 2" xfId="8462" xr:uid="{00000000-0005-0000-0000-00008F0D0000}"/>
    <cellStyle name="Currency 5 7 5 2 2 2" xfId="16904" xr:uid="{978254BD-3560-46EC-BEBD-7B27CCDA709C}"/>
    <cellStyle name="Currency 5 7 5 2 3" xfId="12686" xr:uid="{AD07437E-11E6-4621-9475-B006F9C1F4B2}"/>
    <cellStyle name="Currency 5 7 5 3" xfId="6317" xr:uid="{00000000-0005-0000-0000-0000900D0000}"/>
    <cellStyle name="Currency 5 7 5 3 2" xfId="14759" xr:uid="{9CA5BEE5-CAB0-4B09-AA59-2208BFF0DA55}"/>
    <cellStyle name="Currency 5 7 5 4" xfId="10541" xr:uid="{AE975E65-2B7B-4B17-8EE7-02587A5C5827}"/>
    <cellStyle name="Currency 5 7 6" xfId="2445" xr:uid="{00000000-0005-0000-0000-0000910D0000}"/>
    <cellStyle name="Currency 5 7 6 2" xfId="6730" xr:uid="{00000000-0005-0000-0000-0000920D0000}"/>
    <cellStyle name="Currency 5 7 6 2 2" xfId="15172" xr:uid="{85400F7A-1FE8-46B5-8124-107A3D3F8135}"/>
    <cellStyle name="Currency 5 7 6 3" xfId="10954" xr:uid="{2822E9B6-B1CE-4924-800B-345AB6D958EC}"/>
    <cellStyle name="Currency 5 7 7" xfId="2742" xr:uid="{00000000-0005-0000-0000-0000930D0000}"/>
    <cellStyle name="Currency 5 7 8" xfId="2823" xr:uid="{00000000-0005-0000-0000-0000940D0000}"/>
    <cellStyle name="Currency 5 7 8 2" xfId="7047" xr:uid="{00000000-0005-0000-0000-0000950D0000}"/>
    <cellStyle name="Currency 5 7 8 2 2" xfId="15489" xr:uid="{E8DAB736-4A0F-40F8-9D51-41783DBD5003}"/>
    <cellStyle name="Currency 5 7 8 3" xfId="11271" xr:uid="{DFC03B3B-12CE-43B7-AEDB-FFB36F34E1FC}"/>
    <cellStyle name="Currency 5 7 9" xfId="4664" xr:uid="{00000000-0005-0000-0000-0000960D0000}"/>
    <cellStyle name="Currency 5 7 9 2" xfId="13106" xr:uid="{1853C826-965E-4F94-A80E-A232BD69BACB}"/>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0 2 2" xfId="15173" xr:uid="{BF9AF377-3882-4215-B5E1-5A420A38CD24}"/>
    <cellStyle name="Normal 12 10 3" xfId="10955" xr:uid="{4D4618E9-D287-477D-A674-15A6F3629CFD}"/>
    <cellStyle name="Normal 12 11" xfId="4665" xr:uid="{00000000-0005-0000-0000-0000CC0D0000}"/>
    <cellStyle name="Normal 12 11 2" xfId="13107" xr:uid="{31405340-996D-44E8-B1D1-CA0EA10856AF}"/>
    <cellStyle name="Normal 12 12" xfId="8889" xr:uid="{68398BB1-A779-49F8-A982-02501C617AED}"/>
    <cellStyle name="Normal 12 2" xfId="260" xr:uid="{00000000-0005-0000-0000-0000CD0D0000}"/>
    <cellStyle name="Normal 12 2 10" xfId="8890" xr:uid="{1609CC91-E82B-4DEE-A7C9-F7DD0D6F82A3}"/>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2 2 2" xfId="15669" xr:uid="{04DAC19B-7F9C-4828-BDDD-9A3AC559ACDE}"/>
    <cellStyle name="Normal 12 2 2 2 2 2 3" xfId="11451" xr:uid="{EDDF7563-BDBE-4B24-97C1-24B3A9DB9D2B}"/>
    <cellStyle name="Normal 12 2 2 2 2 3" xfId="5082" xr:uid="{00000000-0005-0000-0000-0000D30D0000}"/>
    <cellStyle name="Normal 12 2 2 2 2 3 2" xfId="13524" xr:uid="{5A9800F6-61FF-49DF-8A12-DAB2CB419371}"/>
    <cellStyle name="Normal 12 2 2 2 2 4" xfId="9306" xr:uid="{F00AC456-128D-48A0-AACE-312DFC684820}"/>
    <cellStyle name="Normal 12 2 2 2 3" xfId="1186" xr:uid="{00000000-0005-0000-0000-0000D40D0000}"/>
    <cellStyle name="Normal 12 2 2 2 3 2" xfId="3417" xr:uid="{00000000-0005-0000-0000-0000D50D0000}"/>
    <cellStyle name="Normal 12 2 2 2 3 2 2" xfId="7640" xr:uid="{00000000-0005-0000-0000-0000D60D0000}"/>
    <cellStyle name="Normal 12 2 2 2 3 2 2 2" xfId="16082" xr:uid="{188FD0A7-59EB-4CC2-92F3-5BB3CDCCBBBC}"/>
    <cellStyle name="Normal 12 2 2 2 3 2 3" xfId="11864" xr:uid="{87B42764-A660-4669-B8BA-548B6F7F9969}"/>
    <cellStyle name="Normal 12 2 2 2 3 3" xfId="5495" xr:uid="{00000000-0005-0000-0000-0000D70D0000}"/>
    <cellStyle name="Normal 12 2 2 2 3 3 2" xfId="13937" xr:uid="{E6EEB591-9519-4A53-BFCC-CF33E4B797CA}"/>
    <cellStyle name="Normal 12 2 2 2 3 4" xfId="9719" xr:uid="{036A0E83-1B31-4054-A318-14DB3B4B382F}"/>
    <cellStyle name="Normal 12 2 2 2 4" xfId="1600" xr:uid="{00000000-0005-0000-0000-0000D80D0000}"/>
    <cellStyle name="Normal 12 2 2 2 4 2" xfId="3830" xr:uid="{00000000-0005-0000-0000-0000D90D0000}"/>
    <cellStyle name="Normal 12 2 2 2 4 2 2" xfId="8053" xr:uid="{00000000-0005-0000-0000-0000DA0D0000}"/>
    <cellStyle name="Normal 12 2 2 2 4 2 2 2" xfId="16495" xr:uid="{3119B7C6-68A6-4AB3-BFAB-55F0540D808F}"/>
    <cellStyle name="Normal 12 2 2 2 4 2 3" xfId="12277" xr:uid="{146CD440-1CBC-458A-BEC4-28C2CD8B406D}"/>
    <cellStyle name="Normal 12 2 2 2 4 3" xfId="5908" xr:uid="{00000000-0005-0000-0000-0000DB0D0000}"/>
    <cellStyle name="Normal 12 2 2 2 4 3 2" xfId="14350" xr:uid="{B43FB816-3983-488B-8B40-F04306C23EB1}"/>
    <cellStyle name="Normal 12 2 2 2 4 4" xfId="10132" xr:uid="{0E10FDAD-A345-4A1B-8FB6-EAD51311047E}"/>
    <cellStyle name="Normal 12 2 2 2 5" xfId="2014" xr:uid="{00000000-0005-0000-0000-0000DC0D0000}"/>
    <cellStyle name="Normal 12 2 2 2 5 2" xfId="4243" xr:uid="{00000000-0005-0000-0000-0000DD0D0000}"/>
    <cellStyle name="Normal 12 2 2 2 5 2 2" xfId="8466" xr:uid="{00000000-0005-0000-0000-0000DE0D0000}"/>
    <cellStyle name="Normal 12 2 2 2 5 2 2 2" xfId="16908" xr:uid="{E4DE4A5F-4997-4F9A-9687-13341E41393D}"/>
    <cellStyle name="Normal 12 2 2 2 5 2 3" xfId="12690" xr:uid="{0695D6F9-9D0B-4576-A952-77E4AABC74A7}"/>
    <cellStyle name="Normal 12 2 2 2 5 3" xfId="6321" xr:uid="{00000000-0005-0000-0000-0000DF0D0000}"/>
    <cellStyle name="Normal 12 2 2 2 5 3 2" xfId="14763" xr:uid="{31605482-BDA3-42F3-AE49-C942F9BF8391}"/>
    <cellStyle name="Normal 12 2 2 2 5 4" xfId="10545" xr:uid="{BD20CF0E-8D35-4035-975A-1573E708CC0F}"/>
    <cellStyle name="Normal 12 2 2 2 6" xfId="2450" xr:uid="{00000000-0005-0000-0000-0000E00D0000}"/>
    <cellStyle name="Normal 12 2 2 2 6 2" xfId="6734" xr:uid="{00000000-0005-0000-0000-0000E10D0000}"/>
    <cellStyle name="Normal 12 2 2 2 6 2 2" xfId="15176" xr:uid="{F6B8EA9F-E413-45E6-9C31-6ECD23F6B9B7}"/>
    <cellStyle name="Normal 12 2 2 2 6 3" xfId="10958" xr:uid="{DC189BEF-EECB-4109-B052-E45D162862AB}"/>
    <cellStyle name="Normal 12 2 2 2 7" xfId="4668" xr:uid="{00000000-0005-0000-0000-0000E20D0000}"/>
    <cellStyle name="Normal 12 2 2 2 7 2" xfId="13110" xr:uid="{B4FA0892-9419-4D72-9A80-06701E099104}"/>
    <cellStyle name="Normal 12 2 2 2 8" xfId="8892" xr:uid="{F3BEFCBB-0909-4B97-B872-4F5FBBA42351}"/>
    <cellStyle name="Normal 12 2 2 3" xfId="762" xr:uid="{00000000-0005-0000-0000-0000E30D0000}"/>
    <cellStyle name="Normal 12 2 2 3 2" xfId="3003" xr:uid="{00000000-0005-0000-0000-0000E40D0000}"/>
    <cellStyle name="Normal 12 2 2 3 2 2" xfId="7226" xr:uid="{00000000-0005-0000-0000-0000E50D0000}"/>
    <cellStyle name="Normal 12 2 2 3 2 2 2" xfId="15668" xr:uid="{BA28326C-0F93-4C7E-AE1A-059959AED5AC}"/>
    <cellStyle name="Normal 12 2 2 3 2 3" xfId="11450" xr:uid="{235189CC-4C72-4034-957F-0142D50A6ED8}"/>
    <cellStyle name="Normal 12 2 2 3 3" xfId="5081" xr:uid="{00000000-0005-0000-0000-0000E60D0000}"/>
    <cellStyle name="Normal 12 2 2 3 3 2" xfId="13523" xr:uid="{721C8D86-E5AB-4F29-8A47-88F3E1122E71}"/>
    <cellStyle name="Normal 12 2 2 3 4" xfId="9305" xr:uid="{53A9FBEF-16EE-4D88-826C-98430A8804C0}"/>
    <cellStyle name="Normal 12 2 2 4" xfId="1185" xr:uid="{00000000-0005-0000-0000-0000E70D0000}"/>
    <cellStyle name="Normal 12 2 2 4 2" xfId="3416" xr:uid="{00000000-0005-0000-0000-0000E80D0000}"/>
    <cellStyle name="Normal 12 2 2 4 2 2" xfId="7639" xr:uid="{00000000-0005-0000-0000-0000E90D0000}"/>
    <cellStyle name="Normal 12 2 2 4 2 2 2" xfId="16081" xr:uid="{F178FA08-9603-4171-BB49-32D4B49F02B1}"/>
    <cellStyle name="Normal 12 2 2 4 2 3" xfId="11863" xr:uid="{E1ED1851-CFDA-4FF7-B40E-D10820116CAA}"/>
    <cellStyle name="Normal 12 2 2 4 3" xfId="5494" xr:uid="{00000000-0005-0000-0000-0000EA0D0000}"/>
    <cellStyle name="Normal 12 2 2 4 3 2" xfId="13936" xr:uid="{DF2AD12E-D3A1-4D10-9D61-0432F4F01F72}"/>
    <cellStyle name="Normal 12 2 2 4 4" xfId="9718" xr:uid="{4D8F7F51-68C0-4948-B210-72EF1C21A462}"/>
    <cellStyle name="Normal 12 2 2 5" xfId="1599" xr:uid="{00000000-0005-0000-0000-0000EB0D0000}"/>
    <cellStyle name="Normal 12 2 2 5 2" xfId="3829" xr:uid="{00000000-0005-0000-0000-0000EC0D0000}"/>
    <cellStyle name="Normal 12 2 2 5 2 2" xfId="8052" xr:uid="{00000000-0005-0000-0000-0000ED0D0000}"/>
    <cellStyle name="Normal 12 2 2 5 2 2 2" xfId="16494" xr:uid="{D2DC3AA3-8973-4F3E-82FF-A88B360ED26E}"/>
    <cellStyle name="Normal 12 2 2 5 2 3" xfId="12276" xr:uid="{1DD2FF53-E4BF-45A4-B61B-12C48CA6A581}"/>
    <cellStyle name="Normal 12 2 2 5 3" xfId="5907" xr:uid="{00000000-0005-0000-0000-0000EE0D0000}"/>
    <cellStyle name="Normal 12 2 2 5 3 2" xfId="14349" xr:uid="{5C47B5AD-D4E6-4742-B78A-8B77A46394B1}"/>
    <cellStyle name="Normal 12 2 2 5 4" xfId="10131" xr:uid="{71CB24F9-A87D-45DD-BCD7-B83B00929C43}"/>
    <cellStyle name="Normal 12 2 2 6" xfId="2013" xr:uid="{00000000-0005-0000-0000-0000EF0D0000}"/>
    <cellStyle name="Normal 12 2 2 6 2" xfId="4242" xr:uid="{00000000-0005-0000-0000-0000F00D0000}"/>
    <cellStyle name="Normal 12 2 2 6 2 2" xfId="8465" xr:uid="{00000000-0005-0000-0000-0000F10D0000}"/>
    <cellStyle name="Normal 12 2 2 6 2 2 2" xfId="16907" xr:uid="{E71DDF36-26B1-4FA5-9EE0-CE7533C2383F}"/>
    <cellStyle name="Normal 12 2 2 6 2 3" xfId="12689" xr:uid="{DBE09104-01EC-49BA-9097-D00D26AB1A0D}"/>
    <cellStyle name="Normal 12 2 2 6 3" xfId="6320" xr:uid="{00000000-0005-0000-0000-0000F20D0000}"/>
    <cellStyle name="Normal 12 2 2 6 3 2" xfId="14762" xr:uid="{DE60F2C1-4647-4EB0-8281-54C0DC47EFF7}"/>
    <cellStyle name="Normal 12 2 2 6 4" xfId="10544" xr:uid="{147A83B9-DAF8-4BA6-821A-FDCA7AB17F5A}"/>
    <cellStyle name="Normal 12 2 2 7" xfId="2449" xr:uid="{00000000-0005-0000-0000-0000F30D0000}"/>
    <cellStyle name="Normal 12 2 2 7 2" xfId="6733" xr:uid="{00000000-0005-0000-0000-0000F40D0000}"/>
    <cellStyle name="Normal 12 2 2 7 2 2" xfId="15175" xr:uid="{245AD8F5-87E9-41D5-B922-BB0F93574B7D}"/>
    <cellStyle name="Normal 12 2 2 7 3" xfId="10957" xr:uid="{FCDCDBFA-3323-4B61-8521-B178A03B5840}"/>
    <cellStyle name="Normal 12 2 2 8" xfId="4667" xr:uid="{00000000-0005-0000-0000-0000F50D0000}"/>
    <cellStyle name="Normal 12 2 2 8 2" xfId="13109" xr:uid="{177E7181-E82E-4D59-9A9E-84897B59B292}"/>
    <cellStyle name="Normal 12 2 2 9" xfId="8891" xr:uid="{44CED8FC-9380-4E35-BA96-FA58BB6DA2E8}"/>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2 2 2" xfId="15670" xr:uid="{8D17721D-6B37-4A82-B242-61F90B6EA22C}"/>
    <cellStyle name="Normal 12 2 3 2 2 3" xfId="11452" xr:uid="{1E3B38F7-6AB5-4260-8285-49EE7FFEE4E8}"/>
    <cellStyle name="Normal 12 2 3 2 3" xfId="5083" xr:uid="{00000000-0005-0000-0000-0000FA0D0000}"/>
    <cellStyle name="Normal 12 2 3 2 3 2" xfId="13525" xr:uid="{F2C30749-E66A-4C47-ADE4-C2119FB57560}"/>
    <cellStyle name="Normal 12 2 3 2 4" xfId="9307" xr:uid="{1464EDF3-5FA7-4CFC-9F18-9849603749FF}"/>
    <cellStyle name="Normal 12 2 3 3" xfId="1187" xr:uid="{00000000-0005-0000-0000-0000FB0D0000}"/>
    <cellStyle name="Normal 12 2 3 3 2" xfId="3418" xr:uid="{00000000-0005-0000-0000-0000FC0D0000}"/>
    <cellStyle name="Normal 12 2 3 3 2 2" xfId="7641" xr:uid="{00000000-0005-0000-0000-0000FD0D0000}"/>
    <cellStyle name="Normal 12 2 3 3 2 2 2" xfId="16083" xr:uid="{67338929-92F1-46CA-A288-B80146C1A7A2}"/>
    <cellStyle name="Normal 12 2 3 3 2 3" xfId="11865" xr:uid="{87AA96F7-9FC7-4B3C-840A-D1BD4E8E1BCC}"/>
    <cellStyle name="Normal 12 2 3 3 3" xfId="5496" xr:uid="{00000000-0005-0000-0000-0000FE0D0000}"/>
    <cellStyle name="Normal 12 2 3 3 3 2" xfId="13938" xr:uid="{382B4E81-13F5-4F55-BA40-9136CF6EB46F}"/>
    <cellStyle name="Normal 12 2 3 3 4" xfId="9720" xr:uid="{ABF1D6A9-0565-4608-A2AE-81F8431189A4}"/>
    <cellStyle name="Normal 12 2 3 4" xfId="1601" xr:uid="{00000000-0005-0000-0000-0000FF0D0000}"/>
    <cellStyle name="Normal 12 2 3 4 2" xfId="3831" xr:uid="{00000000-0005-0000-0000-0000000E0000}"/>
    <cellStyle name="Normal 12 2 3 4 2 2" xfId="8054" xr:uid="{00000000-0005-0000-0000-0000010E0000}"/>
    <cellStyle name="Normal 12 2 3 4 2 2 2" xfId="16496" xr:uid="{F69F97E9-6C90-4105-8C07-B826890B0723}"/>
    <cellStyle name="Normal 12 2 3 4 2 3" xfId="12278" xr:uid="{47EC5AED-0882-4FBF-AF09-3808D5C5C583}"/>
    <cellStyle name="Normal 12 2 3 4 3" xfId="5909" xr:uid="{00000000-0005-0000-0000-0000020E0000}"/>
    <cellStyle name="Normal 12 2 3 4 3 2" xfId="14351" xr:uid="{51C51986-1D39-46AD-86E6-22918DAE4AD0}"/>
    <cellStyle name="Normal 12 2 3 4 4" xfId="10133" xr:uid="{E889C7DC-E1A9-492E-B496-A68623002094}"/>
    <cellStyle name="Normal 12 2 3 5" xfId="2015" xr:uid="{00000000-0005-0000-0000-0000030E0000}"/>
    <cellStyle name="Normal 12 2 3 5 2" xfId="4244" xr:uid="{00000000-0005-0000-0000-0000040E0000}"/>
    <cellStyle name="Normal 12 2 3 5 2 2" xfId="8467" xr:uid="{00000000-0005-0000-0000-0000050E0000}"/>
    <cellStyle name="Normal 12 2 3 5 2 2 2" xfId="16909" xr:uid="{2286AF09-2E9A-49A0-B59B-2A78567B58E6}"/>
    <cellStyle name="Normal 12 2 3 5 2 3" xfId="12691" xr:uid="{8BFB011C-596A-4DCC-A1DD-85D2D83B3A62}"/>
    <cellStyle name="Normal 12 2 3 5 3" xfId="6322" xr:uid="{00000000-0005-0000-0000-0000060E0000}"/>
    <cellStyle name="Normal 12 2 3 5 3 2" xfId="14764" xr:uid="{78ACC88C-B118-4058-990C-2BEBDB18C021}"/>
    <cellStyle name="Normal 12 2 3 5 4" xfId="10546" xr:uid="{48B98105-2A6D-40E6-B844-1443375597E1}"/>
    <cellStyle name="Normal 12 2 3 6" xfId="2451" xr:uid="{00000000-0005-0000-0000-0000070E0000}"/>
    <cellStyle name="Normal 12 2 3 6 2" xfId="6735" xr:uid="{00000000-0005-0000-0000-0000080E0000}"/>
    <cellStyle name="Normal 12 2 3 6 2 2" xfId="15177" xr:uid="{CBDBA4EC-14CB-43B9-9E43-8E4F5A736D45}"/>
    <cellStyle name="Normal 12 2 3 6 3" xfId="10959" xr:uid="{615605AF-551B-4A32-B276-D71F349DE7BF}"/>
    <cellStyle name="Normal 12 2 3 7" xfId="4669" xr:uid="{00000000-0005-0000-0000-0000090E0000}"/>
    <cellStyle name="Normal 12 2 3 7 2" xfId="13111" xr:uid="{018A8057-E5EF-4D38-ACC5-0A24019B0AA2}"/>
    <cellStyle name="Normal 12 2 3 8" xfId="8893" xr:uid="{3D6222EB-63E9-4613-A0F8-3DD34A6AC17B}"/>
    <cellStyle name="Normal 12 2 4" xfId="761" xr:uid="{00000000-0005-0000-0000-00000A0E0000}"/>
    <cellStyle name="Normal 12 2 4 2" xfId="3002" xr:uid="{00000000-0005-0000-0000-00000B0E0000}"/>
    <cellStyle name="Normal 12 2 4 2 2" xfId="7225" xr:uid="{00000000-0005-0000-0000-00000C0E0000}"/>
    <cellStyle name="Normal 12 2 4 2 2 2" xfId="15667" xr:uid="{6A437714-9FE0-403B-A116-D5633193FD3C}"/>
    <cellStyle name="Normal 12 2 4 2 3" xfId="11449" xr:uid="{D11C6003-C21E-4C53-9A1E-A3018976120A}"/>
    <cellStyle name="Normal 12 2 4 3" xfId="5080" xr:uid="{00000000-0005-0000-0000-00000D0E0000}"/>
    <cellStyle name="Normal 12 2 4 3 2" xfId="13522" xr:uid="{AB3A48C0-8EC4-45E8-A769-DD4E63923673}"/>
    <cellStyle name="Normal 12 2 4 4" xfId="9304" xr:uid="{6045ED64-24F1-4566-9DEB-35DC1E790E2C}"/>
    <cellStyle name="Normal 12 2 5" xfId="1184" xr:uid="{00000000-0005-0000-0000-00000E0E0000}"/>
    <cellStyle name="Normal 12 2 5 2" xfId="3415" xr:uid="{00000000-0005-0000-0000-00000F0E0000}"/>
    <cellStyle name="Normal 12 2 5 2 2" xfId="7638" xr:uid="{00000000-0005-0000-0000-0000100E0000}"/>
    <cellStyle name="Normal 12 2 5 2 2 2" xfId="16080" xr:uid="{B494F9F5-DB3F-41A7-97B1-86E6499BA434}"/>
    <cellStyle name="Normal 12 2 5 2 3" xfId="11862" xr:uid="{243D0859-8BD2-4025-8E6B-360337F1CCD0}"/>
    <cellStyle name="Normal 12 2 5 3" xfId="5493" xr:uid="{00000000-0005-0000-0000-0000110E0000}"/>
    <cellStyle name="Normal 12 2 5 3 2" xfId="13935" xr:uid="{F6E8E649-6E73-4085-87C5-8CF12416F03E}"/>
    <cellStyle name="Normal 12 2 5 4" xfId="9717" xr:uid="{4238ACED-5345-4E9A-9C74-6C20AEB4AB54}"/>
    <cellStyle name="Normal 12 2 6" xfId="1598" xr:uid="{00000000-0005-0000-0000-0000120E0000}"/>
    <cellStyle name="Normal 12 2 6 2" xfId="3828" xr:uid="{00000000-0005-0000-0000-0000130E0000}"/>
    <cellStyle name="Normal 12 2 6 2 2" xfId="8051" xr:uid="{00000000-0005-0000-0000-0000140E0000}"/>
    <cellStyle name="Normal 12 2 6 2 2 2" xfId="16493" xr:uid="{E71E412A-C791-46F3-99AB-E9BB11E12EAA}"/>
    <cellStyle name="Normal 12 2 6 2 3" xfId="12275" xr:uid="{93215EE5-D876-40FB-9FA6-49B3160528DA}"/>
    <cellStyle name="Normal 12 2 6 3" xfId="5906" xr:uid="{00000000-0005-0000-0000-0000150E0000}"/>
    <cellStyle name="Normal 12 2 6 3 2" xfId="14348" xr:uid="{36A98781-2B85-43C1-B770-736EF4FF478B}"/>
    <cellStyle name="Normal 12 2 6 4" xfId="10130" xr:uid="{63542994-539A-4D81-9BDF-0E67A858F4A2}"/>
    <cellStyle name="Normal 12 2 7" xfId="2012" xr:uid="{00000000-0005-0000-0000-0000160E0000}"/>
    <cellStyle name="Normal 12 2 7 2" xfId="4241" xr:uid="{00000000-0005-0000-0000-0000170E0000}"/>
    <cellStyle name="Normal 12 2 7 2 2" xfId="8464" xr:uid="{00000000-0005-0000-0000-0000180E0000}"/>
    <cellStyle name="Normal 12 2 7 2 2 2" xfId="16906" xr:uid="{478381B1-769D-41FB-939D-AF94B7E6249D}"/>
    <cellStyle name="Normal 12 2 7 2 3" xfId="12688" xr:uid="{6757203D-DCF4-4195-92D6-601AC59E58FB}"/>
    <cellStyle name="Normal 12 2 7 3" xfId="6319" xr:uid="{00000000-0005-0000-0000-0000190E0000}"/>
    <cellStyle name="Normal 12 2 7 3 2" xfId="14761" xr:uid="{7DF1E693-C6D2-47E4-8003-7812FF3FD633}"/>
    <cellStyle name="Normal 12 2 7 4" xfId="10543" xr:uid="{0DA29271-08BD-425B-A326-81B6CC2CCF03}"/>
    <cellStyle name="Normal 12 2 8" xfId="2448" xr:uid="{00000000-0005-0000-0000-00001A0E0000}"/>
    <cellStyle name="Normal 12 2 8 2" xfId="6732" xr:uid="{00000000-0005-0000-0000-00001B0E0000}"/>
    <cellStyle name="Normal 12 2 8 2 2" xfId="15174" xr:uid="{34EB7A49-C1D6-47E6-965A-C21832AD77FF}"/>
    <cellStyle name="Normal 12 2 8 3" xfId="10956" xr:uid="{612737C9-14B7-4C6F-AAD6-F67AAEDA2CCE}"/>
    <cellStyle name="Normal 12 2 9" xfId="4666" xr:uid="{00000000-0005-0000-0000-00001C0E0000}"/>
    <cellStyle name="Normal 12 2 9 2" xfId="13108" xr:uid="{91F642E6-E3E5-4728-BECB-4095BEDA051B}"/>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2 2 2" xfId="15672" xr:uid="{7E7DCA3A-0A6F-4506-8B9E-AC61F52296FF}"/>
    <cellStyle name="Normal 12 3 2 2 2 3" xfId="11454" xr:uid="{AC7A687E-41E2-4D79-B075-5D658FD80849}"/>
    <cellStyle name="Normal 12 3 2 2 3" xfId="5085" xr:uid="{00000000-0005-0000-0000-0000220E0000}"/>
    <cellStyle name="Normal 12 3 2 2 3 2" xfId="13527" xr:uid="{6F644199-8B28-4568-9A89-D987B2F04105}"/>
    <cellStyle name="Normal 12 3 2 2 4" xfId="9309" xr:uid="{6F70C90B-64C9-48B5-A2F3-29DFFCDA345D}"/>
    <cellStyle name="Normal 12 3 2 3" xfId="1189" xr:uid="{00000000-0005-0000-0000-0000230E0000}"/>
    <cellStyle name="Normal 12 3 2 3 2" xfId="3420" xr:uid="{00000000-0005-0000-0000-0000240E0000}"/>
    <cellStyle name="Normal 12 3 2 3 2 2" xfId="7643" xr:uid="{00000000-0005-0000-0000-0000250E0000}"/>
    <cellStyle name="Normal 12 3 2 3 2 2 2" xfId="16085" xr:uid="{0C93B93B-20F4-4928-A7FC-7FEBB010E4D3}"/>
    <cellStyle name="Normal 12 3 2 3 2 3" xfId="11867" xr:uid="{D0048AD0-239E-4FC2-8482-CF1B5F2C765C}"/>
    <cellStyle name="Normal 12 3 2 3 3" xfId="5498" xr:uid="{00000000-0005-0000-0000-0000260E0000}"/>
    <cellStyle name="Normal 12 3 2 3 3 2" xfId="13940" xr:uid="{F377A866-2B43-49B8-8D94-93FC57EA7615}"/>
    <cellStyle name="Normal 12 3 2 3 4" xfId="9722" xr:uid="{25B4DEF7-9225-4974-B69D-A213CDCB512D}"/>
    <cellStyle name="Normal 12 3 2 4" xfId="1603" xr:uid="{00000000-0005-0000-0000-0000270E0000}"/>
    <cellStyle name="Normal 12 3 2 4 2" xfId="3833" xr:uid="{00000000-0005-0000-0000-0000280E0000}"/>
    <cellStyle name="Normal 12 3 2 4 2 2" xfId="8056" xr:uid="{00000000-0005-0000-0000-0000290E0000}"/>
    <cellStyle name="Normal 12 3 2 4 2 2 2" xfId="16498" xr:uid="{9524BC1D-9055-4A1B-B490-3285CAF50BCB}"/>
    <cellStyle name="Normal 12 3 2 4 2 3" xfId="12280" xr:uid="{B409B569-198F-45AA-95AC-2E2234014A81}"/>
    <cellStyle name="Normal 12 3 2 4 3" xfId="5911" xr:uid="{00000000-0005-0000-0000-00002A0E0000}"/>
    <cellStyle name="Normal 12 3 2 4 3 2" xfId="14353" xr:uid="{4BB4A639-83F8-4281-973B-53780E32E042}"/>
    <cellStyle name="Normal 12 3 2 4 4" xfId="10135" xr:uid="{3BA729A8-55E6-4230-B4B6-FDF66BE1D087}"/>
    <cellStyle name="Normal 12 3 2 5" xfId="2017" xr:uid="{00000000-0005-0000-0000-00002B0E0000}"/>
    <cellStyle name="Normal 12 3 2 5 2" xfId="4246" xr:uid="{00000000-0005-0000-0000-00002C0E0000}"/>
    <cellStyle name="Normal 12 3 2 5 2 2" xfId="8469" xr:uid="{00000000-0005-0000-0000-00002D0E0000}"/>
    <cellStyle name="Normal 12 3 2 5 2 2 2" xfId="16911" xr:uid="{F599F5C4-7DAF-4099-8E86-489E527766A2}"/>
    <cellStyle name="Normal 12 3 2 5 2 3" xfId="12693" xr:uid="{A059B135-9C69-4F7B-A11D-CDD39BB2D830}"/>
    <cellStyle name="Normal 12 3 2 5 3" xfId="6324" xr:uid="{00000000-0005-0000-0000-00002E0E0000}"/>
    <cellStyle name="Normal 12 3 2 5 3 2" xfId="14766" xr:uid="{154BF9F9-F005-4DAA-AF0B-9571907A3B97}"/>
    <cellStyle name="Normal 12 3 2 5 4" xfId="10548" xr:uid="{0B465A9D-5CFA-4DCC-9024-923AF6A7B141}"/>
    <cellStyle name="Normal 12 3 2 6" xfId="2453" xr:uid="{00000000-0005-0000-0000-00002F0E0000}"/>
    <cellStyle name="Normal 12 3 2 6 2" xfId="6737" xr:uid="{00000000-0005-0000-0000-0000300E0000}"/>
    <cellStyle name="Normal 12 3 2 6 2 2" xfId="15179" xr:uid="{A6BC54EB-AADD-415E-8BAD-138A86691233}"/>
    <cellStyle name="Normal 12 3 2 6 3" xfId="10961" xr:uid="{9A7A352E-BF3C-459A-8D9B-7A78ECC0B9B8}"/>
    <cellStyle name="Normal 12 3 2 7" xfId="4671" xr:uid="{00000000-0005-0000-0000-0000310E0000}"/>
    <cellStyle name="Normal 12 3 2 7 2" xfId="13113" xr:uid="{075C5D36-A0A0-4A24-BB34-40249D3AA92F}"/>
    <cellStyle name="Normal 12 3 2 8" xfId="8895" xr:uid="{CDF369DC-373C-4799-8435-FF8D11282A29}"/>
    <cellStyle name="Normal 12 3 3" xfId="765" xr:uid="{00000000-0005-0000-0000-0000320E0000}"/>
    <cellStyle name="Normal 12 3 3 2" xfId="3006" xr:uid="{00000000-0005-0000-0000-0000330E0000}"/>
    <cellStyle name="Normal 12 3 3 2 2" xfId="7229" xr:uid="{00000000-0005-0000-0000-0000340E0000}"/>
    <cellStyle name="Normal 12 3 3 2 2 2" xfId="15671" xr:uid="{1682AEE0-9E3E-4744-BD8B-C23DAF619EEC}"/>
    <cellStyle name="Normal 12 3 3 2 3" xfId="11453" xr:uid="{4817F807-0007-4002-8040-6B150283F175}"/>
    <cellStyle name="Normal 12 3 3 3" xfId="5084" xr:uid="{00000000-0005-0000-0000-0000350E0000}"/>
    <cellStyle name="Normal 12 3 3 3 2" xfId="13526" xr:uid="{73AC6B86-3963-467F-A897-A37DD626CE85}"/>
    <cellStyle name="Normal 12 3 3 4" xfId="9308" xr:uid="{52DB775C-CC37-482B-B337-DBDA524E6F4A}"/>
    <cellStyle name="Normal 12 3 4" xfId="1188" xr:uid="{00000000-0005-0000-0000-0000360E0000}"/>
    <cellStyle name="Normal 12 3 4 2" xfId="3419" xr:uid="{00000000-0005-0000-0000-0000370E0000}"/>
    <cellStyle name="Normal 12 3 4 2 2" xfId="7642" xr:uid="{00000000-0005-0000-0000-0000380E0000}"/>
    <cellStyle name="Normal 12 3 4 2 2 2" xfId="16084" xr:uid="{D4D84AF6-4ED9-409F-A508-B25E0BAC1B21}"/>
    <cellStyle name="Normal 12 3 4 2 3" xfId="11866" xr:uid="{7904FE81-4A03-401E-82C5-33D1A0047882}"/>
    <cellStyle name="Normal 12 3 4 3" xfId="5497" xr:uid="{00000000-0005-0000-0000-0000390E0000}"/>
    <cellStyle name="Normal 12 3 4 3 2" xfId="13939" xr:uid="{5CD61D5E-BCC4-4699-B50A-B4997D274E48}"/>
    <cellStyle name="Normal 12 3 4 4" xfId="9721" xr:uid="{4489EDFE-FB72-4B9D-9B3D-A08529903B87}"/>
    <cellStyle name="Normal 12 3 5" xfId="1602" xr:uid="{00000000-0005-0000-0000-00003A0E0000}"/>
    <cellStyle name="Normal 12 3 5 2" xfId="3832" xr:uid="{00000000-0005-0000-0000-00003B0E0000}"/>
    <cellStyle name="Normal 12 3 5 2 2" xfId="8055" xr:uid="{00000000-0005-0000-0000-00003C0E0000}"/>
    <cellStyle name="Normal 12 3 5 2 2 2" xfId="16497" xr:uid="{51A8E6B3-8681-49EF-9A6E-A9CBC6EA8568}"/>
    <cellStyle name="Normal 12 3 5 2 3" xfId="12279" xr:uid="{5A4647B6-FABA-4BB5-86BD-A689A78BF941}"/>
    <cellStyle name="Normal 12 3 5 3" xfId="5910" xr:uid="{00000000-0005-0000-0000-00003D0E0000}"/>
    <cellStyle name="Normal 12 3 5 3 2" xfId="14352" xr:uid="{330310CF-2C2A-49FB-955F-EAAC4E8A9E5D}"/>
    <cellStyle name="Normal 12 3 5 4" xfId="10134" xr:uid="{EEBEC802-0F62-4626-A316-69B3C4096006}"/>
    <cellStyle name="Normal 12 3 6" xfId="2016" xr:uid="{00000000-0005-0000-0000-00003E0E0000}"/>
    <cellStyle name="Normal 12 3 6 2" xfId="4245" xr:uid="{00000000-0005-0000-0000-00003F0E0000}"/>
    <cellStyle name="Normal 12 3 6 2 2" xfId="8468" xr:uid="{00000000-0005-0000-0000-0000400E0000}"/>
    <cellStyle name="Normal 12 3 6 2 2 2" xfId="16910" xr:uid="{89B2BFDD-F2E9-44AD-A234-4BAC255F72DD}"/>
    <cellStyle name="Normal 12 3 6 2 3" xfId="12692" xr:uid="{F4E8CBFD-E80F-41CA-8C09-E3E1587E4CBE}"/>
    <cellStyle name="Normal 12 3 6 3" xfId="6323" xr:uid="{00000000-0005-0000-0000-0000410E0000}"/>
    <cellStyle name="Normal 12 3 6 3 2" xfId="14765" xr:uid="{D9B36D8E-2015-425E-B16A-06A996CCC9B1}"/>
    <cellStyle name="Normal 12 3 6 4" xfId="10547" xr:uid="{5770C2FE-F824-438F-9BAB-04218381B8B9}"/>
    <cellStyle name="Normal 12 3 7" xfId="2452" xr:uid="{00000000-0005-0000-0000-0000420E0000}"/>
    <cellStyle name="Normal 12 3 7 2" xfId="6736" xr:uid="{00000000-0005-0000-0000-0000430E0000}"/>
    <cellStyle name="Normal 12 3 7 2 2" xfId="15178" xr:uid="{A1E21DB0-2D6C-4FD6-B89B-6E41A782C4DD}"/>
    <cellStyle name="Normal 12 3 7 3" xfId="10960" xr:uid="{68587D34-0F27-4CD6-B47E-9BA59D4E9E7C}"/>
    <cellStyle name="Normal 12 3 8" xfId="4670" xr:uid="{00000000-0005-0000-0000-0000440E0000}"/>
    <cellStyle name="Normal 12 3 8 2" xfId="13112" xr:uid="{8005E486-C5FE-4973-8818-95FB1C94EC7E}"/>
    <cellStyle name="Normal 12 3 9" xfId="8894" xr:uid="{F5586911-45D2-43E9-BE2A-34590433D7C8}"/>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2 2 2" xfId="15673" xr:uid="{91670B31-82D0-49AB-A911-87B6E10EC294}"/>
    <cellStyle name="Normal 12 4 2 2 3" xfId="11455" xr:uid="{EDEBCC28-8810-4F73-9A85-03CECE095213}"/>
    <cellStyle name="Normal 12 4 2 3" xfId="5086" xr:uid="{00000000-0005-0000-0000-0000490E0000}"/>
    <cellStyle name="Normal 12 4 2 3 2" xfId="13528" xr:uid="{59C6F462-F6A4-4CB1-BF7D-AAC7FE0C473D}"/>
    <cellStyle name="Normal 12 4 2 4" xfId="9310" xr:uid="{B710ABE9-7ADE-447E-B32F-D77C965100EB}"/>
    <cellStyle name="Normal 12 4 3" xfId="1190" xr:uid="{00000000-0005-0000-0000-00004A0E0000}"/>
    <cellStyle name="Normal 12 4 3 2" xfId="3421" xr:uid="{00000000-0005-0000-0000-00004B0E0000}"/>
    <cellStyle name="Normal 12 4 3 2 2" xfId="7644" xr:uid="{00000000-0005-0000-0000-00004C0E0000}"/>
    <cellStyle name="Normal 12 4 3 2 2 2" xfId="16086" xr:uid="{84D86AF3-D3CB-43E2-AC39-22A43B899158}"/>
    <cellStyle name="Normal 12 4 3 2 3" xfId="11868" xr:uid="{AC51E9A5-FE6B-4480-9194-00F8EB9F8624}"/>
    <cellStyle name="Normal 12 4 3 3" xfId="5499" xr:uid="{00000000-0005-0000-0000-00004D0E0000}"/>
    <cellStyle name="Normal 12 4 3 3 2" xfId="13941" xr:uid="{42213B69-BA1F-4AF8-AEE2-44F45C59C945}"/>
    <cellStyle name="Normal 12 4 3 4" xfId="9723" xr:uid="{A09D6672-686F-4E64-BB1A-F633CEB992F6}"/>
    <cellStyle name="Normal 12 4 4" xfId="1604" xr:uid="{00000000-0005-0000-0000-00004E0E0000}"/>
    <cellStyle name="Normal 12 4 4 2" xfId="3834" xr:uid="{00000000-0005-0000-0000-00004F0E0000}"/>
    <cellStyle name="Normal 12 4 4 2 2" xfId="8057" xr:uid="{00000000-0005-0000-0000-0000500E0000}"/>
    <cellStyle name="Normal 12 4 4 2 2 2" xfId="16499" xr:uid="{72396AB6-860D-4F28-A694-FBE36CEEF6E8}"/>
    <cellStyle name="Normal 12 4 4 2 3" xfId="12281" xr:uid="{793A149F-C393-4454-B52C-42DB1B11352C}"/>
    <cellStyle name="Normal 12 4 4 3" xfId="5912" xr:uid="{00000000-0005-0000-0000-0000510E0000}"/>
    <cellStyle name="Normal 12 4 4 3 2" xfId="14354" xr:uid="{FB9DDB76-EC5C-4C22-BE2C-AEB46764CCA4}"/>
    <cellStyle name="Normal 12 4 4 4" xfId="10136" xr:uid="{7D687C12-0F3A-4B5D-831B-B271D12A34A9}"/>
    <cellStyle name="Normal 12 4 5" xfId="2018" xr:uid="{00000000-0005-0000-0000-0000520E0000}"/>
    <cellStyle name="Normal 12 4 5 2" xfId="4247" xr:uid="{00000000-0005-0000-0000-0000530E0000}"/>
    <cellStyle name="Normal 12 4 5 2 2" xfId="8470" xr:uid="{00000000-0005-0000-0000-0000540E0000}"/>
    <cellStyle name="Normal 12 4 5 2 2 2" xfId="16912" xr:uid="{72A3116C-282D-43F0-8DAC-D82F4D785852}"/>
    <cellStyle name="Normal 12 4 5 2 3" xfId="12694" xr:uid="{B1AB9565-2493-4D19-B276-80134AF2D516}"/>
    <cellStyle name="Normal 12 4 5 3" xfId="6325" xr:uid="{00000000-0005-0000-0000-0000550E0000}"/>
    <cellStyle name="Normal 12 4 5 3 2" xfId="14767" xr:uid="{91ED2C1E-8ADA-4058-9DE1-616CA7E5F525}"/>
    <cellStyle name="Normal 12 4 5 4" xfId="10549" xr:uid="{AA90BD3A-3D9E-4733-A5A9-ABC19CF23C74}"/>
    <cellStyle name="Normal 12 4 6" xfId="2454" xr:uid="{00000000-0005-0000-0000-0000560E0000}"/>
    <cellStyle name="Normal 12 4 6 2" xfId="6738" xr:uid="{00000000-0005-0000-0000-0000570E0000}"/>
    <cellStyle name="Normal 12 4 6 2 2" xfId="15180" xr:uid="{E13E780C-4ACD-41DF-9697-659691FEC1BA}"/>
    <cellStyle name="Normal 12 4 6 3" xfId="10962" xr:uid="{3E1A847F-4616-4CB1-9983-49B7456D8EA1}"/>
    <cellStyle name="Normal 12 4 7" xfId="4672" xr:uid="{00000000-0005-0000-0000-0000580E0000}"/>
    <cellStyle name="Normal 12 4 7 2" xfId="13114" xr:uid="{6BF8172A-EE6E-4154-8131-4C5C4454004A}"/>
    <cellStyle name="Normal 12 4 8" xfId="8896" xr:uid="{F458BAA3-2FA6-4FBB-94E8-E39C9487EEC5}"/>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2 2 2" xfId="15666" xr:uid="{DDDE8C3B-DD94-4B7B-85A8-4E5307D3437C}"/>
    <cellStyle name="Normal 12 6 2 3" xfId="11448" xr:uid="{8A2CA050-23CF-45F7-8932-518A0E6E3C64}"/>
    <cellStyle name="Normal 12 6 3" xfId="5079" xr:uid="{00000000-0005-0000-0000-00005D0E0000}"/>
    <cellStyle name="Normal 12 6 3 2" xfId="13521" xr:uid="{B3852370-DEF2-448C-9878-DBE55D91F926}"/>
    <cellStyle name="Normal 12 6 4" xfId="9303" xr:uid="{9A8BAB96-A7AB-4DEE-9CD5-D3C69BDBA392}"/>
    <cellStyle name="Normal 12 7" xfId="1183" xr:uid="{00000000-0005-0000-0000-00005E0E0000}"/>
    <cellStyle name="Normal 12 7 2" xfId="3414" xr:uid="{00000000-0005-0000-0000-00005F0E0000}"/>
    <cellStyle name="Normal 12 7 2 2" xfId="7637" xr:uid="{00000000-0005-0000-0000-0000600E0000}"/>
    <cellStyle name="Normal 12 7 2 2 2" xfId="16079" xr:uid="{7EC9C207-C4B6-4B35-8829-5155CD31CA18}"/>
    <cellStyle name="Normal 12 7 2 3" xfId="11861" xr:uid="{376A7F9A-E9EF-4D0E-8DBB-61369F587F34}"/>
    <cellStyle name="Normal 12 7 3" xfId="5492" xr:uid="{00000000-0005-0000-0000-0000610E0000}"/>
    <cellStyle name="Normal 12 7 3 2" xfId="13934" xr:uid="{14C58F8E-A730-4146-A561-E3FCEF01C2A8}"/>
    <cellStyle name="Normal 12 7 4" xfId="9716" xr:uid="{5B25CB94-A423-4260-A4FA-148763097A38}"/>
    <cellStyle name="Normal 12 8" xfId="1597" xr:uid="{00000000-0005-0000-0000-0000620E0000}"/>
    <cellStyle name="Normal 12 8 2" xfId="3827" xr:uid="{00000000-0005-0000-0000-0000630E0000}"/>
    <cellStyle name="Normal 12 8 2 2" xfId="8050" xr:uid="{00000000-0005-0000-0000-0000640E0000}"/>
    <cellStyle name="Normal 12 8 2 2 2" xfId="16492" xr:uid="{8A6BA470-4721-4B28-B831-71951DF9B4B7}"/>
    <cellStyle name="Normal 12 8 2 3" xfId="12274" xr:uid="{7B371F4E-6639-4B51-B2B9-F183C3037943}"/>
    <cellStyle name="Normal 12 8 3" xfId="5905" xr:uid="{00000000-0005-0000-0000-0000650E0000}"/>
    <cellStyle name="Normal 12 8 3 2" xfId="14347" xr:uid="{54E1A3F5-6CA7-4564-89F1-C671B4324BAD}"/>
    <cellStyle name="Normal 12 8 4" xfId="10129" xr:uid="{3DBD19D3-273F-4574-B7EE-CA17CF764CFF}"/>
    <cellStyle name="Normal 12 9" xfId="2011" xr:uid="{00000000-0005-0000-0000-0000660E0000}"/>
    <cellStyle name="Normal 12 9 2" xfId="4240" xr:uid="{00000000-0005-0000-0000-0000670E0000}"/>
    <cellStyle name="Normal 12 9 2 2" xfId="8463" xr:uid="{00000000-0005-0000-0000-0000680E0000}"/>
    <cellStyle name="Normal 12 9 2 2 2" xfId="16905" xr:uid="{7A9DC5E5-4DA5-4CD4-8291-6C9AD7B7E652}"/>
    <cellStyle name="Normal 12 9 2 3" xfId="12687" xr:uid="{E9CC24B5-DB2F-4F80-A7B7-E57872905AF3}"/>
    <cellStyle name="Normal 12 9 3" xfId="6318" xr:uid="{00000000-0005-0000-0000-0000690E0000}"/>
    <cellStyle name="Normal 12 9 3 2" xfId="14760" xr:uid="{B2110292-9D09-4489-B0BA-F6065117D45E}"/>
    <cellStyle name="Normal 12 9 4" xfId="10542" xr:uid="{2419001E-BD68-49DB-852F-5B57B2FB3013}"/>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2 2 2" xfId="15674" xr:uid="{2754FAEF-39CC-4B18-9268-25054763B341}"/>
    <cellStyle name="Normal 14 2 2 3" xfId="11456" xr:uid="{9584FDAC-F635-4485-83BE-E6CA909F3C43}"/>
    <cellStyle name="Normal 14 2 3" xfId="5087" xr:uid="{00000000-0005-0000-0000-0000700E0000}"/>
    <cellStyle name="Normal 14 2 3 2" xfId="13529" xr:uid="{41F6F57E-DC04-4EC3-822B-1D083B2B99A6}"/>
    <cellStyle name="Normal 14 2 4" xfId="9311" xr:uid="{E8C4DC7C-943F-45C7-A1DF-2D60D07A3182}"/>
    <cellStyle name="Normal 14 3" xfId="1191" xr:uid="{00000000-0005-0000-0000-0000710E0000}"/>
    <cellStyle name="Normal 14 3 2" xfId="3422" xr:uid="{00000000-0005-0000-0000-0000720E0000}"/>
    <cellStyle name="Normal 14 3 2 2" xfId="7645" xr:uid="{00000000-0005-0000-0000-0000730E0000}"/>
    <cellStyle name="Normal 14 3 2 2 2" xfId="16087" xr:uid="{F78970DE-9847-4F29-A117-CACA90CC55A4}"/>
    <cellStyle name="Normal 14 3 2 3" xfId="11869" xr:uid="{24B74ADF-0077-4DF1-AEBE-34B015977E04}"/>
    <cellStyle name="Normal 14 3 3" xfId="5500" xr:uid="{00000000-0005-0000-0000-0000740E0000}"/>
    <cellStyle name="Normal 14 3 3 2" xfId="13942" xr:uid="{8648D5AF-759F-4919-A70E-D8CD95CC494F}"/>
    <cellStyle name="Normal 14 3 4" xfId="9724" xr:uid="{B7210246-BD3F-4A5E-9225-0DB0698DB7C4}"/>
    <cellStyle name="Normal 14 4" xfId="1605" xr:uid="{00000000-0005-0000-0000-0000750E0000}"/>
    <cellStyle name="Normal 14 4 2" xfId="3835" xr:uid="{00000000-0005-0000-0000-0000760E0000}"/>
    <cellStyle name="Normal 14 4 2 2" xfId="8058" xr:uid="{00000000-0005-0000-0000-0000770E0000}"/>
    <cellStyle name="Normal 14 4 2 2 2" xfId="16500" xr:uid="{57F703A0-7549-468B-8E56-D5C20434B0AB}"/>
    <cellStyle name="Normal 14 4 2 3" xfId="12282" xr:uid="{44DDB9D6-DFBE-481B-869B-9580ABB11DC8}"/>
    <cellStyle name="Normal 14 4 3" xfId="5913" xr:uid="{00000000-0005-0000-0000-0000780E0000}"/>
    <cellStyle name="Normal 14 4 3 2" xfId="14355" xr:uid="{6AC40F79-89AC-412E-A64A-B1D4A34883FC}"/>
    <cellStyle name="Normal 14 4 4" xfId="10137" xr:uid="{79FE36F6-8AAC-4995-94F2-3FEAD0720912}"/>
    <cellStyle name="Normal 14 5" xfId="2019" xr:uid="{00000000-0005-0000-0000-0000790E0000}"/>
    <cellStyle name="Normal 14 5 2" xfId="4248" xr:uid="{00000000-0005-0000-0000-00007A0E0000}"/>
    <cellStyle name="Normal 14 5 2 2" xfId="8471" xr:uid="{00000000-0005-0000-0000-00007B0E0000}"/>
    <cellStyle name="Normal 14 5 2 2 2" xfId="16913" xr:uid="{47AEA256-80D4-46FD-8DA5-4632EAD6B1B3}"/>
    <cellStyle name="Normal 14 5 2 3" xfId="12695" xr:uid="{F6DD92E1-D705-4A27-9C69-B4B2398F541D}"/>
    <cellStyle name="Normal 14 5 3" xfId="6326" xr:uid="{00000000-0005-0000-0000-00007C0E0000}"/>
    <cellStyle name="Normal 14 5 3 2" xfId="14768" xr:uid="{EBB97504-26FB-4778-BACA-052387FBD082}"/>
    <cellStyle name="Normal 14 5 4" xfId="10550" xr:uid="{56C4C979-F3B5-4AF2-8FF2-DDF63630B5B1}"/>
    <cellStyle name="Normal 14 6" xfId="2455" xr:uid="{00000000-0005-0000-0000-00007D0E0000}"/>
    <cellStyle name="Normal 14 6 2" xfId="6739" xr:uid="{00000000-0005-0000-0000-00007E0E0000}"/>
    <cellStyle name="Normal 14 6 2 2" xfId="15181" xr:uid="{E9B6C8B4-E28E-463C-A496-1EBE637E3B7E}"/>
    <cellStyle name="Normal 14 6 3" xfId="10963" xr:uid="{642B02B1-E7CE-4230-9086-3DB1FB9727A4}"/>
    <cellStyle name="Normal 14 7" xfId="4673" xr:uid="{00000000-0005-0000-0000-00007F0E0000}"/>
    <cellStyle name="Normal 14 7 2" xfId="13115" xr:uid="{D61EFD14-00BA-492C-B2C7-55ADEDFB1DCB}"/>
    <cellStyle name="Normal 14 8" xfId="8897" xr:uid="{A3E4544B-852C-48E5-BB93-6EE4C834F471}"/>
    <cellStyle name="Normal 15" xfId="4496" xr:uid="{00000000-0005-0000-0000-0000800E0000}"/>
    <cellStyle name="Normal 15 2" xfId="12941" xr:uid="{44CCE4C3-A0F6-46E4-B6A0-5F19031CF644}"/>
    <cellStyle name="Normal 16" xfId="4500" xr:uid="{00000000-0005-0000-0000-0000810E0000}"/>
    <cellStyle name="Normal 16 2" xfId="8716" xr:uid="{00000000-0005-0000-0000-0000820E0000}"/>
    <cellStyle name="Normal 16 2 2" xfId="17158" xr:uid="{8C8A3F5D-C889-40CF-A58A-2A03BEC17220}"/>
    <cellStyle name="Normal 16 3" xfId="8719" xr:uid="{3DE1BEEB-61FA-4094-B10F-9E0444F68763}"/>
    <cellStyle name="Normal 16 3 2" xfId="8723" xr:uid="{FE0BC069-4698-40B2-814D-8E09719245E9}"/>
    <cellStyle name="Normal 16 3 2 2" xfId="8726" xr:uid="{D3E9609F-293A-4CFC-B194-1FF2F92D621D}"/>
    <cellStyle name="Normal 16 3 2 2 2" xfId="17167" xr:uid="{0C40030D-A58D-4394-9426-5117AFDFA463}"/>
    <cellStyle name="Normal 16 3 2 3" xfId="17164" xr:uid="{1D7778D2-836E-4AC9-B453-A10A22065B43}"/>
    <cellStyle name="Normal 16 3 3" xfId="17161" xr:uid="{29ABA6F6-5438-4249-9ACE-28C7E7019E97}"/>
    <cellStyle name="Normal 16 4" xfId="12944" xr:uid="{D19432C2-1D4A-4F30-861E-CB43F1CCEDEA}"/>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2 2 2" xfId="16914" xr:uid="{C69EB713-73C7-44CA-8B43-0A6EE68F4D95}"/>
    <cellStyle name="Normal 2 4 2 10 2 3" xfId="12696" xr:uid="{FCB0EB4F-7AA2-4060-9611-1BE101D5D0CC}"/>
    <cellStyle name="Normal 2 4 2 10 3" xfId="6327" xr:uid="{00000000-0005-0000-0000-0000910E0000}"/>
    <cellStyle name="Normal 2 4 2 10 3 2" xfId="14769" xr:uid="{287BE19F-A24D-43DF-9D96-597E3B2B4BD9}"/>
    <cellStyle name="Normal 2 4 2 10 4" xfId="10551" xr:uid="{7156513C-A413-457C-A4B2-C82EFC48CEC7}"/>
    <cellStyle name="Normal 2 4 2 11" xfId="2456" xr:uid="{00000000-0005-0000-0000-0000920E0000}"/>
    <cellStyle name="Normal 2 4 2 11 2" xfId="6740" xr:uid="{00000000-0005-0000-0000-0000930E0000}"/>
    <cellStyle name="Normal 2 4 2 11 2 2" xfId="15182" xr:uid="{6025C19F-445E-4215-B83F-3C6222AD7877}"/>
    <cellStyle name="Normal 2 4 2 11 3" xfId="10964" xr:uid="{40F77211-DEB0-4DEE-8711-DF341C79D15A}"/>
    <cellStyle name="Normal 2 4 2 12" xfId="4674" xr:uid="{00000000-0005-0000-0000-0000940E0000}"/>
    <cellStyle name="Normal 2 4 2 12 2" xfId="13116" xr:uid="{8EC4CFB5-3A76-461F-B791-8808098CB55B}"/>
    <cellStyle name="Normal 2 4 2 13" xfId="8898" xr:uid="{861C3959-371C-45B5-813E-8AF12CBA31E0}"/>
    <cellStyle name="Normal 2 4 2 2" xfId="280" xr:uid="{00000000-0005-0000-0000-0000950E0000}"/>
    <cellStyle name="Normal 2 4 2 3" xfId="281" xr:uid="{00000000-0005-0000-0000-0000960E0000}"/>
    <cellStyle name="Normal 2 4 2 3 10" xfId="4675" xr:uid="{00000000-0005-0000-0000-0000970E0000}"/>
    <cellStyle name="Normal 2 4 2 3 10 2" xfId="13117" xr:uid="{2D6A3997-AF20-4562-838A-144B41031652}"/>
    <cellStyle name="Normal 2 4 2 3 11" xfId="8899" xr:uid="{06421849-BD10-426A-A52B-E44E4DC924F2}"/>
    <cellStyle name="Normal 2 4 2 3 2" xfId="282" xr:uid="{00000000-0005-0000-0000-0000980E0000}"/>
    <cellStyle name="Normal 2 4 2 3 2 10" xfId="8900" xr:uid="{4C4D73BF-ADA9-4EA7-BA36-BD540F7DC286}"/>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2 2 2" xfId="15679" xr:uid="{90321748-17A6-4E79-BD2B-D06A612AD719}"/>
    <cellStyle name="Normal 2 4 2 3 2 2 2 2 2 3" xfId="11461" xr:uid="{41F49A8D-EFC3-46B9-9D5D-02D5BA704DEB}"/>
    <cellStyle name="Normal 2 4 2 3 2 2 2 2 3" xfId="5092" xr:uid="{00000000-0005-0000-0000-00009E0E0000}"/>
    <cellStyle name="Normal 2 4 2 3 2 2 2 2 3 2" xfId="13534" xr:uid="{8104B120-3A68-46EB-B338-9CFB67A3D3B2}"/>
    <cellStyle name="Normal 2 4 2 3 2 2 2 2 4" xfId="9316" xr:uid="{55030EF1-A36A-458A-BB3D-377BA75F4924}"/>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2 2 2" xfId="16092" xr:uid="{F5A19569-4786-45C6-BFEE-64DA91416F25}"/>
    <cellStyle name="Normal 2 4 2 3 2 2 2 3 2 3" xfId="11874" xr:uid="{1B0F8C61-BD73-4002-B766-D27147B093DD}"/>
    <cellStyle name="Normal 2 4 2 3 2 2 2 3 3" xfId="5505" xr:uid="{00000000-0005-0000-0000-0000A20E0000}"/>
    <cellStyle name="Normal 2 4 2 3 2 2 2 3 3 2" xfId="13947" xr:uid="{22A116FE-35FB-4198-8D9D-20290D85E27A}"/>
    <cellStyle name="Normal 2 4 2 3 2 2 2 3 4" xfId="9729" xr:uid="{2C87BE99-789A-4AD7-918D-7ECAAE214FF4}"/>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2 2 2" xfId="16505" xr:uid="{C788857D-6846-44E3-A293-C5AC32011A16}"/>
    <cellStyle name="Normal 2 4 2 3 2 2 2 4 2 3" xfId="12287" xr:uid="{AD1837AA-CA29-4735-B4C2-616F69D2C0AF}"/>
    <cellStyle name="Normal 2 4 2 3 2 2 2 4 3" xfId="5918" xr:uid="{00000000-0005-0000-0000-0000A60E0000}"/>
    <cellStyle name="Normal 2 4 2 3 2 2 2 4 3 2" xfId="14360" xr:uid="{46DDAF22-F910-48E0-B215-001AE2968E70}"/>
    <cellStyle name="Normal 2 4 2 3 2 2 2 4 4" xfId="10142" xr:uid="{0EFAB33E-00A5-4726-8C5F-FCD8F43039EC}"/>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2 2 2" xfId="16918" xr:uid="{34F49578-08EC-4BC0-921B-793892408DCE}"/>
    <cellStyle name="Normal 2 4 2 3 2 2 2 5 2 3" xfId="12700" xr:uid="{C6DFF29F-1637-48D3-A373-EADAC1FF493C}"/>
    <cellStyle name="Normal 2 4 2 3 2 2 2 5 3" xfId="6331" xr:uid="{00000000-0005-0000-0000-0000AA0E0000}"/>
    <cellStyle name="Normal 2 4 2 3 2 2 2 5 3 2" xfId="14773" xr:uid="{1510F196-AC4E-4EE4-AA28-6A96AF6D326B}"/>
    <cellStyle name="Normal 2 4 2 3 2 2 2 5 4" xfId="10555" xr:uid="{ADCE1B5F-5D46-4783-9743-6C775CE16A60}"/>
    <cellStyle name="Normal 2 4 2 3 2 2 2 6" xfId="2460" xr:uid="{00000000-0005-0000-0000-0000AB0E0000}"/>
    <cellStyle name="Normal 2 4 2 3 2 2 2 6 2" xfId="6744" xr:uid="{00000000-0005-0000-0000-0000AC0E0000}"/>
    <cellStyle name="Normal 2 4 2 3 2 2 2 6 2 2" xfId="15186" xr:uid="{4A61167B-836F-4498-AFBE-98AD57684743}"/>
    <cellStyle name="Normal 2 4 2 3 2 2 2 6 3" xfId="10968" xr:uid="{139EBA2E-682D-4E19-82F5-83F78C7C5A72}"/>
    <cellStyle name="Normal 2 4 2 3 2 2 2 7" xfId="4678" xr:uid="{00000000-0005-0000-0000-0000AD0E0000}"/>
    <cellStyle name="Normal 2 4 2 3 2 2 2 7 2" xfId="13120" xr:uid="{C193301C-CB32-494F-B84D-9C584420A2BD}"/>
    <cellStyle name="Normal 2 4 2 3 2 2 2 8" xfId="8902" xr:uid="{FC025124-454D-4BE8-B75E-9C5124DE1B06}"/>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2 2 2" xfId="15678" xr:uid="{F35348E4-E201-4DE2-B70C-A746D12A36AF}"/>
    <cellStyle name="Normal 2 4 2 3 2 2 3 2 3" xfId="11460" xr:uid="{4821B227-770B-4B47-ADDF-D4ECF2F053BA}"/>
    <cellStyle name="Normal 2 4 2 3 2 2 3 3" xfId="5091" xr:uid="{00000000-0005-0000-0000-0000B10E0000}"/>
    <cellStyle name="Normal 2 4 2 3 2 2 3 3 2" xfId="13533" xr:uid="{53568C56-ADAB-48F8-84B1-72C2CBFDC809}"/>
    <cellStyle name="Normal 2 4 2 3 2 2 3 4" xfId="9315" xr:uid="{9413C847-9748-4829-B306-580E80ABA1CA}"/>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2 2 2" xfId="16091" xr:uid="{0D3938E7-E5DC-4DF9-ABCA-0E9F65F79C9A}"/>
    <cellStyle name="Normal 2 4 2 3 2 2 4 2 3" xfId="11873" xr:uid="{D92AD3FE-9A1C-4F02-8489-657761F97BCE}"/>
    <cellStyle name="Normal 2 4 2 3 2 2 4 3" xfId="5504" xr:uid="{00000000-0005-0000-0000-0000B50E0000}"/>
    <cellStyle name="Normal 2 4 2 3 2 2 4 3 2" xfId="13946" xr:uid="{536A56DC-18F8-4F5F-883B-6719B01793C6}"/>
    <cellStyle name="Normal 2 4 2 3 2 2 4 4" xfId="9728" xr:uid="{04D7B102-982F-4831-AB13-31A7EC37E8D7}"/>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2 2 2" xfId="16504" xr:uid="{36AF15EF-3365-4C2D-8C0E-F923D0CF03F6}"/>
    <cellStyle name="Normal 2 4 2 3 2 2 5 2 3" xfId="12286" xr:uid="{577B40D7-1CA7-4417-A84D-03D7BB0E7E90}"/>
    <cellStyle name="Normal 2 4 2 3 2 2 5 3" xfId="5917" xr:uid="{00000000-0005-0000-0000-0000B90E0000}"/>
    <cellStyle name="Normal 2 4 2 3 2 2 5 3 2" xfId="14359" xr:uid="{B0DC2394-E734-45D6-82AF-AE075CA08D80}"/>
    <cellStyle name="Normal 2 4 2 3 2 2 5 4" xfId="10141" xr:uid="{32D3B748-4696-4BB3-B203-B64FD5E23C55}"/>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2 2 2" xfId="16917" xr:uid="{9840FEE9-357E-4406-B18B-BD3CB389524B}"/>
    <cellStyle name="Normal 2 4 2 3 2 2 6 2 3" xfId="12699" xr:uid="{FCE5F173-F8D3-44E7-86F3-78182356EFE1}"/>
    <cellStyle name="Normal 2 4 2 3 2 2 6 3" xfId="6330" xr:uid="{00000000-0005-0000-0000-0000BD0E0000}"/>
    <cellStyle name="Normal 2 4 2 3 2 2 6 3 2" xfId="14772" xr:uid="{F4BFEB22-77AF-4CCC-9663-E9F70D557F58}"/>
    <cellStyle name="Normal 2 4 2 3 2 2 6 4" xfId="10554" xr:uid="{BA1AAAFA-8A03-4D8D-8FD8-EEEBF1C9A262}"/>
    <cellStyle name="Normal 2 4 2 3 2 2 7" xfId="2459" xr:uid="{00000000-0005-0000-0000-0000BE0E0000}"/>
    <cellStyle name="Normal 2 4 2 3 2 2 7 2" xfId="6743" xr:uid="{00000000-0005-0000-0000-0000BF0E0000}"/>
    <cellStyle name="Normal 2 4 2 3 2 2 7 2 2" xfId="15185" xr:uid="{B1A964D3-F1A7-4FEE-8F48-AE8EAE5A4BDC}"/>
    <cellStyle name="Normal 2 4 2 3 2 2 7 3" xfId="10967" xr:uid="{CFD2DF45-A255-4BE3-BB81-1CBD9558FB55}"/>
    <cellStyle name="Normal 2 4 2 3 2 2 8" xfId="4677" xr:uid="{00000000-0005-0000-0000-0000C00E0000}"/>
    <cellStyle name="Normal 2 4 2 3 2 2 8 2" xfId="13119" xr:uid="{F649ED58-19D1-466E-BA9F-8D776D853241}"/>
    <cellStyle name="Normal 2 4 2 3 2 2 9" xfId="8901" xr:uid="{E0B6FF22-81A3-46D1-9CFE-F1EC3C29D444}"/>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2 2 2" xfId="15680" xr:uid="{88E84CF5-749F-4E24-9E47-666C25FB1094}"/>
    <cellStyle name="Normal 2 4 2 3 2 3 2 2 3" xfId="11462" xr:uid="{3D3962B8-2D43-4DC6-8F19-F50039C20EA1}"/>
    <cellStyle name="Normal 2 4 2 3 2 3 2 3" xfId="5093" xr:uid="{00000000-0005-0000-0000-0000C50E0000}"/>
    <cellStyle name="Normal 2 4 2 3 2 3 2 3 2" xfId="13535" xr:uid="{CAC369C2-16B1-4AF9-84B5-302B7A1690E7}"/>
    <cellStyle name="Normal 2 4 2 3 2 3 2 4" xfId="9317" xr:uid="{74C3BDA4-9E56-4648-BA2F-793F707F081E}"/>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2 2 2" xfId="16093" xr:uid="{462A632B-37CC-4D9E-AB0C-6EDD596A19AF}"/>
    <cellStyle name="Normal 2 4 2 3 2 3 3 2 3" xfId="11875" xr:uid="{AC9F7ED8-319D-48C9-9E2E-9B112A4CB00F}"/>
    <cellStyle name="Normal 2 4 2 3 2 3 3 3" xfId="5506" xr:uid="{00000000-0005-0000-0000-0000C90E0000}"/>
    <cellStyle name="Normal 2 4 2 3 2 3 3 3 2" xfId="13948" xr:uid="{DC93CCAC-12AF-4C97-9193-786448FA9A48}"/>
    <cellStyle name="Normal 2 4 2 3 2 3 3 4" xfId="9730" xr:uid="{237B3EBB-215E-41C8-815A-87865F1A1D7D}"/>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2 2 2" xfId="16506" xr:uid="{2A2AFEA7-4601-4F6D-99A7-B7A570ADFBF1}"/>
    <cellStyle name="Normal 2 4 2 3 2 3 4 2 3" xfId="12288" xr:uid="{A83A5CCE-5ECA-46EC-9A9D-58BA5996DEBB}"/>
    <cellStyle name="Normal 2 4 2 3 2 3 4 3" xfId="5919" xr:uid="{00000000-0005-0000-0000-0000CD0E0000}"/>
    <cellStyle name="Normal 2 4 2 3 2 3 4 3 2" xfId="14361" xr:uid="{7C45FA7B-AFA1-4F2D-8D21-4D05A903D788}"/>
    <cellStyle name="Normal 2 4 2 3 2 3 4 4" xfId="10143" xr:uid="{A0230482-AC2F-4488-BD5F-5697A254996E}"/>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2 2 2" xfId="16919" xr:uid="{89E9F7D8-5F35-4A7C-9230-5CB7114C7568}"/>
    <cellStyle name="Normal 2 4 2 3 2 3 5 2 3" xfId="12701" xr:uid="{227FB253-21CA-47BF-9D86-427ABC137A08}"/>
    <cellStyle name="Normal 2 4 2 3 2 3 5 3" xfId="6332" xr:uid="{00000000-0005-0000-0000-0000D10E0000}"/>
    <cellStyle name="Normal 2 4 2 3 2 3 5 3 2" xfId="14774" xr:uid="{1DFA49BD-D1E9-4FFE-8834-AEC900012DA1}"/>
    <cellStyle name="Normal 2 4 2 3 2 3 5 4" xfId="10556" xr:uid="{8AE0A90C-3588-4749-920A-4351CC938F4B}"/>
    <cellStyle name="Normal 2 4 2 3 2 3 6" xfId="2461" xr:uid="{00000000-0005-0000-0000-0000D20E0000}"/>
    <cellStyle name="Normal 2 4 2 3 2 3 6 2" xfId="6745" xr:uid="{00000000-0005-0000-0000-0000D30E0000}"/>
    <cellStyle name="Normal 2 4 2 3 2 3 6 2 2" xfId="15187" xr:uid="{744A131E-5E27-4085-9FFB-FFDE1C5C0366}"/>
    <cellStyle name="Normal 2 4 2 3 2 3 6 3" xfId="10969" xr:uid="{765D943C-8A96-45F4-9A46-F6B7719D4046}"/>
    <cellStyle name="Normal 2 4 2 3 2 3 7" xfId="4679" xr:uid="{00000000-0005-0000-0000-0000D40E0000}"/>
    <cellStyle name="Normal 2 4 2 3 2 3 7 2" xfId="13121" xr:uid="{65A5823F-4BC3-4325-9B86-4383B6403FD2}"/>
    <cellStyle name="Normal 2 4 2 3 2 3 8" xfId="8903" xr:uid="{AB02FA99-F7D6-4348-AC5F-CB6D8E38E7E4}"/>
    <cellStyle name="Normal 2 4 2 3 2 4" xfId="773" xr:uid="{00000000-0005-0000-0000-0000D50E0000}"/>
    <cellStyle name="Normal 2 4 2 3 2 4 2" xfId="3012" xr:uid="{00000000-0005-0000-0000-0000D60E0000}"/>
    <cellStyle name="Normal 2 4 2 3 2 4 2 2" xfId="7235" xr:uid="{00000000-0005-0000-0000-0000D70E0000}"/>
    <cellStyle name="Normal 2 4 2 3 2 4 2 2 2" xfId="15677" xr:uid="{01FC136A-149D-4EA9-851A-FB30C9DDDC67}"/>
    <cellStyle name="Normal 2 4 2 3 2 4 2 3" xfId="11459" xr:uid="{F7A8EDA4-D41E-494F-BF10-2E02FB26B705}"/>
    <cellStyle name="Normal 2 4 2 3 2 4 3" xfId="5090" xr:uid="{00000000-0005-0000-0000-0000D80E0000}"/>
    <cellStyle name="Normal 2 4 2 3 2 4 3 2" xfId="13532" xr:uid="{6B11B811-BDC4-4859-8864-B0558F8ACABF}"/>
    <cellStyle name="Normal 2 4 2 3 2 4 4" xfId="9314" xr:uid="{21562310-854B-437C-B076-D2B8BDFAA4D9}"/>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2 2 2" xfId="16090" xr:uid="{A305FEC5-357B-4863-8AC7-146BDAC1171C}"/>
    <cellStyle name="Normal 2 4 2 3 2 5 2 3" xfId="11872" xr:uid="{5160271C-9539-4861-8A14-EE6CA440320B}"/>
    <cellStyle name="Normal 2 4 2 3 2 5 3" xfId="5503" xr:uid="{00000000-0005-0000-0000-0000DC0E0000}"/>
    <cellStyle name="Normal 2 4 2 3 2 5 3 2" xfId="13945" xr:uid="{C801B823-E223-4A9D-8A31-6D495ED6D147}"/>
    <cellStyle name="Normal 2 4 2 3 2 5 4" xfId="9727" xr:uid="{9340F81A-7E01-40A8-96A2-321358CE73AA}"/>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2 2 2" xfId="16503" xr:uid="{B59AE80E-229F-4C7F-83EC-D7A2943926BC}"/>
    <cellStyle name="Normal 2 4 2 3 2 6 2 3" xfId="12285" xr:uid="{58A1956F-9951-49D5-B7A1-6D151286B266}"/>
    <cellStyle name="Normal 2 4 2 3 2 6 3" xfId="5916" xr:uid="{00000000-0005-0000-0000-0000E00E0000}"/>
    <cellStyle name="Normal 2 4 2 3 2 6 3 2" xfId="14358" xr:uid="{C369DF1D-8AC7-4EE2-A024-A3A996086C30}"/>
    <cellStyle name="Normal 2 4 2 3 2 6 4" xfId="10140" xr:uid="{E4F2AED0-50E6-4ADA-997D-CFEB03A3B8E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2 2 2" xfId="16916" xr:uid="{7B71E794-C69E-46AD-AFD3-B91D5FC823FD}"/>
    <cellStyle name="Normal 2 4 2 3 2 7 2 3" xfId="12698" xr:uid="{E1EED8F4-3996-45F1-B841-000D2B234A0A}"/>
    <cellStyle name="Normal 2 4 2 3 2 7 3" xfId="6329" xr:uid="{00000000-0005-0000-0000-0000E40E0000}"/>
    <cellStyle name="Normal 2 4 2 3 2 7 3 2" xfId="14771" xr:uid="{7E95A162-26CD-4F40-A263-76305B84872B}"/>
    <cellStyle name="Normal 2 4 2 3 2 7 4" xfId="10553" xr:uid="{6156FFC4-6B48-4718-AD02-83AAAFCB18B0}"/>
    <cellStyle name="Normal 2 4 2 3 2 8" xfId="2458" xr:uid="{00000000-0005-0000-0000-0000E50E0000}"/>
    <cellStyle name="Normal 2 4 2 3 2 8 2" xfId="6742" xr:uid="{00000000-0005-0000-0000-0000E60E0000}"/>
    <cellStyle name="Normal 2 4 2 3 2 8 2 2" xfId="15184" xr:uid="{FF995864-743D-4C17-98B3-3C2F2746EA65}"/>
    <cellStyle name="Normal 2 4 2 3 2 8 3" xfId="10966" xr:uid="{B1349918-C2FD-4CF0-8F01-1709E44ACEAB}"/>
    <cellStyle name="Normal 2 4 2 3 2 9" xfId="4676" xr:uid="{00000000-0005-0000-0000-0000E70E0000}"/>
    <cellStyle name="Normal 2 4 2 3 2 9 2" xfId="13118" xr:uid="{92AD8477-0AA1-4BE5-B62C-F60AA900CC06}"/>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2 2 2" xfId="15682" xr:uid="{17DB254E-3683-48CF-A351-31214A5A2EFD}"/>
    <cellStyle name="Normal 2 4 2 3 3 2 2 2 3" xfId="11464" xr:uid="{919D1553-B47E-45B0-A33E-42B75813084C}"/>
    <cellStyle name="Normal 2 4 2 3 3 2 2 3" xfId="5095" xr:uid="{00000000-0005-0000-0000-0000ED0E0000}"/>
    <cellStyle name="Normal 2 4 2 3 3 2 2 3 2" xfId="13537" xr:uid="{38CD0306-9434-4075-BAD9-AC5CAD92A3D1}"/>
    <cellStyle name="Normal 2 4 2 3 3 2 2 4" xfId="9319" xr:uid="{058B70BF-61EF-4484-80D2-03B4D2A88BDC}"/>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2 2 2" xfId="16095" xr:uid="{FE267DF7-A592-4D5E-9384-F04751FDD80E}"/>
    <cellStyle name="Normal 2 4 2 3 3 2 3 2 3" xfId="11877" xr:uid="{0D3506D7-3496-42AB-9D76-23694D07DC5C}"/>
    <cellStyle name="Normal 2 4 2 3 3 2 3 3" xfId="5508" xr:uid="{00000000-0005-0000-0000-0000F10E0000}"/>
    <cellStyle name="Normal 2 4 2 3 3 2 3 3 2" xfId="13950" xr:uid="{4E6CD40E-4EF9-4A22-955C-A40DD66C4C78}"/>
    <cellStyle name="Normal 2 4 2 3 3 2 3 4" xfId="9732" xr:uid="{3A801834-1F92-4FAF-BDF8-68517D1059D4}"/>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2 2 2" xfId="16508" xr:uid="{CFFE033E-805D-4FF8-9826-DAEFCFDE40FC}"/>
    <cellStyle name="Normal 2 4 2 3 3 2 4 2 3" xfId="12290" xr:uid="{8F3CF46D-A456-4F63-BDDD-EDD09B284C91}"/>
    <cellStyle name="Normal 2 4 2 3 3 2 4 3" xfId="5921" xr:uid="{00000000-0005-0000-0000-0000F50E0000}"/>
    <cellStyle name="Normal 2 4 2 3 3 2 4 3 2" xfId="14363" xr:uid="{A051EC9E-F074-4B56-A286-B009018F4A79}"/>
    <cellStyle name="Normal 2 4 2 3 3 2 4 4" xfId="10145" xr:uid="{D587ED6D-EBE4-4AFD-B21E-444C6CD3926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2 2 2" xfId="16921" xr:uid="{CD30C463-163B-4B5E-BE5D-7774164F2EAD}"/>
    <cellStyle name="Normal 2 4 2 3 3 2 5 2 3" xfId="12703" xr:uid="{3185F96E-FD9A-4063-AEBF-9B5C28C03EB5}"/>
    <cellStyle name="Normal 2 4 2 3 3 2 5 3" xfId="6334" xr:uid="{00000000-0005-0000-0000-0000F90E0000}"/>
    <cellStyle name="Normal 2 4 2 3 3 2 5 3 2" xfId="14776" xr:uid="{1FF46FC5-F2D2-47AA-9DEC-B900C9F178BA}"/>
    <cellStyle name="Normal 2 4 2 3 3 2 5 4" xfId="10558" xr:uid="{7A7FEC0B-B407-462F-A8E8-526DA0361EB1}"/>
    <cellStyle name="Normal 2 4 2 3 3 2 6" xfId="2463" xr:uid="{00000000-0005-0000-0000-0000FA0E0000}"/>
    <cellStyle name="Normal 2 4 2 3 3 2 6 2" xfId="6747" xr:uid="{00000000-0005-0000-0000-0000FB0E0000}"/>
    <cellStyle name="Normal 2 4 2 3 3 2 6 2 2" xfId="15189" xr:uid="{13EA66BC-86C8-4F72-A014-808C0CBE5992}"/>
    <cellStyle name="Normal 2 4 2 3 3 2 6 3" xfId="10971" xr:uid="{120926EE-A72E-42BB-9B44-4017E8C36584}"/>
    <cellStyle name="Normal 2 4 2 3 3 2 7" xfId="4681" xr:uid="{00000000-0005-0000-0000-0000FC0E0000}"/>
    <cellStyle name="Normal 2 4 2 3 3 2 7 2" xfId="13123" xr:uid="{208B2447-D7D3-4A49-8AD0-43604F219CB5}"/>
    <cellStyle name="Normal 2 4 2 3 3 2 8" xfId="8905" xr:uid="{AC9B14AB-80A2-4595-B91F-E935414DF48E}"/>
    <cellStyle name="Normal 2 4 2 3 3 3" xfId="777" xr:uid="{00000000-0005-0000-0000-0000FD0E0000}"/>
    <cellStyle name="Normal 2 4 2 3 3 3 2" xfId="3016" xr:uid="{00000000-0005-0000-0000-0000FE0E0000}"/>
    <cellStyle name="Normal 2 4 2 3 3 3 2 2" xfId="7239" xr:uid="{00000000-0005-0000-0000-0000FF0E0000}"/>
    <cellStyle name="Normal 2 4 2 3 3 3 2 2 2" xfId="15681" xr:uid="{69E6447A-FB72-43AE-9603-A4AEEBB5BB9A}"/>
    <cellStyle name="Normal 2 4 2 3 3 3 2 3" xfId="11463" xr:uid="{0D1975FD-CD47-4A7E-B7E0-E227F3D056B2}"/>
    <cellStyle name="Normal 2 4 2 3 3 3 3" xfId="5094" xr:uid="{00000000-0005-0000-0000-0000000F0000}"/>
    <cellStyle name="Normal 2 4 2 3 3 3 3 2" xfId="13536" xr:uid="{8F08CDF2-12DD-4688-914C-C0E57F5955EE}"/>
    <cellStyle name="Normal 2 4 2 3 3 3 4" xfId="9318" xr:uid="{88ACDF7E-3242-4BDB-9FDA-F3A0E05449DF}"/>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2 2 2" xfId="16094" xr:uid="{B1C2F723-4107-43DE-AD45-48C85FD11F2C}"/>
    <cellStyle name="Normal 2 4 2 3 3 4 2 3" xfId="11876" xr:uid="{D2F40D86-ACF3-4217-871B-15033E755A33}"/>
    <cellStyle name="Normal 2 4 2 3 3 4 3" xfId="5507" xr:uid="{00000000-0005-0000-0000-0000040F0000}"/>
    <cellStyle name="Normal 2 4 2 3 3 4 3 2" xfId="13949" xr:uid="{63324890-9E0C-40D6-B355-BF2947368BC8}"/>
    <cellStyle name="Normal 2 4 2 3 3 4 4" xfId="9731" xr:uid="{07261571-2219-4D5F-ADDB-83C4C0353A3A}"/>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2 2 2" xfId="16507" xr:uid="{7D293CF1-2C4D-4993-B746-B3913597E11D}"/>
    <cellStyle name="Normal 2 4 2 3 3 5 2 3" xfId="12289" xr:uid="{6D59B64D-6764-4566-90B4-0FC3DFE86F99}"/>
    <cellStyle name="Normal 2 4 2 3 3 5 3" xfId="5920" xr:uid="{00000000-0005-0000-0000-0000080F0000}"/>
    <cellStyle name="Normal 2 4 2 3 3 5 3 2" xfId="14362" xr:uid="{D0717FEC-24AA-4745-A474-08A12B8A01D4}"/>
    <cellStyle name="Normal 2 4 2 3 3 5 4" xfId="10144" xr:uid="{3453C350-D722-4983-815F-2D2F0171F38E}"/>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2 2 2" xfId="16920" xr:uid="{F715C98D-502D-4886-9955-808A129AA273}"/>
    <cellStyle name="Normal 2 4 2 3 3 6 2 3" xfId="12702" xr:uid="{B47EB5C2-042D-4F90-8BD8-D2771044F8C5}"/>
    <cellStyle name="Normal 2 4 2 3 3 6 3" xfId="6333" xr:uid="{00000000-0005-0000-0000-00000C0F0000}"/>
    <cellStyle name="Normal 2 4 2 3 3 6 3 2" xfId="14775" xr:uid="{933DB2DD-C85A-47C4-97FF-35395C7ED60A}"/>
    <cellStyle name="Normal 2 4 2 3 3 6 4" xfId="10557" xr:uid="{E33A635D-CEC6-46D1-855A-A0DFA1CE2F45}"/>
    <cellStyle name="Normal 2 4 2 3 3 7" xfId="2462" xr:uid="{00000000-0005-0000-0000-00000D0F0000}"/>
    <cellStyle name="Normal 2 4 2 3 3 7 2" xfId="6746" xr:uid="{00000000-0005-0000-0000-00000E0F0000}"/>
    <cellStyle name="Normal 2 4 2 3 3 7 2 2" xfId="15188" xr:uid="{42B6CD18-799C-4D2B-B022-FA3CD0F3BEA4}"/>
    <cellStyle name="Normal 2 4 2 3 3 7 3" xfId="10970" xr:uid="{E626769C-668F-4835-84A9-1D8CCEF316D2}"/>
    <cellStyle name="Normal 2 4 2 3 3 8" xfId="4680" xr:uid="{00000000-0005-0000-0000-00000F0F0000}"/>
    <cellStyle name="Normal 2 4 2 3 3 8 2" xfId="13122" xr:uid="{22406570-184F-4E7D-B49A-5D8B1DD9F733}"/>
    <cellStyle name="Normal 2 4 2 3 3 9" xfId="8904" xr:uid="{D5E9148E-751A-4EC0-BE0F-5F1378BCC174}"/>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2 2 2" xfId="15683" xr:uid="{A2AD6345-E373-4C86-AC90-F30986DBEBBE}"/>
    <cellStyle name="Normal 2 4 2 3 4 2 2 3" xfId="11465" xr:uid="{89D79C02-C2A1-4AC0-B6E2-5CDA5785E733}"/>
    <cellStyle name="Normal 2 4 2 3 4 2 3" xfId="5096" xr:uid="{00000000-0005-0000-0000-0000140F0000}"/>
    <cellStyle name="Normal 2 4 2 3 4 2 3 2" xfId="13538" xr:uid="{35CCDEFB-1A3F-41E9-905E-DF5FF2AA9408}"/>
    <cellStyle name="Normal 2 4 2 3 4 2 4" xfId="9320" xr:uid="{BD3DF9EF-24A1-47E6-886B-D204526AFF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2 2 2" xfId="16096" xr:uid="{B201AA23-358F-40B7-9BB3-1BFD2856F920}"/>
    <cellStyle name="Normal 2 4 2 3 4 3 2 3" xfId="11878" xr:uid="{4004D180-7A0C-46A7-8AF1-D2E802A2D830}"/>
    <cellStyle name="Normal 2 4 2 3 4 3 3" xfId="5509" xr:uid="{00000000-0005-0000-0000-0000180F0000}"/>
    <cellStyle name="Normal 2 4 2 3 4 3 3 2" xfId="13951" xr:uid="{B807EB2B-373C-4784-9235-33C1660C6491}"/>
    <cellStyle name="Normal 2 4 2 3 4 3 4" xfId="9733" xr:uid="{A3703093-C8AF-4C47-B17B-52694E09D711}"/>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2 2 2" xfId="16509" xr:uid="{16BDFF49-E482-4254-AA7E-525B3C5515C1}"/>
    <cellStyle name="Normal 2 4 2 3 4 4 2 3" xfId="12291" xr:uid="{82891D0B-6C26-4BFC-B47A-024EE80FDB53}"/>
    <cellStyle name="Normal 2 4 2 3 4 4 3" xfId="5922" xr:uid="{00000000-0005-0000-0000-00001C0F0000}"/>
    <cellStyle name="Normal 2 4 2 3 4 4 3 2" xfId="14364" xr:uid="{4416CE0C-3AD4-4263-BFE6-A4C5F921CF81}"/>
    <cellStyle name="Normal 2 4 2 3 4 4 4" xfId="10146" xr:uid="{0E3C19F9-AE92-4754-B4E4-8B4045D9334D}"/>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2 2 2" xfId="16922" xr:uid="{B24039EB-D34F-4501-A07B-5A1653A263E1}"/>
    <cellStyle name="Normal 2 4 2 3 4 5 2 3" xfId="12704" xr:uid="{5CA1425A-12A4-493E-9907-76C13E927ECA}"/>
    <cellStyle name="Normal 2 4 2 3 4 5 3" xfId="6335" xr:uid="{00000000-0005-0000-0000-0000200F0000}"/>
    <cellStyle name="Normal 2 4 2 3 4 5 3 2" xfId="14777" xr:uid="{F7BB1A8A-287F-482C-981F-395B1BC55026}"/>
    <cellStyle name="Normal 2 4 2 3 4 5 4" xfId="10559" xr:uid="{3A4409E3-1D05-4698-81E1-93A0BD3BE415}"/>
    <cellStyle name="Normal 2 4 2 3 4 6" xfId="2464" xr:uid="{00000000-0005-0000-0000-0000210F0000}"/>
    <cellStyle name="Normal 2 4 2 3 4 6 2" xfId="6748" xr:uid="{00000000-0005-0000-0000-0000220F0000}"/>
    <cellStyle name="Normal 2 4 2 3 4 6 2 2" xfId="15190" xr:uid="{867CBBC9-9746-424B-9536-FFD2D432BC52}"/>
    <cellStyle name="Normal 2 4 2 3 4 6 3" xfId="10972" xr:uid="{36658EB8-0544-4903-B26D-1C3B6A48D652}"/>
    <cellStyle name="Normal 2 4 2 3 4 7" xfId="4682" xr:uid="{00000000-0005-0000-0000-0000230F0000}"/>
    <cellStyle name="Normal 2 4 2 3 4 7 2" xfId="13124" xr:uid="{7F9ED109-CE03-4C07-AD60-3D84CBD1F847}"/>
    <cellStyle name="Normal 2 4 2 3 4 8" xfId="8906" xr:uid="{85208717-3351-4C54-A1A9-852BF90034C8}"/>
    <cellStyle name="Normal 2 4 2 3 5" xfId="772" xr:uid="{00000000-0005-0000-0000-0000240F0000}"/>
    <cellStyle name="Normal 2 4 2 3 5 2" xfId="3011" xr:uid="{00000000-0005-0000-0000-0000250F0000}"/>
    <cellStyle name="Normal 2 4 2 3 5 2 2" xfId="7234" xr:uid="{00000000-0005-0000-0000-0000260F0000}"/>
    <cellStyle name="Normal 2 4 2 3 5 2 2 2" xfId="15676" xr:uid="{AD7E5D13-36D8-426E-83E9-D54C5D98BC76}"/>
    <cellStyle name="Normal 2 4 2 3 5 2 3" xfId="11458" xr:uid="{FBD22A22-CC72-427D-BCDD-46A21F79C0C0}"/>
    <cellStyle name="Normal 2 4 2 3 5 3" xfId="5089" xr:uid="{00000000-0005-0000-0000-0000270F0000}"/>
    <cellStyle name="Normal 2 4 2 3 5 3 2" xfId="13531" xr:uid="{AD0D3023-8ED4-4936-902D-02F70FC0BED5}"/>
    <cellStyle name="Normal 2 4 2 3 5 4" xfId="9313" xr:uid="{E901358D-2F33-496F-9F6D-3D16A0CCECCF}"/>
    <cellStyle name="Normal 2 4 2 3 6" xfId="1194" xr:uid="{00000000-0005-0000-0000-0000280F0000}"/>
    <cellStyle name="Normal 2 4 2 3 6 2" xfId="3424" xr:uid="{00000000-0005-0000-0000-0000290F0000}"/>
    <cellStyle name="Normal 2 4 2 3 6 2 2" xfId="7647" xr:uid="{00000000-0005-0000-0000-00002A0F0000}"/>
    <cellStyle name="Normal 2 4 2 3 6 2 2 2" xfId="16089" xr:uid="{88544728-EAD9-44A7-AF2E-738A94C8D2B0}"/>
    <cellStyle name="Normal 2 4 2 3 6 2 3" xfId="11871" xr:uid="{72DB0B90-0A59-46EC-A84D-DE9231EE69A9}"/>
    <cellStyle name="Normal 2 4 2 3 6 3" xfId="5502" xr:uid="{00000000-0005-0000-0000-00002B0F0000}"/>
    <cellStyle name="Normal 2 4 2 3 6 3 2" xfId="13944" xr:uid="{D5055361-E179-4CFA-A4FD-926FDD9449E7}"/>
    <cellStyle name="Normal 2 4 2 3 6 4" xfId="9726" xr:uid="{1281871B-B26D-4DC5-8AEF-3D603DB9BB1D}"/>
    <cellStyle name="Normal 2 4 2 3 7" xfId="1607" xr:uid="{00000000-0005-0000-0000-00002C0F0000}"/>
    <cellStyle name="Normal 2 4 2 3 7 2" xfId="3837" xr:uid="{00000000-0005-0000-0000-00002D0F0000}"/>
    <cellStyle name="Normal 2 4 2 3 7 2 2" xfId="8060" xr:uid="{00000000-0005-0000-0000-00002E0F0000}"/>
    <cellStyle name="Normal 2 4 2 3 7 2 2 2" xfId="16502" xr:uid="{141C6C1A-FFFB-4ABB-96B4-2BC7E3E89884}"/>
    <cellStyle name="Normal 2 4 2 3 7 2 3" xfId="12284" xr:uid="{9474C535-8252-4789-9E84-E7EE2D98BEB2}"/>
    <cellStyle name="Normal 2 4 2 3 7 3" xfId="5915" xr:uid="{00000000-0005-0000-0000-00002F0F0000}"/>
    <cellStyle name="Normal 2 4 2 3 7 3 2" xfId="14357" xr:uid="{E418E2A4-0493-4943-AF14-EA0742E5EBE2}"/>
    <cellStyle name="Normal 2 4 2 3 7 4" xfId="10139" xr:uid="{505394F4-342B-415B-ABC9-F035CB128270}"/>
    <cellStyle name="Normal 2 4 2 3 8" xfId="2021" xr:uid="{00000000-0005-0000-0000-0000300F0000}"/>
    <cellStyle name="Normal 2 4 2 3 8 2" xfId="4250" xr:uid="{00000000-0005-0000-0000-0000310F0000}"/>
    <cellStyle name="Normal 2 4 2 3 8 2 2" xfId="8473" xr:uid="{00000000-0005-0000-0000-0000320F0000}"/>
    <cellStyle name="Normal 2 4 2 3 8 2 2 2" xfId="16915" xr:uid="{93CA01E8-4C27-442A-8E42-A17C4F742821}"/>
    <cellStyle name="Normal 2 4 2 3 8 2 3" xfId="12697" xr:uid="{8FAB8890-7B75-4C7F-82C0-12287003BEDE}"/>
    <cellStyle name="Normal 2 4 2 3 8 3" xfId="6328" xr:uid="{00000000-0005-0000-0000-0000330F0000}"/>
    <cellStyle name="Normal 2 4 2 3 8 3 2" xfId="14770" xr:uid="{EF2DB248-9DD7-4BCE-8263-53734E49C44F}"/>
    <cellStyle name="Normal 2 4 2 3 8 4" xfId="10552" xr:uid="{13024373-0BF0-42BE-BB47-E3C57066CC5C}"/>
    <cellStyle name="Normal 2 4 2 3 9" xfId="2457" xr:uid="{00000000-0005-0000-0000-0000340F0000}"/>
    <cellStyle name="Normal 2 4 2 3 9 2" xfId="6741" xr:uid="{00000000-0005-0000-0000-0000350F0000}"/>
    <cellStyle name="Normal 2 4 2 3 9 2 2" xfId="15183" xr:uid="{23471A53-8E64-457B-8183-04BA5D06DBAE}"/>
    <cellStyle name="Normal 2 4 2 3 9 3" xfId="10965" xr:uid="{442489E5-D3D6-459F-AD7A-AB767190509D}"/>
    <cellStyle name="Normal 2 4 2 4" xfId="289" xr:uid="{00000000-0005-0000-0000-0000360F0000}"/>
    <cellStyle name="Normal 2 4 2 4 10" xfId="8907" xr:uid="{FCAA70A3-494A-4232-823E-CF9CABEB03B3}"/>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2 2 2" xfId="15686" xr:uid="{82484EDA-3212-4EC4-8F56-4E662864BA11}"/>
    <cellStyle name="Normal 2 4 2 4 2 2 2 2 3" xfId="11468" xr:uid="{3C8CE8E7-6E29-4E63-B9D3-0DE3722B85FE}"/>
    <cellStyle name="Normal 2 4 2 4 2 2 2 3" xfId="5099" xr:uid="{00000000-0005-0000-0000-00003C0F0000}"/>
    <cellStyle name="Normal 2 4 2 4 2 2 2 3 2" xfId="13541" xr:uid="{D4D69129-72C9-4E78-80EB-5B24F7F5E341}"/>
    <cellStyle name="Normal 2 4 2 4 2 2 2 4" xfId="9323" xr:uid="{E396295C-FE07-4332-B5EF-CED4BBD14F19}"/>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2 2 2" xfId="16099" xr:uid="{4209E28A-07D8-4F5F-969D-0D556AE53224}"/>
    <cellStyle name="Normal 2 4 2 4 2 2 3 2 3" xfId="11881" xr:uid="{0CE82F39-2AAB-4163-B25B-F712D1DAA195}"/>
    <cellStyle name="Normal 2 4 2 4 2 2 3 3" xfId="5512" xr:uid="{00000000-0005-0000-0000-0000400F0000}"/>
    <cellStyle name="Normal 2 4 2 4 2 2 3 3 2" xfId="13954" xr:uid="{C3C8C9D1-90E9-40BD-80BA-64CC9C36B1F5}"/>
    <cellStyle name="Normal 2 4 2 4 2 2 3 4" xfId="9736" xr:uid="{710BF227-6EE1-40EB-A590-81F8A58CE79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2 2 2" xfId="16512" xr:uid="{1A834DB0-B9BE-4452-A4B7-378F9F20A467}"/>
    <cellStyle name="Normal 2 4 2 4 2 2 4 2 3" xfId="12294" xr:uid="{E491CEF8-1A9D-4EE6-AF55-AF5D20C02DE8}"/>
    <cellStyle name="Normal 2 4 2 4 2 2 4 3" xfId="5925" xr:uid="{00000000-0005-0000-0000-0000440F0000}"/>
    <cellStyle name="Normal 2 4 2 4 2 2 4 3 2" xfId="14367" xr:uid="{7F92F380-8740-465C-9E26-74E3D53365A2}"/>
    <cellStyle name="Normal 2 4 2 4 2 2 4 4" xfId="10149" xr:uid="{74E8FEA5-0BCB-476F-82DF-0E830189030E}"/>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2 2 2" xfId="16925" xr:uid="{3AA09649-4D26-40C4-8BB2-60E38E7815DE}"/>
    <cellStyle name="Normal 2 4 2 4 2 2 5 2 3" xfId="12707" xr:uid="{C4099E0F-A462-4FA8-BB63-928B994AA1D4}"/>
    <cellStyle name="Normal 2 4 2 4 2 2 5 3" xfId="6338" xr:uid="{00000000-0005-0000-0000-0000480F0000}"/>
    <cellStyle name="Normal 2 4 2 4 2 2 5 3 2" xfId="14780" xr:uid="{296558A7-CDFD-4163-B971-6DEAA4CAEBBD}"/>
    <cellStyle name="Normal 2 4 2 4 2 2 5 4" xfId="10562" xr:uid="{B042C498-59B1-40CB-9565-686D4B330257}"/>
    <cellStyle name="Normal 2 4 2 4 2 2 6" xfId="2467" xr:uid="{00000000-0005-0000-0000-0000490F0000}"/>
    <cellStyle name="Normal 2 4 2 4 2 2 6 2" xfId="6751" xr:uid="{00000000-0005-0000-0000-00004A0F0000}"/>
    <cellStyle name="Normal 2 4 2 4 2 2 6 2 2" xfId="15193" xr:uid="{E99DC4AE-726E-4AF8-9248-F4A51DB5E90F}"/>
    <cellStyle name="Normal 2 4 2 4 2 2 6 3" xfId="10975" xr:uid="{6D01B6EB-C989-4C05-A3A3-13D48912FC12}"/>
    <cellStyle name="Normal 2 4 2 4 2 2 7" xfId="4685" xr:uid="{00000000-0005-0000-0000-00004B0F0000}"/>
    <cellStyle name="Normal 2 4 2 4 2 2 7 2" xfId="13127" xr:uid="{8768BCAF-D4A1-4630-A571-AFAA65CEF397}"/>
    <cellStyle name="Normal 2 4 2 4 2 2 8" xfId="8909" xr:uid="{6DD861A6-2FC8-44C4-B806-AD054C7A291E}"/>
    <cellStyle name="Normal 2 4 2 4 2 3" xfId="781" xr:uid="{00000000-0005-0000-0000-00004C0F0000}"/>
    <cellStyle name="Normal 2 4 2 4 2 3 2" xfId="3020" xr:uid="{00000000-0005-0000-0000-00004D0F0000}"/>
    <cellStyle name="Normal 2 4 2 4 2 3 2 2" xfId="7243" xr:uid="{00000000-0005-0000-0000-00004E0F0000}"/>
    <cellStyle name="Normal 2 4 2 4 2 3 2 2 2" xfId="15685" xr:uid="{01B2844C-80BC-40D0-9A09-C44A56D2A9A6}"/>
    <cellStyle name="Normal 2 4 2 4 2 3 2 3" xfId="11467" xr:uid="{FF5DCBE6-3629-4D1D-A7BA-7403A563F72A}"/>
    <cellStyle name="Normal 2 4 2 4 2 3 3" xfId="5098" xr:uid="{00000000-0005-0000-0000-00004F0F0000}"/>
    <cellStyle name="Normal 2 4 2 4 2 3 3 2" xfId="13540" xr:uid="{E553D664-3547-4C84-9A82-019CCB279DB9}"/>
    <cellStyle name="Normal 2 4 2 4 2 3 4" xfId="9322" xr:uid="{173E9D70-53A5-43DF-A19A-4E9DB73872A5}"/>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2 2 2" xfId="16098" xr:uid="{D9971065-2A9F-44E3-9FC9-87E23107951D}"/>
    <cellStyle name="Normal 2 4 2 4 2 4 2 3" xfId="11880" xr:uid="{082E37F8-5AAD-4148-8C2F-EEE9DBFEF6BD}"/>
    <cellStyle name="Normal 2 4 2 4 2 4 3" xfId="5511" xr:uid="{00000000-0005-0000-0000-0000530F0000}"/>
    <cellStyle name="Normal 2 4 2 4 2 4 3 2" xfId="13953" xr:uid="{88FD9490-557A-4C3C-BAF4-0F059FF306CC}"/>
    <cellStyle name="Normal 2 4 2 4 2 4 4" xfId="9735" xr:uid="{5B1BB22B-B865-4ACA-ACA2-2A9A1B80B06D}"/>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2 2 2" xfId="16511" xr:uid="{0BB96BA5-D6EB-4961-8788-4AB8FB64AC24}"/>
    <cellStyle name="Normal 2 4 2 4 2 5 2 3" xfId="12293" xr:uid="{E41B9A8D-3DC0-4674-89B3-1F3A61067226}"/>
    <cellStyle name="Normal 2 4 2 4 2 5 3" xfId="5924" xr:uid="{00000000-0005-0000-0000-0000570F0000}"/>
    <cellStyle name="Normal 2 4 2 4 2 5 3 2" xfId="14366" xr:uid="{D0B00215-65E1-48E3-BA3F-81947986F2D8}"/>
    <cellStyle name="Normal 2 4 2 4 2 5 4" xfId="10148" xr:uid="{1A09E4E3-5A15-4D4C-805B-42A6C20589BD}"/>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2 2 2" xfId="16924" xr:uid="{8AFBD82C-7714-4AD9-B1B4-2D71B0D5A29A}"/>
    <cellStyle name="Normal 2 4 2 4 2 6 2 3" xfId="12706" xr:uid="{862CEFDB-2CE2-4360-8A97-69E0B378362F}"/>
    <cellStyle name="Normal 2 4 2 4 2 6 3" xfId="6337" xr:uid="{00000000-0005-0000-0000-00005B0F0000}"/>
    <cellStyle name="Normal 2 4 2 4 2 6 3 2" xfId="14779" xr:uid="{E60A1B0C-9D6A-4631-85CA-018923989EE4}"/>
    <cellStyle name="Normal 2 4 2 4 2 6 4" xfId="10561" xr:uid="{E842B954-6DC8-41A9-8E93-577D8E420F08}"/>
    <cellStyle name="Normal 2 4 2 4 2 7" xfId="2466" xr:uid="{00000000-0005-0000-0000-00005C0F0000}"/>
    <cellStyle name="Normal 2 4 2 4 2 7 2" xfId="6750" xr:uid="{00000000-0005-0000-0000-00005D0F0000}"/>
    <cellStyle name="Normal 2 4 2 4 2 7 2 2" xfId="15192" xr:uid="{8198A33A-0340-4BAA-A948-1245CD1F9CBC}"/>
    <cellStyle name="Normal 2 4 2 4 2 7 3" xfId="10974" xr:uid="{7D701568-9123-4DFF-8FD7-487B05CDFD59}"/>
    <cellStyle name="Normal 2 4 2 4 2 8" xfId="4684" xr:uid="{00000000-0005-0000-0000-00005E0F0000}"/>
    <cellStyle name="Normal 2 4 2 4 2 8 2" xfId="13126" xr:uid="{48C1793C-6C2D-4B24-BF1C-7001C88EAE93}"/>
    <cellStyle name="Normal 2 4 2 4 2 9" xfId="8908" xr:uid="{65AF409A-5F2E-4C4F-89DE-C67E581CD4CC}"/>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2 2 2" xfId="15687" xr:uid="{CC00BCE0-0C49-4A64-9B1C-D489467A296A}"/>
    <cellStyle name="Normal 2 4 2 4 3 2 2 3" xfId="11469" xr:uid="{70E8558C-6CF9-4B09-A6DF-F5354019EAC4}"/>
    <cellStyle name="Normal 2 4 2 4 3 2 3" xfId="5100" xr:uid="{00000000-0005-0000-0000-0000630F0000}"/>
    <cellStyle name="Normal 2 4 2 4 3 2 3 2" xfId="13542" xr:uid="{59F98DC4-DB02-4929-9FAF-B9AC9D22E31D}"/>
    <cellStyle name="Normal 2 4 2 4 3 2 4" xfId="9324" xr:uid="{AF913E96-0FEE-427F-91B8-72F29F608B23}"/>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2 2 2" xfId="16100" xr:uid="{986DD089-EA13-4ACF-A52A-687ACEBCE0A4}"/>
    <cellStyle name="Normal 2 4 2 4 3 3 2 3" xfId="11882" xr:uid="{DB6E3EDF-83B8-4531-B5F8-BD87FD6B6D8A}"/>
    <cellStyle name="Normal 2 4 2 4 3 3 3" xfId="5513" xr:uid="{00000000-0005-0000-0000-0000670F0000}"/>
    <cellStyle name="Normal 2 4 2 4 3 3 3 2" xfId="13955" xr:uid="{D4B7A640-0E30-4561-8CF3-352492136C65}"/>
    <cellStyle name="Normal 2 4 2 4 3 3 4" xfId="9737" xr:uid="{A7577341-093E-4B1A-8DFB-797C28D98E4E}"/>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2 2 2" xfId="16513" xr:uid="{8BF86DB9-98C8-4B3F-A080-6F58DF086B35}"/>
    <cellStyle name="Normal 2 4 2 4 3 4 2 3" xfId="12295" xr:uid="{E9309056-0AEA-409A-9216-EB0DAE7010C6}"/>
    <cellStyle name="Normal 2 4 2 4 3 4 3" xfId="5926" xr:uid="{00000000-0005-0000-0000-00006B0F0000}"/>
    <cellStyle name="Normal 2 4 2 4 3 4 3 2" xfId="14368" xr:uid="{B8AA430A-1261-4DD0-A486-108F21458BD1}"/>
    <cellStyle name="Normal 2 4 2 4 3 4 4" xfId="10150" xr:uid="{0F0F55E1-0564-4F4B-B70B-C8BCD28C0AD2}"/>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2 2 2" xfId="16926" xr:uid="{031C3525-00A4-48F7-AA6C-AC6D9A3FA880}"/>
    <cellStyle name="Normal 2 4 2 4 3 5 2 3" xfId="12708" xr:uid="{476586A0-4872-49F7-A5F0-2664094AE570}"/>
    <cellStyle name="Normal 2 4 2 4 3 5 3" xfId="6339" xr:uid="{00000000-0005-0000-0000-00006F0F0000}"/>
    <cellStyle name="Normal 2 4 2 4 3 5 3 2" xfId="14781" xr:uid="{723BEA3B-3E00-450B-AA51-00306BC4131A}"/>
    <cellStyle name="Normal 2 4 2 4 3 5 4" xfId="10563" xr:uid="{EAD605C7-D8D7-4A2E-A19B-A48FC1A4A17E}"/>
    <cellStyle name="Normal 2 4 2 4 3 6" xfId="2468" xr:uid="{00000000-0005-0000-0000-0000700F0000}"/>
    <cellStyle name="Normal 2 4 2 4 3 6 2" xfId="6752" xr:uid="{00000000-0005-0000-0000-0000710F0000}"/>
    <cellStyle name="Normal 2 4 2 4 3 6 2 2" xfId="15194" xr:uid="{F437170B-4B7E-4BC8-BE73-7DAD9C3078FA}"/>
    <cellStyle name="Normal 2 4 2 4 3 6 3" xfId="10976" xr:uid="{131EDE8F-0947-402F-AB68-EA2D9DAC8654}"/>
    <cellStyle name="Normal 2 4 2 4 3 7" xfId="4686" xr:uid="{00000000-0005-0000-0000-0000720F0000}"/>
    <cellStyle name="Normal 2 4 2 4 3 7 2" xfId="13128" xr:uid="{CFFAD5CA-941D-43D7-B0E8-20DC2DC0B923}"/>
    <cellStyle name="Normal 2 4 2 4 3 8" xfId="8910" xr:uid="{D98E0EE1-E864-4B7E-9510-B41E6461F1FC}"/>
    <cellStyle name="Normal 2 4 2 4 4" xfId="780" xr:uid="{00000000-0005-0000-0000-0000730F0000}"/>
    <cellStyle name="Normal 2 4 2 4 4 2" xfId="3019" xr:uid="{00000000-0005-0000-0000-0000740F0000}"/>
    <cellStyle name="Normal 2 4 2 4 4 2 2" xfId="7242" xr:uid="{00000000-0005-0000-0000-0000750F0000}"/>
    <cellStyle name="Normal 2 4 2 4 4 2 2 2" xfId="15684" xr:uid="{9D15F36E-9B98-44B7-BEDD-7A506776E053}"/>
    <cellStyle name="Normal 2 4 2 4 4 2 3" xfId="11466" xr:uid="{FB1C2DCF-B2C3-4708-8DCE-F88AE6B0E871}"/>
    <cellStyle name="Normal 2 4 2 4 4 3" xfId="5097" xr:uid="{00000000-0005-0000-0000-0000760F0000}"/>
    <cellStyle name="Normal 2 4 2 4 4 3 2" xfId="13539" xr:uid="{0086EC06-B1D0-450C-8DA3-735F89F320B4}"/>
    <cellStyle name="Normal 2 4 2 4 4 4" xfId="9321" xr:uid="{380F8C15-2C43-4892-9FDB-6988A1D9A25D}"/>
    <cellStyle name="Normal 2 4 2 4 5" xfId="1202" xr:uid="{00000000-0005-0000-0000-0000770F0000}"/>
    <cellStyle name="Normal 2 4 2 4 5 2" xfId="3432" xr:uid="{00000000-0005-0000-0000-0000780F0000}"/>
    <cellStyle name="Normal 2 4 2 4 5 2 2" xfId="7655" xr:uid="{00000000-0005-0000-0000-0000790F0000}"/>
    <cellStyle name="Normal 2 4 2 4 5 2 2 2" xfId="16097" xr:uid="{0BE96E57-C6CC-4A9F-9C02-6A39C4C6EB2E}"/>
    <cellStyle name="Normal 2 4 2 4 5 2 3" xfId="11879" xr:uid="{B6955CE6-AC3B-47D6-BF68-9ABA55D8FEA2}"/>
    <cellStyle name="Normal 2 4 2 4 5 3" xfId="5510" xr:uid="{00000000-0005-0000-0000-00007A0F0000}"/>
    <cellStyle name="Normal 2 4 2 4 5 3 2" xfId="13952" xr:uid="{4D5032BC-A733-4780-9C5E-4F10C94A08A1}"/>
    <cellStyle name="Normal 2 4 2 4 5 4" xfId="9734" xr:uid="{46B6B2EE-C4F7-4FA0-80F0-2A31E86CE9E2}"/>
    <cellStyle name="Normal 2 4 2 4 6" xfId="1615" xr:uid="{00000000-0005-0000-0000-00007B0F0000}"/>
    <cellStyle name="Normal 2 4 2 4 6 2" xfId="3845" xr:uid="{00000000-0005-0000-0000-00007C0F0000}"/>
    <cellStyle name="Normal 2 4 2 4 6 2 2" xfId="8068" xr:uid="{00000000-0005-0000-0000-00007D0F0000}"/>
    <cellStyle name="Normal 2 4 2 4 6 2 2 2" xfId="16510" xr:uid="{4FBD955F-F9DB-46D2-83F6-76B06008AF84}"/>
    <cellStyle name="Normal 2 4 2 4 6 2 3" xfId="12292" xr:uid="{77D43D16-A737-4067-AD1D-4F6ADBD7D995}"/>
    <cellStyle name="Normal 2 4 2 4 6 3" xfId="5923" xr:uid="{00000000-0005-0000-0000-00007E0F0000}"/>
    <cellStyle name="Normal 2 4 2 4 6 3 2" xfId="14365" xr:uid="{D0741EC9-8816-4B82-8F89-C51FA47F7329}"/>
    <cellStyle name="Normal 2 4 2 4 6 4" xfId="10147" xr:uid="{C677A610-7560-4B90-BD2D-0AD8AE6E203B}"/>
    <cellStyle name="Normal 2 4 2 4 7" xfId="2029" xr:uid="{00000000-0005-0000-0000-00007F0F0000}"/>
    <cellStyle name="Normal 2 4 2 4 7 2" xfId="4258" xr:uid="{00000000-0005-0000-0000-0000800F0000}"/>
    <cellStyle name="Normal 2 4 2 4 7 2 2" xfId="8481" xr:uid="{00000000-0005-0000-0000-0000810F0000}"/>
    <cellStyle name="Normal 2 4 2 4 7 2 2 2" xfId="16923" xr:uid="{5B26BD0E-4E2E-4FF5-B215-33C88A2595C5}"/>
    <cellStyle name="Normal 2 4 2 4 7 2 3" xfId="12705" xr:uid="{BA5F1E57-F1B0-43B4-9CA5-6D75E10FB508}"/>
    <cellStyle name="Normal 2 4 2 4 7 3" xfId="6336" xr:uid="{00000000-0005-0000-0000-0000820F0000}"/>
    <cellStyle name="Normal 2 4 2 4 7 3 2" xfId="14778" xr:uid="{E48DD882-0F12-4AB9-A365-09CE7ED8398D}"/>
    <cellStyle name="Normal 2 4 2 4 7 4" xfId="10560" xr:uid="{D19AEE1C-72C9-40F2-9807-A63D30EA09BD}"/>
    <cellStyle name="Normal 2 4 2 4 8" xfId="2465" xr:uid="{00000000-0005-0000-0000-0000830F0000}"/>
    <cellStyle name="Normal 2 4 2 4 8 2" xfId="6749" xr:uid="{00000000-0005-0000-0000-0000840F0000}"/>
    <cellStyle name="Normal 2 4 2 4 8 2 2" xfId="15191" xr:uid="{0A1D75B2-094A-4416-AD2A-C546D2CBA9B5}"/>
    <cellStyle name="Normal 2 4 2 4 8 3" xfId="10973" xr:uid="{002C1727-8F08-4B29-A802-E84A6F74C85B}"/>
    <cellStyle name="Normal 2 4 2 4 9" xfId="4683" xr:uid="{00000000-0005-0000-0000-0000850F0000}"/>
    <cellStyle name="Normal 2 4 2 4 9 2" xfId="13125" xr:uid="{9F4BFAEA-A0A1-4E6F-BE76-5F1A41656021}"/>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2 2 2" xfId="15689" xr:uid="{94606341-9C66-4540-9364-1B12CE856231}"/>
    <cellStyle name="Normal 2 4 2 5 2 2 2 3" xfId="11471" xr:uid="{BCCB0F42-6CE3-489F-93A4-5A1A32E9C9BF}"/>
    <cellStyle name="Normal 2 4 2 5 2 2 3" xfId="5102" xr:uid="{00000000-0005-0000-0000-00008B0F0000}"/>
    <cellStyle name="Normal 2 4 2 5 2 2 3 2" xfId="13544" xr:uid="{5D30315E-61C7-4086-A7A6-85FF1D937DD5}"/>
    <cellStyle name="Normal 2 4 2 5 2 2 4" xfId="9326" xr:uid="{7585FCC2-EDCF-418E-9561-D7012C6CE4D6}"/>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2 2 2" xfId="16102" xr:uid="{E7CA3FA5-822F-400E-8D6E-2A3FCE4E7869}"/>
    <cellStyle name="Normal 2 4 2 5 2 3 2 3" xfId="11884" xr:uid="{06AFE577-DE54-4A98-8F1E-6AD84D140814}"/>
    <cellStyle name="Normal 2 4 2 5 2 3 3" xfId="5515" xr:uid="{00000000-0005-0000-0000-00008F0F0000}"/>
    <cellStyle name="Normal 2 4 2 5 2 3 3 2" xfId="13957" xr:uid="{59DEE629-37E6-4D1C-A1A2-004C50B24BA0}"/>
    <cellStyle name="Normal 2 4 2 5 2 3 4" xfId="9739" xr:uid="{6B554587-E69B-459F-B1BB-E03C2D4CA504}"/>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2 2 2" xfId="16515" xr:uid="{26BF45F5-76A0-438E-9C48-07BC623FA30F}"/>
    <cellStyle name="Normal 2 4 2 5 2 4 2 3" xfId="12297" xr:uid="{B8AEAA6B-4325-4A92-B0DC-6B7AB75F3011}"/>
    <cellStyle name="Normal 2 4 2 5 2 4 3" xfId="5928" xr:uid="{00000000-0005-0000-0000-0000930F0000}"/>
    <cellStyle name="Normal 2 4 2 5 2 4 3 2" xfId="14370" xr:uid="{5CE41927-6D49-4D93-9B1C-278B834BA23C}"/>
    <cellStyle name="Normal 2 4 2 5 2 4 4" xfId="10152" xr:uid="{F4EB6250-2243-4F2D-9B1E-195D9213B379}"/>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2 2 2" xfId="16928" xr:uid="{D3697C7D-5FEA-4E8C-956B-D0A4DD85A339}"/>
    <cellStyle name="Normal 2 4 2 5 2 5 2 3" xfId="12710" xr:uid="{0ECB84AE-CCBB-41FD-B36E-C82CD88A92CD}"/>
    <cellStyle name="Normal 2 4 2 5 2 5 3" xfId="6341" xr:uid="{00000000-0005-0000-0000-0000970F0000}"/>
    <cellStyle name="Normal 2 4 2 5 2 5 3 2" xfId="14783" xr:uid="{C833A21C-B98B-4696-933C-159A22FDF55F}"/>
    <cellStyle name="Normal 2 4 2 5 2 5 4" xfId="10565" xr:uid="{F1D4079E-3BD0-47AE-8D5D-5F768C886BBF}"/>
    <cellStyle name="Normal 2 4 2 5 2 6" xfId="2470" xr:uid="{00000000-0005-0000-0000-0000980F0000}"/>
    <cellStyle name="Normal 2 4 2 5 2 6 2" xfId="6754" xr:uid="{00000000-0005-0000-0000-0000990F0000}"/>
    <cellStyle name="Normal 2 4 2 5 2 6 2 2" xfId="15196" xr:uid="{092D431A-4276-4BB1-8DD7-4803E8664E06}"/>
    <cellStyle name="Normal 2 4 2 5 2 6 3" xfId="10978" xr:uid="{7EACD479-DB42-4222-B3E7-2184C8C1CE35}"/>
    <cellStyle name="Normal 2 4 2 5 2 7" xfId="4688" xr:uid="{00000000-0005-0000-0000-00009A0F0000}"/>
    <cellStyle name="Normal 2 4 2 5 2 7 2" xfId="13130" xr:uid="{E4A40CD3-877A-4123-99CB-FE9385BFF0AE}"/>
    <cellStyle name="Normal 2 4 2 5 2 8" xfId="8912" xr:uid="{97FA52B3-05AA-437D-8670-D4A17CFD78ED}"/>
    <cellStyle name="Normal 2 4 2 5 3" xfId="784" xr:uid="{00000000-0005-0000-0000-00009B0F0000}"/>
    <cellStyle name="Normal 2 4 2 5 3 2" xfId="3023" xr:uid="{00000000-0005-0000-0000-00009C0F0000}"/>
    <cellStyle name="Normal 2 4 2 5 3 2 2" xfId="7246" xr:uid="{00000000-0005-0000-0000-00009D0F0000}"/>
    <cellStyle name="Normal 2 4 2 5 3 2 2 2" xfId="15688" xr:uid="{08AA7C55-01E9-4AD1-9B1F-65D69D2D7CC6}"/>
    <cellStyle name="Normal 2 4 2 5 3 2 3" xfId="11470" xr:uid="{6EEF1BB5-D932-43A3-BD9C-A894699F1BE0}"/>
    <cellStyle name="Normal 2 4 2 5 3 3" xfId="5101" xr:uid="{00000000-0005-0000-0000-00009E0F0000}"/>
    <cellStyle name="Normal 2 4 2 5 3 3 2" xfId="13543" xr:uid="{090D12BE-14F5-46B9-B124-9F4B0ACCFED2}"/>
    <cellStyle name="Normal 2 4 2 5 3 4" xfId="9325" xr:uid="{DFFA7CB9-EFC3-4F83-B671-272FCD881541}"/>
    <cellStyle name="Normal 2 4 2 5 4" xfId="1206" xr:uid="{00000000-0005-0000-0000-00009F0F0000}"/>
    <cellStyle name="Normal 2 4 2 5 4 2" xfId="3436" xr:uid="{00000000-0005-0000-0000-0000A00F0000}"/>
    <cellStyle name="Normal 2 4 2 5 4 2 2" xfId="7659" xr:uid="{00000000-0005-0000-0000-0000A10F0000}"/>
    <cellStyle name="Normal 2 4 2 5 4 2 2 2" xfId="16101" xr:uid="{D05B55AB-3228-4561-B690-1EDDB4FD5085}"/>
    <cellStyle name="Normal 2 4 2 5 4 2 3" xfId="11883" xr:uid="{75A7AD1E-6CFB-4671-9138-4AF90E943C2A}"/>
    <cellStyle name="Normal 2 4 2 5 4 3" xfId="5514" xr:uid="{00000000-0005-0000-0000-0000A20F0000}"/>
    <cellStyle name="Normal 2 4 2 5 4 3 2" xfId="13956" xr:uid="{F7B9F48C-AE28-45CD-9C76-3AE4AC1F5827}"/>
    <cellStyle name="Normal 2 4 2 5 4 4" xfId="9738" xr:uid="{E28FCE13-5939-4063-A1FE-054FA84E1BF1}"/>
    <cellStyle name="Normal 2 4 2 5 5" xfId="1619" xr:uid="{00000000-0005-0000-0000-0000A30F0000}"/>
    <cellStyle name="Normal 2 4 2 5 5 2" xfId="3849" xr:uid="{00000000-0005-0000-0000-0000A40F0000}"/>
    <cellStyle name="Normal 2 4 2 5 5 2 2" xfId="8072" xr:uid="{00000000-0005-0000-0000-0000A50F0000}"/>
    <cellStyle name="Normal 2 4 2 5 5 2 2 2" xfId="16514" xr:uid="{F93CA950-D096-4A15-B7D3-C5F6D3A6B940}"/>
    <cellStyle name="Normal 2 4 2 5 5 2 3" xfId="12296" xr:uid="{AD854F42-A04A-4958-972E-AE1679DD5C96}"/>
    <cellStyle name="Normal 2 4 2 5 5 3" xfId="5927" xr:uid="{00000000-0005-0000-0000-0000A60F0000}"/>
    <cellStyle name="Normal 2 4 2 5 5 3 2" xfId="14369" xr:uid="{F596D09B-00A4-492E-9652-CE1BE36774E4}"/>
    <cellStyle name="Normal 2 4 2 5 5 4" xfId="10151" xr:uid="{BC612119-C49C-40BD-9E58-87A385B79F2F}"/>
    <cellStyle name="Normal 2 4 2 5 6" xfId="2033" xr:uid="{00000000-0005-0000-0000-0000A70F0000}"/>
    <cellStyle name="Normal 2 4 2 5 6 2" xfId="4262" xr:uid="{00000000-0005-0000-0000-0000A80F0000}"/>
    <cellStyle name="Normal 2 4 2 5 6 2 2" xfId="8485" xr:uid="{00000000-0005-0000-0000-0000A90F0000}"/>
    <cellStyle name="Normal 2 4 2 5 6 2 2 2" xfId="16927" xr:uid="{23DA11B7-2B1B-44F3-BF3A-A7AE2AB885CE}"/>
    <cellStyle name="Normal 2 4 2 5 6 2 3" xfId="12709" xr:uid="{2CD26ECA-3339-4627-9FD2-6EB988775D75}"/>
    <cellStyle name="Normal 2 4 2 5 6 3" xfId="6340" xr:uid="{00000000-0005-0000-0000-0000AA0F0000}"/>
    <cellStyle name="Normal 2 4 2 5 6 3 2" xfId="14782" xr:uid="{420B19A2-5082-4258-AE81-BCC96B0D18EA}"/>
    <cellStyle name="Normal 2 4 2 5 6 4" xfId="10564" xr:uid="{FE673539-A96C-40BB-950A-7B8F191DDD33}"/>
    <cellStyle name="Normal 2 4 2 5 7" xfId="2469" xr:uid="{00000000-0005-0000-0000-0000AB0F0000}"/>
    <cellStyle name="Normal 2 4 2 5 7 2" xfId="6753" xr:uid="{00000000-0005-0000-0000-0000AC0F0000}"/>
    <cellStyle name="Normal 2 4 2 5 7 2 2" xfId="15195" xr:uid="{3CA88D7A-858D-42ED-9EC1-9916CCC13548}"/>
    <cellStyle name="Normal 2 4 2 5 7 3" xfId="10977" xr:uid="{B0C8FC4F-581F-4BBC-9170-A7D7BF373CA2}"/>
    <cellStyle name="Normal 2 4 2 5 8" xfId="4687" xr:uid="{00000000-0005-0000-0000-0000AD0F0000}"/>
    <cellStyle name="Normal 2 4 2 5 8 2" xfId="13129" xr:uid="{9FD9079D-96A6-4B44-9940-AB5A21F8A6A1}"/>
    <cellStyle name="Normal 2 4 2 5 9" xfId="8911" xr:uid="{8F7EFF0D-2B8E-4581-81AE-7ECE66493908}"/>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2 2 2" xfId="15690" xr:uid="{A9E48E0C-77F9-4ED2-94A3-D2C113F34D56}"/>
    <cellStyle name="Normal 2 4 2 6 2 2 3" xfId="11472" xr:uid="{1190CB1D-79EC-4E27-9106-3A96744D27EA}"/>
    <cellStyle name="Normal 2 4 2 6 2 3" xfId="5103" xr:uid="{00000000-0005-0000-0000-0000B20F0000}"/>
    <cellStyle name="Normal 2 4 2 6 2 3 2" xfId="13545" xr:uid="{3C3C5E71-93B8-4372-BE56-BC820FB075E8}"/>
    <cellStyle name="Normal 2 4 2 6 2 4" xfId="9327" xr:uid="{0E2F2E1A-E2E4-4D1C-9565-C3C88BAC6FAD}"/>
    <cellStyle name="Normal 2 4 2 6 3" xfId="1208" xr:uid="{00000000-0005-0000-0000-0000B30F0000}"/>
    <cellStyle name="Normal 2 4 2 6 3 2" xfId="3438" xr:uid="{00000000-0005-0000-0000-0000B40F0000}"/>
    <cellStyle name="Normal 2 4 2 6 3 2 2" xfId="7661" xr:uid="{00000000-0005-0000-0000-0000B50F0000}"/>
    <cellStyle name="Normal 2 4 2 6 3 2 2 2" xfId="16103" xr:uid="{4B8809A0-3C28-457A-865B-B9937B5F3BC4}"/>
    <cellStyle name="Normal 2 4 2 6 3 2 3" xfId="11885" xr:uid="{12FFD1DD-9045-4515-9429-4C6852CB4F59}"/>
    <cellStyle name="Normal 2 4 2 6 3 3" xfId="5516" xr:uid="{00000000-0005-0000-0000-0000B60F0000}"/>
    <cellStyle name="Normal 2 4 2 6 3 3 2" xfId="13958" xr:uid="{BD84D75F-DEA2-40C8-A52F-D6A8F226C7AF}"/>
    <cellStyle name="Normal 2 4 2 6 3 4" xfId="9740" xr:uid="{9629AF5D-8B7B-4D77-AB49-C9C6532CF80B}"/>
    <cellStyle name="Normal 2 4 2 6 4" xfId="1621" xr:uid="{00000000-0005-0000-0000-0000B70F0000}"/>
    <cellStyle name="Normal 2 4 2 6 4 2" xfId="3851" xr:uid="{00000000-0005-0000-0000-0000B80F0000}"/>
    <cellStyle name="Normal 2 4 2 6 4 2 2" xfId="8074" xr:uid="{00000000-0005-0000-0000-0000B90F0000}"/>
    <cellStyle name="Normal 2 4 2 6 4 2 2 2" xfId="16516" xr:uid="{B3E8825D-4823-48E3-B5CD-D7EB4E83E7F9}"/>
    <cellStyle name="Normal 2 4 2 6 4 2 3" xfId="12298" xr:uid="{4F43E4B0-38E8-4FB8-AEB7-8129537D505A}"/>
    <cellStyle name="Normal 2 4 2 6 4 3" xfId="5929" xr:uid="{00000000-0005-0000-0000-0000BA0F0000}"/>
    <cellStyle name="Normal 2 4 2 6 4 3 2" xfId="14371" xr:uid="{1398262D-ED47-49C4-9870-84542527112E}"/>
    <cellStyle name="Normal 2 4 2 6 4 4" xfId="10153" xr:uid="{0E76562D-5B55-4CD9-9839-148E3FB1DC8D}"/>
    <cellStyle name="Normal 2 4 2 6 5" xfId="2035" xr:uid="{00000000-0005-0000-0000-0000BB0F0000}"/>
    <cellStyle name="Normal 2 4 2 6 5 2" xfId="4264" xr:uid="{00000000-0005-0000-0000-0000BC0F0000}"/>
    <cellStyle name="Normal 2 4 2 6 5 2 2" xfId="8487" xr:uid="{00000000-0005-0000-0000-0000BD0F0000}"/>
    <cellStyle name="Normal 2 4 2 6 5 2 2 2" xfId="16929" xr:uid="{575E757E-4073-432B-8E3C-1E809C8A9594}"/>
    <cellStyle name="Normal 2 4 2 6 5 2 3" xfId="12711" xr:uid="{B1B507BF-86CE-4EC9-8022-78BDF9F5C47D}"/>
    <cellStyle name="Normal 2 4 2 6 5 3" xfId="6342" xr:uid="{00000000-0005-0000-0000-0000BE0F0000}"/>
    <cellStyle name="Normal 2 4 2 6 5 3 2" xfId="14784" xr:uid="{349C6843-FE6C-4F72-AAFF-B5AE69CCEA0D}"/>
    <cellStyle name="Normal 2 4 2 6 5 4" xfId="10566" xr:uid="{39304F32-63A7-4A2B-A85B-7AECEE989142}"/>
    <cellStyle name="Normal 2 4 2 6 6" xfId="2471" xr:uid="{00000000-0005-0000-0000-0000BF0F0000}"/>
    <cellStyle name="Normal 2 4 2 6 6 2" xfId="6755" xr:uid="{00000000-0005-0000-0000-0000C00F0000}"/>
    <cellStyle name="Normal 2 4 2 6 6 2 2" xfId="15197" xr:uid="{B613189C-53CF-44B0-9767-480AE3DC4275}"/>
    <cellStyle name="Normal 2 4 2 6 6 3" xfId="10979" xr:uid="{D9537E99-139A-4A2C-8438-3A690C4A6722}"/>
    <cellStyle name="Normal 2 4 2 6 7" xfId="4689" xr:uid="{00000000-0005-0000-0000-0000C10F0000}"/>
    <cellStyle name="Normal 2 4 2 6 7 2" xfId="13131" xr:uid="{EA0CF6C9-EE2A-4BFC-B671-8253EA58AE50}"/>
    <cellStyle name="Normal 2 4 2 6 8" xfId="8913" xr:uid="{BDC8E229-1876-4483-A7B6-26FC96551228}"/>
    <cellStyle name="Normal 2 4 2 7" xfId="771" xr:uid="{00000000-0005-0000-0000-0000C20F0000}"/>
    <cellStyle name="Normal 2 4 2 7 2" xfId="3010" xr:uid="{00000000-0005-0000-0000-0000C30F0000}"/>
    <cellStyle name="Normal 2 4 2 7 2 2" xfId="7233" xr:uid="{00000000-0005-0000-0000-0000C40F0000}"/>
    <cellStyle name="Normal 2 4 2 7 2 2 2" xfId="15675" xr:uid="{53B796BA-8F7C-41FA-AF7D-847586524E42}"/>
    <cellStyle name="Normal 2 4 2 7 2 3" xfId="11457" xr:uid="{67E2361A-5011-45E8-9E41-E972B510C005}"/>
    <cellStyle name="Normal 2 4 2 7 3" xfId="5088" xr:uid="{00000000-0005-0000-0000-0000C50F0000}"/>
    <cellStyle name="Normal 2 4 2 7 3 2" xfId="13530" xr:uid="{947C956B-A392-41A4-9856-8EBA08A58B52}"/>
    <cellStyle name="Normal 2 4 2 7 4" xfId="9312" xr:uid="{808690AF-0859-4960-BB68-A8A0C3313FFE}"/>
    <cellStyle name="Normal 2 4 2 8" xfId="1193" xr:uid="{00000000-0005-0000-0000-0000C60F0000}"/>
    <cellStyle name="Normal 2 4 2 8 2" xfId="3423" xr:uid="{00000000-0005-0000-0000-0000C70F0000}"/>
    <cellStyle name="Normal 2 4 2 8 2 2" xfId="7646" xr:uid="{00000000-0005-0000-0000-0000C80F0000}"/>
    <cellStyle name="Normal 2 4 2 8 2 2 2" xfId="16088" xr:uid="{00F1D78C-A4C2-41B3-B009-BDADB76A071F}"/>
    <cellStyle name="Normal 2 4 2 8 2 3" xfId="11870" xr:uid="{A8CA0D84-0BE4-419D-ABBB-EB7D817133C2}"/>
    <cellStyle name="Normal 2 4 2 8 3" xfId="5501" xr:uid="{00000000-0005-0000-0000-0000C90F0000}"/>
    <cellStyle name="Normal 2 4 2 8 3 2" xfId="13943" xr:uid="{90E3CE50-879E-4890-8F97-385557037F0E}"/>
    <cellStyle name="Normal 2 4 2 8 4" xfId="9725" xr:uid="{10A43638-FFAC-4BD1-81E9-C599BF413037}"/>
    <cellStyle name="Normal 2 4 2 9" xfId="1606" xr:uid="{00000000-0005-0000-0000-0000CA0F0000}"/>
    <cellStyle name="Normal 2 4 2 9 2" xfId="3836" xr:uid="{00000000-0005-0000-0000-0000CB0F0000}"/>
    <cellStyle name="Normal 2 4 2 9 2 2" xfId="8059" xr:uid="{00000000-0005-0000-0000-0000CC0F0000}"/>
    <cellStyle name="Normal 2 4 2 9 2 2 2" xfId="16501" xr:uid="{97A10E07-C10F-4065-A921-709A6A062E75}"/>
    <cellStyle name="Normal 2 4 2 9 2 3" xfId="12283" xr:uid="{FE7B629E-3DA1-418D-B85A-5671232E04A2}"/>
    <cellStyle name="Normal 2 4 2 9 3" xfId="5914" xr:uid="{00000000-0005-0000-0000-0000CD0F0000}"/>
    <cellStyle name="Normal 2 4 2 9 3 2" xfId="14356" xr:uid="{8EC04C55-3174-474D-B974-A816D229238B}"/>
    <cellStyle name="Normal 2 4 2 9 4" xfId="10138" xr:uid="{639E1E55-A442-452C-8D58-2E3BA464E9CF}"/>
    <cellStyle name="Normal 2 4 3" xfId="296" xr:uid="{00000000-0005-0000-0000-0000CE0F0000}"/>
    <cellStyle name="Normal 2 4 3 10" xfId="8914" xr:uid="{B31F3F75-6E9D-4164-8382-C38828B73057}"/>
    <cellStyle name="Normal 2 4 3 2" xfId="297" xr:uid="{00000000-0005-0000-0000-0000CF0F0000}"/>
    <cellStyle name="Normal 2 4 3 3" xfId="298" xr:uid="{00000000-0005-0000-0000-0000D00F0000}"/>
    <cellStyle name="Normal 2 4 3 3 10" xfId="8915" xr:uid="{F253FA61-8526-4060-9701-E25A4E59973C}"/>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2 2 2" xfId="15694" xr:uid="{29A64803-A9EE-4E85-9C27-FA89B7B74BE8}"/>
    <cellStyle name="Normal 2 4 3 3 2 2 2 2 3" xfId="11476" xr:uid="{3FA6E591-55E7-4570-9566-6AC43C231661}"/>
    <cellStyle name="Normal 2 4 3 3 2 2 2 3" xfId="5107" xr:uid="{00000000-0005-0000-0000-0000D60F0000}"/>
    <cellStyle name="Normal 2 4 3 3 2 2 2 3 2" xfId="13549" xr:uid="{133948A0-49C3-45E7-84F5-1E14A317CE01}"/>
    <cellStyle name="Normal 2 4 3 3 2 2 2 4" xfId="9331" xr:uid="{B4A36B38-8683-4911-BA07-8A28EA3E69DF}"/>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2 2 2" xfId="16107" xr:uid="{8AB2B94E-821A-4891-9606-E07FC69CCD6D}"/>
    <cellStyle name="Normal 2 4 3 3 2 2 3 2 3" xfId="11889" xr:uid="{8C69D327-F5EA-41AB-9DF0-794CF1119560}"/>
    <cellStyle name="Normal 2 4 3 3 2 2 3 3" xfId="5520" xr:uid="{00000000-0005-0000-0000-0000DA0F0000}"/>
    <cellStyle name="Normal 2 4 3 3 2 2 3 3 2" xfId="13962" xr:uid="{150A263C-2FF9-4FEC-811E-1802E57CB1F5}"/>
    <cellStyle name="Normal 2 4 3 3 2 2 3 4" xfId="9744" xr:uid="{464269AA-5AB2-4AC6-9F01-C3C175F38065}"/>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2 2 2" xfId="16520" xr:uid="{CEDE54DE-05D6-49BC-8F3A-D4F69AD83093}"/>
    <cellStyle name="Normal 2 4 3 3 2 2 4 2 3" xfId="12302" xr:uid="{8AC6ECFA-227C-4A25-991E-9C334EB7226E}"/>
    <cellStyle name="Normal 2 4 3 3 2 2 4 3" xfId="5933" xr:uid="{00000000-0005-0000-0000-0000DE0F0000}"/>
    <cellStyle name="Normal 2 4 3 3 2 2 4 3 2" xfId="14375" xr:uid="{18B4DB5C-3211-49C8-BEB8-87E5A37DB216}"/>
    <cellStyle name="Normal 2 4 3 3 2 2 4 4" xfId="10157" xr:uid="{5E31A3DC-24E2-44A4-8A82-8D7124B3D7B3}"/>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2 2 2" xfId="16933" xr:uid="{C52EED8D-560F-45EB-831D-E9450F7D8E19}"/>
    <cellStyle name="Normal 2 4 3 3 2 2 5 2 3" xfId="12715" xr:uid="{CBFE3F32-C7E4-466B-8A2B-6FCB6930A731}"/>
    <cellStyle name="Normal 2 4 3 3 2 2 5 3" xfId="6346" xr:uid="{00000000-0005-0000-0000-0000E20F0000}"/>
    <cellStyle name="Normal 2 4 3 3 2 2 5 3 2" xfId="14788" xr:uid="{9CFBEB31-BC7C-4FC9-A8F0-3711ADBE9641}"/>
    <cellStyle name="Normal 2 4 3 3 2 2 5 4" xfId="10570" xr:uid="{3E031D2C-7475-4FE5-B2C5-2ABF35115BB5}"/>
    <cellStyle name="Normal 2 4 3 3 2 2 6" xfId="2475" xr:uid="{00000000-0005-0000-0000-0000E30F0000}"/>
    <cellStyle name="Normal 2 4 3 3 2 2 6 2" xfId="6759" xr:uid="{00000000-0005-0000-0000-0000E40F0000}"/>
    <cellStyle name="Normal 2 4 3 3 2 2 6 2 2" xfId="15201" xr:uid="{4BD70B28-1258-4694-B73C-2A635F6468E8}"/>
    <cellStyle name="Normal 2 4 3 3 2 2 6 3" xfId="10983" xr:uid="{ED4D8E20-FE7C-41DC-9A66-26AFA169AC40}"/>
    <cellStyle name="Normal 2 4 3 3 2 2 7" xfId="4693" xr:uid="{00000000-0005-0000-0000-0000E50F0000}"/>
    <cellStyle name="Normal 2 4 3 3 2 2 7 2" xfId="13135" xr:uid="{96135E37-25C6-40AC-89A7-2776FFE7EE18}"/>
    <cellStyle name="Normal 2 4 3 3 2 2 8" xfId="8917" xr:uid="{0FCF4590-2DEC-48C3-ABEE-5C6917ADE9E6}"/>
    <cellStyle name="Normal 2 4 3 3 2 3" xfId="789" xr:uid="{00000000-0005-0000-0000-0000E60F0000}"/>
    <cellStyle name="Normal 2 4 3 3 2 3 2" xfId="3028" xr:uid="{00000000-0005-0000-0000-0000E70F0000}"/>
    <cellStyle name="Normal 2 4 3 3 2 3 2 2" xfId="7251" xr:uid="{00000000-0005-0000-0000-0000E80F0000}"/>
    <cellStyle name="Normal 2 4 3 3 2 3 2 2 2" xfId="15693" xr:uid="{4197BE5D-F443-4734-B99E-8122B9A66CE8}"/>
    <cellStyle name="Normal 2 4 3 3 2 3 2 3" xfId="11475" xr:uid="{EE304B19-542C-472F-B0AC-4F5D8F3DB85C}"/>
    <cellStyle name="Normal 2 4 3 3 2 3 3" xfId="5106" xr:uid="{00000000-0005-0000-0000-0000E90F0000}"/>
    <cellStyle name="Normal 2 4 3 3 2 3 3 2" xfId="13548" xr:uid="{58AE3E86-1A85-4603-B789-BCC076CE4323}"/>
    <cellStyle name="Normal 2 4 3 3 2 3 4" xfId="9330" xr:uid="{0F6837AD-9BD9-44E9-9070-083E341FBC6A}"/>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2 2 2" xfId="16106" xr:uid="{BD62BFD6-467B-4DE1-A5E2-4AC96D15D605}"/>
    <cellStyle name="Normal 2 4 3 3 2 4 2 3" xfId="11888" xr:uid="{62197CB8-A599-4F62-A716-DA1ACB935A07}"/>
    <cellStyle name="Normal 2 4 3 3 2 4 3" xfId="5519" xr:uid="{00000000-0005-0000-0000-0000ED0F0000}"/>
    <cellStyle name="Normal 2 4 3 3 2 4 3 2" xfId="13961" xr:uid="{6509E476-66F1-44A4-A984-EFAF47E54227}"/>
    <cellStyle name="Normal 2 4 3 3 2 4 4" xfId="9743" xr:uid="{7ECD71B4-4C8F-483B-B866-37B770CF4D66}"/>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2 2 2" xfId="16519" xr:uid="{5032F421-4331-4430-AA2B-D98580FEBC66}"/>
    <cellStyle name="Normal 2 4 3 3 2 5 2 3" xfId="12301" xr:uid="{F11057A8-9204-496F-B0E4-A9F08145A656}"/>
    <cellStyle name="Normal 2 4 3 3 2 5 3" xfId="5932" xr:uid="{00000000-0005-0000-0000-0000F10F0000}"/>
    <cellStyle name="Normal 2 4 3 3 2 5 3 2" xfId="14374" xr:uid="{3D8C62F7-0638-47D8-A81B-57ADC57AF2AF}"/>
    <cellStyle name="Normal 2 4 3 3 2 5 4" xfId="10156" xr:uid="{9054CB49-57F7-4EB1-AE3C-AE07DACB2F1E}"/>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2 2 2" xfId="16932" xr:uid="{572CC725-BA00-4650-9663-55418EB0D8D2}"/>
    <cellStyle name="Normal 2 4 3 3 2 6 2 3" xfId="12714" xr:uid="{B92A2B32-D5E4-42A5-AB13-834B52E464F8}"/>
    <cellStyle name="Normal 2 4 3 3 2 6 3" xfId="6345" xr:uid="{00000000-0005-0000-0000-0000F50F0000}"/>
    <cellStyle name="Normal 2 4 3 3 2 6 3 2" xfId="14787" xr:uid="{8196DAE5-B8D7-4308-A6EF-81A48CE747C5}"/>
    <cellStyle name="Normal 2 4 3 3 2 6 4" xfId="10569" xr:uid="{0CF56793-0724-4554-8C87-711CC6215EEE}"/>
    <cellStyle name="Normal 2 4 3 3 2 7" xfId="2474" xr:uid="{00000000-0005-0000-0000-0000F60F0000}"/>
    <cellStyle name="Normal 2 4 3 3 2 7 2" xfId="6758" xr:uid="{00000000-0005-0000-0000-0000F70F0000}"/>
    <cellStyle name="Normal 2 4 3 3 2 7 2 2" xfId="15200" xr:uid="{E42A684A-B905-4B2F-B0DF-AC18FF25249D}"/>
    <cellStyle name="Normal 2 4 3 3 2 7 3" xfId="10982" xr:uid="{2B55FF14-8F63-4084-B1B6-382B3F847831}"/>
    <cellStyle name="Normal 2 4 3 3 2 8" xfId="4692" xr:uid="{00000000-0005-0000-0000-0000F80F0000}"/>
    <cellStyle name="Normal 2 4 3 3 2 8 2" xfId="13134" xr:uid="{60AA9BD2-6AE4-4A61-B47F-BF14E793A1DD}"/>
    <cellStyle name="Normal 2 4 3 3 2 9" xfId="8916" xr:uid="{CA62F91A-487C-4D4A-A285-CA130304B4F9}"/>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2 2 2" xfId="15695" xr:uid="{DA4C5664-6B45-4691-A4D1-82ECEB7E2BED}"/>
    <cellStyle name="Normal 2 4 3 3 3 2 2 3" xfId="11477" xr:uid="{631EE4D9-34E4-40D6-9C01-F12294CB98DA}"/>
    <cellStyle name="Normal 2 4 3 3 3 2 3" xfId="5108" xr:uid="{00000000-0005-0000-0000-0000FD0F0000}"/>
    <cellStyle name="Normal 2 4 3 3 3 2 3 2" xfId="13550" xr:uid="{1A14F27C-E831-4F25-BB84-28514508F5E8}"/>
    <cellStyle name="Normal 2 4 3 3 3 2 4" xfId="9332" xr:uid="{CE096215-DCA7-4C73-A0C5-26FBEE13EEEB}"/>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2 2 2" xfId="16108" xr:uid="{D85A53DE-6654-4E68-BD92-BA956D0E0DE5}"/>
    <cellStyle name="Normal 2 4 3 3 3 3 2 3" xfId="11890" xr:uid="{1A36897B-BD89-4AFC-95D2-200AD6D8B451}"/>
    <cellStyle name="Normal 2 4 3 3 3 3 3" xfId="5521" xr:uid="{00000000-0005-0000-0000-000001100000}"/>
    <cellStyle name="Normal 2 4 3 3 3 3 3 2" xfId="13963" xr:uid="{172A188F-5F00-461F-B853-F852409B0FE6}"/>
    <cellStyle name="Normal 2 4 3 3 3 3 4" xfId="9745" xr:uid="{E8518346-209C-4BC8-8F1A-FC72FCE52586}"/>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2 2 2" xfId="16521" xr:uid="{5EF1A636-52D1-40F5-BF4C-35D373274D30}"/>
    <cellStyle name="Normal 2 4 3 3 3 4 2 3" xfId="12303" xr:uid="{D2345BAA-5134-4E54-924D-8E534442A9C7}"/>
    <cellStyle name="Normal 2 4 3 3 3 4 3" xfId="5934" xr:uid="{00000000-0005-0000-0000-000005100000}"/>
    <cellStyle name="Normal 2 4 3 3 3 4 3 2" xfId="14376" xr:uid="{5E286910-DC3C-4597-9CA5-35856A14574A}"/>
    <cellStyle name="Normal 2 4 3 3 3 4 4" xfId="10158" xr:uid="{ED605ABB-D891-4B12-B1B1-DE60B9A74A74}"/>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2 2 2" xfId="16934" xr:uid="{8BA930E1-76A2-4AFF-8C70-4387912EADEF}"/>
    <cellStyle name="Normal 2 4 3 3 3 5 2 3" xfId="12716" xr:uid="{36E3BE0E-AB8C-43EE-951D-51AA40C5E2E1}"/>
    <cellStyle name="Normal 2 4 3 3 3 5 3" xfId="6347" xr:uid="{00000000-0005-0000-0000-000009100000}"/>
    <cellStyle name="Normal 2 4 3 3 3 5 3 2" xfId="14789" xr:uid="{CE8498C3-6638-46E2-B6B8-4150B4B36C3B}"/>
    <cellStyle name="Normal 2 4 3 3 3 5 4" xfId="10571" xr:uid="{46DA575E-9750-4757-9332-48218E6FD287}"/>
    <cellStyle name="Normal 2 4 3 3 3 6" xfId="2476" xr:uid="{00000000-0005-0000-0000-00000A100000}"/>
    <cellStyle name="Normal 2 4 3 3 3 6 2" xfId="6760" xr:uid="{00000000-0005-0000-0000-00000B100000}"/>
    <cellStyle name="Normal 2 4 3 3 3 6 2 2" xfId="15202" xr:uid="{7D6AE2A8-1501-4308-9961-C46B905300CB}"/>
    <cellStyle name="Normal 2 4 3 3 3 6 3" xfId="10984" xr:uid="{6320AA45-A966-457D-A5BA-D376FA2747AB}"/>
    <cellStyle name="Normal 2 4 3 3 3 7" xfId="4694" xr:uid="{00000000-0005-0000-0000-00000C100000}"/>
    <cellStyle name="Normal 2 4 3 3 3 7 2" xfId="13136" xr:uid="{3B5D627D-E59F-4EEF-B5A3-20A566208205}"/>
    <cellStyle name="Normal 2 4 3 3 3 8" xfId="8918" xr:uid="{B0CF9D60-723B-4FDD-A920-5C74706B8B99}"/>
    <cellStyle name="Normal 2 4 3 3 4" xfId="788" xr:uid="{00000000-0005-0000-0000-00000D100000}"/>
    <cellStyle name="Normal 2 4 3 3 4 2" xfId="3027" xr:uid="{00000000-0005-0000-0000-00000E100000}"/>
    <cellStyle name="Normal 2 4 3 3 4 2 2" xfId="7250" xr:uid="{00000000-0005-0000-0000-00000F100000}"/>
    <cellStyle name="Normal 2 4 3 3 4 2 2 2" xfId="15692" xr:uid="{C96F47BA-A74A-443A-86B5-4757B60E5C7E}"/>
    <cellStyle name="Normal 2 4 3 3 4 2 3" xfId="11474" xr:uid="{3E6214AA-EAE9-4077-A47A-D6BD7B96FEE7}"/>
    <cellStyle name="Normal 2 4 3 3 4 3" xfId="5105" xr:uid="{00000000-0005-0000-0000-000010100000}"/>
    <cellStyle name="Normal 2 4 3 3 4 3 2" xfId="13547" xr:uid="{9C7038C8-4D73-42B8-8C23-CE68C1DADCF8}"/>
    <cellStyle name="Normal 2 4 3 3 4 4" xfId="9329" xr:uid="{E11A8F69-77AB-4AB5-A67F-9A42788CFF4A}"/>
    <cellStyle name="Normal 2 4 3 3 5" xfId="1210" xr:uid="{00000000-0005-0000-0000-000011100000}"/>
    <cellStyle name="Normal 2 4 3 3 5 2" xfId="3440" xr:uid="{00000000-0005-0000-0000-000012100000}"/>
    <cellStyle name="Normal 2 4 3 3 5 2 2" xfId="7663" xr:uid="{00000000-0005-0000-0000-000013100000}"/>
    <cellStyle name="Normal 2 4 3 3 5 2 2 2" xfId="16105" xr:uid="{546F0B0E-9617-41B3-9E63-728D34D72A3A}"/>
    <cellStyle name="Normal 2 4 3 3 5 2 3" xfId="11887" xr:uid="{13678B1C-3E00-428B-AA68-DD7CB67FEF07}"/>
    <cellStyle name="Normal 2 4 3 3 5 3" xfId="5518" xr:uid="{00000000-0005-0000-0000-000014100000}"/>
    <cellStyle name="Normal 2 4 3 3 5 3 2" xfId="13960" xr:uid="{3AD4E756-31DE-46E0-81B4-E0F35A3D039A}"/>
    <cellStyle name="Normal 2 4 3 3 5 4" xfId="9742" xr:uid="{6A6B73BD-270F-4F6C-A0EC-ABF1781BED44}"/>
    <cellStyle name="Normal 2 4 3 3 6" xfId="1623" xr:uid="{00000000-0005-0000-0000-000015100000}"/>
    <cellStyle name="Normal 2 4 3 3 6 2" xfId="3853" xr:uid="{00000000-0005-0000-0000-000016100000}"/>
    <cellStyle name="Normal 2 4 3 3 6 2 2" xfId="8076" xr:uid="{00000000-0005-0000-0000-000017100000}"/>
    <cellStyle name="Normal 2 4 3 3 6 2 2 2" xfId="16518" xr:uid="{B9FC79F2-D840-42DD-AA28-68D32CA72ED4}"/>
    <cellStyle name="Normal 2 4 3 3 6 2 3" xfId="12300" xr:uid="{90D6E365-820D-4E28-9718-B49F29B5BB2A}"/>
    <cellStyle name="Normal 2 4 3 3 6 3" xfId="5931" xr:uid="{00000000-0005-0000-0000-000018100000}"/>
    <cellStyle name="Normal 2 4 3 3 6 3 2" xfId="14373" xr:uid="{90919878-2252-4F1F-ABAF-E6D5B3E93DA7}"/>
    <cellStyle name="Normal 2 4 3 3 6 4" xfId="10155" xr:uid="{E2E1F821-1EBB-43C6-BE88-79B049529600}"/>
    <cellStyle name="Normal 2 4 3 3 7" xfId="2037" xr:uid="{00000000-0005-0000-0000-000019100000}"/>
    <cellStyle name="Normal 2 4 3 3 7 2" xfId="4266" xr:uid="{00000000-0005-0000-0000-00001A100000}"/>
    <cellStyle name="Normal 2 4 3 3 7 2 2" xfId="8489" xr:uid="{00000000-0005-0000-0000-00001B100000}"/>
    <cellStyle name="Normal 2 4 3 3 7 2 2 2" xfId="16931" xr:uid="{D274F923-88AE-4BD3-9320-177C9EA18F51}"/>
    <cellStyle name="Normal 2 4 3 3 7 2 3" xfId="12713" xr:uid="{837D6652-2B43-4846-AFF9-581E1C95C97A}"/>
    <cellStyle name="Normal 2 4 3 3 7 3" xfId="6344" xr:uid="{00000000-0005-0000-0000-00001C100000}"/>
    <cellStyle name="Normal 2 4 3 3 7 3 2" xfId="14786" xr:uid="{AAF1A1A1-B822-4607-BD67-CB1281040808}"/>
    <cellStyle name="Normal 2 4 3 3 7 4" xfId="10568" xr:uid="{3756A7A0-866D-4211-A8B6-68A249C20DCB}"/>
    <cellStyle name="Normal 2 4 3 3 8" xfId="2473" xr:uid="{00000000-0005-0000-0000-00001D100000}"/>
    <cellStyle name="Normal 2 4 3 3 8 2" xfId="6757" xr:uid="{00000000-0005-0000-0000-00001E100000}"/>
    <cellStyle name="Normal 2 4 3 3 8 2 2" xfId="15199" xr:uid="{0A0D017F-6D23-4826-ACD4-36EC0655AB9E}"/>
    <cellStyle name="Normal 2 4 3 3 8 3" xfId="10981" xr:uid="{1C46BA26-7C2D-4D90-A7C4-40EB57C9117E}"/>
    <cellStyle name="Normal 2 4 3 3 9" xfId="4691" xr:uid="{00000000-0005-0000-0000-00001F100000}"/>
    <cellStyle name="Normal 2 4 3 3 9 2" xfId="13133" xr:uid="{8EC72431-8463-4A1D-BC64-3CC4CC961CC5}"/>
    <cellStyle name="Normal 2 4 3 4" xfId="787" xr:uid="{00000000-0005-0000-0000-000020100000}"/>
    <cellStyle name="Normal 2 4 3 4 2" xfId="3026" xr:uid="{00000000-0005-0000-0000-000021100000}"/>
    <cellStyle name="Normal 2 4 3 4 2 2" xfId="7249" xr:uid="{00000000-0005-0000-0000-000022100000}"/>
    <cellStyle name="Normal 2 4 3 4 2 2 2" xfId="15691" xr:uid="{2A364F94-F2C6-4430-800B-95EF985DD1B0}"/>
    <cellStyle name="Normal 2 4 3 4 2 3" xfId="11473" xr:uid="{7C906EB6-7166-4017-B505-0C0915B53C78}"/>
    <cellStyle name="Normal 2 4 3 4 3" xfId="5104" xr:uid="{00000000-0005-0000-0000-000023100000}"/>
    <cellStyle name="Normal 2 4 3 4 3 2" xfId="13546" xr:uid="{7214C37C-856C-4CBC-901F-31FECE42F78C}"/>
    <cellStyle name="Normal 2 4 3 4 4" xfId="9328" xr:uid="{D136B130-DCBA-4AC9-9032-DBAF8F0503C6}"/>
    <cellStyle name="Normal 2 4 3 5" xfId="1209" xr:uid="{00000000-0005-0000-0000-000024100000}"/>
    <cellStyle name="Normal 2 4 3 5 2" xfId="3439" xr:uid="{00000000-0005-0000-0000-000025100000}"/>
    <cellStyle name="Normal 2 4 3 5 2 2" xfId="7662" xr:uid="{00000000-0005-0000-0000-000026100000}"/>
    <cellStyle name="Normal 2 4 3 5 2 2 2" xfId="16104" xr:uid="{8FF86A34-E82D-4F8B-86B8-AC99FD926483}"/>
    <cellStyle name="Normal 2 4 3 5 2 3" xfId="11886" xr:uid="{66E3DA10-1269-4D77-B81C-3FCE99AECC86}"/>
    <cellStyle name="Normal 2 4 3 5 3" xfId="5517" xr:uid="{00000000-0005-0000-0000-000027100000}"/>
    <cellStyle name="Normal 2 4 3 5 3 2" xfId="13959" xr:uid="{5BCCE245-3501-4BED-BDF9-353FE84F3034}"/>
    <cellStyle name="Normal 2 4 3 5 4" xfId="9741" xr:uid="{615C4A49-1A8B-4C2F-9B43-729200E2E945}"/>
    <cellStyle name="Normal 2 4 3 6" xfId="1622" xr:uid="{00000000-0005-0000-0000-000028100000}"/>
    <cellStyle name="Normal 2 4 3 6 2" xfId="3852" xr:uid="{00000000-0005-0000-0000-000029100000}"/>
    <cellStyle name="Normal 2 4 3 6 2 2" xfId="8075" xr:uid="{00000000-0005-0000-0000-00002A100000}"/>
    <cellStyle name="Normal 2 4 3 6 2 2 2" xfId="16517" xr:uid="{F1C47C42-5D39-47A3-AD45-2A048AE6F5D0}"/>
    <cellStyle name="Normal 2 4 3 6 2 3" xfId="12299" xr:uid="{CAFCED45-A921-41EA-A62C-5056870B125B}"/>
    <cellStyle name="Normal 2 4 3 6 3" xfId="5930" xr:uid="{00000000-0005-0000-0000-00002B100000}"/>
    <cellStyle name="Normal 2 4 3 6 3 2" xfId="14372" xr:uid="{B2817974-2BD1-4845-9785-1831BB67D1FB}"/>
    <cellStyle name="Normal 2 4 3 6 4" xfId="10154" xr:uid="{04978628-FE78-41D3-929D-8A2DF93AFBA4}"/>
    <cellStyle name="Normal 2 4 3 7" xfId="2036" xr:uid="{00000000-0005-0000-0000-00002C100000}"/>
    <cellStyle name="Normal 2 4 3 7 2" xfId="4265" xr:uid="{00000000-0005-0000-0000-00002D100000}"/>
    <cellStyle name="Normal 2 4 3 7 2 2" xfId="8488" xr:uid="{00000000-0005-0000-0000-00002E100000}"/>
    <cellStyle name="Normal 2 4 3 7 2 2 2" xfId="16930" xr:uid="{93613E38-FEE7-436A-8393-4C4E25F612A5}"/>
    <cellStyle name="Normal 2 4 3 7 2 3" xfId="12712" xr:uid="{889B07F0-9480-44AA-9736-3F79C7B1E5F7}"/>
    <cellStyle name="Normal 2 4 3 7 3" xfId="6343" xr:uid="{00000000-0005-0000-0000-00002F100000}"/>
    <cellStyle name="Normal 2 4 3 7 3 2" xfId="14785" xr:uid="{3B9533F1-F7C2-4FFF-A9C7-7DC4A4F872CD}"/>
    <cellStyle name="Normal 2 4 3 7 4" xfId="10567" xr:uid="{CC5A7299-7327-4DA3-9EFF-A1B3E3DA3DFB}"/>
    <cellStyle name="Normal 2 4 3 8" xfId="2472" xr:uid="{00000000-0005-0000-0000-000030100000}"/>
    <cellStyle name="Normal 2 4 3 8 2" xfId="6756" xr:uid="{00000000-0005-0000-0000-000031100000}"/>
    <cellStyle name="Normal 2 4 3 8 2 2" xfId="15198" xr:uid="{8FED8290-5C1B-47FC-923E-2BDBCE2DE9F0}"/>
    <cellStyle name="Normal 2 4 3 8 3" xfId="10980" xr:uid="{4E909D33-8768-41FF-8168-8609D45ADC5F}"/>
    <cellStyle name="Normal 2 4 3 9" xfId="4690" xr:uid="{00000000-0005-0000-0000-000032100000}"/>
    <cellStyle name="Normal 2 4 3 9 2" xfId="13132" xr:uid="{E47DFA40-818F-4968-8FA7-7166C27B3A40}"/>
    <cellStyle name="Normal 2 4 4" xfId="302" xr:uid="{00000000-0005-0000-0000-000033100000}"/>
    <cellStyle name="Normal 2 4 5" xfId="303" xr:uid="{00000000-0005-0000-0000-000034100000}"/>
    <cellStyle name="Normal 2 4 5 10" xfId="4695" xr:uid="{00000000-0005-0000-0000-000035100000}"/>
    <cellStyle name="Normal 2 4 5 10 2" xfId="13137" xr:uid="{9AC02300-7F1C-49B6-8FBE-8D465FA5EEF7}"/>
    <cellStyle name="Normal 2 4 5 11" xfId="8919" xr:uid="{C7FE14B3-D21D-49EC-B90D-2A77FE64BE85}"/>
    <cellStyle name="Normal 2 4 5 2" xfId="304" xr:uid="{00000000-0005-0000-0000-000036100000}"/>
    <cellStyle name="Normal 2 4 5 2 10" xfId="8920" xr:uid="{17355FAC-6670-4FD2-B327-0931A63F2DD3}"/>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2 2 2" xfId="15699" xr:uid="{D1B617FD-B381-4DF4-9491-8A804FBA9868}"/>
    <cellStyle name="Normal 2 4 5 2 2 2 2 2 3" xfId="11481" xr:uid="{315F2002-EF83-42BD-82FA-9EAB1F942B8E}"/>
    <cellStyle name="Normal 2 4 5 2 2 2 2 3" xfId="5112" xr:uid="{00000000-0005-0000-0000-00003C100000}"/>
    <cellStyle name="Normal 2 4 5 2 2 2 2 3 2" xfId="13554" xr:uid="{9D6AE338-5161-451E-9B78-4814306A41B6}"/>
    <cellStyle name="Normal 2 4 5 2 2 2 2 4" xfId="9336" xr:uid="{73351A1B-FD8B-4E27-BC1F-257835D4115D}"/>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2 2 2" xfId="16112" xr:uid="{EF6A2E43-E1E4-4142-927A-27B88458D774}"/>
    <cellStyle name="Normal 2 4 5 2 2 2 3 2 3" xfId="11894" xr:uid="{59629523-38CB-4469-9731-E26B8054CA26}"/>
    <cellStyle name="Normal 2 4 5 2 2 2 3 3" xfId="5525" xr:uid="{00000000-0005-0000-0000-000040100000}"/>
    <cellStyle name="Normal 2 4 5 2 2 2 3 3 2" xfId="13967" xr:uid="{B85D9ABB-A16A-4195-BF8C-8B2991334F81}"/>
    <cellStyle name="Normal 2 4 5 2 2 2 3 4" xfId="9749" xr:uid="{EFB4E4C8-01EA-4686-BC7D-C470ED8DDB8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2 2 2" xfId="16525" xr:uid="{D30B4638-FB5E-46FA-8907-0AA5143BA989}"/>
    <cellStyle name="Normal 2 4 5 2 2 2 4 2 3" xfId="12307" xr:uid="{585B3D36-21F0-4590-9B52-AD2BDDE968E4}"/>
    <cellStyle name="Normal 2 4 5 2 2 2 4 3" xfId="5938" xr:uid="{00000000-0005-0000-0000-000044100000}"/>
    <cellStyle name="Normal 2 4 5 2 2 2 4 3 2" xfId="14380" xr:uid="{3C383B98-F141-4CC0-B07D-D84CA7D60EDB}"/>
    <cellStyle name="Normal 2 4 5 2 2 2 4 4" xfId="10162" xr:uid="{F36D366B-6010-448F-9932-7F7A65EA2C9E}"/>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2 2 2" xfId="16938" xr:uid="{461AE001-52BA-4D46-87CA-9916DBBB6856}"/>
    <cellStyle name="Normal 2 4 5 2 2 2 5 2 3" xfId="12720" xr:uid="{6146C1FB-BE8E-4420-AF42-6459AE1D1B26}"/>
    <cellStyle name="Normal 2 4 5 2 2 2 5 3" xfId="6351" xr:uid="{00000000-0005-0000-0000-000048100000}"/>
    <cellStyle name="Normal 2 4 5 2 2 2 5 3 2" xfId="14793" xr:uid="{A0F80328-8C23-4313-A12F-4101F2B19254}"/>
    <cellStyle name="Normal 2 4 5 2 2 2 5 4" xfId="10575" xr:uid="{24946CA5-F701-419B-A19A-EF4828BC184F}"/>
    <cellStyle name="Normal 2 4 5 2 2 2 6" xfId="2480" xr:uid="{00000000-0005-0000-0000-000049100000}"/>
    <cellStyle name="Normal 2 4 5 2 2 2 6 2" xfId="6764" xr:uid="{00000000-0005-0000-0000-00004A100000}"/>
    <cellStyle name="Normal 2 4 5 2 2 2 6 2 2" xfId="15206" xr:uid="{EB8D18F8-1D4C-435C-B7BC-0E906BFD2E67}"/>
    <cellStyle name="Normal 2 4 5 2 2 2 6 3" xfId="10988" xr:uid="{A7D2B4BE-377E-4691-A169-34BE291D33FE}"/>
    <cellStyle name="Normal 2 4 5 2 2 2 7" xfId="4698" xr:uid="{00000000-0005-0000-0000-00004B100000}"/>
    <cellStyle name="Normal 2 4 5 2 2 2 7 2" xfId="13140" xr:uid="{99A48ECD-E996-4E03-B202-12DBA270E5A4}"/>
    <cellStyle name="Normal 2 4 5 2 2 2 8" xfId="8922" xr:uid="{98B28495-1776-4244-9EEE-03FB74EA57B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2 2 2" xfId="15698" xr:uid="{DFEC8A04-6447-47B5-B498-8E17E1B5835A}"/>
    <cellStyle name="Normal 2 4 5 2 2 3 2 3" xfId="11480" xr:uid="{D2BF0CCA-FC50-49CB-BFD4-F15204977BC0}"/>
    <cellStyle name="Normal 2 4 5 2 2 3 3" xfId="5111" xr:uid="{00000000-0005-0000-0000-00004F100000}"/>
    <cellStyle name="Normal 2 4 5 2 2 3 3 2" xfId="13553" xr:uid="{53EF3BDE-CE15-4431-8E32-28910303C8AE}"/>
    <cellStyle name="Normal 2 4 5 2 2 3 4" xfId="9335" xr:uid="{F8EE4386-4401-4E3E-A93E-57609C32C279}"/>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2 2 2" xfId="16111" xr:uid="{08711F84-67CE-4A51-85CB-C151A81454C7}"/>
    <cellStyle name="Normal 2 4 5 2 2 4 2 3" xfId="11893" xr:uid="{16A2F5A5-A0AA-496C-B051-5EA3EDEAF96F}"/>
    <cellStyle name="Normal 2 4 5 2 2 4 3" xfId="5524" xr:uid="{00000000-0005-0000-0000-000053100000}"/>
    <cellStyle name="Normal 2 4 5 2 2 4 3 2" xfId="13966" xr:uid="{B94A06C0-F065-4C2C-82E8-E6DF91EA4ECE}"/>
    <cellStyle name="Normal 2 4 5 2 2 4 4" xfId="9748" xr:uid="{1EC2F358-973F-4832-8431-D1160C959ABC}"/>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2 2 2" xfId="16524" xr:uid="{6E1CA7E2-F085-4979-994F-58B55133C6E8}"/>
    <cellStyle name="Normal 2 4 5 2 2 5 2 3" xfId="12306" xr:uid="{A77B4F96-40B4-44A4-B34F-508EB01E781C}"/>
    <cellStyle name="Normal 2 4 5 2 2 5 3" xfId="5937" xr:uid="{00000000-0005-0000-0000-000057100000}"/>
    <cellStyle name="Normal 2 4 5 2 2 5 3 2" xfId="14379" xr:uid="{9AA47A84-5DE8-4714-BCD3-A8C813F85FD7}"/>
    <cellStyle name="Normal 2 4 5 2 2 5 4" xfId="10161" xr:uid="{CE6D9149-8490-4C9B-97F8-E44C1A9F897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2 2 2" xfId="16937" xr:uid="{4D8B8AC9-B685-4FD0-8A24-5D88B065408F}"/>
    <cellStyle name="Normal 2 4 5 2 2 6 2 3" xfId="12719" xr:uid="{3D36C761-2725-4558-B4BD-262B7FCD1251}"/>
    <cellStyle name="Normal 2 4 5 2 2 6 3" xfId="6350" xr:uid="{00000000-0005-0000-0000-00005B100000}"/>
    <cellStyle name="Normal 2 4 5 2 2 6 3 2" xfId="14792" xr:uid="{F6BA2235-58E7-4C09-BA4B-300DD7810B09}"/>
    <cellStyle name="Normal 2 4 5 2 2 6 4" xfId="10574" xr:uid="{8A199DD6-5FA3-4F60-A780-235C8DA81E42}"/>
    <cellStyle name="Normal 2 4 5 2 2 7" xfId="2479" xr:uid="{00000000-0005-0000-0000-00005C100000}"/>
    <cellStyle name="Normal 2 4 5 2 2 7 2" xfId="6763" xr:uid="{00000000-0005-0000-0000-00005D100000}"/>
    <cellStyle name="Normal 2 4 5 2 2 7 2 2" xfId="15205" xr:uid="{0DED49C9-0198-4328-B47E-E56610B61377}"/>
    <cellStyle name="Normal 2 4 5 2 2 7 3" xfId="10987" xr:uid="{9E9A2980-C451-4A0B-A1EA-5F1A008B2C73}"/>
    <cellStyle name="Normal 2 4 5 2 2 8" xfId="4697" xr:uid="{00000000-0005-0000-0000-00005E100000}"/>
    <cellStyle name="Normal 2 4 5 2 2 8 2" xfId="13139" xr:uid="{94340A34-0C0D-4EFA-876B-A501E4248D6B}"/>
    <cellStyle name="Normal 2 4 5 2 2 9" xfId="8921" xr:uid="{E5298E10-46D4-4D44-864D-CCD5FD9BEFE3}"/>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2 2 2" xfId="15700" xr:uid="{D89B7D8A-97AE-44BA-8983-10126804FB9E}"/>
    <cellStyle name="Normal 2 4 5 2 3 2 2 3" xfId="11482" xr:uid="{868AD216-F03D-4BEC-8FEA-A8B8626A028B}"/>
    <cellStyle name="Normal 2 4 5 2 3 2 3" xfId="5113" xr:uid="{00000000-0005-0000-0000-000063100000}"/>
    <cellStyle name="Normal 2 4 5 2 3 2 3 2" xfId="13555" xr:uid="{F760F6BE-CACC-4F5A-A782-A51768D58CFD}"/>
    <cellStyle name="Normal 2 4 5 2 3 2 4" xfId="9337" xr:uid="{7950F4F0-731D-46F1-A450-674AF4F731D5}"/>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2 2 2" xfId="16113" xr:uid="{530DE2F4-22D8-4B5F-980E-1D1BF0E6347D}"/>
    <cellStyle name="Normal 2 4 5 2 3 3 2 3" xfId="11895" xr:uid="{6DAEB417-2D6D-4B6C-8F51-ED246DA2C6B1}"/>
    <cellStyle name="Normal 2 4 5 2 3 3 3" xfId="5526" xr:uid="{00000000-0005-0000-0000-000067100000}"/>
    <cellStyle name="Normal 2 4 5 2 3 3 3 2" xfId="13968" xr:uid="{C337999C-B459-48BE-8738-647D6ABC5211}"/>
    <cellStyle name="Normal 2 4 5 2 3 3 4" xfId="9750" xr:uid="{3C1276FB-2212-49B9-8067-5324744A6408}"/>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2 2 2" xfId="16526" xr:uid="{D3D5B4F8-3E3B-4053-A710-3CDE0CFC52DD}"/>
    <cellStyle name="Normal 2 4 5 2 3 4 2 3" xfId="12308" xr:uid="{81F84728-6ACF-4425-92AA-40C9EB4D0D4C}"/>
    <cellStyle name="Normal 2 4 5 2 3 4 3" xfId="5939" xr:uid="{00000000-0005-0000-0000-00006B100000}"/>
    <cellStyle name="Normal 2 4 5 2 3 4 3 2" xfId="14381" xr:uid="{A8D82D5D-5153-4A36-99FC-A79FF81414FE}"/>
    <cellStyle name="Normal 2 4 5 2 3 4 4" xfId="10163" xr:uid="{9BF62854-8FB1-4726-81E3-9C1B0837F73D}"/>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2 2 2" xfId="16939" xr:uid="{F2DAA68D-93CC-465D-9DE5-2301EC2CD7CB}"/>
    <cellStyle name="Normal 2 4 5 2 3 5 2 3" xfId="12721" xr:uid="{2B97FB8C-59B6-45C0-B897-89B7F0ED66BF}"/>
    <cellStyle name="Normal 2 4 5 2 3 5 3" xfId="6352" xr:uid="{00000000-0005-0000-0000-00006F100000}"/>
    <cellStyle name="Normal 2 4 5 2 3 5 3 2" xfId="14794" xr:uid="{79BDECCE-9213-4D53-817B-7CEEE4481EA7}"/>
    <cellStyle name="Normal 2 4 5 2 3 5 4" xfId="10576" xr:uid="{EE466061-E8B9-4D1A-B3A7-ABD5AE01D43C}"/>
    <cellStyle name="Normal 2 4 5 2 3 6" xfId="2481" xr:uid="{00000000-0005-0000-0000-000070100000}"/>
    <cellStyle name="Normal 2 4 5 2 3 6 2" xfId="6765" xr:uid="{00000000-0005-0000-0000-000071100000}"/>
    <cellStyle name="Normal 2 4 5 2 3 6 2 2" xfId="15207" xr:uid="{674DE004-2DF2-40A5-9940-BCF801C4278B}"/>
    <cellStyle name="Normal 2 4 5 2 3 6 3" xfId="10989" xr:uid="{5D78EA8B-1124-46D2-B083-16EB2FC7883A}"/>
    <cellStyle name="Normal 2 4 5 2 3 7" xfId="4699" xr:uid="{00000000-0005-0000-0000-000072100000}"/>
    <cellStyle name="Normal 2 4 5 2 3 7 2" xfId="13141" xr:uid="{2D1963F2-5749-4483-BE86-0C92E1DF5BC1}"/>
    <cellStyle name="Normal 2 4 5 2 3 8" xfId="8923" xr:uid="{0FC7382E-B64A-457E-A692-633593371FEE}"/>
    <cellStyle name="Normal 2 4 5 2 4" xfId="793" xr:uid="{00000000-0005-0000-0000-000073100000}"/>
    <cellStyle name="Normal 2 4 5 2 4 2" xfId="3032" xr:uid="{00000000-0005-0000-0000-000074100000}"/>
    <cellStyle name="Normal 2 4 5 2 4 2 2" xfId="7255" xr:uid="{00000000-0005-0000-0000-000075100000}"/>
    <cellStyle name="Normal 2 4 5 2 4 2 2 2" xfId="15697" xr:uid="{CDFCCF1D-4BD0-4D1C-9485-DEA47B93B962}"/>
    <cellStyle name="Normal 2 4 5 2 4 2 3" xfId="11479" xr:uid="{55E0AE8E-4668-4A64-8B66-74D48DE9D47B}"/>
    <cellStyle name="Normal 2 4 5 2 4 3" xfId="5110" xr:uid="{00000000-0005-0000-0000-000076100000}"/>
    <cellStyle name="Normal 2 4 5 2 4 3 2" xfId="13552" xr:uid="{43102A97-770F-43D7-AB11-B1FBCBD05D1B}"/>
    <cellStyle name="Normal 2 4 5 2 4 4" xfId="9334" xr:uid="{171A7DCB-2E5B-4AF3-B03D-7B59EE132BF6}"/>
    <cellStyle name="Normal 2 4 5 2 5" xfId="1215" xr:uid="{00000000-0005-0000-0000-000077100000}"/>
    <cellStyle name="Normal 2 4 5 2 5 2" xfId="3445" xr:uid="{00000000-0005-0000-0000-000078100000}"/>
    <cellStyle name="Normal 2 4 5 2 5 2 2" xfId="7668" xr:uid="{00000000-0005-0000-0000-000079100000}"/>
    <cellStyle name="Normal 2 4 5 2 5 2 2 2" xfId="16110" xr:uid="{46C8EE40-484D-4EE3-92C1-8F8CA00DE70C}"/>
    <cellStyle name="Normal 2 4 5 2 5 2 3" xfId="11892" xr:uid="{7768DCD6-D6A0-44D6-86D5-224C6321F0A8}"/>
    <cellStyle name="Normal 2 4 5 2 5 3" xfId="5523" xr:uid="{00000000-0005-0000-0000-00007A100000}"/>
    <cellStyle name="Normal 2 4 5 2 5 3 2" xfId="13965" xr:uid="{E1F20FC3-9B84-49F9-829D-124A7AF3658C}"/>
    <cellStyle name="Normal 2 4 5 2 5 4" xfId="9747" xr:uid="{6BEEE665-58DB-4E14-A255-6C3B27D19355}"/>
    <cellStyle name="Normal 2 4 5 2 6" xfId="1628" xr:uid="{00000000-0005-0000-0000-00007B100000}"/>
    <cellStyle name="Normal 2 4 5 2 6 2" xfId="3858" xr:uid="{00000000-0005-0000-0000-00007C100000}"/>
    <cellStyle name="Normal 2 4 5 2 6 2 2" xfId="8081" xr:uid="{00000000-0005-0000-0000-00007D100000}"/>
    <cellStyle name="Normal 2 4 5 2 6 2 2 2" xfId="16523" xr:uid="{FFB06BC7-5E3E-48A7-9D8E-E75323A1F775}"/>
    <cellStyle name="Normal 2 4 5 2 6 2 3" xfId="12305" xr:uid="{AF73C31E-8450-4078-8373-FA746A76DD96}"/>
    <cellStyle name="Normal 2 4 5 2 6 3" xfId="5936" xr:uid="{00000000-0005-0000-0000-00007E100000}"/>
    <cellStyle name="Normal 2 4 5 2 6 3 2" xfId="14378" xr:uid="{99F339F5-AFA4-4982-9D39-98E018FA0B14}"/>
    <cellStyle name="Normal 2 4 5 2 6 4" xfId="10160" xr:uid="{6FE705D6-A6A3-4EBD-A6B6-BB6AB9833632}"/>
    <cellStyle name="Normal 2 4 5 2 7" xfId="2042" xr:uid="{00000000-0005-0000-0000-00007F100000}"/>
    <cellStyle name="Normal 2 4 5 2 7 2" xfId="4271" xr:uid="{00000000-0005-0000-0000-000080100000}"/>
    <cellStyle name="Normal 2 4 5 2 7 2 2" xfId="8494" xr:uid="{00000000-0005-0000-0000-000081100000}"/>
    <cellStyle name="Normal 2 4 5 2 7 2 2 2" xfId="16936" xr:uid="{26530487-8056-4EF1-8098-5EB524A0D39A}"/>
    <cellStyle name="Normal 2 4 5 2 7 2 3" xfId="12718" xr:uid="{CE8FDE68-8875-4EE1-B57B-5319C384460D}"/>
    <cellStyle name="Normal 2 4 5 2 7 3" xfId="6349" xr:uid="{00000000-0005-0000-0000-000082100000}"/>
    <cellStyle name="Normal 2 4 5 2 7 3 2" xfId="14791" xr:uid="{C0A3A723-C1E9-4A22-B052-FB31EE994290}"/>
    <cellStyle name="Normal 2 4 5 2 7 4" xfId="10573" xr:uid="{5C5CA6DE-362D-43C7-80AF-B9D3F263C9E1}"/>
    <cellStyle name="Normal 2 4 5 2 8" xfId="2478" xr:uid="{00000000-0005-0000-0000-000083100000}"/>
    <cellStyle name="Normal 2 4 5 2 8 2" xfId="6762" xr:uid="{00000000-0005-0000-0000-000084100000}"/>
    <cellStyle name="Normal 2 4 5 2 8 2 2" xfId="15204" xr:uid="{B02D20F3-E3D1-4317-A71F-C2643748AA20}"/>
    <cellStyle name="Normal 2 4 5 2 8 3" xfId="10986" xr:uid="{45EDF394-E4D9-4248-B242-415FF8F79056}"/>
    <cellStyle name="Normal 2 4 5 2 9" xfId="4696" xr:uid="{00000000-0005-0000-0000-000085100000}"/>
    <cellStyle name="Normal 2 4 5 2 9 2" xfId="13138" xr:uid="{EDAE671F-02FF-43FF-BFDE-EDF7BA4B6771}"/>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2 2 2" xfId="15702" xr:uid="{C951A3ED-D866-4EEB-9A88-9E64DA01A663}"/>
    <cellStyle name="Normal 2 4 5 3 2 2 2 3" xfId="11484" xr:uid="{2AC233A0-B6D5-487C-B70C-E0E66BA54C79}"/>
    <cellStyle name="Normal 2 4 5 3 2 2 3" xfId="5115" xr:uid="{00000000-0005-0000-0000-00008B100000}"/>
    <cellStyle name="Normal 2 4 5 3 2 2 3 2" xfId="13557" xr:uid="{582A7313-BB5C-4045-B71A-5EFF6B902991}"/>
    <cellStyle name="Normal 2 4 5 3 2 2 4" xfId="9339" xr:uid="{30C6DF1C-CF2E-42D9-9BE1-F7D74223EEA7}"/>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2 2 2" xfId="16115" xr:uid="{D7E97B04-D82A-4CAB-8396-6AADB630F4D5}"/>
    <cellStyle name="Normal 2 4 5 3 2 3 2 3" xfId="11897" xr:uid="{38D89074-B319-48BD-A049-8CCA9250891C}"/>
    <cellStyle name="Normal 2 4 5 3 2 3 3" xfId="5528" xr:uid="{00000000-0005-0000-0000-00008F100000}"/>
    <cellStyle name="Normal 2 4 5 3 2 3 3 2" xfId="13970" xr:uid="{6763C9B8-D3E0-4C26-983F-C3086C17BFC9}"/>
    <cellStyle name="Normal 2 4 5 3 2 3 4" xfId="9752" xr:uid="{ACBF0859-A9FD-4C5C-B533-8DACD4C88654}"/>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2 2 2" xfId="16528" xr:uid="{1EA8166E-236B-4BB5-B2C7-11B1A889E209}"/>
    <cellStyle name="Normal 2 4 5 3 2 4 2 3" xfId="12310" xr:uid="{EB6D12DD-4370-4A4D-8A2B-87952938795E}"/>
    <cellStyle name="Normal 2 4 5 3 2 4 3" xfId="5941" xr:uid="{00000000-0005-0000-0000-000093100000}"/>
    <cellStyle name="Normal 2 4 5 3 2 4 3 2" xfId="14383" xr:uid="{26821447-69A7-4A93-8111-62B6BB05DE4C}"/>
    <cellStyle name="Normal 2 4 5 3 2 4 4" xfId="10165" xr:uid="{8DC5CEA2-CF4F-4E64-83BE-3F23C8616BE4}"/>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2 2 2" xfId="16941" xr:uid="{FB9F3597-DB8F-4934-BB0C-E20117724BDD}"/>
    <cellStyle name="Normal 2 4 5 3 2 5 2 3" xfId="12723" xr:uid="{0F1F6B97-8AD2-40CF-BC5F-BABEF32CF9C5}"/>
    <cellStyle name="Normal 2 4 5 3 2 5 3" xfId="6354" xr:uid="{00000000-0005-0000-0000-000097100000}"/>
    <cellStyle name="Normal 2 4 5 3 2 5 3 2" xfId="14796" xr:uid="{76D1EF04-5818-4E14-BF9B-A6C8AE217B79}"/>
    <cellStyle name="Normal 2 4 5 3 2 5 4" xfId="10578" xr:uid="{2F988B1F-99D6-4542-98C0-50F85E401FA2}"/>
    <cellStyle name="Normal 2 4 5 3 2 6" xfId="2483" xr:uid="{00000000-0005-0000-0000-000098100000}"/>
    <cellStyle name="Normal 2 4 5 3 2 6 2" xfId="6767" xr:uid="{00000000-0005-0000-0000-000099100000}"/>
    <cellStyle name="Normal 2 4 5 3 2 6 2 2" xfId="15209" xr:uid="{95C6C484-944C-4485-B9AB-03B6D101846C}"/>
    <cellStyle name="Normal 2 4 5 3 2 6 3" xfId="10991" xr:uid="{6168F41A-1413-47F6-A542-0A87E43D8B69}"/>
    <cellStyle name="Normal 2 4 5 3 2 7" xfId="4701" xr:uid="{00000000-0005-0000-0000-00009A100000}"/>
    <cellStyle name="Normal 2 4 5 3 2 7 2" xfId="13143" xr:uid="{D2E51144-1BA3-4448-9F09-AA3B08F4B11A}"/>
    <cellStyle name="Normal 2 4 5 3 2 8" xfId="8925" xr:uid="{6D6F399E-094B-4EB2-9885-24D0B182E841}"/>
    <cellStyle name="Normal 2 4 5 3 3" xfId="797" xr:uid="{00000000-0005-0000-0000-00009B100000}"/>
    <cellStyle name="Normal 2 4 5 3 3 2" xfId="3036" xr:uid="{00000000-0005-0000-0000-00009C100000}"/>
    <cellStyle name="Normal 2 4 5 3 3 2 2" xfId="7259" xr:uid="{00000000-0005-0000-0000-00009D100000}"/>
    <cellStyle name="Normal 2 4 5 3 3 2 2 2" xfId="15701" xr:uid="{1995C38D-7F6C-4FB5-A684-BFAC07FB3E5C}"/>
    <cellStyle name="Normal 2 4 5 3 3 2 3" xfId="11483" xr:uid="{926E8658-8139-418B-84B9-AAD6731EE76F}"/>
    <cellStyle name="Normal 2 4 5 3 3 3" xfId="5114" xr:uid="{00000000-0005-0000-0000-00009E100000}"/>
    <cellStyle name="Normal 2 4 5 3 3 3 2" xfId="13556" xr:uid="{9F51274E-75BB-4270-9C9C-624B4CDDB31E}"/>
    <cellStyle name="Normal 2 4 5 3 3 4" xfId="9338" xr:uid="{E3036CE4-6055-4837-B87A-E0A0BB57C72B}"/>
    <cellStyle name="Normal 2 4 5 3 4" xfId="1219" xr:uid="{00000000-0005-0000-0000-00009F100000}"/>
    <cellStyle name="Normal 2 4 5 3 4 2" xfId="3449" xr:uid="{00000000-0005-0000-0000-0000A0100000}"/>
    <cellStyle name="Normal 2 4 5 3 4 2 2" xfId="7672" xr:uid="{00000000-0005-0000-0000-0000A1100000}"/>
    <cellStyle name="Normal 2 4 5 3 4 2 2 2" xfId="16114" xr:uid="{B631BCB0-8620-4F7C-B1DC-84A20ED10EEF}"/>
    <cellStyle name="Normal 2 4 5 3 4 2 3" xfId="11896" xr:uid="{5F62E12A-97B8-41C3-80D6-8A7B5E122F5D}"/>
    <cellStyle name="Normal 2 4 5 3 4 3" xfId="5527" xr:uid="{00000000-0005-0000-0000-0000A2100000}"/>
    <cellStyle name="Normal 2 4 5 3 4 3 2" xfId="13969" xr:uid="{09B9348D-0387-4868-B1D7-3BAF9B931498}"/>
    <cellStyle name="Normal 2 4 5 3 4 4" xfId="9751" xr:uid="{9C968F3F-F811-4F4E-BB9F-AA5521C7FF3D}"/>
    <cellStyle name="Normal 2 4 5 3 5" xfId="1632" xr:uid="{00000000-0005-0000-0000-0000A3100000}"/>
    <cellStyle name="Normal 2 4 5 3 5 2" xfId="3862" xr:uid="{00000000-0005-0000-0000-0000A4100000}"/>
    <cellStyle name="Normal 2 4 5 3 5 2 2" xfId="8085" xr:uid="{00000000-0005-0000-0000-0000A5100000}"/>
    <cellStyle name="Normal 2 4 5 3 5 2 2 2" xfId="16527" xr:uid="{02C6327A-0BFF-4C8E-86C6-ABCAE083B084}"/>
    <cellStyle name="Normal 2 4 5 3 5 2 3" xfId="12309" xr:uid="{A822B8B2-887B-4E6B-A9FC-35B5DB8C3139}"/>
    <cellStyle name="Normal 2 4 5 3 5 3" xfId="5940" xr:uid="{00000000-0005-0000-0000-0000A6100000}"/>
    <cellStyle name="Normal 2 4 5 3 5 3 2" xfId="14382" xr:uid="{DA09FBB6-A61F-482E-8A7E-8790F8F1A2CE}"/>
    <cellStyle name="Normal 2 4 5 3 5 4" xfId="10164" xr:uid="{A61F7952-62D2-414B-AC38-B939E123E4AF}"/>
    <cellStyle name="Normal 2 4 5 3 6" xfId="2046" xr:uid="{00000000-0005-0000-0000-0000A7100000}"/>
    <cellStyle name="Normal 2 4 5 3 6 2" xfId="4275" xr:uid="{00000000-0005-0000-0000-0000A8100000}"/>
    <cellStyle name="Normal 2 4 5 3 6 2 2" xfId="8498" xr:uid="{00000000-0005-0000-0000-0000A9100000}"/>
    <cellStyle name="Normal 2 4 5 3 6 2 2 2" xfId="16940" xr:uid="{D61EEEBD-F7BA-4664-9D31-896D8C960CA1}"/>
    <cellStyle name="Normal 2 4 5 3 6 2 3" xfId="12722" xr:uid="{2D87CFEF-CF74-4D50-A445-426CEF248AAC}"/>
    <cellStyle name="Normal 2 4 5 3 6 3" xfId="6353" xr:uid="{00000000-0005-0000-0000-0000AA100000}"/>
    <cellStyle name="Normal 2 4 5 3 6 3 2" xfId="14795" xr:uid="{EE6B1072-1156-45DA-8C1C-3DAC0BC16ED1}"/>
    <cellStyle name="Normal 2 4 5 3 6 4" xfId="10577" xr:uid="{DE11EE4A-3EFE-4A62-B9F8-AD3FDABFB898}"/>
    <cellStyle name="Normal 2 4 5 3 7" xfId="2482" xr:uid="{00000000-0005-0000-0000-0000AB100000}"/>
    <cellStyle name="Normal 2 4 5 3 7 2" xfId="6766" xr:uid="{00000000-0005-0000-0000-0000AC100000}"/>
    <cellStyle name="Normal 2 4 5 3 7 2 2" xfId="15208" xr:uid="{40991559-20F8-43A7-B466-E5F84EFC3ABE}"/>
    <cellStyle name="Normal 2 4 5 3 7 3" xfId="10990" xr:uid="{51C5DFBE-13D2-473F-8945-325D6923826E}"/>
    <cellStyle name="Normal 2 4 5 3 8" xfId="4700" xr:uid="{00000000-0005-0000-0000-0000AD100000}"/>
    <cellStyle name="Normal 2 4 5 3 8 2" xfId="13142" xr:uid="{412D8E3B-1178-4034-AB55-AE5C67719275}"/>
    <cellStyle name="Normal 2 4 5 3 9" xfId="8924" xr:uid="{E7DF386B-153B-4ED9-BD2F-A8A55648C194}"/>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2 2 2" xfId="15703" xr:uid="{820EB53A-2158-4473-88C0-498D06C8B1E2}"/>
    <cellStyle name="Normal 2 4 5 4 2 2 3" xfId="11485" xr:uid="{53FCC951-F70F-4F15-AE45-1F34DE8E4387}"/>
    <cellStyle name="Normal 2 4 5 4 2 3" xfId="5116" xr:uid="{00000000-0005-0000-0000-0000B2100000}"/>
    <cellStyle name="Normal 2 4 5 4 2 3 2" xfId="13558" xr:uid="{3CF4AABC-DB72-4CE8-BD3B-BDDEE141D789}"/>
    <cellStyle name="Normal 2 4 5 4 2 4" xfId="9340" xr:uid="{2CDD43C6-F375-4BEC-A089-441F6D374655}"/>
    <cellStyle name="Normal 2 4 5 4 3" xfId="1221" xr:uid="{00000000-0005-0000-0000-0000B3100000}"/>
    <cellStyle name="Normal 2 4 5 4 3 2" xfId="3451" xr:uid="{00000000-0005-0000-0000-0000B4100000}"/>
    <cellStyle name="Normal 2 4 5 4 3 2 2" xfId="7674" xr:uid="{00000000-0005-0000-0000-0000B5100000}"/>
    <cellStyle name="Normal 2 4 5 4 3 2 2 2" xfId="16116" xr:uid="{179D50C2-340D-4201-8184-BF3B1805A640}"/>
    <cellStyle name="Normal 2 4 5 4 3 2 3" xfId="11898" xr:uid="{11ECF7EB-B71A-4EA8-B5A1-05A1793B561F}"/>
    <cellStyle name="Normal 2 4 5 4 3 3" xfId="5529" xr:uid="{00000000-0005-0000-0000-0000B6100000}"/>
    <cellStyle name="Normal 2 4 5 4 3 3 2" xfId="13971" xr:uid="{465B5B42-6240-4E94-B116-E1F7D85E4C7D}"/>
    <cellStyle name="Normal 2 4 5 4 3 4" xfId="9753" xr:uid="{9386226B-D39D-44BE-98D6-D3A684F850C6}"/>
    <cellStyle name="Normal 2 4 5 4 4" xfId="1634" xr:uid="{00000000-0005-0000-0000-0000B7100000}"/>
    <cellStyle name="Normal 2 4 5 4 4 2" xfId="3864" xr:uid="{00000000-0005-0000-0000-0000B8100000}"/>
    <cellStyle name="Normal 2 4 5 4 4 2 2" xfId="8087" xr:uid="{00000000-0005-0000-0000-0000B9100000}"/>
    <cellStyle name="Normal 2 4 5 4 4 2 2 2" xfId="16529" xr:uid="{85E99705-46B2-4720-A957-C02CDCCBE754}"/>
    <cellStyle name="Normal 2 4 5 4 4 2 3" xfId="12311" xr:uid="{AD32AA95-219C-4CCD-8F8D-3FA9CF2A5656}"/>
    <cellStyle name="Normal 2 4 5 4 4 3" xfId="5942" xr:uid="{00000000-0005-0000-0000-0000BA100000}"/>
    <cellStyle name="Normal 2 4 5 4 4 3 2" xfId="14384" xr:uid="{CE3D7F97-67C6-4869-A842-21F9BAF2E598}"/>
    <cellStyle name="Normal 2 4 5 4 4 4" xfId="10166" xr:uid="{4C6F674D-9636-4567-B400-66D2EEC89D2C}"/>
    <cellStyle name="Normal 2 4 5 4 5" xfId="2048" xr:uid="{00000000-0005-0000-0000-0000BB100000}"/>
    <cellStyle name="Normal 2 4 5 4 5 2" xfId="4277" xr:uid="{00000000-0005-0000-0000-0000BC100000}"/>
    <cellStyle name="Normal 2 4 5 4 5 2 2" xfId="8500" xr:uid="{00000000-0005-0000-0000-0000BD100000}"/>
    <cellStyle name="Normal 2 4 5 4 5 2 2 2" xfId="16942" xr:uid="{EF7330E5-1D17-47F7-B1C4-9C0EC665C4AE}"/>
    <cellStyle name="Normal 2 4 5 4 5 2 3" xfId="12724" xr:uid="{271F4201-F588-4846-8AB2-FD7F7555A376}"/>
    <cellStyle name="Normal 2 4 5 4 5 3" xfId="6355" xr:uid="{00000000-0005-0000-0000-0000BE100000}"/>
    <cellStyle name="Normal 2 4 5 4 5 3 2" xfId="14797" xr:uid="{462DF5FC-286F-47F9-A13D-76EB1FF33824}"/>
    <cellStyle name="Normal 2 4 5 4 5 4" xfId="10579" xr:uid="{6E61B255-9CBC-429E-A6E5-B32A696F9DBB}"/>
    <cellStyle name="Normal 2 4 5 4 6" xfId="2484" xr:uid="{00000000-0005-0000-0000-0000BF100000}"/>
    <cellStyle name="Normal 2 4 5 4 6 2" xfId="6768" xr:uid="{00000000-0005-0000-0000-0000C0100000}"/>
    <cellStyle name="Normal 2 4 5 4 6 2 2" xfId="15210" xr:uid="{1ACDB6C9-BF0C-421A-8F12-382244010AD3}"/>
    <cellStyle name="Normal 2 4 5 4 6 3" xfId="10992" xr:uid="{1144383B-5A7E-45AD-B9DC-218E19334EC4}"/>
    <cellStyle name="Normal 2 4 5 4 7" xfId="4702" xr:uid="{00000000-0005-0000-0000-0000C1100000}"/>
    <cellStyle name="Normal 2 4 5 4 7 2" xfId="13144" xr:uid="{2E67D782-BCCB-47AD-AEAC-E39998BA85C2}"/>
    <cellStyle name="Normal 2 4 5 4 8" xfId="8926" xr:uid="{BFB705EF-79E4-4C88-AE00-CF765CB331A1}"/>
    <cellStyle name="Normal 2 4 5 5" xfId="792" xr:uid="{00000000-0005-0000-0000-0000C2100000}"/>
    <cellStyle name="Normal 2 4 5 5 2" xfId="3031" xr:uid="{00000000-0005-0000-0000-0000C3100000}"/>
    <cellStyle name="Normal 2 4 5 5 2 2" xfId="7254" xr:uid="{00000000-0005-0000-0000-0000C4100000}"/>
    <cellStyle name="Normal 2 4 5 5 2 2 2" xfId="15696" xr:uid="{3F821303-2000-4823-95E2-67677E27CC2E}"/>
    <cellStyle name="Normal 2 4 5 5 2 3" xfId="11478" xr:uid="{E640892F-22DB-42E7-AA79-9A264FCF0620}"/>
    <cellStyle name="Normal 2 4 5 5 3" xfId="5109" xr:uid="{00000000-0005-0000-0000-0000C5100000}"/>
    <cellStyle name="Normal 2 4 5 5 3 2" xfId="13551" xr:uid="{AA19F222-0C54-4F93-A5BB-3E489736690E}"/>
    <cellStyle name="Normal 2 4 5 5 4" xfId="9333" xr:uid="{81EFA67D-6ACE-4EC7-972D-DDA93061F9B9}"/>
    <cellStyle name="Normal 2 4 5 6" xfId="1214" xr:uid="{00000000-0005-0000-0000-0000C6100000}"/>
    <cellStyle name="Normal 2 4 5 6 2" xfId="3444" xr:uid="{00000000-0005-0000-0000-0000C7100000}"/>
    <cellStyle name="Normal 2 4 5 6 2 2" xfId="7667" xr:uid="{00000000-0005-0000-0000-0000C8100000}"/>
    <cellStyle name="Normal 2 4 5 6 2 2 2" xfId="16109" xr:uid="{68C35CA5-3352-48A3-8D85-0DF288A78688}"/>
    <cellStyle name="Normal 2 4 5 6 2 3" xfId="11891" xr:uid="{F5225EDA-4349-440A-B6D7-9B58C285A7A7}"/>
    <cellStyle name="Normal 2 4 5 6 3" xfId="5522" xr:uid="{00000000-0005-0000-0000-0000C9100000}"/>
    <cellStyle name="Normal 2 4 5 6 3 2" xfId="13964" xr:uid="{E73E487C-9FD7-4461-8438-5B51C4312BD2}"/>
    <cellStyle name="Normal 2 4 5 6 4" xfId="9746" xr:uid="{9B812C0D-EAE8-498A-AF94-5DD2143F2232}"/>
    <cellStyle name="Normal 2 4 5 7" xfId="1627" xr:uid="{00000000-0005-0000-0000-0000CA100000}"/>
    <cellStyle name="Normal 2 4 5 7 2" xfId="3857" xr:uid="{00000000-0005-0000-0000-0000CB100000}"/>
    <cellStyle name="Normal 2 4 5 7 2 2" xfId="8080" xr:uid="{00000000-0005-0000-0000-0000CC100000}"/>
    <cellStyle name="Normal 2 4 5 7 2 2 2" xfId="16522" xr:uid="{784A2BDE-D440-4F77-9EFF-B4A9BF920EC0}"/>
    <cellStyle name="Normal 2 4 5 7 2 3" xfId="12304" xr:uid="{A869B059-5B6B-403C-8D5B-EEFABDF9E542}"/>
    <cellStyle name="Normal 2 4 5 7 3" xfId="5935" xr:uid="{00000000-0005-0000-0000-0000CD100000}"/>
    <cellStyle name="Normal 2 4 5 7 3 2" xfId="14377" xr:uid="{127CB5FE-C268-45D9-AD30-D2FA37376350}"/>
    <cellStyle name="Normal 2 4 5 7 4" xfId="10159" xr:uid="{5FA0B125-78F1-4E6E-9D63-898A057E61D3}"/>
    <cellStyle name="Normal 2 4 5 8" xfId="2041" xr:uid="{00000000-0005-0000-0000-0000CE100000}"/>
    <cellStyle name="Normal 2 4 5 8 2" xfId="4270" xr:uid="{00000000-0005-0000-0000-0000CF100000}"/>
    <cellStyle name="Normal 2 4 5 8 2 2" xfId="8493" xr:uid="{00000000-0005-0000-0000-0000D0100000}"/>
    <cellStyle name="Normal 2 4 5 8 2 2 2" xfId="16935" xr:uid="{42FD24CF-DFF0-4F3D-B382-6AE5CB1B9582}"/>
    <cellStyle name="Normal 2 4 5 8 2 3" xfId="12717" xr:uid="{4048D57F-A80E-44E1-BE92-863AF63186A7}"/>
    <cellStyle name="Normal 2 4 5 8 3" xfId="6348" xr:uid="{00000000-0005-0000-0000-0000D1100000}"/>
    <cellStyle name="Normal 2 4 5 8 3 2" xfId="14790" xr:uid="{F4A03B3E-F72F-411C-85D2-99092587EC25}"/>
    <cellStyle name="Normal 2 4 5 8 4" xfId="10572" xr:uid="{EC61B145-0F49-4CA6-B2E8-C0FC28E99366}"/>
    <cellStyle name="Normal 2 4 5 9" xfId="2477" xr:uid="{00000000-0005-0000-0000-0000D2100000}"/>
    <cellStyle name="Normal 2 4 5 9 2" xfId="6761" xr:uid="{00000000-0005-0000-0000-0000D3100000}"/>
    <cellStyle name="Normal 2 4 5 9 2 2" xfId="15203" xr:uid="{DD0C32F9-71A4-4B7A-B453-D8AD8B67ED2D}"/>
    <cellStyle name="Normal 2 4 5 9 3" xfId="10985" xr:uid="{C9DA6AA1-E1FE-4271-971E-3B16CC983F5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2 2 2" xfId="15705" xr:uid="{A6CC8F1F-C382-4B58-B00E-A5019FA0C006}"/>
    <cellStyle name="Normal 2 4 7 2 2 2 3" xfId="11487" xr:uid="{1FF7C27B-2187-4CDA-BC30-C5E795118FAD}"/>
    <cellStyle name="Normal 2 4 7 2 2 3" xfId="5118" xr:uid="{00000000-0005-0000-0000-0000DA100000}"/>
    <cellStyle name="Normal 2 4 7 2 2 3 2" xfId="13560" xr:uid="{5C0A08CB-F77F-4A60-8728-D5B470F6EAD8}"/>
    <cellStyle name="Normal 2 4 7 2 2 4" xfId="9342" xr:uid="{FA228F26-EB93-45C1-ACBE-95DFC50F4699}"/>
    <cellStyle name="Normal 2 4 7 2 3" xfId="1223" xr:uid="{00000000-0005-0000-0000-0000DB100000}"/>
    <cellStyle name="Normal 2 4 7 2 3 2" xfId="3453" xr:uid="{00000000-0005-0000-0000-0000DC100000}"/>
    <cellStyle name="Normal 2 4 7 2 3 2 2" xfId="7676" xr:uid="{00000000-0005-0000-0000-0000DD100000}"/>
    <cellStyle name="Normal 2 4 7 2 3 2 2 2" xfId="16118" xr:uid="{DBDD70B2-9A84-4058-8A06-E45BD3AA2C41}"/>
    <cellStyle name="Normal 2 4 7 2 3 2 3" xfId="11900" xr:uid="{58D1337B-A33B-48D4-B980-3950049B6A9B}"/>
    <cellStyle name="Normal 2 4 7 2 3 3" xfId="5531" xr:uid="{00000000-0005-0000-0000-0000DE100000}"/>
    <cellStyle name="Normal 2 4 7 2 3 3 2" xfId="13973" xr:uid="{621F111F-75EF-4098-AF59-9CD93BB98C98}"/>
    <cellStyle name="Normal 2 4 7 2 3 4" xfId="9755" xr:uid="{133FA354-AD4A-414C-B5E1-E67500368B61}"/>
    <cellStyle name="Normal 2 4 7 2 4" xfId="1636" xr:uid="{00000000-0005-0000-0000-0000DF100000}"/>
    <cellStyle name="Normal 2 4 7 2 4 2" xfId="3866" xr:uid="{00000000-0005-0000-0000-0000E0100000}"/>
    <cellStyle name="Normal 2 4 7 2 4 2 2" xfId="8089" xr:uid="{00000000-0005-0000-0000-0000E1100000}"/>
    <cellStyle name="Normal 2 4 7 2 4 2 2 2" xfId="16531" xr:uid="{E006E8AD-DFD0-490C-8111-7EA9F73F377A}"/>
    <cellStyle name="Normal 2 4 7 2 4 2 3" xfId="12313" xr:uid="{9E26BFE9-921D-4D43-88C0-215D2BBE3F24}"/>
    <cellStyle name="Normal 2 4 7 2 4 3" xfId="5944" xr:uid="{00000000-0005-0000-0000-0000E2100000}"/>
    <cellStyle name="Normal 2 4 7 2 4 3 2" xfId="14386" xr:uid="{E176A739-502F-4D26-BFF4-F05DE7407F03}"/>
    <cellStyle name="Normal 2 4 7 2 4 4" xfId="10168" xr:uid="{CEDB96DD-3598-41A1-AE8D-726363509FF7}"/>
    <cellStyle name="Normal 2 4 7 2 5" xfId="2050" xr:uid="{00000000-0005-0000-0000-0000E3100000}"/>
    <cellStyle name="Normal 2 4 7 2 5 2" xfId="4279" xr:uid="{00000000-0005-0000-0000-0000E4100000}"/>
    <cellStyle name="Normal 2 4 7 2 5 2 2" xfId="8502" xr:uid="{00000000-0005-0000-0000-0000E5100000}"/>
    <cellStyle name="Normal 2 4 7 2 5 2 2 2" xfId="16944" xr:uid="{6E84C875-FF08-4141-9E01-B770B097FAFC}"/>
    <cellStyle name="Normal 2 4 7 2 5 2 3" xfId="12726" xr:uid="{2EFA4874-7245-47AE-BF43-1ADE0B2DE8A5}"/>
    <cellStyle name="Normal 2 4 7 2 5 3" xfId="6357" xr:uid="{00000000-0005-0000-0000-0000E6100000}"/>
    <cellStyle name="Normal 2 4 7 2 5 3 2" xfId="14799" xr:uid="{FF63E425-BC87-4557-AEA2-1BC7906C6243}"/>
    <cellStyle name="Normal 2 4 7 2 5 4" xfId="10581" xr:uid="{78B5A063-E5CA-483E-A417-C26745725973}"/>
    <cellStyle name="Normal 2 4 7 2 6" xfId="2486" xr:uid="{00000000-0005-0000-0000-0000E7100000}"/>
    <cellStyle name="Normal 2 4 7 2 6 2" xfId="6770" xr:uid="{00000000-0005-0000-0000-0000E8100000}"/>
    <cellStyle name="Normal 2 4 7 2 6 2 2" xfId="15212" xr:uid="{9E7BF9E4-8D0E-498B-B647-C434D7665E1E}"/>
    <cellStyle name="Normal 2 4 7 2 6 3" xfId="10994" xr:uid="{F9B7E21A-43A8-49F9-8F81-31FA04545D16}"/>
    <cellStyle name="Normal 2 4 7 2 7" xfId="4704" xr:uid="{00000000-0005-0000-0000-0000E9100000}"/>
    <cellStyle name="Normal 2 4 7 2 7 2" xfId="13146" xr:uid="{58B449CC-B003-48F5-BAFD-BDF19CE50ED0}"/>
    <cellStyle name="Normal 2 4 7 2 8" xfId="8928" xr:uid="{918DCA70-7192-4128-9D1F-6831D8BA54D9}"/>
    <cellStyle name="Normal 2 4 7 3" xfId="800" xr:uid="{00000000-0005-0000-0000-0000EA100000}"/>
    <cellStyle name="Normal 2 4 7 3 2" xfId="3039" xr:uid="{00000000-0005-0000-0000-0000EB100000}"/>
    <cellStyle name="Normal 2 4 7 3 2 2" xfId="7262" xr:uid="{00000000-0005-0000-0000-0000EC100000}"/>
    <cellStyle name="Normal 2 4 7 3 2 2 2" xfId="15704" xr:uid="{C61A83F1-F1F4-45B5-8B79-36F61493C9A7}"/>
    <cellStyle name="Normal 2 4 7 3 2 3" xfId="11486" xr:uid="{EEC7FECC-F062-4804-8625-7D6629CD7DD2}"/>
    <cellStyle name="Normal 2 4 7 3 3" xfId="5117" xr:uid="{00000000-0005-0000-0000-0000ED100000}"/>
    <cellStyle name="Normal 2 4 7 3 3 2" xfId="13559" xr:uid="{4696C421-16D3-44C3-AAAB-DB25117B12D8}"/>
    <cellStyle name="Normal 2 4 7 3 4" xfId="9341" xr:uid="{FC40BE2E-D403-4E02-95E8-FCDA04DB3E3D}"/>
    <cellStyle name="Normal 2 4 7 4" xfId="1222" xr:uid="{00000000-0005-0000-0000-0000EE100000}"/>
    <cellStyle name="Normal 2 4 7 4 2" xfId="3452" xr:uid="{00000000-0005-0000-0000-0000EF100000}"/>
    <cellStyle name="Normal 2 4 7 4 2 2" xfId="7675" xr:uid="{00000000-0005-0000-0000-0000F0100000}"/>
    <cellStyle name="Normal 2 4 7 4 2 2 2" xfId="16117" xr:uid="{6B8FFC8C-B768-4444-9FAD-7B9DF97B32CF}"/>
    <cellStyle name="Normal 2 4 7 4 2 3" xfId="11899" xr:uid="{16D2E961-BBBC-4011-9529-DC981ACA9ACA}"/>
    <cellStyle name="Normal 2 4 7 4 3" xfId="5530" xr:uid="{00000000-0005-0000-0000-0000F1100000}"/>
    <cellStyle name="Normal 2 4 7 4 3 2" xfId="13972" xr:uid="{26468786-EF14-4313-B529-6B00D9A90211}"/>
    <cellStyle name="Normal 2 4 7 4 4" xfId="9754" xr:uid="{F0502529-F198-495B-AA8F-0C2057AF6657}"/>
    <cellStyle name="Normal 2 4 7 5" xfId="1635" xr:uid="{00000000-0005-0000-0000-0000F2100000}"/>
    <cellStyle name="Normal 2 4 7 5 2" xfId="3865" xr:uid="{00000000-0005-0000-0000-0000F3100000}"/>
    <cellStyle name="Normal 2 4 7 5 2 2" xfId="8088" xr:uid="{00000000-0005-0000-0000-0000F4100000}"/>
    <cellStyle name="Normal 2 4 7 5 2 2 2" xfId="16530" xr:uid="{6C239032-5D89-4116-A4A0-051EF919279F}"/>
    <cellStyle name="Normal 2 4 7 5 2 3" xfId="12312" xr:uid="{815414B4-9995-48E2-8BEE-B628F625BF2E}"/>
    <cellStyle name="Normal 2 4 7 5 3" xfId="5943" xr:uid="{00000000-0005-0000-0000-0000F5100000}"/>
    <cellStyle name="Normal 2 4 7 5 3 2" xfId="14385" xr:uid="{E90D33B1-E540-4777-914D-CAE009CBA313}"/>
    <cellStyle name="Normal 2 4 7 5 4" xfId="10167" xr:uid="{CF51FA7D-2B4E-4A0D-9C78-BF802FEA5462}"/>
    <cellStyle name="Normal 2 4 7 6" xfId="2049" xr:uid="{00000000-0005-0000-0000-0000F6100000}"/>
    <cellStyle name="Normal 2 4 7 6 2" xfId="4278" xr:uid="{00000000-0005-0000-0000-0000F7100000}"/>
    <cellStyle name="Normal 2 4 7 6 2 2" xfId="8501" xr:uid="{00000000-0005-0000-0000-0000F8100000}"/>
    <cellStyle name="Normal 2 4 7 6 2 2 2" xfId="16943" xr:uid="{48DBB92A-C50D-4D62-B732-B35539F4B5EB}"/>
    <cellStyle name="Normal 2 4 7 6 2 3" xfId="12725" xr:uid="{BCF59554-9CCC-4672-B3CA-CB064FD55F3B}"/>
    <cellStyle name="Normal 2 4 7 6 3" xfId="6356" xr:uid="{00000000-0005-0000-0000-0000F9100000}"/>
    <cellStyle name="Normal 2 4 7 6 3 2" xfId="14798" xr:uid="{1D7F242C-2C6B-4434-850A-BEDC274618B2}"/>
    <cellStyle name="Normal 2 4 7 6 4" xfId="10580" xr:uid="{A49462B9-9534-40E7-AB45-5135D1488490}"/>
    <cellStyle name="Normal 2 4 7 7" xfId="2485" xr:uid="{00000000-0005-0000-0000-0000FA100000}"/>
    <cellStyle name="Normal 2 4 7 7 2" xfId="6769" xr:uid="{00000000-0005-0000-0000-0000FB100000}"/>
    <cellStyle name="Normal 2 4 7 7 2 2" xfId="15211" xr:uid="{6F050DB3-BCC7-43B7-9328-2C915E9F446E}"/>
    <cellStyle name="Normal 2 4 7 7 3" xfId="10993" xr:uid="{F655D8BA-CDB5-4954-9E3A-9F651B2FF58A}"/>
    <cellStyle name="Normal 2 4 7 8" xfId="4703" xr:uid="{00000000-0005-0000-0000-0000FC100000}"/>
    <cellStyle name="Normal 2 4 7 8 2" xfId="13145" xr:uid="{50FA8880-D9F2-48C5-815D-163689426A64}"/>
    <cellStyle name="Normal 2 4 7 9" xfId="8927" xr:uid="{4CBCF3D3-C687-4E41-B506-88C9EB79B6F3}"/>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2 2 2" xfId="15706" xr:uid="{255BAFA4-A984-418C-B6B5-039E8A0C6E0E}"/>
    <cellStyle name="Normal 2 4 8 2 2 3" xfId="11488" xr:uid="{BF81E983-C56D-4A7B-ADFE-961139B05110}"/>
    <cellStyle name="Normal 2 4 8 2 3" xfId="5119" xr:uid="{00000000-0005-0000-0000-000001110000}"/>
    <cellStyle name="Normal 2 4 8 2 3 2" xfId="13561" xr:uid="{A9906CE6-1072-4D6B-BBCC-A95B2CBE67ED}"/>
    <cellStyle name="Normal 2 4 8 2 4" xfId="9343" xr:uid="{3A8FA7AA-8DB2-41F2-995E-CF55E708F456}"/>
    <cellStyle name="Normal 2 4 8 3" xfId="1224" xr:uid="{00000000-0005-0000-0000-000002110000}"/>
    <cellStyle name="Normal 2 4 8 3 2" xfId="3454" xr:uid="{00000000-0005-0000-0000-000003110000}"/>
    <cellStyle name="Normal 2 4 8 3 2 2" xfId="7677" xr:uid="{00000000-0005-0000-0000-000004110000}"/>
    <cellStyle name="Normal 2 4 8 3 2 2 2" xfId="16119" xr:uid="{0BE710A1-9B2B-42B3-859F-A6367C86D9F0}"/>
    <cellStyle name="Normal 2 4 8 3 2 3" xfId="11901" xr:uid="{C300A9F4-2351-451C-AA9B-D5A67F273804}"/>
    <cellStyle name="Normal 2 4 8 3 3" xfId="5532" xr:uid="{00000000-0005-0000-0000-000005110000}"/>
    <cellStyle name="Normal 2 4 8 3 3 2" xfId="13974" xr:uid="{72A20AF5-9170-4B90-AB69-59E0AE0F6714}"/>
    <cellStyle name="Normal 2 4 8 3 4" xfId="9756" xr:uid="{0B944A45-06C9-4472-8388-9610F843C165}"/>
    <cellStyle name="Normal 2 4 8 4" xfId="1637" xr:uid="{00000000-0005-0000-0000-000006110000}"/>
    <cellStyle name="Normal 2 4 8 4 2" xfId="3867" xr:uid="{00000000-0005-0000-0000-000007110000}"/>
    <cellStyle name="Normal 2 4 8 4 2 2" xfId="8090" xr:uid="{00000000-0005-0000-0000-000008110000}"/>
    <cellStyle name="Normal 2 4 8 4 2 2 2" xfId="16532" xr:uid="{FB3A95F5-1FCB-4E77-A95B-D1600DFE96BC}"/>
    <cellStyle name="Normal 2 4 8 4 2 3" xfId="12314" xr:uid="{BA511AAF-EC84-4E52-B37A-34DEFC327146}"/>
    <cellStyle name="Normal 2 4 8 4 3" xfId="5945" xr:uid="{00000000-0005-0000-0000-000009110000}"/>
    <cellStyle name="Normal 2 4 8 4 3 2" xfId="14387" xr:uid="{87326E56-23D2-4EDC-95D8-1EC6385D602A}"/>
    <cellStyle name="Normal 2 4 8 4 4" xfId="10169" xr:uid="{66F2E475-AAE9-45AE-92D3-0E80AB2C6D05}"/>
    <cellStyle name="Normal 2 4 8 5" xfId="2051" xr:uid="{00000000-0005-0000-0000-00000A110000}"/>
    <cellStyle name="Normal 2 4 8 5 2" xfId="4280" xr:uid="{00000000-0005-0000-0000-00000B110000}"/>
    <cellStyle name="Normal 2 4 8 5 2 2" xfId="8503" xr:uid="{00000000-0005-0000-0000-00000C110000}"/>
    <cellStyle name="Normal 2 4 8 5 2 2 2" xfId="16945" xr:uid="{3EEF1710-4422-4241-9DB9-7A36DAD02B6D}"/>
    <cellStyle name="Normal 2 4 8 5 2 3" xfId="12727" xr:uid="{2D05EED5-144F-4AEC-81B0-14E320108829}"/>
    <cellStyle name="Normal 2 4 8 5 3" xfId="6358" xr:uid="{00000000-0005-0000-0000-00000D110000}"/>
    <cellStyle name="Normal 2 4 8 5 3 2" xfId="14800" xr:uid="{18DDD3AD-F8BA-453C-B930-98B56C837B44}"/>
    <cellStyle name="Normal 2 4 8 5 4" xfId="10582" xr:uid="{08CB56E6-FF07-4C82-A1F7-EDFDFB93B832}"/>
    <cellStyle name="Normal 2 4 8 6" xfId="2487" xr:uid="{00000000-0005-0000-0000-00000E110000}"/>
    <cellStyle name="Normal 2 4 8 6 2" xfId="6771" xr:uid="{00000000-0005-0000-0000-00000F110000}"/>
    <cellStyle name="Normal 2 4 8 6 2 2" xfId="15213" xr:uid="{921C4BBA-1416-40EE-9C90-A605CD11C7C6}"/>
    <cellStyle name="Normal 2 4 8 6 3" xfId="10995" xr:uid="{DA20F184-9E8B-485E-A857-2A218D00F8B5}"/>
    <cellStyle name="Normal 2 4 8 7" xfId="4705" xr:uid="{00000000-0005-0000-0000-000010110000}"/>
    <cellStyle name="Normal 2 4 8 7 2" xfId="13147" xr:uid="{8A55E63B-F47C-43B7-A30B-7C049C85C4E5}"/>
    <cellStyle name="Normal 2 4 8 8" xfId="8929" xr:uid="{331823CC-9F6D-4864-AB7B-975CD5C18E18}"/>
    <cellStyle name="Normal 2 5" xfId="315" xr:uid="{00000000-0005-0000-0000-000011110000}"/>
    <cellStyle name="Normal 2 5 10" xfId="4706" xr:uid="{00000000-0005-0000-0000-000012110000}"/>
    <cellStyle name="Normal 2 5 10 2" xfId="13148" xr:uid="{078ACD92-E763-4517-9C4A-D7A9625264BC}"/>
    <cellStyle name="Normal 2 5 11" xfId="8930" xr:uid="{5524E8AC-A4E0-4F6D-AD66-20EF84A697AD}"/>
    <cellStyle name="Normal 2 5 2" xfId="316" xr:uid="{00000000-0005-0000-0000-000013110000}"/>
    <cellStyle name="Normal 2 5 3" xfId="317" xr:uid="{00000000-0005-0000-0000-000014110000}"/>
    <cellStyle name="Normal 2 5 4" xfId="318" xr:uid="{00000000-0005-0000-0000-000015110000}"/>
    <cellStyle name="Normal 2 5 4 10" xfId="8931" xr:uid="{D2AC2478-FB56-473F-B7FB-B16563D2E3D9}"/>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2 2 2" xfId="15710" xr:uid="{BFCB1EC7-C2ED-4154-94CA-2ED9E9EA3265}"/>
    <cellStyle name="Normal 2 5 4 2 2 2 2 3" xfId="11492" xr:uid="{BB264DA4-FDB6-40BD-BE00-84C0273FA0F4}"/>
    <cellStyle name="Normal 2 5 4 2 2 2 3" xfId="5123" xr:uid="{00000000-0005-0000-0000-00001B110000}"/>
    <cellStyle name="Normal 2 5 4 2 2 2 3 2" xfId="13565" xr:uid="{C8D07A77-A50D-40A4-8B39-25114C6962B2}"/>
    <cellStyle name="Normal 2 5 4 2 2 2 4" xfId="9347" xr:uid="{1E05430D-41B2-4459-9FA8-612B3FB17D3C}"/>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2 2 2" xfId="16123" xr:uid="{067B5667-1B56-4D7C-9BB8-B86353B47AE6}"/>
    <cellStyle name="Normal 2 5 4 2 2 3 2 3" xfId="11905" xr:uid="{520D3DD8-1838-4A4C-86AA-B87085C5B619}"/>
    <cellStyle name="Normal 2 5 4 2 2 3 3" xfId="5536" xr:uid="{00000000-0005-0000-0000-00001F110000}"/>
    <cellStyle name="Normal 2 5 4 2 2 3 3 2" xfId="13978" xr:uid="{CD2A05AA-7436-42A6-B27F-257B49E21AA2}"/>
    <cellStyle name="Normal 2 5 4 2 2 3 4" xfId="9760" xr:uid="{14AE79CF-2B22-43C2-8CAF-AF5967526AAD}"/>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2 2 2" xfId="16536" xr:uid="{6B7B06A2-1468-487B-8050-5DB1CEB66D77}"/>
    <cellStyle name="Normal 2 5 4 2 2 4 2 3" xfId="12318" xr:uid="{934DB071-F1D0-4443-B1C2-6B039A17ED45}"/>
    <cellStyle name="Normal 2 5 4 2 2 4 3" xfId="5949" xr:uid="{00000000-0005-0000-0000-000023110000}"/>
    <cellStyle name="Normal 2 5 4 2 2 4 3 2" xfId="14391" xr:uid="{2133C0E6-ABA5-4590-B634-E04D3397BB93}"/>
    <cellStyle name="Normal 2 5 4 2 2 4 4" xfId="10173" xr:uid="{C849CB72-C565-4100-AE59-B51AD096AF17}"/>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2 2 2" xfId="16949" xr:uid="{73764B68-FDFB-4372-9B49-E3C0F8997E38}"/>
    <cellStyle name="Normal 2 5 4 2 2 5 2 3" xfId="12731" xr:uid="{BD73987A-34B9-440B-B701-B1258A804338}"/>
    <cellStyle name="Normal 2 5 4 2 2 5 3" xfId="6362" xr:uid="{00000000-0005-0000-0000-000027110000}"/>
    <cellStyle name="Normal 2 5 4 2 2 5 3 2" xfId="14804" xr:uid="{54913B72-669F-4E7A-9A7B-5BA68D6B9F22}"/>
    <cellStyle name="Normal 2 5 4 2 2 5 4" xfId="10586" xr:uid="{E917DC17-0AB0-4C8B-9AE8-F014088F44A6}"/>
    <cellStyle name="Normal 2 5 4 2 2 6" xfId="2491" xr:uid="{00000000-0005-0000-0000-000028110000}"/>
    <cellStyle name="Normal 2 5 4 2 2 6 2" xfId="6775" xr:uid="{00000000-0005-0000-0000-000029110000}"/>
    <cellStyle name="Normal 2 5 4 2 2 6 2 2" xfId="15217" xr:uid="{ADD7D4B5-0A04-4D65-BEA4-82E89074FBFF}"/>
    <cellStyle name="Normal 2 5 4 2 2 6 3" xfId="10999" xr:uid="{9B2348A5-5F7E-433A-815A-67DEB8C99724}"/>
    <cellStyle name="Normal 2 5 4 2 2 7" xfId="4709" xr:uid="{00000000-0005-0000-0000-00002A110000}"/>
    <cellStyle name="Normal 2 5 4 2 2 7 2" xfId="13151" xr:uid="{D31C3C73-DD75-415B-AA53-5BA989C32B53}"/>
    <cellStyle name="Normal 2 5 4 2 2 8" xfId="8933" xr:uid="{0B916268-FE6D-40EA-AD03-65615926AD4B}"/>
    <cellStyle name="Normal 2 5 4 2 3" xfId="805" xr:uid="{00000000-0005-0000-0000-00002B110000}"/>
    <cellStyle name="Normal 2 5 4 2 3 2" xfId="3044" xr:uid="{00000000-0005-0000-0000-00002C110000}"/>
    <cellStyle name="Normal 2 5 4 2 3 2 2" xfId="7267" xr:uid="{00000000-0005-0000-0000-00002D110000}"/>
    <cellStyle name="Normal 2 5 4 2 3 2 2 2" xfId="15709" xr:uid="{4804CC86-5B0D-4F3A-93B4-47863D2270E4}"/>
    <cellStyle name="Normal 2 5 4 2 3 2 3" xfId="11491" xr:uid="{47A8FB81-7F7D-4C06-8438-A48B6F77B63C}"/>
    <cellStyle name="Normal 2 5 4 2 3 3" xfId="5122" xr:uid="{00000000-0005-0000-0000-00002E110000}"/>
    <cellStyle name="Normal 2 5 4 2 3 3 2" xfId="13564" xr:uid="{D41AFD75-C843-4620-840B-841B0F184492}"/>
    <cellStyle name="Normal 2 5 4 2 3 4" xfId="9346" xr:uid="{69958BB6-4DAC-44F7-850E-F99C57514AF5}"/>
    <cellStyle name="Normal 2 5 4 2 4" xfId="1227" xr:uid="{00000000-0005-0000-0000-00002F110000}"/>
    <cellStyle name="Normal 2 5 4 2 4 2" xfId="3457" xr:uid="{00000000-0005-0000-0000-000030110000}"/>
    <cellStyle name="Normal 2 5 4 2 4 2 2" xfId="7680" xr:uid="{00000000-0005-0000-0000-000031110000}"/>
    <cellStyle name="Normal 2 5 4 2 4 2 2 2" xfId="16122" xr:uid="{75D53BA6-85CB-4DD7-899C-DEEAFEF0C618}"/>
    <cellStyle name="Normal 2 5 4 2 4 2 3" xfId="11904" xr:uid="{3EEA79C0-D6F9-4353-B916-DAF40B02E81F}"/>
    <cellStyle name="Normal 2 5 4 2 4 3" xfId="5535" xr:uid="{00000000-0005-0000-0000-000032110000}"/>
    <cellStyle name="Normal 2 5 4 2 4 3 2" xfId="13977" xr:uid="{2971785E-E602-4DC1-AE7F-056CD2A40E7B}"/>
    <cellStyle name="Normal 2 5 4 2 4 4" xfId="9759" xr:uid="{D8526494-A332-400D-BD6D-1185D9FC1115}"/>
    <cellStyle name="Normal 2 5 4 2 5" xfId="1640" xr:uid="{00000000-0005-0000-0000-000033110000}"/>
    <cellStyle name="Normal 2 5 4 2 5 2" xfId="3870" xr:uid="{00000000-0005-0000-0000-000034110000}"/>
    <cellStyle name="Normal 2 5 4 2 5 2 2" xfId="8093" xr:uid="{00000000-0005-0000-0000-000035110000}"/>
    <cellStyle name="Normal 2 5 4 2 5 2 2 2" xfId="16535" xr:uid="{3FC8A800-9B64-489B-BE5C-BEBBFAEC0812}"/>
    <cellStyle name="Normal 2 5 4 2 5 2 3" xfId="12317" xr:uid="{A6A7F072-312D-4328-9BD8-62C81E40C31D}"/>
    <cellStyle name="Normal 2 5 4 2 5 3" xfId="5948" xr:uid="{00000000-0005-0000-0000-000036110000}"/>
    <cellStyle name="Normal 2 5 4 2 5 3 2" xfId="14390" xr:uid="{01A3840F-D8B5-4DC4-BC8A-949CFAB31A18}"/>
    <cellStyle name="Normal 2 5 4 2 5 4" xfId="10172" xr:uid="{6B403C19-CDAF-4B55-9A83-8FB2697A9FC8}"/>
    <cellStyle name="Normal 2 5 4 2 6" xfId="2054" xr:uid="{00000000-0005-0000-0000-000037110000}"/>
    <cellStyle name="Normal 2 5 4 2 6 2" xfId="4283" xr:uid="{00000000-0005-0000-0000-000038110000}"/>
    <cellStyle name="Normal 2 5 4 2 6 2 2" xfId="8506" xr:uid="{00000000-0005-0000-0000-000039110000}"/>
    <cellStyle name="Normal 2 5 4 2 6 2 2 2" xfId="16948" xr:uid="{52A6DF18-F668-4005-B15C-5AD1B1C21FC3}"/>
    <cellStyle name="Normal 2 5 4 2 6 2 3" xfId="12730" xr:uid="{8F720B91-236A-4ABA-9ADF-66B13D01618B}"/>
    <cellStyle name="Normal 2 5 4 2 6 3" xfId="6361" xr:uid="{00000000-0005-0000-0000-00003A110000}"/>
    <cellStyle name="Normal 2 5 4 2 6 3 2" xfId="14803" xr:uid="{910B131A-3356-40FF-929F-41D754A39F1E}"/>
    <cellStyle name="Normal 2 5 4 2 6 4" xfId="10585" xr:uid="{4732AD0E-4250-469D-944E-E7C5EB9538F8}"/>
    <cellStyle name="Normal 2 5 4 2 7" xfId="2490" xr:uid="{00000000-0005-0000-0000-00003B110000}"/>
    <cellStyle name="Normal 2 5 4 2 7 2" xfId="6774" xr:uid="{00000000-0005-0000-0000-00003C110000}"/>
    <cellStyle name="Normal 2 5 4 2 7 2 2" xfId="15216" xr:uid="{BD4B24E4-B50D-499A-828A-1F93E75671FA}"/>
    <cellStyle name="Normal 2 5 4 2 7 3" xfId="10998" xr:uid="{492F5CCA-4BEE-46BE-93CE-8C43BD2AB137}"/>
    <cellStyle name="Normal 2 5 4 2 8" xfId="4708" xr:uid="{00000000-0005-0000-0000-00003D110000}"/>
    <cellStyle name="Normal 2 5 4 2 8 2" xfId="13150" xr:uid="{F062A85A-5B0A-4901-AAE1-F228C06764E0}"/>
    <cellStyle name="Normal 2 5 4 2 9" xfId="8932" xr:uid="{ECFFD2DF-F413-4AD2-A5C1-8E9059DA6E63}"/>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2 2 2" xfId="15711" xr:uid="{023D37A1-5B34-469D-AB8E-2E4795BC29F9}"/>
    <cellStyle name="Normal 2 5 4 3 2 2 3" xfId="11493" xr:uid="{3C340143-8FFB-4E31-B84F-34FC9CE7615D}"/>
    <cellStyle name="Normal 2 5 4 3 2 3" xfId="5124" xr:uid="{00000000-0005-0000-0000-000042110000}"/>
    <cellStyle name="Normal 2 5 4 3 2 3 2" xfId="13566" xr:uid="{193A4AB8-CA8E-4573-A98C-72E34367D5EC}"/>
    <cellStyle name="Normal 2 5 4 3 2 4" xfId="9348" xr:uid="{8F416755-F282-402F-BAD5-EC445A604A13}"/>
    <cellStyle name="Normal 2 5 4 3 3" xfId="1229" xr:uid="{00000000-0005-0000-0000-000043110000}"/>
    <cellStyle name="Normal 2 5 4 3 3 2" xfId="3459" xr:uid="{00000000-0005-0000-0000-000044110000}"/>
    <cellStyle name="Normal 2 5 4 3 3 2 2" xfId="7682" xr:uid="{00000000-0005-0000-0000-000045110000}"/>
    <cellStyle name="Normal 2 5 4 3 3 2 2 2" xfId="16124" xr:uid="{84ACB22D-D65B-4314-994B-468F2F100144}"/>
    <cellStyle name="Normal 2 5 4 3 3 2 3" xfId="11906" xr:uid="{ECCEC525-03A4-42C6-91FE-8CD442B7289C}"/>
    <cellStyle name="Normal 2 5 4 3 3 3" xfId="5537" xr:uid="{00000000-0005-0000-0000-000046110000}"/>
    <cellStyle name="Normal 2 5 4 3 3 3 2" xfId="13979" xr:uid="{9A6CF097-9256-4EC4-95CA-3A875630534F}"/>
    <cellStyle name="Normal 2 5 4 3 3 4" xfId="9761" xr:uid="{F9A51B6B-898E-4EF5-9C2E-A61E7327C972}"/>
    <cellStyle name="Normal 2 5 4 3 4" xfId="1642" xr:uid="{00000000-0005-0000-0000-000047110000}"/>
    <cellStyle name="Normal 2 5 4 3 4 2" xfId="3872" xr:uid="{00000000-0005-0000-0000-000048110000}"/>
    <cellStyle name="Normal 2 5 4 3 4 2 2" xfId="8095" xr:uid="{00000000-0005-0000-0000-000049110000}"/>
    <cellStyle name="Normal 2 5 4 3 4 2 2 2" xfId="16537" xr:uid="{F4B6CCAD-C32C-4FBE-9E0E-7A773390949F}"/>
    <cellStyle name="Normal 2 5 4 3 4 2 3" xfId="12319" xr:uid="{EDF4957F-6F20-44F6-85B7-A8775F3F7448}"/>
    <cellStyle name="Normal 2 5 4 3 4 3" xfId="5950" xr:uid="{00000000-0005-0000-0000-00004A110000}"/>
    <cellStyle name="Normal 2 5 4 3 4 3 2" xfId="14392" xr:uid="{60C1D202-9774-4CC0-BB25-63441DBA4720}"/>
    <cellStyle name="Normal 2 5 4 3 4 4" xfId="10174" xr:uid="{C866896F-55F6-4A9E-9146-56B7587DF273}"/>
    <cellStyle name="Normal 2 5 4 3 5" xfId="2056" xr:uid="{00000000-0005-0000-0000-00004B110000}"/>
    <cellStyle name="Normal 2 5 4 3 5 2" xfId="4285" xr:uid="{00000000-0005-0000-0000-00004C110000}"/>
    <cellStyle name="Normal 2 5 4 3 5 2 2" xfId="8508" xr:uid="{00000000-0005-0000-0000-00004D110000}"/>
    <cellStyle name="Normal 2 5 4 3 5 2 2 2" xfId="16950" xr:uid="{3FC050B6-96BA-4392-9929-16793F7C80D7}"/>
    <cellStyle name="Normal 2 5 4 3 5 2 3" xfId="12732" xr:uid="{A88B824C-AC58-477B-9AE6-2E07FF529221}"/>
    <cellStyle name="Normal 2 5 4 3 5 3" xfId="6363" xr:uid="{00000000-0005-0000-0000-00004E110000}"/>
    <cellStyle name="Normal 2 5 4 3 5 3 2" xfId="14805" xr:uid="{B387D21F-FD72-424A-B452-4755DDB9C359}"/>
    <cellStyle name="Normal 2 5 4 3 5 4" xfId="10587" xr:uid="{22B51156-EBF8-4A91-ADFD-95D731F89EC5}"/>
    <cellStyle name="Normal 2 5 4 3 6" xfId="2492" xr:uid="{00000000-0005-0000-0000-00004F110000}"/>
    <cellStyle name="Normal 2 5 4 3 6 2" xfId="6776" xr:uid="{00000000-0005-0000-0000-000050110000}"/>
    <cellStyle name="Normal 2 5 4 3 6 2 2" xfId="15218" xr:uid="{9DA0B405-5CF0-45A7-BD45-033A3DF6B34C}"/>
    <cellStyle name="Normal 2 5 4 3 6 3" xfId="11000" xr:uid="{C1A2B0E4-7D1D-4FE0-BBC4-BC07C1787789}"/>
    <cellStyle name="Normal 2 5 4 3 7" xfId="4710" xr:uid="{00000000-0005-0000-0000-000051110000}"/>
    <cellStyle name="Normal 2 5 4 3 7 2" xfId="13152" xr:uid="{9B59C812-8F57-4665-BBD4-5DB08552D236}"/>
    <cellStyle name="Normal 2 5 4 3 8" xfId="8934" xr:uid="{529D1809-2771-4A37-9377-C26B838238E6}"/>
    <cellStyle name="Normal 2 5 4 4" xfId="804" xr:uid="{00000000-0005-0000-0000-000052110000}"/>
    <cellStyle name="Normal 2 5 4 4 2" xfId="3043" xr:uid="{00000000-0005-0000-0000-000053110000}"/>
    <cellStyle name="Normal 2 5 4 4 2 2" xfId="7266" xr:uid="{00000000-0005-0000-0000-000054110000}"/>
    <cellStyle name="Normal 2 5 4 4 2 2 2" xfId="15708" xr:uid="{AAB39CFF-A2C5-426B-BFF3-4DE1F21FA840}"/>
    <cellStyle name="Normal 2 5 4 4 2 3" xfId="11490" xr:uid="{3AB17D01-4BAD-4C49-ABB6-91BA8646ACD5}"/>
    <cellStyle name="Normal 2 5 4 4 3" xfId="5121" xr:uid="{00000000-0005-0000-0000-000055110000}"/>
    <cellStyle name="Normal 2 5 4 4 3 2" xfId="13563" xr:uid="{79966D2A-E850-4B10-800C-18295F2D615A}"/>
    <cellStyle name="Normal 2 5 4 4 4" xfId="9345" xr:uid="{E74D57D8-61DC-4799-A8DC-8006A578A24A}"/>
    <cellStyle name="Normal 2 5 4 5" xfId="1226" xr:uid="{00000000-0005-0000-0000-000056110000}"/>
    <cellStyle name="Normal 2 5 4 5 2" xfId="3456" xr:uid="{00000000-0005-0000-0000-000057110000}"/>
    <cellStyle name="Normal 2 5 4 5 2 2" xfId="7679" xr:uid="{00000000-0005-0000-0000-000058110000}"/>
    <cellStyle name="Normal 2 5 4 5 2 2 2" xfId="16121" xr:uid="{95DFFF2E-AB03-458B-9F82-2B093E762F63}"/>
    <cellStyle name="Normal 2 5 4 5 2 3" xfId="11903" xr:uid="{96922E00-CCFA-4602-9970-B1D73AD3005C}"/>
    <cellStyle name="Normal 2 5 4 5 3" xfId="5534" xr:uid="{00000000-0005-0000-0000-000059110000}"/>
    <cellStyle name="Normal 2 5 4 5 3 2" xfId="13976" xr:uid="{29501D8F-79CC-4C06-85E8-AA0C91590B2E}"/>
    <cellStyle name="Normal 2 5 4 5 4" xfId="9758" xr:uid="{D7B19AB1-3091-4A7C-9E95-F5B9B7B79A9B}"/>
    <cellStyle name="Normal 2 5 4 6" xfId="1639" xr:uid="{00000000-0005-0000-0000-00005A110000}"/>
    <cellStyle name="Normal 2 5 4 6 2" xfId="3869" xr:uid="{00000000-0005-0000-0000-00005B110000}"/>
    <cellStyle name="Normal 2 5 4 6 2 2" xfId="8092" xr:uid="{00000000-0005-0000-0000-00005C110000}"/>
    <cellStyle name="Normal 2 5 4 6 2 2 2" xfId="16534" xr:uid="{04D764C1-CED1-4808-8C8F-E94FB92A842D}"/>
    <cellStyle name="Normal 2 5 4 6 2 3" xfId="12316" xr:uid="{73B845C2-1D92-4CD5-BCFA-8A1BA5C43132}"/>
    <cellStyle name="Normal 2 5 4 6 3" xfId="5947" xr:uid="{00000000-0005-0000-0000-00005D110000}"/>
    <cellStyle name="Normal 2 5 4 6 3 2" xfId="14389" xr:uid="{3AB51019-4815-4E6F-A4D9-C70B903F9332}"/>
    <cellStyle name="Normal 2 5 4 6 4" xfId="10171" xr:uid="{ACFF7E1B-DE96-4D13-AAA4-85DA628757A5}"/>
    <cellStyle name="Normal 2 5 4 7" xfId="2053" xr:uid="{00000000-0005-0000-0000-00005E110000}"/>
    <cellStyle name="Normal 2 5 4 7 2" xfId="4282" xr:uid="{00000000-0005-0000-0000-00005F110000}"/>
    <cellStyle name="Normal 2 5 4 7 2 2" xfId="8505" xr:uid="{00000000-0005-0000-0000-000060110000}"/>
    <cellStyle name="Normal 2 5 4 7 2 2 2" xfId="16947" xr:uid="{74DE0E83-5A04-481C-9C45-401B19836079}"/>
    <cellStyle name="Normal 2 5 4 7 2 3" xfId="12729" xr:uid="{4737D21C-E792-4462-93F2-F8E76C3785B7}"/>
    <cellStyle name="Normal 2 5 4 7 3" xfId="6360" xr:uid="{00000000-0005-0000-0000-000061110000}"/>
    <cellStyle name="Normal 2 5 4 7 3 2" xfId="14802" xr:uid="{06FFDB94-5A5B-43FB-A4D6-49E22C660A7B}"/>
    <cellStyle name="Normal 2 5 4 7 4" xfId="10584" xr:uid="{C4E5D352-D546-405D-8A08-11BF0CB17128}"/>
    <cellStyle name="Normal 2 5 4 8" xfId="2489" xr:uid="{00000000-0005-0000-0000-000062110000}"/>
    <cellStyle name="Normal 2 5 4 8 2" xfId="6773" xr:uid="{00000000-0005-0000-0000-000063110000}"/>
    <cellStyle name="Normal 2 5 4 8 2 2" xfId="15215" xr:uid="{BF48EDC4-4EDA-4E79-B085-68438DAA3B6A}"/>
    <cellStyle name="Normal 2 5 4 8 3" xfId="10997" xr:uid="{FE8B0807-5B94-4503-A66E-CBE873F71E61}"/>
    <cellStyle name="Normal 2 5 4 9" xfId="4707" xr:uid="{00000000-0005-0000-0000-000064110000}"/>
    <cellStyle name="Normal 2 5 4 9 2" xfId="13149" xr:uid="{3C6B2D1E-42F5-44CE-B886-9268E8B9DEE0}"/>
    <cellStyle name="Normal 2 5 5" xfId="803" xr:uid="{00000000-0005-0000-0000-000065110000}"/>
    <cellStyle name="Normal 2 5 5 2" xfId="3042" xr:uid="{00000000-0005-0000-0000-000066110000}"/>
    <cellStyle name="Normal 2 5 5 2 2" xfId="7265" xr:uid="{00000000-0005-0000-0000-000067110000}"/>
    <cellStyle name="Normal 2 5 5 2 2 2" xfId="15707" xr:uid="{F6250A91-634B-427D-828F-DC68DC443D7A}"/>
    <cellStyle name="Normal 2 5 5 2 3" xfId="11489" xr:uid="{49DC049C-8169-4EF3-9215-C8BA8BA941A2}"/>
    <cellStyle name="Normal 2 5 5 3" xfId="5120" xr:uid="{00000000-0005-0000-0000-000068110000}"/>
    <cellStyle name="Normal 2 5 5 3 2" xfId="13562" xr:uid="{F6E4DBDE-311D-414A-B4D8-01BD2724D727}"/>
    <cellStyle name="Normal 2 5 5 4" xfId="9344" xr:uid="{768C753C-2547-45FB-8A2C-09CC63594CD0}"/>
    <cellStyle name="Normal 2 5 6" xfId="1225" xr:uid="{00000000-0005-0000-0000-000069110000}"/>
    <cellStyle name="Normal 2 5 6 2" xfId="3455" xr:uid="{00000000-0005-0000-0000-00006A110000}"/>
    <cellStyle name="Normal 2 5 6 2 2" xfId="7678" xr:uid="{00000000-0005-0000-0000-00006B110000}"/>
    <cellStyle name="Normal 2 5 6 2 2 2" xfId="16120" xr:uid="{A62E73A4-6D83-4E94-B668-A2806D375398}"/>
    <cellStyle name="Normal 2 5 6 2 3" xfId="11902" xr:uid="{157AE0C5-48E7-4AC1-A401-AB7040801FAA}"/>
    <cellStyle name="Normal 2 5 6 3" xfId="5533" xr:uid="{00000000-0005-0000-0000-00006C110000}"/>
    <cellStyle name="Normal 2 5 6 3 2" xfId="13975" xr:uid="{AEBACC33-949F-427A-999B-FDE045563581}"/>
    <cellStyle name="Normal 2 5 6 4" xfId="9757" xr:uid="{0FBF1527-05C7-4F75-AA27-DDB3B6A57823}"/>
    <cellStyle name="Normal 2 5 7" xfId="1638" xr:uid="{00000000-0005-0000-0000-00006D110000}"/>
    <cellStyle name="Normal 2 5 7 2" xfId="3868" xr:uid="{00000000-0005-0000-0000-00006E110000}"/>
    <cellStyle name="Normal 2 5 7 2 2" xfId="8091" xr:uid="{00000000-0005-0000-0000-00006F110000}"/>
    <cellStyle name="Normal 2 5 7 2 2 2" xfId="16533" xr:uid="{B50DDBF1-D8EA-40E7-A6CA-04AD649CA81F}"/>
    <cellStyle name="Normal 2 5 7 2 3" xfId="12315" xr:uid="{6F287070-751D-417A-913C-F3833DDB9F7F}"/>
    <cellStyle name="Normal 2 5 7 3" xfId="5946" xr:uid="{00000000-0005-0000-0000-000070110000}"/>
    <cellStyle name="Normal 2 5 7 3 2" xfId="14388" xr:uid="{A9544CBD-F3DC-4591-81C3-7B4DDD8C840E}"/>
    <cellStyle name="Normal 2 5 7 4" xfId="10170" xr:uid="{B062C81A-3B4D-4943-877A-ED5675224F4F}"/>
    <cellStyle name="Normal 2 5 8" xfId="2052" xr:uid="{00000000-0005-0000-0000-000071110000}"/>
    <cellStyle name="Normal 2 5 8 2" xfId="4281" xr:uid="{00000000-0005-0000-0000-000072110000}"/>
    <cellStyle name="Normal 2 5 8 2 2" xfId="8504" xr:uid="{00000000-0005-0000-0000-000073110000}"/>
    <cellStyle name="Normal 2 5 8 2 2 2" xfId="16946" xr:uid="{E953C8FA-A1AC-4D05-A282-D00C7359A3F7}"/>
    <cellStyle name="Normal 2 5 8 2 3" xfId="12728" xr:uid="{EA083A64-C400-49F1-AD2C-74711C0D71DE}"/>
    <cellStyle name="Normal 2 5 8 3" xfId="6359" xr:uid="{00000000-0005-0000-0000-000074110000}"/>
    <cellStyle name="Normal 2 5 8 3 2" xfId="14801" xr:uid="{F213BDE1-6627-434D-AB92-ECA9C6FCF534}"/>
    <cellStyle name="Normal 2 5 8 4" xfId="10583" xr:uid="{08CAB0B8-F960-43D2-A2C5-F7231F2F1CC1}"/>
    <cellStyle name="Normal 2 5 9" xfId="2488" xr:uid="{00000000-0005-0000-0000-000075110000}"/>
    <cellStyle name="Normal 2 5 9 2" xfId="6772" xr:uid="{00000000-0005-0000-0000-000076110000}"/>
    <cellStyle name="Normal 2 5 9 2 2" xfId="15214" xr:uid="{03BE8CCE-7762-428F-9855-64DA2EEEF076}"/>
    <cellStyle name="Normal 2 5 9 3" xfId="10996" xr:uid="{B60DF74F-02DA-4CCE-A00A-1123113AC349}"/>
    <cellStyle name="Normal 2 6" xfId="322" xr:uid="{00000000-0005-0000-0000-000077110000}"/>
    <cellStyle name="Normal 2 7" xfId="769" xr:uid="{00000000-0005-0000-0000-000078110000}"/>
    <cellStyle name="Normal 2 8" xfId="4495" xr:uid="{00000000-0005-0000-0000-000079110000}"/>
    <cellStyle name="Normal 2 8 2" xfId="12940" xr:uid="{C3D5CEEA-1661-4CA4-B278-15198CCF2624}"/>
    <cellStyle name="Normal 3" xfId="323" xr:uid="{00000000-0005-0000-0000-00007A110000}"/>
    <cellStyle name="Normal 3 2" xfId="324" xr:uid="{00000000-0005-0000-0000-00007B110000}"/>
    <cellStyle name="Normal 3 2 10" xfId="8935" xr:uid="{06A721B8-3D40-4770-AFEC-E88DCEC60F0F}"/>
    <cellStyle name="Normal 3 2 2" xfId="325" xr:uid="{00000000-0005-0000-0000-00007C110000}"/>
    <cellStyle name="Normal 3 2 2 2" xfId="810" xr:uid="{00000000-0005-0000-0000-00007D110000}"/>
    <cellStyle name="Normal 3 2 3" xfId="326" xr:uid="{00000000-0005-0000-0000-00007E110000}"/>
    <cellStyle name="Normal 3 2 3 10" xfId="8936" xr:uid="{70946310-6387-406E-8F4B-B82B89E6748D}"/>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2 2 2" xfId="15715" xr:uid="{A5999162-F50D-4F09-9B5B-440EAC0E1E70}"/>
    <cellStyle name="Normal 3 2 3 2 2 2 2 3" xfId="11497" xr:uid="{6776CB7E-864B-4CDE-A349-BCB276DBF572}"/>
    <cellStyle name="Normal 3 2 3 2 2 2 3" xfId="5128" xr:uid="{00000000-0005-0000-0000-000084110000}"/>
    <cellStyle name="Normal 3 2 3 2 2 2 3 2" xfId="13570" xr:uid="{70526CDE-7262-436F-9A0D-12A5B8483CE6}"/>
    <cellStyle name="Normal 3 2 3 2 2 2 4" xfId="9352" xr:uid="{EC0449B9-7911-4400-B6A3-17444B7A9E8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2 2 2" xfId="16128" xr:uid="{41C103C6-ED39-49CA-8977-C2F0E4725E05}"/>
    <cellStyle name="Normal 3 2 3 2 2 3 2 3" xfId="11910" xr:uid="{2FBAFCAF-1BBF-4A82-8936-4E67731B189D}"/>
    <cellStyle name="Normal 3 2 3 2 2 3 3" xfId="5541" xr:uid="{00000000-0005-0000-0000-000088110000}"/>
    <cellStyle name="Normal 3 2 3 2 2 3 3 2" xfId="13983" xr:uid="{9A2BE026-D3A9-42BB-AECD-64DD5D56334C}"/>
    <cellStyle name="Normal 3 2 3 2 2 3 4" xfId="9765" xr:uid="{CB39AC04-A766-4D49-8783-7EBB6370E77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2 2 2" xfId="16541" xr:uid="{7CCCFB69-06B1-4DF0-B72A-85A641529790}"/>
    <cellStyle name="Normal 3 2 3 2 2 4 2 3" xfId="12323" xr:uid="{044A3F17-CD2F-4D88-96A2-A6D1BD2B7FE9}"/>
    <cellStyle name="Normal 3 2 3 2 2 4 3" xfId="5954" xr:uid="{00000000-0005-0000-0000-00008C110000}"/>
    <cellStyle name="Normal 3 2 3 2 2 4 3 2" xfId="14396" xr:uid="{367E5120-C1E0-463D-BACA-72BF4ADED218}"/>
    <cellStyle name="Normal 3 2 3 2 2 4 4" xfId="10178" xr:uid="{DDB96046-5CEF-42F3-BEB5-5E6E63E2BC15}"/>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2 2 2" xfId="16954" xr:uid="{65FB58B5-F5FF-4513-A5D0-7E7F96FDABA7}"/>
    <cellStyle name="Normal 3 2 3 2 2 5 2 3" xfId="12736" xr:uid="{9D30FFEC-0E82-42DC-92A0-2ECFD0CF3F7F}"/>
    <cellStyle name="Normal 3 2 3 2 2 5 3" xfId="6367" xr:uid="{00000000-0005-0000-0000-000090110000}"/>
    <cellStyle name="Normal 3 2 3 2 2 5 3 2" xfId="14809" xr:uid="{AE781FAC-7E8A-4033-87E8-DE1ADD6D46B0}"/>
    <cellStyle name="Normal 3 2 3 2 2 5 4" xfId="10591" xr:uid="{F312D1CA-2BBB-4F58-96F7-B36E12B37FC9}"/>
    <cellStyle name="Normal 3 2 3 2 2 6" xfId="2496" xr:uid="{00000000-0005-0000-0000-000091110000}"/>
    <cellStyle name="Normal 3 2 3 2 2 6 2" xfId="6780" xr:uid="{00000000-0005-0000-0000-000092110000}"/>
    <cellStyle name="Normal 3 2 3 2 2 6 2 2" xfId="15222" xr:uid="{66DF87B7-A57B-436B-B4D1-DCC09E79C4EC}"/>
    <cellStyle name="Normal 3 2 3 2 2 6 3" xfId="11004" xr:uid="{4596C376-ABD0-4FBC-8FDF-E8A45CDDE371}"/>
    <cellStyle name="Normal 3 2 3 2 2 7" xfId="4714" xr:uid="{00000000-0005-0000-0000-000093110000}"/>
    <cellStyle name="Normal 3 2 3 2 2 7 2" xfId="13156" xr:uid="{46573C44-4B6A-451D-AAED-B086942950FF}"/>
    <cellStyle name="Normal 3 2 3 2 2 8" xfId="8938" xr:uid="{2ACE3B01-12A7-4630-AE06-7F9923544659}"/>
    <cellStyle name="Normal 3 2 3 2 3" xfId="812" xr:uid="{00000000-0005-0000-0000-000094110000}"/>
    <cellStyle name="Normal 3 2 3 2 3 2" xfId="3049" xr:uid="{00000000-0005-0000-0000-000095110000}"/>
    <cellStyle name="Normal 3 2 3 2 3 2 2" xfId="7272" xr:uid="{00000000-0005-0000-0000-000096110000}"/>
    <cellStyle name="Normal 3 2 3 2 3 2 2 2" xfId="15714" xr:uid="{56695781-B5A4-4822-9615-DB74AE5E2AEA}"/>
    <cellStyle name="Normal 3 2 3 2 3 2 3" xfId="11496" xr:uid="{83813D71-9B45-49C5-899F-922D847D0EA5}"/>
    <cellStyle name="Normal 3 2 3 2 3 3" xfId="5127" xr:uid="{00000000-0005-0000-0000-000097110000}"/>
    <cellStyle name="Normal 3 2 3 2 3 3 2" xfId="13569" xr:uid="{A53AF054-B7CA-4927-BB4E-83F5BD32D557}"/>
    <cellStyle name="Normal 3 2 3 2 3 4" xfId="9351" xr:uid="{6405E754-F132-4467-8956-854733A3DE5E}"/>
    <cellStyle name="Normal 3 2 3 2 4" xfId="1232" xr:uid="{00000000-0005-0000-0000-000098110000}"/>
    <cellStyle name="Normal 3 2 3 2 4 2" xfId="3462" xr:uid="{00000000-0005-0000-0000-000099110000}"/>
    <cellStyle name="Normal 3 2 3 2 4 2 2" xfId="7685" xr:uid="{00000000-0005-0000-0000-00009A110000}"/>
    <cellStyle name="Normal 3 2 3 2 4 2 2 2" xfId="16127" xr:uid="{91A18152-BF8F-4CE3-8A9B-960482896340}"/>
    <cellStyle name="Normal 3 2 3 2 4 2 3" xfId="11909" xr:uid="{04E29A37-0E53-4132-8812-BB28EEB2A7F9}"/>
    <cellStyle name="Normal 3 2 3 2 4 3" xfId="5540" xr:uid="{00000000-0005-0000-0000-00009B110000}"/>
    <cellStyle name="Normal 3 2 3 2 4 3 2" xfId="13982" xr:uid="{DF3DE01E-9D33-4D61-9E8B-34C97C9F9582}"/>
    <cellStyle name="Normal 3 2 3 2 4 4" xfId="9764" xr:uid="{FDE0E21E-66A9-441B-A140-0947D4777E1D}"/>
    <cellStyle name="Normal 3 2 3 2 5" xfId="1645" xr:uid="{00000000-0005-0000-0000-00009C110000}"/>
    <cellStyle name="Normal 3 2 3 2 5 2" xfId="3875" xr:uid="{00000000-0005-0000-0000-00009D110000}"/>
    <cellStyle name="Normal 3 2 3 2 5 2 2" xfId="8098" xr:uid="{00000000-0005-0000-0000-00009E110000}"/>
    <cellStyle name="Normal 3 2 3 2 5 2 2 2" xfId="16540" xr:uid="{7131C51F-7EDF-48C2-ABDF-4B0B58471638}"/>
    <cellStyle name="Normal 3 2 3 2 5 2 3" xfId="12322" xr:uid="{6B5B698F-7376-467E-AD48-E849DB2B8FF0}"/>
    <cellStyle name="Normal 3 2 3 2 5 3" xfId="5953" xr:uid="{00000000-0005-0000-0000-00009F110000}"/>
    <cellStyle name="Normal 3 2 3 2 5 3 2" xfId="14395" xr:uid="{11302A51-E84B-48A0-8AB6-AB76B35C83E2}"/>
    <cellStyle name="Normal 3 2 3 2 5 4" xfId="10177" xr:uid="{99989039-B69C-482A-8524-BFC365AAD13D}"/>
    <cellStyle name="Normal 3 2 3 2 6" xfId="2059" xr:uid="{00000000-0005-0000-0000-0000A0110000}"/>
    <cellStyle name="Normal 3 2 3 2 6 2" xfId="4288" xr:uid="{00000000-0005-0000-0000-0000A1110000}"/>
    <cellStyle name="Normal 3 2 3 2 6 2 2" xfId="8511" xr:uid="{00000000-0005-0000-0000-0000A2110000}"/>
    <cellStyle name="Normal 3 2 3 2 6 2 2 2" xfId="16953" xr:uid="{8AF54511-7740-45B7-B4FC-319303FCEB79}"/>
    <cellStyle name="Normal 3 2 3 2 6 2 3" xfId="12735" xr:uid="{27175303-CA1D-43BB-8DD1-68F29FD41C51}"/>
    <cellStyle name="Normal 3 2 3 2 6 3" xfId="6366" xr:uid="{00000000-0005-0000-0000-0000A3110000}"/>
    <cellStyle name="Normal 3 2 3 2 6 3 2" xfId="14808" xr:uid="{F18A168D-3F11-4F31-BDB0-A092D1D41905}"/>
    <cellStyle name="Normal 3 2 3 2 6 4" xfId="10590" xr:uid="{80D74471-FAEF-4DC0-9DCA-44B406C2C594}"/>
    <cellStyle name="Normal 3 2 3 2 7" xfId="2495" xr:uid="{00000000-0005-0000-0000-0000A4110000}"/>
    <cellStyle name="Normal 3 2 3 2 7 2" xfId="6779" xr:uid="{00000000-0005-0000-0000-0000A5110000}"/>
    <cellStyle name="Normal 3 2 3 2 7 2 2" xfId="15221" xr:uid="{65A0F04C-B79A-43CE-A532-3754BB869A5B}"/>
    <cellStyle name="Normal 3 2 3 2 7 3" xfId="11003" xr:uid="{0FFFD4AE-343D-4377-921C-139857077749}"/>
    <cellStyle name="Normal 3 2 3 2 8" xfId="4713" xr:uid="{00000000-0005-0000-0000-0000A6110000}"/>
    <cellStyle name="Normal 3 2 3 2 8 2" xfId="13155" xr:uid="{49E59347-DC11-4A2C-B04B-5968F8DFC006}"/>
    <cellStyle name="Normal 3 2 3 2 9" xfId="8937" xr:uid="{BAF75B4F-566F-4696-89F8-4C666FE0A35E}"/>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2 2 2" xfId="15716" xr:uid="{8B9BC742-6B8A-4920-8BC3-66C6E1B59B69}"/>
    <cellStyle name="Normal 3 2 3 3 2 2 3" xfId="11498" xr:uid="{73547001-2A5F-4D48-AD90-4CC8174D1CE7}"/>
    <cellStyle name="Normal 3 2 3 3 2 3" xfId="5129" xr:uid="{00000000-0005-0000-0000-0000AB110000}"/>
    <cellStyle name="Normal 3 2 3 3 2 3 2" xfId="13571" xr:uid="{95D08C93-7367-4EAC-BCC3-F83C1FA8BE7B}"/>
    <cellStyle name="Normal 3 2 3 3 2 4" xfId="9353" xr:uid="{27890A38-3761-4CBC-8DEC-CA164E6EB9E8}"/>
    <cellStyle name="Normal 3 2 3 3 3" xfId="1234" xr:uid="{00000000-0005-0000-0000-0000AC110000}"/>
    <cellStyle name="Normal 3 2 3 3 3 2" xfId="3464" xr:uid="{00000000-0005-0000-0000-0000AD110000}"/>
    <cellStyle name="Normal 3 2 3 3 3 2 2" xfId="7687" xr:uid="{00000000-0005-0000-0000-0000AE110000}"/>
    <cellStyle name="Normal 3 2 3 3 3 2 2 2" xfId="16129" xr:uid="{2210E952-54DC-4ED0-A2A3-9218F5E3CF68}"/>
    <cellStyle name="Normal 3 2 3 3 3 2 3" xfId="11911" xr:uid="{4B276346-13E4-4133-8CBC-D5AE40F28713}"/>
    <cellStyle name="Normal 3 2 3 3 3 3" xfId="5542" xr:uid="{00000000-0005-0000-0000-0000AF110000}"/>
    <cellStyle name="Normal 3 2 3 3 3 3 2" xfId="13984" xr:uid="{8AE194C3-E55A-48BB-A49B-19D1A5C337F0}"/>
    <cellStyle name="Normal 3 2 3 3 3 4" xfId="9766" xr:uid="{D9CDC60F-3441-4184-BEF7-265028380833}"/>
    <cellStyle name="Normal 3 2 3 3 4" xfId="1647" xr:uid="{00000000-0005-0000-0000-0000B0110000}"/>
    <cellStyle name="Normal 3 2 3 3 4 2" xfId="3877" xr:uid="{00000000-0005-0000-0000-0000B1110000}"/>
    <cellStyle name="Normal 3 2 3 3 4 2 2" xfId="8100" xr:uid="{00000000-0005-0000-0000-0000B2110000}"/>
    <cellStyle name="Normal 3 2 3 3 4 2 2 2" xfId="16542" xr:uid="{4A0BB5C6-D366-40B2-A144-4FC834910757}"/>
    <cellStyle name="Normal 3 2 3 3 4 2 3" xfId="12324" xr:uid="{C03506B4-87E8-41D7-95AC-7A7FDE942CC2}"/>
    <cellStyle name="Normal 3 2 3 3 4 3" xfId="5955" xr:uid="{00000000-0005-0000-0000-0000B3110000}"/>
    <cellStyle name="Normal 3 2 3 3 4 3 2" xfId="14397" xr:uid="{C62BA5A3-2DFF-48B5-9D08-3BD712F68692}"/>
    <cellStyle name="Normal 3 2 3 3 4 4" xfId="10179" xr:uid="{08DA8607-DE3F-4C19-9DF4-1DB12EA70073}"/>
    <cellStyle name="Normal 3 2 3 3 5" xfId="2061" xr:uid="{00000000-0005-0000-0000-0000B4110000}"/>
    <cellStyle name="Normal 3 2 3 3 5 2" xfId="4290" xr:uid="{00000000-0005-0000-0000-0000B5110000}"/>
    <cellStyle name="Normal 3 2 3 3 5 2 2" xfId="8513" xr:uid="{00000000-0005-0000-0000-0000B6110000}"/>
    <cellStyle name="Normal 3 2 3 3 5 2 2 2" xfId="16955" xr:uid="{44A72574-CB39-4B0C-9B96-CD43338BF249}"/>
    <cellStyle name="Normal 3 2 3 3 5 2 3" xfId="12737" xr:uid="{FA254F2D-5ACC-4811-AAEC-FD03BE5B864B}"/>
    <cellStyle name="Normal 3 2 3 3 5 3" xfId="6368" xr:uid="{00000000-0005-0000-0000-0000B7110000}"/>
    <cellStyle name="Normal 3 2 3 3 5 3 2" xfId="14810" xr:uid="{0D316DCA-0A3E-4E67-BBE2-745CD983B014}"/>
    <cellStyle name="Normal 3 2 3 3 5 4" xfId="10592" xr:uid="{EFA73BB3-C9D7-4D96-8D4B-779F02020608}"/>
    <cellStyle name="Normal 3 2 3 3 6" xfId="2497" xr:uid="{00000000-0005-0000-0000-0000B8110000}"/>
    <cellStyle name="Normal 3 2 3 3 6 2" xfId="6781" xr:uid="{00000000-0005-0000-0000-0000B9110000}"/>
    <cellStyle name="Normal 3 2 3 3 6 2 2" xfId="15223" xr:uid="{FB788338-4E3A-4E03-A4BD-A7B6CE72E74C}"/>
    <cellStyle name="Normal 3 2 3 3 6 3" xfId="11005" xr:uid="{27341AAF-BE20-4661-9574-160806C8588E}"/>
    <cellStyle name="Normal 3 2 3 3 7" xfId="4715" xr:uid="{00000000-0005-0000-0000-0000BA110000}"/>
    <cellStyle name="Normal 3 2 3 3 7 2" xfId="13157" xr:uid="{D03D4D98-7603-4F07-80D1-E1FF112D5CAB}"/>
    <cellStyle name="Normal 3 2 3 3 8" xfId="8939" xr:uid="{D5EC0CA6-9EB0-471A-8405-C177AC096364}"/>
    <cellStyle name="Normal 3 2 3 4" xfId="811" xr:uid="{00000000-0005-0000-0000-0000BB110000}"/>
    <cellStyle name="Normal 3 2 3 4 2" xfId="3048" xr:uid="{00000000-0005-0000-0000-0000BC110000}"/>
    <cellStyle name="Normal 3 2 3 4 2 2" xfId="7271" xr:uid="{00000000-0005-0000-0000-0000BD110000}"/>
    <cellStyle name="Normal 3 2 3 4 2 2 2" xfId="15713" xr:uid="{344C5E7F-12C9-4CAA-8711-B128DBCAE007}"/>
    <cellStyle name="Normal 3 2 3 4 2 3" xfId="11495" xr:uid="{201EB8A6-458B-414B-809B-87C9D994E113}"/>
    <cellStyle name="Normal 3 2 3 4 3" xfId="5126" xr:uid="{00000000-0005-0000-0000-0000BE110000}"/>
    <cellStyle name="Normal 3 2 3 4 3 2" xfId="13568" xr:uid="{5CA9C164-2997-4149-9A9A-7DF1C1FFA7A1}"/>
    <cellStyle name="Normal 3 2 3 4 4" xfId="9350" xr:uid="{4685491F-3BFB-4632-9C3D-7B9441838B27}"/>
    <cellStyle name="Normal 3 2 3 5" xfId="1231" xr:uid="{00000000-0005-0000-0000-0000BF110000}"/>
    <cellStyle name="Normal 3 2 3 5 2" xfId="3461" xr:uid="{00000000-0005-0000-0000-0000C0110000}"/>
    <cellStyle name="Normal 3 2 3 5 2 2" xfId="7684" xr:uid="{00000000-0005-0000-0000-0000C1110000}"/>
    <cellStyle name="Normal 3 2 3 5 2 2 2" xfId="16126" xr:uid="{AC51CC8E-8D1C-45D5-A516-359BD40FA79C}"/>
    <cellStyle name="Normal 3 2 3 5 2 3" xfId="11908" xr:uid="{C7D4A9AE-7C60-4B29-BDE9-FCB50269D705}"/>
    <cellStyle name="Normal 3 2 3 5 3" xfId="5539" xr:uid="{00000000-0005-0000-0000-0000C2110000}"/>
    <cellStyle name="Normal 3 2 3 5 3 2" xfId="13981" xr:uid="{FB9EE4BF-6C2E-4F4B-8CCF-3708FAA90A72}"/>
    <cellStyle name="Normal 3 2 3 5 4" xfId="9763" xr:uid="{9103C80C-581C-46F8-A1F6-A2D5D6707D54}"/>
    <cellStyle name="Normal 3 2 3 6" xfId="1644" xr:uid="{00000000-0005-0000-0000-0000C3110000}"/>
    <cellStyle name="Normal 3 2 3 6 2" xfId="3874" xr:uid="{00000000-0005-0000-0000-0000C4110000}"/>
    <cellStyle name="Normal 3 2 3 6 2 2" xfId="8097" xr:uid="{00000000-0005-0000-0000-0000C5110000}"/>
    <cellStyle name="Normal 3 2 3 6 2 2 2" xfId="16539" xr:uid="{936F1B51-74AD-474C-804E-764FF82C098E}"/>
    <cellStyle name="Normal 3 2 3 6 2 3" xfId="12321" xr:uid="{5DDC086D-1B8D-400B-8B2C-01054FD379EB}"/>
    <cellStyle name="Normal 3 2 3 6 3" xfId="5952" xr:uid="{00000000-0005-0000-0000-0000C6110000}"/>
    <cellStyle name="Normal 3 2 3 6 3 2" xfId="14394" xr:uid="{EC3CF3C3-1CDB-49CC-B8E8-9E13EF38CB0C}"/>
    <cellStyle name="Normal 3 2 3 6 4" xfId="10176" xr:uid="{080C2045-7CCF-4282-86F5-4B3260E24972}"/>
    <cellStyle name="Normal 3 2 3 7" xfId="2058" xr:uid="{00000000-0005-0000-0000-0000C7110000}"/>
    <cellStyle name="Normal 3 2 3 7 2" xfId="4287" xr:uid="{00000000-0005-0000-0000-0000C8110000}"/>
    <cellStyle name="Normal 3 2 3 7 2 2" xfId="8510" xr:uid="{00000000-0005-0000-0000-0000C9110000}"/>
    <cellStyle name="Normal 3 2 3 7 2 2 2" xfId="16952" xr:uid="{ECE73DC3-8221-4153-AB29-009900482E1F}"/>
    <cellStyle name="Normal 3 2 3 7 2 3" xfId="12734" xr:uid="{BD83D568-FBE6-4ADD-B343-C3D41E35C2BE}"/>
    <cellStyle name="Normal 3 2 3 7 3" xfId="6365" xr:uid="{00000000-0005-0000-0000-0000CA110000}"/>
    <cellStyle name="Normal 3 2 3 7 3 2" xfId="14807" xr:uid="{F90136A8-7C32-4ECF-AE2F-038E81F4D6BC}"/>
    <cellStyle name="Normal 3 2 3 7 4" xfId="10589" xr:uid="{5F16DBEC-4D78-4B2A-A96A-5B6CD62D2809}"/>
    <cellStyle name="Normal 3 2 3 8" xfId="2494" xr:uid="{00000000-0005-0000-0000-0000CB110000}"/>
    <cellStyle name="Normal 3 2 3 8 2" xfId="6778" xr:uid="{00000000-0005-0000-0000-0000CC110000}"/>
    <cellStyle name="Normal 3 2 3 8 2 2" xfId="15220" xr:uid="{7E81778B-C657-4AA9-9711-BE2095A00DB4}"/>
    <cellStyle name="Normal 3 2 3 8 3" xfId="11002" xr:uid="{F10B4831-29B8-4F53-A1FA-8F727A39A926}"/>
    <cellStyle name="Normal 3 2 3 9" xfId="4712" xr:uid="{00000000-0005-0000-0000-0000CD110000}"/>
    <cellStyle name="Normal 3 2 3 9 2" xfId="13154" xr:uid="{2A522354-AF63-45E7-8688-CED7296E79FA}"/>
    <cellStyle name="Normal 3 2 4" xfId="809" xr:uid="{00000000-0005-0000-0000-0000CE110000}"/>
    <cellStyle name="Normal 3 2 4 2" xfId="3047" xr:uid="{00000000-0005-0000-0000-0000CF110000}"/>
    <cellStyle name="Normal 3 2 4 2 2" xfId="7270" xr:uid="{00000000-0005-0000-0000-0000D0110000}"/>
    <cellStyle name="Normal 3 2 4 2 2 2" xfId="15712" xr:uid="{27144B34-ED94-495F-9DC0-E269922F7E3E}"/>
    <cellStyle name="Normal 3 2 4 2 3" xfId="11494" xr:uid="{CB6E99E9-4750-47A0-8C4A-7ED78AA25E95}"/>
    <cellStyle name="Normal 3 2 4 3" xfId="5125" xr:uid="{00000000-0005-0000-0000-0000D1110000}"/>
    <cellStyle name="Normal 3 2 4 3 2" xfId="13567" xr:uid="{61084893-0A55-47FC-B1F5-7912092A1C51}"/>
    <cellStyle name="Normal 3 2 4 4" xfId="9349" xr:uid="{368A201D-1FE7-489D-B24E-A0D1B6277679}"/>
    <cellStyle name="Normal 3 2 5" xfId="1230" xr:uid="{00000000-0005-0000-0000-0000D2110000}"/>
    <cellStyle name="Normal 3 2 5 2" xfId="3460" xr:uid="{00000000-0005-0000-0000-0000D3110000}"/>
    <cellStyle name="Normal 3 2 5 2 2" xfId="7683" xr:uid="{00000000-0005-0000-0000-0000D4110000}"/>
    <cellStyle name="Normal 3 2 5 2 2 2" xfId="16125" xr:uid="{D7AE3E12-EBF6-437E-854F-8E3252E6E1F9}"/>
    <cellStyle name="Normal 3 2 5 2 3" xfId="11907" xr:uid="{82E2203C-3727-4ACF-9E45-E301F03FF456}"/>
    <cellStyle name="Normal 3 2 5 3" xfId="5538" xr:uid="{00000000-0005-0000-0000-0000D5110000}"/>
    <cellStyle name="Normal 3 2 5 3 2" xfId="13980" xr:uid="{A2F2A8B7-364C-408E-A5DF-E29E4D9976FF}"/>
    <cellStyle name="Normal 3 2 5 4" xfId="9762" xr:uid="{A119BDC9-6E04-4D6D-AC0F-5651CD5ACFF9}"/>
    <cellStyle name="Normal 3 2 6" xfId="1643" xr:uid="{00000000-0005-0000-0000-0000D6110000}"/>
    <cellStyle name="Normal 3 2 6 2" xfId="3873" xr:uid="{00000000-0005-0000-0000-0000D7110000}"/>
    <cellStyle name="Normal 3 2 6 2 2" xfId="8096" xr:uid="{00000000-0005-0000-0000-0000D8110000}"/>
    <cellStyle name="Normal 3 2 6 2 2 2" xfId="16538" xr:uid="{17352B8F-C64D-4686-9DD6-CA31ADF1D768}"/>
    <cellStyle name="Normal 3 2 6 2 3" xfId="12320" xr:uid="{2D71D92F-FD66-4F58-841C-B990AE77986A}"/>
    <cellStyle name="Normal 3 2 6 3" xfId="5951" xr:uid="{00000000-0005-0000-0000-0000D9110000}"/>
    <cellStyle name="Normal 3 2 6 3 2" xfId="14393" xr:uid="{2C74900F-6F91-4DF9-B180-0284324EE8D6}"/>
    <cellStyle name="Normal 3 2 6 4" xfId="10175" xr:uid="{E9627B1C-0CF5-4472-B0D6-7ED1AF0C6F73}"/>
    <cellStyle name="Normal 3 2 7" xfId="2057" xr:uid="{00000000-0005-0000-0000-0000DA110000}"/>
    <cellStyle name="Normal 3 2 7 2" xfId="4286" xr:uid="{00000000-0005-0000-0000-0000DB110000}"/>
    <cellStyle name="Normal 3 2 7 2 2" xfId="8509" xr:uid="{00000000-0005-0000-0000-0000DC110000}"/>
    <cellStyle name="Normal 3 2 7 2 2 2" xfId="16951" xr:uid="{9195C60F-E605-4B01-AA55-9E67D719F085}"/>
    <cellStyle name="Normal 3 2 7 2 3" xfId="12733" xr:uid="{94F4AA02-B1C3-406A-A86A-2ACCBEC7E205}"/>
    <cellStyle name="Normal 3 2 7 3" xfId="6364" xr:uid="{00000000-0005-0000-0000-0000DD110000}"/>
    <cellStyle name="Normal 3 2 7 3 2" xfId="14806" xr:uid="{FF928E21-EF28-4AB7-BD48-5F624CB99954}"/>
    <cellStyle name="Normal 3 2 7 4" xfId="10588" xr:uid="{5CADFF75-38EF-4599-846D-CCBB2CC7B7A5}"/>
    <cellStyle name="Normal 3 2 8" xfId="2493" xr:uid="{00000000-0005-0000-0000-0000DE110000}"/>
    <cellStyle name="Normal 3 2 8 2" xfId="6777" xr:uid="{00000000-0005-0000-0000-0000DF110000}"/>
    <cellStyle name="Normal 3 2 8 2 2" xfId="15219" xr:uid="{13D94B30-41C2-4509-87EE-8DDB9C249CEC}"/>
    <cellStyle name="Normal 3 2 8 3" xfId="11001" xr:uid="{4C8D50CD-8CE7-4B35-B0C5-491758CF6531}"/>
    <cellStyle name="Normal 3 2 9" xfId="4711" xr:uid="{00000000-0005-0000-0000-0000E0110000}"/>
    <cellStyle name="Normal 3 2 9 2" xfId="13153" xr:uid="{F56BAFE9-06F3-49B5-BDDD-5D2581BDE4A3}"/>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940" xr:uid="{0F869276-1D6C-4B44-A45E-D71FD17B0039}"/>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2 2 2" xfId="16956" xr:uid="{E8AD610C-E2C9-471F-BD02-6869750C5CBB}"/>
    <cellStyle name="Normal 4 2 2 10 2 3" xfId="12738" xr:uid="{F7F1C9BC-76A1-4197-ACBB-EB8C166B764B}"/>
    <cellStyle name="Normal 4 2 2 10 3" xfId="6369" xr:uid="{00000000-0005-0000-0000-0000ED110000}"/>
    <cellStyle name="Normal 4 2 2 10 3 2" xfId="14811" xr:uid="{5678BCDE-BDA6-46EA-BD4B-FD6707E2F34C}"/>
    <cellStyle name="Normal 4 2 2 10 4" xfId="10593" xr:uid="{79A31B97-2B85-43CC-B07D-D84B777DF484}"/>
    <cellStyle name="Normal 4 2 2 11" xfId="2498" xr:uid="{00000000-0005-0000-0000-0000EE110000}"/>
    <cellStyle name="Normal 4 2 2 11 2" xfId="6782" xr:uid="{00000000-0005-0000-0000-0000EF110000}"/>
    <cellStyle name="Normal 4 2 2 11 2 2" xfId="15224" xr:uid="{EDE151E1-608C-44BB-98E6-2F4FBEFE27E9}"/>
    <cellStyle name="Normal 4 2 2 11 3" xfId="11006" xr:uid="{6D09783B-DD0C-44C2-B1B4-B7C5DB98B29F}"/>
    <cellStyle name="Normal 4 2 2 12" xfId="4717" xr:uid="{00000000-0005-0000-0000-0000F0110000}"/>
    <cellStyle name="Normal 4 2 2 12 2" xfId="13159" xr:uid="{6D1F1ECB-6DE4-464E-82C6-FA20A886EA01}"/>
    <cellStyle name="Normal 4 2 2 13" xfId="8941" xr:uid="{1E95A681-820C-4824-B6A3-A9E81E5503B2}"/>
    <cellStyle name="Normal 4 2 2 2" xfId="338" xr:uid="{00000000-0005-0000-0000-0000F1110000}"/>
    <cellStyle name="Normal 4 2 2 3" xfId="339" xr:uid="{00000000-0005-0000-0000-0000F2110000}"/>
    <cellStyle name="Normal 4 2 2 3 10" xfId="4718" xr:uid="{00000000-0005-0000-0000-0000F3110000}"/>
    <cellStyle name="Normal 4 2 2 3 10 2" xfId="13160" xr:uid="{E89802D7-978A-4DEB-8BC9-71835276C2CC}"/>
    <cellStyle name="Normal 4 2 2 3 11" xfId="8942" xr:uid="{32896543-6A6D-4F43-9CFF-F4E390974F07}"/>
    <cellStyle name="Normal 4 2 2 3 2" xfId="340" xr:uid="{00000000-0005-0000-0000-0000F4110000}"/>
    <cellStyle name="Normal 4 2 2 3 2 10" xfId="8943" xr:uid="{D6996350-DA10-4BE9-8E51-BF9498AB26B2}"/>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2 2 2" xfId="15721" xr:uid="{8834EB69-B46C-439B-B58C-8334AD64CDB4}"/>
    <cellStyle name="Normal 4 2 2 3 2 2 2 2 2 3" xfId="11503" xr:uid="{8E0CF7A2-3DA9-4DB4-B916-004F5631FACC}"/>
    <cellStyle name="Normal 4 2 2 3 2 2 2 2 3" xfId="5134" xr:uid="{00000000-0005-0000-0000-0000FA110000}"/>
    <cellStyle name="Normal 4 2 2 3 2 2 2 2 3 2" xfId="13576" xr:uid="{2DD59110-D09C-4C78-9A6C-AA47CF87BC19}"/>
    <cellStyle name="Normal 4 2 2 3 2 2 2 2 4" xfId="9358" xr:uid="{27610712-9E3A-4018-A57F-5B3583023B58}"/>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2 2 2" xfId="16134" xr:uid="{E227414B-AF6F-4D6C-8AAB-1D3904770D8D}"/>
    <cellStyle name="Normal 4 2 2 3 2 2 2 3 2 3" xfId="11916" xr:uid="{26F7A241-E20E-4BE8-B424-D2223BAD0A89}"/>
    <cellStyle name="Normal 4 2 2 3 2 2 2 3 3" xfId="5547" xr:uid="{00000000-0005-0000-0000-0000FE110000}"/>
    <cellStyle name="Normal 4 2 2 3 2 2 2 3 3 2" xfId="13989" xr:uid="{B508DE86-07D3-4711-8059-BF1D02661E8B}"/>
    <cellStyle name="Normal 4 2 2 3 2 2 2 3 4" xfId="9771" xr:uid="{4D2C3F32-02C4-4019-B8DB-46AAE2B30636}"/>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2 2 2" xfId="16547" xr:uid="{184B7845-D626-4ADD-974A-34320E7ADC57}"/>
    <cellStyle name="Normal 4 2 2 3 2 2 2 4 2 3" xfId="12329" xr:uid="{266D97E0-16B6-49DE-B001-6B40F054D11A}"/>
    <cellStyle name="Normal 4 2 2 3 2 2 2 4 3" xfId="5960" xr:uid="{00000000-0005-0000-0000-000002120000}"/>
    <cellStyle name="Normal 4 2 2 3 2 2 2 4 3 2" xfId="14402" xr:uid="{AB3B237E-C94F-45E6-BF83-5C6CCE5355DF}"/>
    <cellStyle name="Normal 4 2 2 3 2 2 2 4 4" xfId="10184" xr:uid="{64ACEF28-3DD1-4CAF-A216-30ED797AA4C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2 2 2" xfId="16960" xr:uid="{0394EEB1-0054-4E53-8714-5BF178987A55}"/>
    <cellStyle name="Normal 4 2 2 3 2 2 2 5 2 3" xfId="12742" xr:uid="{28821B06-54D2-4C74-BF13-51EAC064C818}"/>
    <cellStyle name="Normal 4 2 2 3 2 2 2 5 3" xfId="6373" xr:uid="{00000000-0005-0000-0000-000006120000}"/>
    <cellStyle name="Normal 4 2 2 3 2 2 2 5 3 2" xfId="14815" xr:uid="{7617FB89-9192-4E60-B5A3-DAB0633C7FDE}"/>
    <cellStyle name="Normal 4 2 2 3 2 2 2 5 4" xfId="10597" xr:uid="{9CCCDF60-4284-46AE-9433-E9B8D7E45831}"/>
    <cellStyle name="Normal 4 2 2 3 2 2 2 6" xfId="2502" xr:uid="{00000000-0005-0000-0000-000007120000}"/>
    <cellStyle name="Normal 4 2 2 3 2 2 2 6 2" xfId="6786" xr:uid="{00000000-0005-0000-0000-000008120000}"/>
    <cellStyle name="Normal 4 2 2 3 2 2 2 6 2 2" xfId="15228" xr:uid="{8A9FBBEB-016B-476E-A359-C8605186E5D4}"/>
    <cellStyle name="Normal 4 2 2 3 2 2 2 6 3" xfId="11010" xr:uid="{D23B2490-62F4-4984-AAB5-312AB44D7B96}"/>
    <cellStyle name="Normal 4 2 2 3 2 2 2 7" xfId="4721" xr:uid="{00000000-0005-0000-0000-000009120000}"/>
    <cellStyle name="Normal 4 2 2 3 2 2 2 7 2" xfId="13163" xr:uid="{25E2E2F6-3A77-41A5-B9AC-A1AE01EA963C}"/>
    <cellStyle name="Normal 4 2 2 3 2 2 2 8" xfId="8945" xr:uid="{DE387CD2-F58D-44E3-9C77-0A70C6B1D591}"/>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2 2 2" xfId="15720" xr:uid="{F20FA677-BFA5-41B9-82F2-54779CD78D83}"/>
    <cellStyle name="Normal 4 2 2 3 2 2 3 2 3" xfId="11502" xr:uid="{2E22CE71-E84D-4225-8C4C-62858300B50D}"/>
    <cellStyle name="Normal 4 2 2 3 2 2 3 3" xfId="5133" xr:uid="{00000000-0005-0000-0000-00000D120000}"/>
    <cellStyle name="Normal 4 2 2 3 2 2 3 3 2" xfId="13575" xr:uid="{4F1716CD-A430-481B-9A62-BD512C1ECFEC}"/>
    <cellStyle name="Normal 4 2 2 3 2 2 3 4" xfId="9357" xr:uid="{5B40317D-7CBC-4005-957E-5DAAC29807E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2 2 2" xfId="16133" xr:uid="{6332523C-B9C6-4038-8F72-E862194F10C2}"/>
    <cellStyle name="Normal 4 2 2 3 2 2 4 2 3" xfId="11915" xr:uid="{8B356488-106E-4B55-A5AE-D4D8E6D6C746}"/>
    <cellStyle name="Normal 4 2 2 3 2 2 4 3" xfId="5546" xr:uid="{00000000-0005-0000-0000-000011120000}"/>
    <cellStyle name="Normal 4 2 2 3 2 2 4 3 2" xfId="13988" xr:uid="{C9B594A5-D87D-4787-8448-033073CC268B}"/>
    <cellStyle name="Normal 4 2 2 3 2 2 4 4" xfId="9770" xr:uid="{8A3EB5C6-2364-43BF-8160-C4C6278CD8FD}"/>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2 2 2" xfId="16546" xr:uid="{74BCB4A1-D06D-4263-A614-BBA65B10300D}"/>
    <cellStyle name="Normal 4 2 2 3 2 2 5 2 3" xfId="12328" xr:uid="{CEE3E505-DCC0-421B-A510-D345DCDF4929}"/>
    <cellStyle name="Normal 4 2 2 3 2 2 5 3" xfId="5959" xr:uid="{00000000-0005-0000-0000-000015120000}"/>
    <cellStyle name="Normal 4 2 2 3 2 2 5 3 2" xfId="14401" xr:uid="{525B89D6-C35A-47ED-8FD6-3A9AD7068ACB}"/>
    <cellStyle name="Normal 4 2 2 3 2 2 5 4" xfId="10183" xr:uid="{253105AF-A203-43F8-866B-375275B8D467}"/>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2 2 2" xfId="16959" xr:uid="{342E8D86-ED8F-4960-9C0C-D40FAC80D76F}"/>
    <cellStyle name="Normal 4 2 2 3 2 2 6 2 3" xfId="12741" xr:uid="{B85D63AC-8E95-4E4B-B3E4-84E0ED24E0BF}"/>
    <cellStyle name="Normal 4 2 2 3 2 2 6 3" xfId="6372" xr:uid="{00000000-0005-0000-0000-000019120000}"/>
    <cellStyle name="Normal 4 2 2 3 2 2 6 3 2" xfId="14814" xr:uid="{DA97DDF3-9423-4C50-9691-B15E5147C627}"/>
    <cellStyle name="Normal 4 2 2 3 2 2 6 4" xfId="10596" xr:uid="{47D76201-FAC3-48EF-8E12-978B9DCBC15E}"/>
    <cellStyle name="Normal 4 2 2 3 2 2 7" xfId="2501" xr:uid="{00000000-0005-0000-0000-00001A120000}"/>
    <cellStyle name="Normal 4 2 2 3 2 2 7 2" xfId="6785" xr:uid="{00000000-0005-0000-0000-00001B120000}"/>
    <cellStyle name="Normal 4 2 2 3 2 2 7 2 2" xfId="15227" xr:uid="{8ABDC364-1F9A-4259-889A-960C9B90BF92}"/>
    <cellStyle name="Normal 4 2 2 3 2 2 7 3" xfId="11009" xr:uid="{FC021EFF-6660-46E4-9D66-47CC23FF7DEB}"/>
    <cellStyle name="Normal 4 2 2 3 2 2 8" xfId="4720" xr:uid="{00000000-0005-0000-0000-00001C120000}"/>
    <cellStyle name="Normal 4 2 2 3 2 2 8 2" xfId="13162" xr:uid="{E0AAFE12-B81F-46C1-8C01-BFBDB2476800}"/>
    <cellStyle name="Normal 4 2 2 3 2 2 9" xfId="8944" xr:uid="{9D87CEC7-368B-4BFB-A11B-E07D271BAF15}"/>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2 2 2" xfId="15722" xr:uid="{9EED0705-CAFD-4EC6-A23B-276C08E8711A}"/>
    <cellStyle name="Normal 4 2 2 3 2 3 2 2 3" xfId="11504" xr:uid="{AD4C1258-2533-4376-B51B-2C4AD96920C4}"/>
    <cellStyle name="Normal 4 2 2 3 2 3 2 3" xfId="5135" xr:uid="{00000000-0005-0000-0000-000021120000}"/>
    <cellStyle name="Normal 4 2 2 3 2 3 2 3 2" xfId="13577" xr:uid="{9057ED72-49FE-445E-BD51-DC3F3002B724}"/>
    <cellStyle name="Normal 4 2 2 3 2 3 2 4" xfId="9359" xr:uid="{7D4EEDF9-3853-4B71-9ABC-D460E80F9687}"/>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2 2 2" xfId="16135" xr:uid="{615FAE6A-5A29-4C2E-8B15-FBB51BE244BB}"/>
    <cellStyle name="Normal 4 2 2 3 2 3 3 2 3" xfId="11917" xr:uid="{159D0EDF-17C3-463A-AFAD-1F0DA2494DF3}"/>
    <cellStyle name="Normal 4 2 2 3 2 3 3 3" xfId="5548" xr:uid="{00000000-0005-0000-0000-000025120000}"/>
    <cellStyle name="Normal 4 2 2 3 2 3 3 3 2" xfId="13990" xr:uid="{58C6F476-8655-43A3-A2E7-210D6F83BAAD}"/>
    <cellStyle name="Normal 4 2 2 3 2 3 3 4" xfId="9772" xr:uid="{DC604C37-0121-4740-8EA0-B99B26A77A9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2 2 2" xfId="16548" xr:uid="{542D5A9B-CB34-45AB-87D1-FAC25649AA5F}"/>
    <cellStyle name="Normal 4 2 2 3 2 3 4 2 3" xfId="12330" xr:uid="{30C96DBC-2F87-4C87-9F51-AF45DC8B731A}"/>
    <cellStyle name="Normal 4 2 2 3 2 3 4 3" xfId="5961" xr:uid="{00000000-0005-0000-0000-000029120000}"/>
    <cellStyle name="Normal 4 2 2 3 2 3 4 3 2" xfId="14403" xr:uid="{D1F4977E-300B-43A5-9B47-2CFDBB17280A}"/>
    <cellStyle name="Normal 4 2 2 3 2 3 4 4" xfId="10185" xr:uid="{2782EDF3-5436-4FAB-BC05-4DDE30840E79}"/>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2 2 2" xfId="16961" xr:uid="{2741BC5F-E3BC-4EFF-B544-C4E9EE540760}"/>
    <cellStyle name="Normal 4 2 2 3 2 3 5 2 3" xfId="12743" xr:uid="{2897180D-9CF6-4B37-B258-722448C109E3}"/>
    <cellStyle name="Normal 4 2 2 3 2 3 5 3" xfId="6374" xr:uid="{00000000-0005-0000-0000-00002D120000}"/>
    <cellStyle name="Normal 4 2 2 3 2 3 5 3 2" xfId="14816" xr:uid="{601F7834-AA5D-4550-B2DD-94811BECAD6D}"/>
    <cellStyle name="Normal 4 2 2 3 2 3 5 4" xfId="10598" xr:uid="{7F20B27B-A291-4FBE-9305-1AE47B604B0E}"/>
    <cellStyle name="Normal 4 2 2 3 2 3 6" xfId="2503" xr:uid="{00000000-0005-0000-0000-00002E120000}"/>
    <cellStyle name="Normal 4 2 2 3 2 3 6 2" xfId="6787" xr:uid="{00000000-0005-0000-0000-00002F120000}"/>
    <cellStyle name="Normal 4 2 2 3 2 3 6 2 2" xfId="15229" xr:uid="{901E53F9-C54F-4568-818F-3570B93DD4AB}"/>
    <cellStyle name="Normal 4 2 2 3 2 3 6 3" xfId="11011" xr:uid="{E2F9A1F1-97C5-4E38-AA99-82A8F1DEA5AE}"/>
    <cellStyle name="Normal 4 2 2 3 2 3 7" xfId="4722" xr:uid="{00000000-0005-0000-0000-000030120000}"/>
    <cellStyle name="Normal 4 2 2 3 2 3 7 2" xfId="13164" xr:uid="{7F9F9DE9-B175-4BE7-9CEC-32DB88419AE5}"/>
    <cellStyle name="Normal 4 2 2 3 2 3 8" xfId="8946" xr:uid="{90C259AC-3556-43FD-99FF-74B1405095F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2 2 2" xfId="15719" xr:uid="{0104A8C1-C73E-40F1-B782-E60E44E91E52}"/>
    <cellStyle name="Normal 4 2 2 3 2 4 2 3" xfId="11501" xr:uid="{140D255C-83CA-4A39-862A-D53571587C6F}"/>
    <cellStyle name="Normal 4 2 2 3 2 4 3" xfId="5132" xr:uid="{00000000-0005-0000-0000-000034120000}"/>
    <cellStyle name="Normal 4 2 2 3 2 4 3 2" xfId="13574" xr:uid="{37E09D1C-3B1F-4A09-84D6-D1108C58536B}"/>
    <cellStyle name="Normal 4 2 2 3 2 4 4" xfId="9356" xr:uid="{F1710DF3-78D5-43A1-91A7-D30A8D90216C}"/>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2 2 2" xfId="16132" xr:uid="{9C9E6563-E30A-48A5-8F95-B4801631774F}"/>
    <cellStyle name="Normal 4 2 2 3 2 5 2 3" xfId="11914" xr:uid="{4432589B-4E4A-4E4E-80FE-921FB5AEB1A7}"/>
    <cellStyle name="Normal 4 2 2 3 2 5 3" xfId="5545" xr:uid="{00000000-0005-0000-0000-000038120000}"/>
    <cellStyle name="Normal 4 2 2 3 2 5 3 2" xfId="13987" xr:uid="{7764E152-E2DE-4224-AFE4-07A23E7AA512}"/>
    <cellStyle name="Normal 4 2 2 3 2 5 4" xfId="9769" xr:uid="{6BE12C8E-B1CE-48AE-9EFB-E91CB6086711}"/>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2 2 2" xfId="16545" xr:uid="{C4D51516-ABD9-4212-A1D1-226E3247E5DB}"/>
    <cellStyle name="Normal 4 2 2 3 2 6 2 3" xfId="12327" xr:uid="{76B79DDA-3899-46CF-A1DE-3EF2F963EB0E}"/>
    <cellStyle name="Normal 4 2 2 3 2 6 3" xfId="5958" xr:uid="{00000000-0005-0000-0000-00003C120000}"/>
    <cellStyle name="Normal 4 2 2 3 2 6 3 2" xfId="14400" xr:uid="{17856DEE-3BA8-4196-A632-820554202F5E}"/>
    <cellStyle name="Normal 4 2 2 3 2 6 4" xfId="10182" xr:uid="{63AA5BF9-6F6A-4A3F-9DBF-12678C1F5DD4}"/>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2 2 2" xfId="16958" xr:uid="{C147955F-3437-4D41-971B-F9D8FCBC3E64}"/>
    <cellStyle name="Normal 4 2 2 3 2 7 2 3" xfId="12740" xr:uid="{F8C84F03-CAAE-4EA7-993C-5758786F5B3E}"/>
    <cellStyle name="Normal 4 2 2 3 2 7 3" xfId="6371" xr:uid="{00000000-0005-0000-0000-000040120000}"/>
    <cellStyle name="Normal 4 2 2 3 2 7 3 2" xfId="14813" xr:uid="{61F9C6EB-8B0B-48D4-854D-69D404F9E84E}"/>
    <cellStyle name="Normal 4 2 2 3 2 7 4" xfId="10595" xr:uid="{3CABF64D-FAD1-4103-AE53-8F7DB93136B3}"/>
    <cellStyle name="Normal 4 2 2 3 2 8" xfId="2500" xr:uid="{00000000-0005-0000-0000-000041120000}"/>
    <cellStyle name="Normal 4 2 2 3 2 8 2" xfId="6784" xr:uid="{00000000-0005-0000-0000-000042120000}"/>
    <cellStyle name="Normal 4 2 2 3 2 8 2 2" xfId="15226" xr:uid="{4D606736-9916-4A7B-A441-56A5443BACE9}"/>
    <cellStyle name="Normal 4 2 2 3 2 8 3" xfId="11008" xr:uid="{87310F73-2A84-42E7-98A2-1E45560B406E}"/>
    <cellStyle name="Normal 4 2 2 3 2 9" xfId="4719" xr:uid="{00000000-0005-0000-0000-000043120000}"/>
    <cellStyle name="Normal 4 2 2 3 2 9 2" xfId="13161" xr:uid="{44C4824D-8031-48D7-A53C-B5A023836F39}"/>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2 2 2" xfId="15724" xr:uid="{5D9C19E9-36D9-45FD-A454-0AD51463DDEF}"/>
    <cellStyle name="Normal 4 2 2 3 3 2 2 2 3" xfId="11506" xr:uid="{43A18BA1-E88C-47FB-B87A-B43F74366BE5}"/>
    <cellStyle name="Normal 4 2 2 3 3 2 2 3" xfId="5137" xr:uid="{00000000-0005-0000-0000-000049120000}"/>
    <cellStyle name="Normal 4 2 2 3 3 2 2 3 2" xfId="13579" xr:uid="{5EA2A7D5-C154-443B-ACAC-704341960AAE}"/>
    <cellStyle name="Normal 4 2 2 3 3 2 2 4" xfId="9361" xr:uid="{8DE5F859-3DDD-489F-90E5-49EA496A734F}"/>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2 2 2" xfId="16137" xr:uid="{E51C5C3D-C53E-4EEA-B341-FB7A8D0B47EA}"/>
    <cellStyle name="Normal 4 2 2 3 3 2 3 2 3" xfId="11919" xr:uid="{679DE4F8-D299-4B60-9F4A-0995EA5F6B07}"/>
    <cellStyle name="Normal 4 2 2 3 3 2 3 3" xfId="5550" xr:uid="{00000000-0005-0000-0000-00004D120000}"/>
    <cellStyle name="Normal 4 2 2 3 3 2 3 3 2" xfId="13992" xr:uid="{43A405BD-F352-458C-AB12-FD6B823BE518}"/>
    <cellStyle name="Normal 4 2 2 3 3 2 3 4" xfId="9774" xr:uid="{DF8BE916-A759-48C0-BAFD-A2477113459F}"/>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2 2 2" xfId="16550" xr:uid="{41613ED0-DAC7-4A87-AA17-F50B1E93BE52}"/>
    <cellStyle name="Normal 4 2 2 3 3 2 4 2 3" xfId="12332" xr:uid="{0B2B5DE1-C941-4EC7-946F-D7940AAAFB61}"/>
    <cellStyle name="Normal 4 2 2 3 3 2 4 3" xfId="5963" xr:uid="{00000000-0005-0000-0000-000051120000}"/>
    <cellStyle name="Normal 4 2 2 3 3 2 4 3 2" xfId="14405" xr:uid="{C5511855-3F78-4AD7-B1E0-4A4A2007DFC6}"/>
    <cellStyle name="Normal 4 2 2 3 3 2 4 4" xfId="10187" xr:uid="{30301923-8E93-4FAA-B8EC-7E954AE84B55}"/>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2 2 2" xfId="16963" xr:uid="{BF3A15AB-3949-46BF-84CD-7C964817DAF1}"/>
    <cellStyle name="Normal 4 2 2 3 3 2 5 2 3" xfId="12745" xr:uid="{AC9F8BAB-7CAD-4D58-ACAF-BDAB9A341E71}"/>
    <cellStyle name="Normal 4 2 2 3 3 2 5 3" xfId="6376" xr:uid="{00000000-0005-0000-0000-000055120000}"/>
    <cellStyle name="Normal 4 2 2 3 3 2 5 3 2" xfId="14818" xr:uid="{F81CAE9C-38D1-4A10-A9FA-58678FAF06C7}"/>
    <cellStyle name="Normal 4 2 2 3 3 2 5 4" xfId="10600" xr:uid="{F08CD0C6-1D21-4D26-8149-AD6BB8C0FA52}"/>
    <cellStyle name="Normal 4 2 2 3 3 2 6" xfId="2505" xr:uid="{00000000-0005-0000-0000-000056120000}"/>
    <cellStyle name="Normal 4 2 2 3 3 2 6 2" xfId="6789" xr:uid="{00000000-0005-0000-0000-000057120000}"/>
    <cellStyle name="Normal 4 2 2 3 3 2 6 2 2" xfId="15231" xr:uid="{C0A1E71F-9969-424B-84D5-B81E4CBFE22B}"/>
    <cellStyle name="Normal 4 2 2 3 3 2 6 3" xfId="11013" xr:uid="{BBAC1F0C-54EB-4775-8C06-E8D74C316FCD}"/>
    <cellStyle name="Normal 4 2 2 3 3 2 7" xfId="4724" xr:uid="{00000000-0005-0000-0000-000058120000}"/>
    <cellStyle name="Normal 4 2 2 3 3 2 7 2" xfId="13166" xr:uid="{4F39069C-4E51-4BF4-8B6D-448DDBC81374}"/>
    <cellStyle name="Normal 4 2 2 3 3 2 8" xfId="8948" xr:uid="{0F24C836-4B0D-42AA-9E67-FFB829358196}"/>
    <cellStyle name="Normal 4 2 2 3 3 3" xfId="821" xr:uid="{00000000-0005-0000-0000-000059120000}"/>
    <cellStyle name="Normal 4 2 2 3 3 3 2" xfId="3058" xr:uid="{00000000-0005-0000-0000-00005A120000}"/>
    <cellStyle name="Normal 4 2 2 3 3 3 2 2" xfId="7281" xr:uid="{00000000-0005-0000-0000-00005B120000}"/>
    <cellStyle name="Normal 4 2 2 3 3 3 2 2 2" xfId="15723" xr:uid="{436C839D-BE17-4D20-BA65-5E6509D07143}"/>
    <cellStyle name="Normal 4 2 2 3 3 3 2 3" xfId="11505" xr:uid="{8BE7AEF2-61D8-4692-BCFC-E96A6506CCFB}"/>
    <cellStyle name="Normal 4 2 2 3 3 3 3" xfId="5136" xr:uid="{00000000-0005-0000-0000-00005C120000}"/>
    <cellStyle name="Normal 4 2 2 3 3 3 3 2" xfId="13578" xr:uid="{0D0AD52E-7B2B-4608-915B-5F5E650A47C4}"/>
    <cellStyle name="Normal 4 2 2 3 3 3 4" xfId="9360" xr:uid="{83CAF11A-2435-4164-B97F-5B5AF7758B2C}"/>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2 2 2" xfId="16136" xr:uid="{4F1BDE95-4D26-44A4-A561-98BA9743136F}"/>
    <cellStyle name="Normal 4 2 2 3 3 4 2 3" xfId="11918" xr:uid="{DA39606E-CE7C-4526-9E32-9900487A572E}"/>
    <cellStyle name="Normal 4 2 2 3 3 4 3" xfId="5549" xr:uid="{00000000-0005-0000-0000-000060120000}"/>
    <cellStyle name="Normal 4 2 2 3 3 4 3 2" xfId="13991" xr:uid="{27F2651C-CC11-4797-AF43-1A63FF595B40}"/>
    <cellStyle name="Normal 4 2 2 3 3 4 4" xfId="9773" xr:uid="{8B7C2F49-C567-450D-8425-E8A4F27930B7}"/>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2 2 2" xfId="16549" xr:uid="{9C31AA89-3405-4711-AF18-546F8315B385}"/>
    <cellStyle name="Normal 4 2 2 3 3 5 2 3" xfId="12331" xr:uid="{17661351-1FE8-4C93-807E-76CCABCC9E6F}"/>
    <cellStyle name="Normal 4 2 2 3 3 5 3" xfId="5962" xr:uid="{00000000-0005-0000-0000-000064120000}"/>
    <cellStyle name="Normal 4 2 2 3 3 5 3 2" xfId="14404" xr:uid="{A8B05DBC-A175-4382-8D55-272D743AD19D}"/>
    <cellStyle name="Normal 4 2 2 3 3 5 4" xfId="10186" xr:uid="{284A1245-7268-42D7-8F56-D1B78647F239}"/>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2 2 2" xfId="16962" xr:uid="{70017E51-E80C-46AB-B02E-C24C7CB0B31B}"/>
    <cellStyle name="Normal 4 2 2 3 3 6 2 3" xfId="12744" xr:uid="{B5202189-1537-4C62-B890-F5E5E960E159}"/>
    <cellStyle name="Normal 4 2 2 3 3 6 3" xfId="6375" xr:uid="{00000000-0005-0000-0000-000068120000}"/>
    <cellStyle name="Normal 4 2 2 3 3 6 3 2" xfId="14817" xr:uid="{A270C161-2BA8-4F92-B971-2A754B8A40E7}"/>
    <cellStyle name="Normal 4 2 2 3 3 6 4" xfId="10599" xr:uid="{045CEFDB-22D9-4798-A058-B1A841FCDCAE}"/>
    <cellStyle name="Normal 4 2 2 3 3 7" xfId="2504" xr:uid="{00000000-0005-0000-0000-000069120000}"/>
    <cellStyle name="Normal 4 2 2 3 3 7 2" xfId="6788" xr:uid="{00000000-0005-0000-0000-00006A120000}"/>
    <cellStyle name="Normal 4 2 2 3 3 7 2 2" xfId="15230" xr:uid="{C9DE6F90-4CB1-4929-969F-C9D1AF474DB6}"/>
    <cellStyle name="Normal 4 2 2 3 3 7 3" xfId="11012" xr:uid="{ED7A6794-E4AB-4CF6-8316-C9114A6FAB3B}"/>
    <cellStyle name="Normal 4 2 2 3 3 8" xfId="4723" xr:uid="{00000000-0005-0000-0000-00006B120000}"/>
    <cellStyle name="Normal 4 2 2 3 3 8 2" xfId="13165" xr:uid="{95767210-307F-4B65-939C-A3EAD0837DFC}"/>
    <cellStyle name="Normal 4 2 2 3 3 9" xfId="8947" xr:uid="{A6AF780E-FB1F-4601-B5E3-BE4474439983}"/>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2 2 2" xfId="15725" xr:uid="{7CB6FF41-A32F-4C4B-8DDB-E73FB1FF8C96}"/>
    <cellStyle name="Normal 4 2 2 3 4 2 2 3" xfId="11507" xr:uid="{85D4DA74-21E4-4003-AB30-1F5152816102}"/>
    <cellStyle name="Normal 4 2 2 3 4 2 3" xfId="5138" xr:uid="{00000000-0005-0000-0000-000070120000}"/>
    <cellStyle name="Normal 4 2 2 3 4 2 3 2" xfId="13580" xr:uid="{7CEC4EEE-11CE-412B-AEE0-585738D46E0C}"/>
    <cellStyle name="Normal 4 2 2 3 4 2 4" xfId="9362" xr:uid="{612CC634-18DB-432A-93F2-7CEAD5E172A1}"/>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2 2 2" xfId="16138" xr:uid="{B127B401-AAB0-4B74-B200-020D33ED9BE0}"/>
    <cellStyle name="Normal 4 2 2 3 4 3 2 3" xfId="11920" xr:uid="{EC3DBBCA-906B-491C-963F-9B7AC65170AB}"/>
    <cellStyle name="Normal 4 2 2 3 4 3 3" xfId="5551" xr:uid="{00000000-0005-0000-0000-000074120000}"/>
    <cellStyle name="Normal 4 2 2 3 4 3 3 2" xfId="13993" xr:uid="{CA1C5134-4D13-440F-BFFC-25CBD512B1CA}"/>
    <cellStyle name="Normal 4 2 2 3 4 3 4" xfId="9775" xr:uid="{B72BE3B5-5D46-4849-AA8E-3516B7BE07D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2 2 2" xfId="16551" xr:uid="{8C23A03A-B9C6-48FE-A491-6BF5EDC210F5}"/>
    <cellStyle name="Normal 4 2 2 3 4 4 2 3" xfId="12333" xr:uid="{40E036CD-557E-4151-9F45-DB977F1FA6BC}"/>
    <cellStyle name="Normal 4 2 2 3 4 4 3" xfId="5964" xr:uid="{00000000-0005-0000-0000-000078120000}"/>
    <cellStyle name="Normal 4 2 2 3 4 4 3 2" xfId="14406" xr:uid="{8E9E74D3-7650-4286-B3D3-368C38A37AC8}"/>
    <cellStyle name="Normal 4 2 2 3 4 4 4" xfId="10188" xr:uid="{AE9A27DF-7B04-4137-AF93-394007983DAA}"/>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2 2 2" xfId="16964" xr:uid="{9F78FAFA-BB5B-4968-A5AB-0160A27AAB96}"/>
    <cellStyle name="Normal 4 2 2 3 4 5 2 3" xfId="12746" xr:uid="{41092186-E405-4D74-991D-52763327AE94}"/>
    <cellStyle name="Normal 4 2 2 3 4 5 3" xfId="6377" xr:uid="{00000000-0005-0000-0000-00007C120000}"/>
    <cellStyle name="Normal 4 2 2 3 4 5 3 2" xfId="14819" xr:uid="{D8DCD8C6-CF65-4FB6-BEAD-A34FB273A78F}"/>
    <cellStyle name="Normal 4 2 2 3 4 5 4" xfId="10601" xr:uid="{0D1A8F6F-34F3-4334-A287-A07B97BAE115}"/>
    <cellStyle name="Normal 4 2 2 3 4 6" xfId="2506" xr:uid="{00000000-0005-0000-0000-00007D120000}"/>
    <cellStyle name="Normal 4 2 2 3 4 6 2" xfId="6790" xr:uid="{00000000-0005-0000-0000-00007E120000}"/>
    <cellStyle name="Normal 4 2 2 3 4 6 2 2" xfId="15232" xr:uid="{1DC39355-4321-42BC-BF65-889ADDD71726}"/>
    <cellStyle name="Normal 4 2 2 3 4 6 3" xfId="11014" xr:uid="{96A5C6FD-A9EB-451F-B0A5-0B795D2D8F28}"/>
    <cellStyle name="Normal 4 2 2 3 4 7" xfId="4725" xr:uid="{00000000-0005-0000-0000-00007F120000}"/>
    <cellStyle name="Normal 4 2 2 3 4 7 2" xfId="13167" xr:uid="{340FE557-5AA4-444C-B5EC-2DD820E90CDE}"/>
    <cellStyle name="Normal 4 2 2 3 4 8" xfId="8949" xr:uid="{F888D669-168A-46DB-9DB1-15C74B662BA9}"/>
    <cellStyle name="Normal 4 2 2 3 5" xfId="816" xr:uid="{00000000-0005-0000-0000-000080120000}"/>
    <cellStyle name="Normal 4 2 2 3 5 2" xfId="3053" xr:uid="{00000000-0005-0000-0000-000081120000}"/>
    <cellStyle name="Normal 4 2 2 3 5 2 2" xfId="7276" xr:uid="{00000000-0005-0000-0000-000082120000}"/>
    <cellStyle name="Normal 4 2 2 3 5 2 2 2" xfId="15718" xr:uid="{680ED2C4-5D03-4A39-8AB4-3A7451D6094F}"/>
    <cellStyle name="Normal 4 2 2 3 5 2 3" xfId="11500" xr:uid="{8BFB47B3-E264-4CF8-BA60-BB831A3F591C}"/>
    <cellStyle name="Normal 4 2 2 3 5 3" xfId="5131" xr:uid="{00000000-0005-0000-0000-000083120000}"/>
    <cellStyle name="Normal 4 2 2 3 5 3 2" xfId="13573" xr:uid="{0706CDBC-FC50-475D-97B7-5AD568036DB9}"/>
    <cellStyle name="Normal 4 2 2 3 5 4" xfId="9355" xr:uid="{908E587C-CDD9-43A6-AEA6-2C4B01B30AE0}"/>
    <cellStyle name="Normal 4 2 2 3 6" xfId="1236" xr:uid="{00000000-0005-0000-0000-000084120000}"/>
    <cellStyle name="Normal 4 2 2 3 6 2" xfId="3466" xr:uid="{00000000-0005-0000-0000-000085120000}"/>
    <cellStyle name="Normal 4 2 2 3 6 2 2" xfId="7689" xr:uid="{00000000-0005-0000-0000-000086120000}"/>
    <cellStyle name="Normal 4 2 2 3 6 2 2 2" xfId="16131" xr:uid="{A510AFFC-EF80-4958-8646-81FE5E56D76F}"/>
    <cellStyle name="Normal 4 2 2 3 6 2 3" xfId="11913" xr:uid="{3C738ED6-698F-4791-AC4F-AC14E3CEC272}"/>
    <cellStyle name="Normal 4 2 2 3 6 3" xfId="5544" xr:uid="{00000000-0005-0000-0000-000087120000}"/>
    <cellStyle name="Normal 4 2 2 3 6 3 2" xfId="13986" xr:uid="{EF31067E-85BB-4963-BDF2-739E1384F933}"/>
    <cellStyle name="Normal 4 2 2 3 6 4" xfId="9768" xr:uid="{5CDDB53C-666A-4868-AFC6-5601739E873D}"/>
    <cellStyle name="Normal 4 2 2 3 7" xfId="1649" xr:uid="{00000000-0005-0000-0000-000088120000}"/>
    <cellStyle name="Normal 4 2 2 3 7 2" xfId="3879" xr:uid="{00000000-0005-0000-0000-000089120000}"/>
    <cellStyle name="Normal 4 2 2 3 7 2 2" xfId="8102" xr:uid="{00000000-0005-0000-0000-00008A120000}"/>
    <cellStyle name="Normal 4 2 2 3 7 2 2 2" xfId="16544" xr:uid="{8769CFF3-40D2-4BAA-BAEF-3070324662CD}"/>
    <cellStyle name="Normal 4 2 2 3 7 2 3" xfId="12326" xr:uid="{ED01788A-D307-4D64-8463-51E230B4A049}"/>
    <cellStyle name="Normal 4 2 2 3 7 3" xfId="5957" xr:uid="{00000000-0005-0000-0000-00008B120000}"/>
    <cellStyle name="Normal 4 2 2 3 7 3 2" xfId="14399" xr:uid="{39D80F05-BD05-407C-A73B-CEF74339C6BC}"/>
    <cellStyle name="Normal 4 2 2 3 7 4" xfId="10181" xr:uid="{1D252E0E-12BD-4421-A16A-EF6808DD28EA}"/>
    <cellStyle name="Normal 4 2 2 3 8" xfId="2063" xr:uid="{00000000-0005-0000-0000-00008C120000}"/>
    <cellStyle name="Normal 4 2 2 3 8 2" xfId="4292" xr:uid="{00000000-0005-0000-0000-00008D120000}"/>
    <cellStyle name="Normal 4 2 2 3 8 2 2" xfId="8515" xr:uid="{00000000-0005-0000-0000-00008E120000}"/>
    <cellStyle name="Normal 4 2 2 3 8 2 2 2" xfId="16957" xr:uid="{A56BCF31-D91C-42F2-86A5-318C39276AD9}"/>
    <cellStyle name="Normal 4 2 2 3 8 2 3" xfId="12739" xr:uid="{55EEEBDA-C60C-47BB-B80C-310E345EAC55}"/>
    <cellStyle name="Normal 4 2 2 3 8 3" xfId="6370" xr:uid="{00000000-0005-0000-0000-00008F120000}"/>
    <cellStyle name="Normal 4 2 2 3 8 3 2" xfId="14812" xr:uid="{5179F128-736C-424A-8DB4-8DBB2D363AD9}"/>
    <cellStyle name="Normal 4 2 2 3 8 4" xfId="10594" xr:uid="{E07EEF72-3665-40F3-988C-3FDE31D7BC54}"/>
    <cellStyle name="Normal 4 2 2 3 9" xfId="2499" xr:uid="{00000000-0005-0000-0000-000090120000}"/>
    <cellStyle name="Normal 4 2 2 3 9 2" xfId="6783" xr:uid="{00000000-0005-0000-0000-000091120000}"/>
    <cellStyle name="Normal 4 2 2 3 9 2 2" xfId="15225" xr:uid="{CAFB346F-948C-4DB1-A705-0B8061D334EB}"/>
    <cellStyle name="Normal 4 2 2 3 9 3" xfId="11007" xr:uid="{5D8AC0F0-7F30-4B98-881E-5FBBB976963F}"/>
    <cellStyle name="Normal 4 2 2 4" xfId="347" xr:uid="{00000000-0005-0000-0000-000092120000}"/>
    <cellStyle name="Normal 4 2 2 4 10" xfId="8950" xr:uid="{CB2DA7FD-24FE-4732-A162-ED30222DD545}"/>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2 2 2" xfId="15728" xr:uid="{1D8913EE-3046-47B5-AD09-4B3910B2E3F3}"/>
    <cellStyle name="Normal 4 2 2 4 2 2 2 2 3" xfId="11510" xr:uid="{BFBA3D11-DB61-47C9-A051-8173B85CAC0C}"/>
    <cellStyle name="Normal 4 2 2 4 2 2 2 3" xfId="5141" xr:uid="{00000000-0005-0000-0000-000098120000}"/>
    <cellStyle name="Normal 4 2 2 4 2 2 2 3 2" xfId="13583" xr:uid="{8C15495E-80D4-4E20-AB64-3D117317B058}"/>
    <cellStyle name="Normal 4 2 2 4 2 2 2 4" xfId="9365" xr:uid="{FD0CED28-6567-4967-872F-46C410B8371C}"/>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2 2 2" xfId="16141" xr:uid="{C20DA5EB-FB9B-47A8-9808-24BDEAE21002}"/>
    <cellStyle name="Normal 4 2 2 4 2 2 3 2 3" xfId="11923" xr:uid="{5F19A3CC-445A-4754-8565-7BD7BF6C7632}"/>
    <cellStyle name="Normal 4 2 2 4 2 2 3 3" xfId="5554" xr:uid="{00000000-0005-0000-0000-00009C120000}"/>
    <cellStyle name="Normal 4 2 2 4 2 2 3 3 2" xfId="13996" xr:uid="{519706C0-1AB7-4C45-A181-0C979718AF6C}"/>
    <cellStyle name="Normal 4 2 2 4 2 2 3 4" xfId="9778" xr:uid="{65C2A7C1-4EAA-4FE0-9789-4743278CD83D}"/>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2 2 2" xfId="16554" xr:uid="{83A84EE9-98AB-457A-AD36-DACC1443E466}"/>
    <cellStyle name="Normal 4 2 2 4 2 2 4 2 3" xfId="12336" xr:uid="{978619B3-AF35-40F0-9E3C-48F3BC6CE89F}"/>
    <cellStyle name="Normal 4 2 2 4 2 2 4 3" xfId="5967" xr:uid="{00000000-0005-0000-0000-0000A0120000}"/>
    <cellStyle name="Normal 4 2 2 4 2 2 4 3 2" xfId="14409" xr:uid="{5E0F92AB-E56C-407D-9535-E79315EDF91D}"/>
    <cellStyle name="Normal 4 2 2 4 2 2 4 4" xfId="10191" xr:uid="{BE6F0229-A259-4503-9999-A48C10D400F8}"/>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2 2 2" xfId="16967" xr:uid="{E218B346-E24D-458E-B621-7EB43963868D}"/>
    <cellStyle name="Normal 4 2 2 4 2 2 5 2 3" xfId="12749" xr:uid="{9015C35B-F13B-4C10-8D87-D44D20B535F4}"/>
    <cellStyle name="Normal 4 2 2 4 2 2 5 3" xfId="6380" xr:uid="{00000000-0005-0000-0000-0000A4120000}"/>
    <cellStyle name="Normal 4 2 2 4 2 2 5 3 2" xfId="14822" xr:uid="{D9687AB5-85C3-4B9A-A80F-0AAC0FE73724}"/>
    <cellStyle name="Normal 4 2 2 4 2 2 5 4" xfId="10604" xr:uid="{C1A538FD-DF6A-4D3A-B5EA-B40759F25A87}"/>
    <cellStyle name="Normal 4 2 2 4 2 2 6" xfId="2509" xr:uid="{00000000-0005-0000-0000-0000A5120000}"/>
    <cellStyle name="Normal 4 2 2 4 2 2 6 2" xfId="6793" xr:uid="{00000000-0005-0000-0000-0000A6120000}"/>
    <cellStyle name="Normal 4 2 2 4 2 2 6 2 2" xfId="15235" xr:uid="{2303DCA2-95ED-4EB6-8A70-A4F1BBE10514}"/>
    <cellStyle name="Normal 4 2 2 4 2 2 6 3" xfId="11017" xr:uid="{B8716F29-8ECA-4CC3-B8DC-659FE22E3B02}"/>
    <cellStyle name="Normal 4 2 2 4 2 2 7" xfId="4728" xr:uid="{00000000-0005-0000-0000-0000A7120000}"/>
    <cellStyle name="Normal 4 2 2 4 2 2 7 2" xfId="13170" xr:uid="{626A2542-1270-49B0-8564-C493E2054759}"/>
    <cellStyle name="Normal 4 2 2 4 2 2 8" xfId="8952" xr:uid="{26B8205A-989F-4043-BFCC-AB89561CAD1F}"/>
    <cellStyle name="Normal 4 2 2 4 2 3" xfId="825" xr:uid="{00000000-0005-0000-0000-0000A8120000}"/>
    <cellStyle name="Normal 4 2 2 4 2 3 2" xfId="3062" xr:uid="{00000000-0005-0000-0000-0000A9120000}"/>
    <cellStyle name="Normal 4 2 2 4 2 3 2 2" xfId="7285" xr:uid="{00000000-0005-0000-0000-0000AA120000}"/>
    <cellStyle name="Normal 4 2 2 4 2 3 2 2 2" xfId="15727" xr:uid="{87BC06F3-7BD6-45F5-A2B2-6AE2931A5B3A}"/>
    <cellStyle name="Normal 4 2 2 4 2 3 2 3" xfId="11509" xr:uid="{A53F46D7-D117-410E-8544-9664C42E057F}"/>
    <cellStyle name="Normal 4 2 2 4 2 3 3" xfId="5140" xr:uid="{00000000-0005-0000-0000-0000AB120000}"/>
    <cellStyle name="Normal 4 2 2 4 2 3 3 2" xfId="13582" xr:uid="{A555C88B-95AD-4C3F-BA3A-13576284C182}"/>
    <cellStyle name="Normal 4 2 2 4 2 3 4" xfId="9364" xr:uid="{844EE84F-E81E-48E6-99DC-7259181EEFFD}"/>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2 2 2" xfId="16140" xr:uid="{BB560262-A251-4B22-A3C2-23E91377BCF3}"/>
    <cellStyle name="Normal 4 2 2 4 2 4 2 3" xfId="11922" xr:uid="{F064270F-A254-4558-B200-8CDAD6647F9A}"/>
    <cellStyle name="Normal 4 2 2 4 2 4 3" xfId="5553" xr:uid="{00000000-0005-0000-0000-0000AF120000}"/>
    <cellStyle name="Normal 4 2 2 4 2 4 3 2" xfId="13995" xr:uid="{DA6B0E03-C9F6-45EA-A9D8-884799947AF7}"/>
    <cellStyle name="Normal 4 2 2 4 2 4 4" xfId="9777" xr:uid="{874708DE-FC5C-4032-A700-C3F8A3F15EC9}"/>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2 2 2" xfId="16553" xr:uid="{AC295879-AEB5-4688-A5F0-542F1036E444}"/>
    <cellStyle name="Normal 4 2 2 4 2 5 2 3" xfId="12335" xr:uid="{19C0AD31-6B45-45E7-95A2-297472FF5E56}"/>
    <cellStyle name="Normal 4 2 2 4 2 5 3" xfId="5966" xr:uid="{00000000-0005-0000-0000-0000B3120000}"/>
    <cellStyle name="Normal 4 2 2 4 2 5 3 2" xfId="14408" xr:uid="{477595D0-E78F-425E-89FD-5D1A3E3C2468}"/>
    <cellStyle name="Normal 4 2 2 4 2 5 4" xfId="10190" xr:uid="{47D2C566-94B2-4BB6-A586-F00EBB470F7D}"/>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2 2 2" xfId="16966" xr:uid="{0771CD3A-748E-4383-8C9A-8A6B5CCC47D2}"/>
    <cellStyle name="Normal 4 2 2 4 2 6 2 3" xfId="12748" xr:uid="{377467A1-3C4F-4E94-83F0-E52CFE039081}"/>
    <cellStyle name="Normal 4 2 2 4 2 6 3" xfId="6379" xr:uid="{00000000-0005-0000-0000-0000B7120000}"/>
    <cellStyle name="Normal 4 2 2 4 2 6 3 2" xfId="14821" xr:uid="{309FE0F2-0CC5-48AE-84D0-3712EFE1C9F2}"/>
    <cellStyle name="Normal 4 2 2 4 2 6 4" xfId="10603" xr:uid="{821F5741-3BA5-4FCA-81CE-FE5CA7CD9AE6}"/>
    <cellStyle name="Normal 4 2 2 4 2 7" xfId="2508" xr:uid="{00000000-0005-0000-0000-0000B8120000}"/>
    <cellStyle name="Normal 4 2 2 4 2 7 2" xfId="6792" xr:uid="{00000000-0005-0000-0000-0000B9120000}"/>
    <cellStyle name="Normal 4 2 2 4 2 7 2 2" xfId="15234" xr:uid="{9ED398AE-D9C0-4ACE-8616-B13EDDDF2B91}"/>
    <cellStyle name="Normal 4 2 2 4 2 7 3" xfId="11016" xr:uid="{8C8D4E56-F606-4024-8CB9-FED04318DFFE}"/>
    <cellStyle name="Normal 4 2 2 4 2 8" xfId="4727" xr:uid="{00000000-0005-0000-0000-0000BA120000}"/>
    <cellStyle name="Normal 4 2 2 4 2 8 2" xfId="13169" xr:uid="{4E5D1516-EF35-44CD-8181-51B51B0EAA99}"/>
    <cellStyle name="Normal 4 2 2 4 2 9" xfId="8951" xr:uid="{12299099-B010-4B0E-AAE8-4B99C96F7E61}"/>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2 2 2" xfId="15729" xr:uid="{FD16F0AC-DEAC-44AF-A278-77336707895F}"/>
    <cellStyle name="Normal 4 2 2 4 3 2 2 3" xfId="11511" xr:uid="{65C966B8-FD25-458F-8E9B-9FE82DE2C4AC}"/>
    <cellStyle name="Normal 4 2 2 4 3 2 3" xfId="5142" xr:uid="{00000000-0005-0000-0000-0000BF120000}"/>
    <cellStyle name="Normal 4 2 2 4 3 2 3 2" xfId="13584" xr:uid="{E1823357-C1E7-4798-906C-D5944DEB0D76}"/>
    <cellStyle name="Normal 4 2 2 4 3 2 4" xfId="9366" xr:uid="{467A1401-6DD0-4A82-9D55-E822E0BAD9C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2 2 2" xfId="16142" xr:uid="{75E35C22-68B9-4A4C-9B40-5CBC6AB02C07}"/>
    <cellStyle name="Normal 4 2 2 4 3 3 2 3" xfId="11924" xr:uid="{C4F044CB-7DCB-4840-AAB8-98587598476C}"/>
    <cellStyle name="Normal 4 2 2 4 3 3 3" xfId="5555" xr:uid="{00000000-0005-0000-0000-0000C3120000}"/>
    <cellStyle name="Normal 4 2 2 4 3 3 3 2" xfId="13997" xr:uid="{119387DA-4F8D-4C25-B062-6D2A1A2CABC6}"/>
    <cellStyle name="Normal 4 2 2 4 3 3 4" xfId="9779" xr:uid="{63F5DC59-1A73-42B6-9B55-006F8AEC7322}"/>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2 2 2" xfId="16555" xr:uid="{13154D74-6E2B-4132-981B-46C0FEB0831B}"/>
    <cellStyle name="Normal 4 2 2 4 3 4 2 3" xfId="12337" xr:uid="{5EFA4579-FD43-48E0-B8EA-10C5205E1B87}"/>
    <cellStyle name="Normal 4 2 2 4 3 4 3" xfId="5968" xr:uid="{00000000-0005-0000-0000-0000C7120000}"/>
    <cellStyle name="Normal 4 2 2 4 3 4 3 2" xfId="14410" xr:uid="{412D8E89-F8FE-4B38-BE7F-7A1C8D4154CC}"/>
    <cellStyle name="Normal 4 2 2 4 3 4 4" xfId="10192" xr:uid="{D36C25E3-8FEA-4E7B-B436-14AC17CDA4CA}"/>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2 2 2" xfId="16968" xr:uid="{727763B4-1227-4780-8ACC-348E0FFFAFDF}"/>
    <cellStyle name="Normal 4 2 2 4 3 5 2 3" xfId="12750" xr:uid="{11D24DCC-B1F0-4DE5-8E04-1FC293A2B5DB}"/>
    <cellStyle name="Normal 4 2 2 4 3 5 3" xfId="6381" xr:uid="{00000000-0005-0000-0000-0000CB120000}"/>
    <cellStyle name="Normal 4 2 2 4 3 5 3 2" xfId="14823" xr:uid="{604095A4-0FF8-4996-BB45-B52C40351877}"/>
    <cellStyle name="Normal 4 2 2 4 3 5 4" xfId="10605" xr:uid="{0F431DB8-D692-4152-88EF-810CFD0F410D}"/>
    <cellStyle name="Normal 4 2 2 4 3 6" xfId="2510" xr:uid="{00000000-0005-0000-0000-0000CC120000}"/>
    <cellStyle name="Normal 4 2 2 4 3 6 2" xfId="6794" xr:uid="{00000000-0005-0000-0000-0000CD120000}"/>
    <cellStyle name="Normal 4 2 2 4 3 6 2 2" xfId="15236" xr:uid="{CFFECEF5-8AF1-4736-A7CD-A7526FFA72CD}"/>
    <cellStyle name="Normal 4 2 2 4 3 6 3" xfId="11018" xr:uid="{088CEAD4-5774-4178-9381-19AEA1DEC98E}"/>
    <cellStyle name="Normal 4 2 2 4 3 7" xfId="4729" xr:uid="{00000000-0005-0000-0000-0000CE120000}"/>
    <cellStyle name="Normal 4 2 2 4 3 7 2" xfId="13171" xr:uid="{5241AD99-43FC-4766-808D-021D535BF5E1}"/>
    <cellStyle name="Normal 4 2 2 4 3 8" xfId="8953" xr:uid="{133E5AB9-4BEA-4241-ACF3-72D608CE4D49}"/>
    <cellStyle name="Normal 4 2 2 4 4" xfId="824" xr:uid="{00000000-0005-0000-0000-0000CF120000}"/>
    <cellStyle name="Normal 4 2 2 4 4 2" xfId="3061" xr:uid="{00000000-0005-0000-0000-0000D0120000}"/>
    <cellStyle name="Normal 4 2 2 4 4 2 2" xfId="7284" xr:uid="{00000000-0005-0000-0000-0000D1120000}"/>
    <cellStyle name="Normal 4 2 2 4 4 2 2 2" xfId="15726" xr:uid="{9C20DB86-E21C-4DA0-A6BD-19C3B3E76430}"/>
    <cellStyle name="Normal 4 2 2 4 4 2 3" xfId="11508" xr:uid="{7E411FE7-6A40-4373-935C-626BB1E5E26E}"/>
    <cellStyle name="Normal 4 2 2 4 4 3" xfId="5139" xr:uid="{00000000-0005-0000-0000-0000D2120000}"/>
    <cellStyle name="Normal 4 2 2 4 4 3 2" xfId="13581" xr:uid="{71B21DEC-4620-42B7-9DFF-BDE1006CD476}"/>
    <cellStyle name="Normal 4 2 2 4 4 4" xfId="9363" xr:uid="{DA3689B4-20B8-43A9-83C9-B850C7870F6E}"/>
    <cellStyle name="Normal 4 2 2 4 5" xfId="1244" xr:uid="{00000000-0005-0000-0000-0000D3120000}"/>
    <cellStyle name="Normal 4 2 2 4 5 2" xfId="3474" xr:uid="{00000000-0005-0000-0000-0000D4120000}"/>
    <cellStyle name="Normal 4 2 2 4 5 2 2" xfId="7697" xr:uid="{00000000-0005-0000-0000-0000D5120000}"/>
    <cellStyle name="Normal 4 2 2 4 5 2 2 2" xfId="16139" xr:uid="{ED9B084F-D484-4F7C-8BEE-7E4AE89DA434}"/>
    <cellStyle name="Normal 4 2 2 4 5 2 3" xfId="11921" xr:uid="{85B4A21C-13CA-4F6C-BA8F-8EEB20B4A79A}"/>
    <cellStyle name="Normal 4 2 2 4 5 3" xfId="5552" xr:uid="{00000000-0005-0000-0000-0000D6120000}"/>
    <cellStyle name="Normal 4 2 2 4 5 3 2" xfId="13994" xr:uid="{0AB92CE8-CB2E-44F5-91CC-A8583D043022}"/>
    <cellStyle name="Normal 4 2 2 4 5 4" xfId="9776" xr:uid="{5228FFAC-01EB-4C1F-95D2-BF642F5B36CC}"/>
    <cellStyle name="Normal 4 2 2 4 6" xfId="1657" xr:uid="{00000000-0005-0000-0000-0000D7120000}"/>
    <cellStyle name="Normal 4 2 2 4 6 2" xfId="3887" xr:uid="{00000000-0005-0000-0000-0000D8120000}"/>
    <cellStyle name="Normal 4 2 2 4 6 2 2" xfId="8110" xr:uid="{00000000-0005-0000-0000-0000D9120000}"/>
    <cellStyle name="Normal 4 2 2 4 6 2 2 2" xfId="16552" xr:uid="{98962698-B896-4D82-B194-87FA38737AD2}"/>
    <cellStyle name="Normal 4 2 2 4 6 2 3" xfId="12334" xr:uid="{4B9B40EC-63BA-436A-9728-2D70FB01ADEC}"/>
    <cellStyle name="Normal 4 2 2 4 6 3" xfId="5965" xr:uid="{00000000-0005-0000-0000-0000DA120000}"/>
    <cellStyle name="Normal 4 2 2 4 6 3 2" xfId="14407" xr:uid="{A776BAF1-D6C7-4B5E-B0D2-0F5B4973335C}"/>
    <cellStyle name="Normal 4 2 2 4 6 4" xfId="10189" xr:uid="{98F94E8C-BC8B-4EDA-B72B-A9562A06E66B}"/>
    <cellStyle name="Normal 4 2 2 4 7" xfId="2071" xr:uid="{00000000-0005-0000-0000-0000DB120000}"/>
    <cellStyle name="Normal 4 2 2 4 7 2" xfId="4300" xr:uid="{00000000-0005-0000-0000-0000DC120000}"/>
    <cellStyle name="Normal 4 2 2 4 7 2 2" xfId="8523" xr:uid="{00000000-0005-0000-0000-0000DD120000}"/>
    <cellStyle name="Normal 4 2 2 4 7 2 2 2" xfId="16965" xr:uid="{26CEE57B-9325-4D28-B4E8-86A310F8CB1D}"/>
    <cellStyle name="Normal 4 2 2 4 7 2 3" xfId="12747" xr:uid="{E1004B47-A665-4D1F-9A4A-FC27606299F2}"/>
    <cellStyle name="Normal 4 2 2 4 7 3" xfId="6378" xr:uid="{00000000-0005-0000-0000-0000DE120000}"/>
    <cellStyle name="Normal 4 2 2 4 7 3 2" xfId="14820" xr:uid="{17C254F6-1057-4758-8A59-FB3528983266}"/>
    <cellStyle name="Normal 4 2 2 4 7 4" xfId="10602" xr:uid="{B05F0116-7B16-41A2-A3D2-12E247B072C4}"/>
    <cellStyle name="Normal 4 2 2 4 8" xfId="2507" xr:uid="{00000000-0005-0000-0000-0000DF120000}"/>
    <cellStyle name="Normal 4 2 2 4 8 2" xfId="6791" xr:uid="{00000000-0005-0000-0000-0000E0120000}"/>
    <cellStyle name="Normal 4 2 2 4 8 2 2" xfId="15233" xr:uid="{E3C7186B-44AF-455F-AC16-6B9CF0D87A2B}"/>
    <cellStyle name="Normal 4 2 2 4 8 3" xfId="11015" xr:uid="{E946E391-1EC6-44A9-933C-0A1AAFFA416C}"/>
    <cellStyle name="Normal 4 2 2 4 9" xfId="4726" xr:uid="{00000000-0005-0000-0000-0000E1120000}"/>
    <cellStyle name="Normal 4 2 2 4 9 2" xfId="13168" xr:uid="{76ABD5C1-E91F-452D-8753-3D01419CF384}"/>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2 2 2" xfId="15731" xr:uid="{375E3D0F-B2E9-4420-A1AC-0D3CE8B8CDF8}"/>
    <cellStyle name="Normal 4 2 2 5 2 2 2 3" xfId="11513" xr:uid="{08CA2069-2347-4209-8309-93D5A4F561C4}"/>
    <cellStyle name="Normal 4 2 2 5 2 2 3" xfId="5144" xr:uid="{00000000-0005-0000-0000-0000E7120000}"/>
    <cellStyle name="Normal 4 2 2 5 2 2 3 2" xfId="13586" xr:uid="{27E0A21B-A1D7-4022-9FCD-9BDB428BC007}"/>
    <cellStyle name="Normal 4 2 2 5 2 2 4" xfId="9368" xr:uid="{A0CE8B31-2BA6-4A3A-BF05-AB020D79963D}"/>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2 2 2" xfId="16144" xr:uid="{11FA421A-9455-4DF5-BDF0-9C98106747A3}"/>
    <cellStyle name="Normal 4 2 2 5 2 3 2 3" xfId="11926" xr:uid="{88880553-1377-4FB3-8E5E-15828FCBE39C}"/>
    <cellStyle name="Normal 4 2 2 5 2 3 3" xfId="5557" xr:uid="{00000000-0005-0000-0000-0000EB120000}"/>
    <cellStyle name="Normal 4 2 2 5 2 3 3 2" xfId="13999" xr:uid="{0E23A833-C347-4314-AD8A-8EB9D6F7AEA0}"/>
    <cellStyle name="Normal 4 2 2 5 2 3 4" xfId="9781" xr:uid="{9B1C6095-EEF4-4FD8-B179-9F3C1426F17A}"/>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2 2 2" xfId="16557" xr:uid="{1C6B90BE-1E95-4B3D-A395-FEB281C3B039}"/>
    <cellStyle name="Normal 4 2 2 5 2 4 2 3" xfId="12339" xr:uid="{5F693776-F771-4E7D-9EE3-1C71DB273D48}"/>
    <cellStyle name="Normal 4 2 2 5 2 4 3" xfId="5970" xr:uid="{00000000-0005-0000-0000-0000EF120000}"/>
    <cellStyle name="Normal 4 2 2 5 2 4 3 2" xfId="14412" xr:uid="{57E4640A-483D-43CC-8DE5-642C96067BD9}"/>
    <cellStyle name="Normal 4 2 2 5 2 4 4" xfId="10194" xr:uid="{FE650C57-5A4D-44EE-B91E-086B7358536C}"/>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2 2 2" xfId="16970" xr:uid="{BDDEE3AC-AD4D-4F01-93E7-D9F4D13822A5}"/>
    <cellStyle name="Normal 4 2 2 5 2 5 2 3" xfId="12752" xr:uid="{0792DAF2-BAFD-4605-8B02-913B22F77C36}"/>
    <cellStyle name="Normal 4 2 2 5 2 5 3" xfId="6383" xr:uid="{00000000-0005-0000-0000-0000F3120000}"/>
    <cellStyle name="Normal 4 2 2 5 2 5 3 2" xfId="14825" xr:uid="{F4397BEB-55A6-4022-9ABC-7920FD5B8B27}"/>
    <cellStyle name="Normal 4 2 2 5 2 5 4" xfId="10607" xr:uid="{481259FD-1791-4803-9641-CC7640A64CE8}"/>
    <cellStyle name="Normal 4 2 2 5 2 6" xfId="2512" xr:uid="{00000000-0005-0000-0000-0000F4120000}"/>
    <cellStyle name="Normal 4 2 2 5 2 6 2" xfId="6796" xr:uid="{00000000-0005-0000-0000-0000F5120000}"/>
    <cellStyle name="Normal 4 2 2 5 2 6 2 2" xfId="15238" xr:uid="{C58FA5A1-880F-4DEB-B4FA-E75B23AB651B}"/>
    <cellStyle name="Normal 4 2 2 5 2 6 3" xfId="11020" xr:uid="{72FF883E-2D16-4658-A23C-BCE3076871B7}"/>
    <cellStyle name="Normal 4 2 2 5 2 7" xfId="4731" xr:uid="{00000000-0005-0000-0000-0000F6120000}"/>
    <cellStyle name="Normal 4 2 2 5 2 7 2" xfId="13173" xr:uid="{533BDC68-FECE-4ECE-9D7E-F65AEF3B87C6}"/>
    <cellStyle name="Normal 4 2 2 5 2 8" xfId="8955" xr:uid="{4A9F33FD-E7A0-41C6-A811-9FF60676B5CD}"/>
    <cellStyle name="Normal 4 2 2 5 3" xfId="828" xr:uid="{00000000-0005-0000-0000-0000F7120000}"/>
    <cellStyle name="Normal 4 2 2 5 3 2" xfId="3065" xr:uid="{00000000-0005-0000-0000-0000F8120000}"/>
    <cellStyle name="Normal 4 2 2 5 3 2 2" xfId="7288" xr:uid="{00000000-0005-0000-0000-0000F9120000}"/>
    <cellStyle name="Normal 4 2 2 5 3 2 2 2" xfId="15730" xr:uid="{9000B08A-60CA-4FD4-AC98-A43EE325C6AB}"/>
    <cellStyle name="Normal 4 2 2 5 3 2 3" xfId="11512" xr:uid="{B279E3BD-8E1D-4A39-86A1-E58B974E424F}"/>
    <cellStyle name="Normal 4 2 2 5 3 3" xfId="5143" xr:uid="{00000000-0005-0000-0000-0000FA120000}"/>
    <cellStyle name="Normal 4 2 2 5 3 3 2" xfId="13585" xr:uid="{B1DF0AB9-15F1-4497-9EFB-6D98A3C47912}"/>
    <cellStyle name="Normal 4 2 2 5 3 4" xfId="9367" xr:uid="{CEBF9303-292F-4BF2-8645-BEC15B9025E6}"/>
    <cellStyle name="Normal 4 2 2 5 4" xfId="1248" xr:uid="{00000000-0005-0000-0000-0000FB120000}"/>
    <cellStyle name="Normal 4 2 2 5 4 2" xfId="3478" xr:uid="{00000000-0005-0000-0000-0000FC120000}"/>
    <cellStyle name="Normal 4 2 2 5 4 2 2" xfId="7701" xr:uid="{00000000-0005-0000-0000-0000FD120000}"/>
    <cellStyle name="Normal 4 2 2 5 4 2 2 2" xfId="16143" xr:uid="{15D4ED16-6A36-4785-A72F-800D400BA0BB}"/>
    <cellStyle name="Normal 4 2 2 5 4 2 3" xfId="11925" xr:uid="{8C27F599-92CF-433D-B248-1F8995FC9AF5}"/>
    <cellStyle name="Normal 4 2 2 5 4 3" xfId="5556" xr:uid="{00000000-0005-0000-0000-0000FE120000}"/>
    <cellStyle name="Normal 4 2 2 5 4 3 2" xfId="13998" xr:uid="{FFD5D711-1A28-4173-9DB2-B4CFCC9477DC}"/>
    <cellStyle name="Normal 4 2 2 5 4 4" xfId="9780" xr:uid="{91721788-B467-44B4-A673-A6888FF2685B}"/>
    <cellStyle name="Normal 4 2 2 5 5" xfId="1661" xr:uid="{00000000-0005-0000-0000-0000FF120000}"/>
    <cellStyle name="Normal 4 2 2 5 5 2" xfId="3891" xr:uid="{00000000-0005-0000-0000-000000130000}"/>
    <cellStyle name="Normal 4 2 2 5 5 2 2" xfId="8114" xr:uid="{00000000-0005-0000-0000-000001130000}"/>
    <cellStyle name="Normal 4 2 2 5 5 2 2 2" xfId="16556" xr:uid="{DE660C68-8D0A-4FA3-B005-248C3BBDE93C}"/>
    <cellStyle name="Normal 4 2 2 5 5 2 3" xfId="12338" xr:uid="{1932B4FC-41E7-4730-ADD1-856CF52790E7}"/>
    <cellStyle name="Normal 4 2 2 5 5 3" xfId="5969" xr:uid="{00000000-0005-0000-0000-000002130000}"/>
    <cellStyle name="Normal 4 2 2 5 5 3 2" xfId="14411" xr:uid="{6AFD9104-25A6-40E4-9175-87C302CFE7FC}"/>
    <cellStyle name="Normal 4 2 2 5 5 4" xfId="10193" xr:uid="{1DDECE94-8E8C-4F39-A0B8-B077313AB9A4}"/>
    <cellStyle name="Normal 4 2 2 5 6" xfId="2075" xr:uid="{00000000-0005-0000-0000-000003130000}"/>
    <cellStyle name="Normal 4 2 2 5 6 2" xfId="4304" xr:uid="{00000000-0005-0000-0000-000004130000}"/>
    <cellStyle name="Normal 4 2 2 5 6 2 2" xfId="8527" xr:uid="{00000000-0005-0000-0000-000005130000}"/>
    <cellStyle name="Normal 4 2 2 5 6 2 2 2" xfId="16969" xr:uid="{8A3CA38E-0941-4553-A4E7-A908109B13C1}"/>
    <cellStyle name="Normal 4 2 2 5 6 2 3" xfId="12751" xr:uid="{43B7EBEC-EA18-49F7-8FBC-72616E8C55E5}"/>
    <cellStyle name="Normal 4 2 2 5 6 3" xfId="6382" xr:uid="{00000000-0005-0000-0000-000006130000}"/>
    <cellStyle name="Normal 4 2 2 5 6 3 2" xfId="14824" xr:uid="{F41F6EF7-55E7-407A-A469-04C025362796}"/>
    <cellStyle name="Normal 4 2 2 5 6 4" xfId="10606" xr:uid="{F58486B7-C471-4090-98CF-C10FC3B5F64B}"/>
    <cellStyle name="Normal 4 2 2 5 7" xfId="2511" xr:uid="{00000000-0005-0000-0000-000007130000}"/>
    <cellStyle name="Normal 4 2 2 5 7 2" xfId="6795" xr:uid="{00000000-0005-0000-0000-000008130000}"/>
    <cellStyle name="Normal 4 2 2 5 7 2 2" xfId="15237" xr:uid="{5A6285BA-E4BF-4EE9-BDD1-8A6BC865D8BC}"/>
    <cellStyle name="Normal 4 2 2 5 7 3" xfId="11019" xr:uid="{2166A802-0F29-4FB6-BA0B-D62B87C121A6}"/>
    <cellStyle name="Normal 4 2 2 5 8" xfId="4730" xr:uid="{00000000-0005-0000-0000-000009130000}"/>
    <cellStyle name="Normal 4 2 2 5 8 2" xfId="13172" xr:uid="{B770BC6D-FF0A-414A-8F36-D2C433742A0A}"/>
    <cellStyle name="Normal 4 2 2 5 9" xfId="8954" xr:uid="{AAD451B0-F140-4DB1-B13F-E91F16BE60B2}"/>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2 2 2" xfId="15732" xr:uid="{A85BCE6E-CD65-4051-8235-9822DD003EC7}"/>
    <cellStyle name="Normal 4 2 2 6 2 2 3" xfId="11514" xr:uid="{37DEC151-E380-4F6C-A1AE-D467AFF3E901}"/>
    <cellStyle name="Normal 4 2 2 6 2 3" xfId="5145" xr:uid="{00000000-0005-0000-0000-00000E130000}"/>
    <cellStyle name="Normal 4 2 2 6 2 3 2" xfId="13587" xr:uid="{1D09606D-A42B-4B20-BBEB-ADEA42501844}"/>
    <cellStyle name="Normal 4 2 2 6 2 4" xfId="9369" xr:uid="{ADFFFC40-B793-4B80-A62E-5638B5DB2B9A}"/>
    <cellStyle name="Normal 4 2 2 6 3" xfId="1250" xr:uid="{00000000-0005-0000-0000-00000F130000}"/>
    <cellStyle name="Normal 4 2 2 6 3 2" xfId="3480" xr:uid="{00000000-0005-0000-0000-000010130000}"/>
    <cellStyle name="Normal 4 2 2 6 3 2 2" xfId="7703" xr:uid="{00000000-0005-0000-0000-000011130000}"/>
    <cellStyle name="Normal 4 2 2 6 3 2 2 2" xfId="16145" xr:uid="{9D9FB3A8-2F2F-4E3A-A661-ADAF861ADDB2}"/>
    <cellStyle name="Normal 4 2 2 6 3 2 3" xfId="11927" xr:uid="{7819E42C-A7F4-40D9-BF1B-8E5A1EB4B880}"/>
    <cellStyle name="Normal 4 2 2 6 3 3" xfId="5558" xr:uid="{00000000-0005-0000-0000-000012130000}"/>
    <cellStyle name="Normal 4 2 2 6 3 3 2" xfId="14000" xr:uid="{96933D0C-313E-4FB2-9D6D-5B7DC25CA377}"/>
    <cellStyle name="Normal 4 2 2 6 3 4" xfId="9782" xr:uid="{402183AE-F3A2-44A5-9E6B-2632388C610E}"/>
    <cellStyle name="Normal 4 2 2 6 4" xfId="1663" xr:uid="{00000000-0005-0000-0000-000013130000}"/>
    <cellStyle name="Normal 4 2 2 6 4 2" xfId="3893" xr:uid="{00000000-0005-0000-0000-000014130000}"/>
    <cellStyle name="Normal 4 2 2 6 4 2 2" xfId="8116" xr:uid="{00000000-0005-0000-0000-000015130000}"/>
    <cellStyle name="Normal 4 2 2 6 4 2 2 2" xfId="16558" xr:uid="{5329C376-1DD0-478D-853F-55A06A0C7C35}"/>
    <cellStyle name="Normal 4 2 2 6 4 2 3" xfId="12340" xr:uid="{FB50EB39-C2DC-4C13-B434-FB097AED3733}"/>
    <cellStyle name="Normal 4 2 2 6 4 3" xfId="5971" xr:uid="{00000000-0005-0000-0000-000016130000}"/>
    <cellStyle name="Normal 4 2 2 6 4 3 2" xfId="14413" xr:uid="{521569B2-7494-4F03-85B0-4510D145BF83}"/>
    <cellStyle name="Normal 4 2 2 6 4 4" xfId="10195" xr:uid="{ECD10378-36BE-4D1B-A87C-B423877E30AC}"/>
    <cellStyle name="Normal 4 2 2 6 5" xfId="2077" xr:uid="{00000000-0005-0000-0000-000017130000}"/>
    <cellStyle name="Normal 4 2 2 6 5 2" xfId="4306" xr:uid="{00000000-0005-0000-0000-000018130000}"/>
    <cellStyle name="Normal 4 2 2 6 5 2 2" xfId="8529" xr:uid="{00000000-0005-0000-0000-000019130000}"/>
    <cellStyle name="Normal 4 2 2 6 5 2 2 2" xfId="16971" xr:uid="{47CD0E7E-AA58-484C-8A3A-FE464100A92E}"/>
    <cellStyle name="Normal 4 2 2 6 5 2 3" xfId="12753" xr:uid="{9A501776-985B-46E1-977D-89746E2DAE33}"/>
    <cellStyle name="Normal 4 2 2 6 5 3" xfId="6384" xr:uid="{00000000-0005-0000-0000-00001A130000}"/>
    <cellStyle name="Normal 4 2 2 6 5 3 2" xfId="14826" xr:uid="{7891F4E6-B1CC-467B-B026-0195F8909F11}"/>
    <cellStyle name="Normal 4 2 2 6 5 4" xfId="10608" xr:uid="{648C5E31-88A6-4DE5-8182-DE79C4B597DA}"/>
    <cellStyle name="Normal 4 2 2 6 6" xfId="2513" xr:uid="{00000000-0005-0000-0000-00001B130000}"/>
    <cellStyle name="Normal 4 2 2 6 6 2" xfId="6797" xr:uid="{00000000-0005-0000-0000-00001C130000}"/>
    <cellStyle name="Normal 4 2 2 6 6 2 2" xfId="15239" xr:uid="{692D9483-BA70-4789-BCDC-0225C72FEF63}"/>
    <cellStyle name="Normal 4 2 2 6 6 3" xfId="11021" xr:uid="{E66CCBDA-6F37-498F-AECB-65D637C86992}"/>
    <cellStyle name="Normal 4 2 2 6 7" xfId="4732" xr:uid="{00000000-0005-0000-0000-00001D130000}"/>
    <cellStyle name="Normal 4 2 2 6 7 2" xfId="13174" xr:uid="{F8C01EC5-871A-4F1A-9447-71B810066D37}"/>
    <cellStyle name="Normal 4 2 2 6 8" xfId="8956" xr:uid="{8F2424C2-7DB7-4A04-A2BE-265F878AA85F}"/>
    <cellStyle name="Normal 4 2 2 7" xfId="815" xr:uid="{00000000-0005-0000-0000-00001E130000}"/>
    <cellStyle name="Normal 4 2 2 7 2" xfId="3052" xr:uid="{00000000-0005-0000-0000-00001F130000}"/>
    <cellStyle name="Normal 4 2 2 7 2 2" xfId="7275" xr:uid="{00000000-0005-0000-0000-000020130000}"/>
    <cellStyle name="Normal 4 2 2 7 2 2 2" xfId="15717" xr:uid="{DAD09A53-7270-427B-8C93-622513316447}"/>
    <cellStyle name="Normal 4 2 2 7 2 3" xfId="11499" xr:uid="{648E5921-7014-404A-82DE-EC613FDB4B58}"/>
    <cellStyle name="Normal 4 2 2 7 3" xfId="5130" xr:uid="{00000000-0005-0000-0000-000021130000}"/>
    <cellStyle name="Normal 4 2 2 7 3 2" xfId="13572" xr:uid="{6D9632F1-3771-4C64-9AA5-B83938A9FEEC}"/>
    <cellStyle name="Normal 4 2 2 7 4" xfId="9354" xr:uid="{43F227DC-9E66-4486-9335-368F836C8F8D}"/>
    <cellStyle name="Normal 4 2 2 8" xfId="1235" xr:uid="{00000000-0005-0000-0000-000022130000}"/>
    <cellStyle name="Normal 4 2 2 8 2" xfId="3465" xr:uid="{00000000-0005-0000-0000-000023130000}"/>
    <cellStyle name="Normal 4 2 2 8 2 2" xfId="7688" xr:uid="{00000000-0005-0000-0000-000024130000}"/>
    <cellStyle name="Normal 4 2 2 8 2 2 2" xfId="16130" xr:uid="{DA4CFCE8-2C87-48EE-9617-6BF6DC5E9B94}"/>
    <cellStyle name="Normal 4 2 2 8 2 3" xfId="11912" xr:uid="{D3CE6223-33EC-4574-9873-7708700F3E12}"/>
    <cellStyle name="Normal 4 2 2 8 3" xfId="5543" xr:uid="{00000000-0005-0000-0000-000025130000}"/>
    <cellStyle name="Normal 4 2 2 8 3 2" xfId="13985" xr:uid="{5E30C95D-6F8D-4723-A4BD-8DA2D6C0A031}"/>
    <cellStyle name="Normal 4 2 2 8 4" xfId="9767" xr:uid="{BC99A2B7-E666-4C43-A931-78A784ED08CB}"/>
    <cellStyle name="Normal 4 2 2 9" xfId="1648" xr:uid="{00000000-0005-0000-0000-000026130000}"/>
    <cellStyle name="Normal 4 2 2 9 2" xfId="3878" xr:uid="{00000000-0005-0000-0000-000027130000}"/>
    <cellStyle name="Normal 4 2 2 9 2 2" xfId="8101" xr:uid="{00000000-0005-0000-0000-000028130000}"/>
    <cellStyle name="Normal 4 2 2 9 2 2 2" xfId="16543" xr:uid="{D79EC8E3-3E81-4213-98B8-CB3CF7CAC5E4}"/>
    <cellStyle name="Normal 4 2 2 9 2 3" xfId="12325" xr:uid="{22EAF0E8-A0F8-44FB-B881-F69CBCDAED1C}"/>
    <cellStyle name="Normal 4 2 2 9 3" xfId="5956" xr:uid="{00000000-0005-0000-0000-000029130000}"/>
    <cellStyle name="Normal 4 2 2 9 3 2" xfId="14398" xr:uid="{5F66E3AA-00C2-4B5A-878B-BBE91F6D4E4C}"/>
    <cellStyle name="Normal 4 2 2 9 4" xfId="10180" xr:uid="{91030BF6-C625-496A-8631-F467B9672479}"/>
    <cellStyle name="Normal 4 2 3" xfId="354" xr:uid="{00000000-0005-0000-0000-00002A130000}"/>
    <cellStyle name="Normal 4 2 4" xfId="355" xr:uid="{00000000-0005-0000-0000-00002B130000}"/>
    <cellStyle name="Normal 4 2 4 10" xfId="4733" xr:uid="{00000000-0005-0000-0000-00002C130000}"/>
    <cellStyle name="Normal 4 2 4 10 2" xfId="13175" xr:uid="{21DA78FB-68CB-444B-8F72-DC251B73474A}"/>
    <cellStyle name="Normal 4 2 4 11" xfId="8957" xr:uid="{D6FF08ED-700C-4ADD-97A4-09291AFFA06E}"/>
    <cellStyle name="Normal 4 2 4 2" xfId="356" xr:uid="{00000000-0005-0000-0000-00002D130000}"/>
    <cellStyle name="Normal 4 2 4 2 10" xfId="8958" xr:uid="{227B78F3-CAD1-4DF0-BFA5-095B7E62226D}"/>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2 2 2" xfId="15736" xr:uid="{800DDBE0-66F2-4770-A34E-8AB3F1FF03AD}"/>
    <cellStyle name="Normal 4 2 4 2 2 2 2 2 3" xfId="11518" xr:uid="{FD5A447F-6E86-4D47-8CFF-81F399731F46}"/>
    <cellStyle name="Normal 4 2 4 2 2 2 2 3" xfId="5149" xr:uid="{00000000-0005-0000-0000-000033130000}"/>
    <cellStyle name="Normal 4 2 4 2 2 2 2 3 2" xfId="13591" xr:uid="{3E699963-2187-4C10-B19C-15A554112A1B}"/>
    <cellStyle name="Normal 4 2 4 2 2 2 2 4" xfId="9373" xr:uid="{E4775A6C-048F-4412-8792-0B5A8EC3F2D9}"/>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2 2 2" xfId="16149" xr:uid="{51579F3A-8BA0-4ED4-844F-EF5318EA387A}"/>
    <cellStyle name="Normal 4 2 4 2 2 2 3 2 3" xfId="11931" xr:uid="{309DEF1D-C8D1-4D5C-8540-AD91FE58E227}"/>
    <cellStyle name="Normal 4 2 4 2 2 2 3 3" xfId="5562" xr:uid="{00000000-0005-0000-0000-000037130000}"/>
    <cellStyle name="Normal 4 2 4 2 2 2 3 3 2" xfId="14004" xr:uid="{9834533A-3569-43F0-ABB3-5DB5EE885DBF}"/>
    <cellStyle name="Normal 4 2 4 2 2 2 3 4" xfId="9786" xr:uid="{80ACE250-F8E0-49D0-B5B4-717EC849CF4E}"/>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2 2 2" xfId="16562" xr:uid="{36B1EA40-E73D-4E4E-994F-2BC8D7B6E60B}"/>
    <cellStyle name="Normal 4 2 4 2 2 2 4 2 3" xfId="12344" xr:uid="{71B78204-F1B1-4F48-9A0C-A7695C344FD9}"/>
    <cellStyle name="Normal 4 2 4 2 2 2 4 3" xfId="5975" xr:uid="{00000000-0005-0000-0000-00003B130000}"/>
    <cellStyle name="Normal 4 2 4 2 2 2 4 3 2" xfId="14417" xr:uid="{63C698FC-2018-4C09-A8B2-FE628D642609}"/>
    <cellStyle name="Normal 4 2 4 2 2 2 4 4" xfId="10199" xr:uid="{D797C4B9-29DF-472F-853E-C9A9445331AF}"/>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2 2 2" xfId="16975" xr:uid="{0380DE63-0F44-47D0-A7A3-7C1CD4DFA526}"/>
    <cellStyle name="Normal 4 2 4 2 2 2 5 2 3" xfId="12757" xr:uid="{83F8C9F7-474F-4D3D-A3B7-7AA9810F4D59}"/>
    <cellStyle name="Normal 4 2 4 2 2 2 5 3" xfId="6388" xr:uid="{00000000-0005-0000-0000-00003F130000}"/>
    <cellStyle name="Normal 4 2 4 2 2 2 5 3 2" xfId="14830" xr:uid="{35818A51-141C-47BE-9B99-7E809CC8A7F5}"/>
    <cellStyle name="Normal 4 2 4 2 2 2 5 4" xfId="10612" xr:uid="{2016F649-6844-4684-AE82-F747CB3030E8}"/>
    <cellStyle name="Normal 4 2 4 2 2 2 6" xfId="2517" xr:uid="{00000000-0005-0000-0000-000040130000}"/>
    <cellStyle name="Normal 4 2 4 2 2 2 6 2" xfId="6801" xr:uid="{00000000-0005-0000-0000-000041130000}"/>
    <cellStyle name="Normal 4 2 4 2 2 2 6 2 2" xfId="15243" xr:uid="{16EA1D4B-2624-4F62-B7B3-A3AADC3DD14E}"/>
    <cellStyle name="Normal 4 2 4 2 2 2 6 3" xfId="11025" xr:uid="{8E8A3517-C68C-49B1-BF7E-DA9195DE5970}"/>
    <cellStyle name="Normal 4 2 4 2 2 2 7" xfId="4736" xr:uid="{00000000-0005-0000-0000-000042130000}"/>
    <cellStyle name="Normal 4 2 4 2 2 2 7 2" xfId="13178" xr:uid="{E285C55C-FD7E-48B2-8224-B8F9A0E52DEB}"/>
    <cellStyle name="Normal 4 2 4 2 2 2 8" xfId="8960" xr:uid="{3F7C49B0-CFC0-4FA2-8079-7E95A67BB071}"/>
    <cellStyle name="Normal 4 2 4 2 2 3" xfId="833" xr:uid="{00000000-0005-0000-0000-000043130000}"/>
    <cellStyle name="Normal 4 2 4 2 2 3 2" xfId="3070" xr:uid="{00000000-0005-0000-0000-000044130000}"/>
    <cellStyle name="Normal 4 2 4 2 2 3 2 2" xfId="7293" xr:uid="{00000000-0005-0000-0000-000045130000}"/>
    <cellStyle name="Normal 4 2 4 2 2 3 2 2 2" xfId="15735" xr:uid="{EBEBA75A-466B-4AF6-8DBF-6FC1B8A205EF}"/>
    <cellStyle name="Normal 4 2 4 2 2 3 2 3" xfId="11517" xr:uid="{D29269AD-D919-48D7-A246-72B1D1D6F6B9}"/>
    <cellStyle name="Normal 4 2 4 2 2 3 3" xfId="5148" xr:uid="{00000000-0005-0000-0000-000046130000}"/>
    <cellStyle name="Normal 4 2 4 2 2 3 3 2" xfId="13590" xr:uid="{A03F8DE1-76EB-4E96-AD84-5317F72EF2E5}"/>
    <cellStyle name="Normal 4 2 4 2 2 3 4" xfId="9372" xr:uid="{21B0788A-21FE-4D8E-A847-0C65F785C264}"/>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2 2 2" xfId="16148" xr:uid="{9E6EED50-40E9-459B-9CFB-00D68EEE420E}"/>
    <cellStyle name="Normal 4 2 4 2 2 4 2 3" xfId="11930" xr:uid="{6007A593-1843-4E18-A5ED-DD33DCEB5DF0}"/>
    <cellStyle name="Normal 4 2 4 2 2 4 3" xfId="5561" xr:uid="{00000000-0005-0000-0000-00004A130000}"/>
    <cellStyle name="Normal 4 2 4 2 2 4 3 2" xfId="14003" xr:uid="{439A0609-39AC-47F7-8B18-B212F60374DD}"/>
    <cellStyle name="Normal 4 2 4 2 2 4 4" xfId="9785" xr:uid="{93565ECC-140D-4903-9F51-800EEDCD0F07}"/>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2 2 2" xfId="16561" xr:uid="{56A62119-EC6F-4599-92B0-666523A9E28A}"/>
    <cellStyle name="Normal 4 2 4 2 2 5 2 3" xfId="12343" xr:uid="{78C5C4E6-19D2-4E07-9F93-8F2FBCCBE01C}"/>
    <cellStyle name="Normal 4 2 4 2 2 5 3" xfId="5974" xr:uid="{00000000-0005-0000-0000-00004E130000}"/>
    <cellStyle name="Normal 4 2 4 2 2 5 3 2" xfId="14416" xr:uid="{7893A629-D0FF-4A8B-8756-463B59D71A04}"/>
    <cellStyle name="Normal 4 2 4 2 2 5 4" xfId="10198" xr:uid="{F4F1ADFF-F615-48B8-8888-EA6284661366}"/>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2 2 2" xfId="16974" xr:uid="{528C4F80-CDD0-41A9-B767-556C30B2CDD4}"/>
    <cellStyle name="Normal 4 2 4 2 2 6 2 3" xfId="12756" xr:uid="{267A73D4-02E2-4550-AB8F-4DA254A67C4E}"/>
    <cellStyle name="Normal 4 2 4 2 2 6 3" xfId="6387" xr:uid="{00000000-0005-0000-0000-000052130000}"/>
    <cellStyle name="Normal 4 2 4 2 2 6 3 2" xfId="14829" xr:uid="{2BC3DDD2-2AF8-4337-B28F-29D1CFD04017}"/>
    <cellStyle name="Normal 4 2 4 2 2 6 4" xfId="10611" xr:uid="{8A001529-B27B-4F36-B8FF-779C25E17928}"/>
    <cellStyle name="Normal 4 2 4 2 2 7" xfId="2516" xr:uid="{00000000-0005-0000-0000-000053130000}"/>
    <cellStyle name="Normal 4 2 4 2 2 7 2" xfId="6800" xr:uid="{00000000-0005-0000-0000-000054130000}"/>
    <cellStyle name="Normal 4 2 4 2 2 7 2 2" xfId="15242" xr:uid="{57C1388F-B54D-4D75-9759-96AB4E67984E}"/>
    <cellStyle name="Normal 4 2 4 2 2 7 3" xfId="11024" xr:uid="{962E89A5-66E7-4D08-8BF1-DEF8FB3DAD17}"/>
    <cellStyle name="Normal 4 2 4 2 2 8" xfId="4735" xr:uid="{00000000-0005-0000-0000-000055130000}"/>
    <cellStyle name="Normal 4 2 4 2 2 8 2" xfId="13177" xr:uid="{AEB0757C-B9FB-40BC-8721-3A4D63DBEBFB}"/>
    <cellStyle name="Normal 4 2 4 2 2 9" xfId="8959" xr:uid="{4CA7851F-1531-4FC2-A9FA-B6C43CB9A47E}"/>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2 2 2" xfId="15737" xr:uid="{8B50EADC-F10D-45BE-9FA0-3AFC3FEA384B}"/>
    <cellStyle name="Normal 4 2 4 2 3 2 2 3" xfId="11519" xr:uid="{A84144ED-B50A-4C15-A432-A257E722EFDB}"/>
    <cellStyle name="Normal 4 2 4 2 3 2 3" xfId="5150" xr:uid="{00000000-0005-0000-0000-00005A130000}"/>
    <cellStyle name="Normal 4 2 4 2 3 2 3 2" xfId="13592" xr:uid="{CE2A17FA-4FE1-4910-BE0A-4B32AA27DBD6}"/>
    <cellStyle name="Normal 4 2 4 2 3 2 4" xfId="9374" xr:uid="{B94EAE78-829C-4E50-83CC-A5960C771BAC}"/>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2 2 2" xfId="16150" xr:uid="{395CF6DF-85A6-4B92-85C4-220D66CBD1E3}"/>
    <cellStyle name="Normal 4 2 4 2 3 3 2 3" xfId="11932" xr:uid="{269738B6-0A84-4DE1-9498-481F84AB93F1}"/>
    <cellStyle name="Normal 4 2 4 2 3 3 3" xfId="5563" xr:uid="{00000000-0005-0000-0000-00005E130000}"/>
    <cellStyle name="Normal 4 2 4 2 3 3 3 2" xfId="14005" xr:uid="{9EF7BDE7-BBA1-4394-BE91-2CAA51CFC6BE}"/>
    <cellStyle name="Normal 4 2 4 2 3 3 4" xfId="9787" xr:uid="{E245B212-1941-482C-AF1A-33188B66EAF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2 2 2" xfId="16563" xr:uid="{22421AF5-1AD6-45AA-B94D-6F19E8B99B30}"/>
    <cellStyle name="Normal 4 2 4 2 3 4 2 3" xfId="12345" xr:uid="{0CA48B1A-DF1E-49CB-A659-9A4CBFD0E6AA}"/>
    <cellStyle name="Normal 4 2 4 2 3 4 3" xfId="5976" xr:uid="{00000000-0005-0000-0000-000062130000}"/>
    <cellStyle name="Normal 4 2 4 2 3 4 3 2" xfId="14418" xr:uid="{7A3ADD02-AA9E-4A41-8A0F-DEE2A610C5F4}"/>
    <cellStyle name="Normal 4 2 4 2 3 4 4" xfId="10200" xr:uid="{1A6F189D-94A7-4D3D-9785-814D131D739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2 2 2" xfId="16976" xr:uid="{34AA2823-6FDC-4F43-B5D7-EFD8DFDEB887}"/>
    <cellStyle name="Normal 4 2 4 2 3 5 2 3" xfId="12758" xr:uid="{D64EB157-6AAE-4F00-8597-471669090CB2}"/>
    <cellStyle name="Normal 4 2 4 2 3 5 3" xfId="6389" xr:uid="{00000000-0005-0000-0000-000066130000}"/>
    <cellStyle name="Normal 4 2 4 2 3 5 3 2" xfId="14831" xr:uid="{055FB767-5F1A-4C23-AF08-6C6B7474C5EE}"/>
    <cellStyle name="Normal 4 2 4 2 3 5 4" xfId="10613" xr:uid="{D5983C69-7B4B-483F-BDB8-EB4CE64BBB3F}"/>
    <cellStyle name="Normal 4 2 4 2 3 6" xfId="2518" xr:uid="{00000000-0005-0000-0000-000067130000}"/>
    <cellStyle name="Normal 4 2 4 2 3 6 2" xfId="6802" xr:uid="{00000000-0005-0000-0000-000068130000}"/>
    <cellStyle name="Normal 4 2 4 2 3 6 2 2" xfId="15244" xr:uid="{2516375B-F951-4DA3-AA57-99322B8AE3B3}"/>
    <cellStyle name="Normal 4 2 4 2 3 6 3" xfId="11026" xr:uid="{8583EFF5-387F-4B4B-8CDA-AE48E86B7275}"/>
    <cellStyle name="Normal 4 2 4 2 3 7" xfId="4737" xr:uid="{00000000-0005-0000-0000-000069130000}"/>
    <cellStyle name="Normal 4 2 4 2 3 7 2" xfId="13179" xr:uid="{350B1016-DEF7-4CE3-80E8-3E6A47627653}"/>
    <cellStyle name="Normal 4 2 4 2 3 8" xfId="8961" xr:uid="{3C58C9A6-5FF1-4BC2-A766-6D842C2D39AC}"/>
    <cellStyle name="Normal 4 2 4 2 4" xfId="832" xr:uid="{00000000-0005-0000-0000-00006A130000}"/>
    <cellStyle name="Normal 4 2 4 2 4 2" xfId="3069" xr:uid="{00000000-0005-0000-0000-00006B130000}"/>
    <cellStyle name="Normal 4 2 4 2 4 2 2" xfId="7292" xr:uid="{00000000-0005-0000-0000-00006C130000}"/>
    <cellStyle name="Normal 4 2 4 2 4 2 2 2" xfId="15734" xr:uid="{F2E2F848-FF01-4D90-82DA-460B32D19917}"/>
    <cellStyle name="Normal 4 2 4 2 4 2 3" xfId="11516" xr:uid="{965E70E4-CEB5-49C2-97C4-CA0DD4D377DF}"/>
    <cellStyle name="Normal 4 2 4 2 4 3" xfId="5147" xr:uid="{00000000-0005-0000-0000-00006D130000}"/>
    <cellStyle name="Normal 4 2 4 2 4 3 2" xfId="13589" xr:uid="{583B7CD0-DA1E-49BC-88FE-2BDAA692A5C9}"/>
    <cellStyle name="Normal 4 2 4 2 4 4" xfId="9371" xr:uid="{E104F900-5EB3-4355-BFDE-8FAC8C4A147C}"/>
    <cellStyle name="Normal 4 2 4 2 5" xfId="1252" xr:uid="{00000000-0005-0000-0000-00006E130000}"/>
    <cellStyle name="Normal 4 2 4 2 5 2" xfId="3482" xr:uid="{00000000-0005-0000-0000-00006F130000}"/>
    <cellStyle name="Normal 4 2 4 2 5 2 2" xfId="7705" xr:uid="{00000000-0005-0000-0000-000070130000}"/>
    <cellStyle name="Normal 4 2 4 2 5 2 2 2" xfId="16147" xr:uid="{F0C9ACDA-EAF2-4F4C-9753-5270512CA980}"/>
    <cellStyle name="Normal 4 2 4 2 5 2 3" xfId="11929" xr:uid="{E023C0CC-FF1C-4048-8F01-452189735A5B}"/>
    <cellStyle name="Normal 4 2 4 2 5 3" xfId="5560" xr:uid="{00000000-0005-0000-0000-000071130000}"/>
    <cellStyle name="Normal 4 2 4 2 5 3 2" xfId="14002" xr:uid="{684AF707-BD2F-4A47-ACAF-2FD0B7D9BF03}"/>
    <cellStyle name="Normal 4 2 4 2 5 4" xfId="9784" xr:uid="{622D88BD-6452-4F1B-8689-FCFB222C2200}"/>
    <cellStyle name="Normal 4 2 4 2 6" xfId="1665" xr:uid="{00000000-0005-0000-0000-000072130000}"/>
    <cellStyle name="Normal 4 2 4 2 6 2" xfId="3895" xr:uid="{00000000-0005-0000-0000-000073130000}"/>
    <cellStyle name="Normal 4 2 4 2 6 2 2" xfId="8118" xr:uid="{00000000-0005-0000-0000-000074130000}"/>
    <cellStyle name="Normal 4 2 4 2 6 2 2 2" xfId="16560" xr:uid="{CCFB5C09-B366-4256-A533-A275E0947DB7}"/>
    <cellStyle name="Normal 4 2 4 2 6 2 3" xfId="12342" xr:uid="{2425369C-1716-4B18-8CC0-FD9838A1F3EF}"/>
    <cellStyle name="Normal 4 2 4 2 6 3" xfId="5973" xr:uid="{00000000-0005-0000-0000-000075130000}"/>
    <cellStyle name="Normal 4 2 4 2 6 3 2" xfId="14415" xr:uid="{9904AFA7-1309-4E7B-B396-B77693401243}"/>
    <cellStyle name="Normal 4 2 4 2 6 4" xfId="10197" xr:uid="{03119C1D-05AA-4B65-8EDC-17F1FB879E70}"/>
    <cellStyle name="Normal 4 2 4 2 7" xfId="2079" xr:uid="{00000000-0005-0000-0000-000076130000}"/>
    <cellStyle name="Normal 4 2 4 2 7 2" xfId="4308" xr:uid="{00000000-0005-0000-0000-000077130000}"/>
    <cellStyle name="Normal 4 2 4 2 7 2 2" xfId="8531" xr:uid="{00000000-0005-0000-0000-000078130000}"/>
    <cellStyle name="Normal 4 2 4 2 7 2 2 2" xfId="16973" xr:uid="{A33F12B2-FC5E-481F-8C6D-A628C141DEC4}"/>
    <cellStyle name="Normal 4 2 4 2 7 2 3" xfId="12755" xr:uid="{4E9C4E53-E8E1-4901-A60D-C1A37D760E23}"/>
    <cellStyle name="Normal 4 2 4 2 7 3" xfId="6386" xr:uid="{00000000-0005-0000-0000-000079130000}"/>
    <cellStyle name="Normal 4 2 4 2 7 3 2" xfId="14828" xr:uid="{94C777D3-FC44-4FE9-B2BC-B5330F5AFB33}"/>
    <cellStyle name="Normal 4 2 4 2 7 4" xfId="10610" xr:uid="{036BB504-B9B0-4010-A37B-5B94A5452B87}"/>
    <cellStyle name="Normal 4 2 4 2 8" xfId="2515" xr:uid="{00000000-0005-0000-0000-00007A130000}"/>
    <cellStyle name="Normal 4 2 4 2 8 2" xfId="6799" xr:uid="{00000000-0005-0000-0000-00007B130000}"/>
    <cellStyle name="Normal 4 2 4 2 8 2 2" xfId="15241" xr:uid="{469398CC-1B72-4AE6-B68C-F21833FC090D}"/>
    <cellStyle name="Normal 4 2 4 2 8 3" xfId="11023" xr:uid="{5EF4A710-DB35-4DAE-AD48-82ADD6EFE2BB}"/>
    <cellStyle name="Normal 4 2 4 2 9" xfId="4734" xr:uid="{00000000-0005-0000-0000-00007C130000}"/>
    <cellStyle name="Normal 4 2 4 2 9 2" xfId="13176" xr:uid="{9BA0E58F-9F3E-44B6-B002-4473544DD204}"/>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2 2 2" xfId="15739" xr:uid="{1ECF03FB-5C60-460B-A933-E1EE480DD438}"/>
    <cellStyle name="Normal 4 2 4 3 2 2 2 3" xfId="11521" xr:uid="{61BCDA9C-D147-42F0-A13C-CE0530EFED6C}"/>
    <cellStyle name="Normal 4 2 4 3 2 2 3" xfId="5152" xr:uid="{00000000-0005-0000-0000-000082130000}"/>
    <cellStyle name="Normal 4 2 4 3 2 2 3 2" xfId="13594" xr:uid="{2DAD2D9D-BEBB-4E1E-AADF-F1FB5CA1D271}"/>
    <cellStyle name="Normal 4 2 4 3 2 2 4" xfId="9376" xr:uid="{BF46335E-5A55-47A1-8139-CA145ECA3C3B}"/>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2 2 2" xfId="16152" xr:uid="{E6F59006-53A5-4DE1-AA84-8AE2EF45AD54}"/>
    <cellStyle name="Normal 4 2 4 3 2 3 2 3" xfId="11934" xr:uid="{4C166324-AF67-4844-8123-D565EAB643B6}"/>
    <cellStyle name="Normal 4 2 4 3 2 3 3" xfId="5565" xr:uid="{00000000-0005-0000-0000-000086130000}"/>
    <cellStyle name="Normal 4 2 4 3 2 3 3 2" xfId="14007" xr:uid="{E1C635EE-4E4C-4740-B4CE-49BB7F7B8BEE}"/>
    <cellStyle name="Normal 4 2 4 3 2 3 4" xfId="9789" xr:uid="{37559907-3A3B-4A92-9B71-7CA4299D3994}"/>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2 2 2" xfId="16565" xr:uid="{A4BFDB44-BCF3-49D2-91C5-5F5ACD0204AE}"/>
    <cellStyle name="Normal 4 2 4 3 2 4 2 3" xfId="12347" xr:uid="{A2FB9144-4FB4-4E5E-8D0C-D78834D7817B}"/>
    <cellStyle name="Normal 4 2 4 3 2 4 3" xfId="5978" xr:uid="{00000000-0005-0000-0000-00008A130000}"/>
    <cellStyle name="Normal 4 2 4 3 2 4 3 2" xfId="14420" xr:uid="{96C19356-DC65-480A-B2B4-C5EAD6794D92}"/>
    <cellStyle name="Normal 4 2 4 3 2 4 4" xfId="10202" xr:uid="{EFF35F7F-931A-4DD4-ACC0-296CE83CA07B}"/>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2 2 2" xfId="16978" xr:uid="{F68D8FAB-01D2-424C-9FF4-A847C765C971}"/>
    <cellStyle name="Normal 4 2 4 3 2 5 2 3" xfId="12760" xr:uid="{56069455-459B-4E6E-9B58-5E53EDCB8DBE}"/>
    <cellStyle name="Normal 4 2 4 3 2 5 3" xfId="6391" xr:uid="{00000000-0005-0000-0000-00008E130000}"/>
    <cellStyle name="Normal 4 2 4 3 2 5 3 2" xfId="14833" xr:uid="{6E6E6535-0A2C-4660-A0E7-66B0648EEC59}"/>
    <cellStyle name="Normal 4 2 4 3 2 5 4" xfId="10615" xr:uid="{90C5015F-2A0D-4605-9C0A-AAD6B8375792}"/>
    <cellStyle name="Normal 4 2 4 3 2 6" xfId="2520" xr:uid="{00000000-0005-0000-0000-00008F130000}"/>
    <cellStyle name="Normal 4 2 4 3 2 6 2" xfId="6804" xr:uid="{00000000-0005-0000-0000-000090130000}"/>
    <cellStyle name="Normal 4 2 4 3 2 6 2 2" xfId="15246" xr:uid="{CE1C2ED9-8E32-43F2-B53C-75F75D5FF08C}"/>
    <cellStyle name="Normal 4 2 4 3 2 6 3" xfId="11028" xr:uid="{3EED1ED4-6169-4CA7-B886-340A9798A7AD}"/>
    <cellStyle name="Normal 4 2 4 3 2 7" xfId="4739" xr:uid="{00000000-0005-0000-0000-000091130000}"/>
    <cellStyle name="Normal 4 2 4 3 2 7 2" xfId="13181" xr:uid="{0F58C635-B749-4613-B6D1-FA565027FD74}"/>
    <cellStyle name="Normal 4 2 4 3 2 8" xfId="8963" xr:uid="{55D30227-BFD8-403B-8C58-1BCF63014638}"/>
    <cellStyle name="Normal 4 2 4 3 3" xfId="836" xr:uid="{00000000-0005-0000-0000-000092130000}"/>
    <cellStyle name="Normal 4 2 4 3 3 2" xfId="3073" xr:uid="{00000000-0005-0000-0000-000093130000}"/>
    <cellStyle name="Normal 4 2 4 3 3 2 2" xfId="7296" xr:uid="{00000000-0005-0000-0000-000094130000}"/>
    <cellStyle name="Normal 4 2 4 3 3 2 2 2" xfId="15738" xr:uid="{8626027A-7CBB-455B-9096-5D97E14D6FA1}"/>
    <cellStyle name="Normal 4 2 4 3 3 2 3" xfId="11520" xr:uid="{2485D77E-9759-4B86-96EF-EFB3089A7637}"/>
    <cellStyle name="Normal 4 2 4 3 3 3" xfId="5151" xr:uid="{00000000-0005-0000-0000-000095130000}"/>
    <cellStyle name="Normal 4 2 4 3 3 3 2" xfId="13593" xr:uid="{0BD5161F-C6D9-4969-90C8-10F9BFCC0C17}"/>
    <cellStyle name="Normal 4 2 4 3 3 4" xfId="9375" xr:uid="{D7A285BB-131D-44A5-BD2C-072540FE24FB}"/>
    <cellStyle name="Normal 4 2 4 3 4" xfId="1256" xr:uid="{00000000-0005-0000-0000-000096130000}"/>
    <cellStyle name="Normal 4 2 4 3 4 2" xfId="3486" xr:uid="{00000000-0005-0000-0000-000097130000}"/>
    <cellStyle name="Normal 4 2 4 3 4 2 2" xfId="7709" xr:uid="{00000000-0005-0000-0000-000098130000}"/>
    <cellStyle name="Normal 4 2 4 3 4 2 2 2" xfId="16151" xr:uid="{E2160C2E-5EA9-4A74-8D62-4E6265742676}"/>
    <cellStyle name="Normal 4 2 4 3 4 2 3" xfId="11933" xr:uid="{CE920B9E-255B-4DE3-B95C-DFA1C707323A}"/>
    <cellStyle name="Normal 4 2 4 3 4 3" xfId="5564" xr:uid="{00000000-0005-0000-0000-000099130000}"/>
    <cellStyle name="Normal 4 2 4 3 4 3 2" xfId="14006" xr:uid="{DB6FCA4C-55C0-4B9D-86F1-A588EBA9DAB1}"/>
    <cellStyle name="Normal 4 2 4 3 4 4" xfId="9788" xr:uid="{EBCE01C5-1C58-469A-959A-952DCAF87E02}"/>
    <cellStyle name="Normal 4 2 4 3 5" xfId="1669" xr:uid="{00000000-0005-0000-0000-00009A130000}"/>
    <cellStyle name="Normal 4 2 4 3 5 2" xfId="3899" xr:uid="{00000000-0005-0000-0000-00009B130000}"/>
    <cellStyle name="Normal 4 2 4 3 5 2 2" xfId="8122" xr:uid="{00000000-0005-0000-0000-00009C130000}"/>
    <cellStyle name="Normal 4 2 4 3 5 2 2 2" xfId="16564" xr:uid="{68102308-5A58-457F-916A-CC34F8B9055A}"/>
    <cellStyle name="Normal 4 2 4 3 5 2 3" xfId="12346" xr:uid="{6F1591BC-EC33-44A2-A851-6ACF2788D865}"/>
    <cellStyle name="Normal 4 2 4 3 5 3" xfId="5977" xr:uid="{00000000-0005-0000-0000-00009D130000}"/>
    <cellStyle name="Normal 4 2 4 3 5 3 2" xfId="14419" xr:uid="{0FE6CE69-7DC5-4516-9038-DBBC21B8844A}"/>
    <cellStyle name="Normal 4 2 4 3 5 4" xfId="10201" xr:uid="{58D712CD-5F97-4D9C-8B3F-4AA9B3DD8717}"/>
    <cellStyle name="Normal 4 2 4 3 6" xfId="2083" xr:uid="{00000000-0005-0000-0000-00009E130000}"/>
    <cellStyle name="Normal 4 2 4 3 6 2" xfId="4312" xr:uid="{00000000-0005-0000-0000-00009F130000}"/>
    <cellStyle name="Normal 4 2 4 3 6 2 2" xfId="8535" xr:uid="{00000000-0005-0000-0000-0000A0130000}"/>
    <cellStyle name="Normal 4 2 4 3 6 2 2 2" xfId="16977" xr:uid="{4984C97F-DFB1-42C6-937A-C23480D76ED5}"/>
    <cellStyle name="Normal 4 2 4 3 6 2 3" xfId="12759" xr:uid="{162F23B8-EB7D-4A49-82DA-5F13A35B3FE6}"/>
    <cellStyle name="Normal 4 2 4 3 6 3" xfId="6390" xr:uid="{00000000-0005-0000-0000-0000A1130000}"/>
    <cellStyle name="Normal 4 2 4 3 6 3 2" xfId="14832" xr:uid="{3B3F20CB-8B10-4872-9D50-4692A0136DD1}"/>
    <cellStyle name="Normal 4 2 4 3 6 4" xfId="10614" xr:uid="{D0DC8F43-24E5-4295-AAA9-2BE4872092FE}"/>
    <cellStyle name="Normal 4 2 4 3 7" xfId="2519" xr:uid="{00000000-0005-0000-0000-0000A2130000}"/>
    <cellStyle name="Normal 4 2 4 3 7 2" xfId="6803" xr:uid="{00000000-0005-0000-0000-0000A3130000}"/>
    <cellStyle name="Normal 4 2 4 3 7 2 2" xfId="15245" xr:uid="{D08B0298-889B-4AB9-90D2-BBBC028773A2}"/>
    <cellStyle name="Normal 4 2 4 3 7 3" xfId="11027" xr:uid="{53F2ED44-5779-4A9C-95F4-0C80903631C2}"/>
    <cellStyle name="Normal 4 2 4 3 8" xfId="4738" xr:uid="{00000000-0005-0000-0000-0000A4130000}"/>
    <cellStyle name="Normal 4 2 4 3 8 2" xfId="13180" xr:uid="{D2F48ED3-6163-400F-975F-DE750209C981}"/>
    <cellStyle name="Normal 4 2 4 3 9" xfId="8962" xr:uid="{E413305C-1898-4639-AE7B-D17C4DB781EB}"/>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2 2 2" xfId="15740" xr:uid="{69E6AB06-2FD3-4003-BD87-0FCC9E027F89}"/>
    <cellStyle name="Normal 4 2 4 4 2 2 3" xfId="11522" xr:uid="{8B7AEB41-8394-41F6-B095-1204BF4F6084}"/>
    <cellStyle name="Normal 4 2 4 4 2 3" xfId="5153" xr:uid="{00000000-0005-0000-0000-0000A9130000}"/>
    <cellStyle name="Normal 4 2 4 4 2 3 2" xfId="13595" xr:uid="{51150A4B-6FF2-4624-87BA-CB5710DAEB96}"/>
    <cellStyle name="Normal 4 2 4 4 2 4" xfId="9377" xr:uid="{33919133-2389-4007-9E71-798D2A9B2669}"/>
    <cellStyle name="Normal 4 2 4 4 3" xfId="1258" xr:uid="{00000000-0005-0000-0000-0000AA130000}"/>
    <cellStyle name="Normal 4 2 4 4 3 2" xfId="3488" xr:uid="{00000000-0005-0000-0000-0000AB130000}"/>
    <cellStyle name="Normal 4 2 4 4 3 2 2" xfId="7711" xr:uid="{00000000-0005-0000-0000-0000AC130000}"/>
    <cellStyle name="Normal 4 2 4 4 3 2 2 2" xfId="16153" xr:uid="{1796C273-CC6C-42F2-8B35-B3C41BAF6AAE}"/>
    <cellStyle name="Normal 4 2 4 4 3 2 3" xfId="11935" xr:uid="{61265898-346D-4F25-8DF0-AFBB379A5CA4}"/>
    <cellStyle name="Normal 4 2 4 4 3 3" xfId="5566" xr:uid="{00000000-0005-0000-0000-0000AD130000}"/>
    <cellStyle name="Normal 4 2 4 4 3 3 2" xfId="14008" xr:uid="{5ECF582C-CB7D-4BF4-882A-EFBA6CCA7831}"/>
    <cellStyle name="Normal 4 2 4 4 3 4" xfId="9790" xr:uid="{07B22F60-FB56-46C4-B06A-C3A4B2E95CF0}"/>
    <cellStyle name="Normal 4 2 4 4 4" xfId="1671" xr:uid="{00000000-0005-0000-0000-0000AE130000}"/>
    <cellStyle name="Normal 4 2 4 4 4 2" xfId="3901" xr:uid="{00000000-0005-0000-0000-0000AF130000}"/>
    <cellStyle name="Normal 4 2 4 4 4 2 2" xfId="8124" xr:uid="{00000000-0005-0000-0000-0000B0130000}"/>
    <cellStyle name="Normal 4 2 4 4 4 2 2 2" xfId="16566" xr:uid="{124B8884-57F9-4D57-8246-59964936E1CB}"/>
    <cellStyle name="Normal 4 2 4 4 4 2 3" xfId="12348" xr:uid="{8C105FFF-1E11-4529-819F-0BF969737A6B}"/>
    <cellStyle name="Normal 4 2 4 4 4 3" xfId="5979" xr:uid="{00000000-0005-0000-0000-0000B1130000}"/>
    <cellStyle name="Normal 4 2 4 4 4 3 2" xfId="14421" xr:uid="{DAE7BD97-A3C4-4622-8399-2ADEE4A0C2AA}"/>
    <cellStyle name="Normal 4 2 4 4 4 4" xfId="10203" xr:uid="{E53A728D-911C-4463-B429-7E72E1228137}"/>
    <cellStyle name="Normal 4 2 4 4 5" xfId="2085" xr:uid="{00000000-0005-0000-0000-0000B2130000}"/>
    <cellStyle name="Normal 4 2 4 4 5 2" xfId="4314" xr:uid="{00000000-0005-0000-0000-0000B3130000}"/>
    <cellStyle name="Normal 4 2 4 4 5 2 2" xfId="8537" xr:uid="{00000000-0005-0000-0000-0000B4130000}"/>
    <cellStyle name="Normal 4 2 4 4 5 2 2 2" xfId="16979" xr:uid="{37DEDAB9-F29C-4D14-A066-A37000FE1355}"/>
    <cellStyle name="Normal 4 2 4 4 5 2 3" xfId="12761" xr:uid="{6CDD84A3-7624-4554-9268-49446096FB1A}"/>
    <cellStyle name="Normal 4 2 4 4 5 3" xfId="6392" xr:uid="{00000000-0005-0000-0000-0000B5130000}"/>
    <cellStyle name="Normal 4 2 4 4 5 3 2" xfId="14834" xr:uid="{D215FED4-D38A-4C33-B1E6-35E446B3ADBB}"/>
    <cellStyle name="Normal 4 2 4 4 5 4" xfId="10616" xr:uid="{AAF18AA8-F4D7-4057-AE73-DBE2FA03AFDA}"/>
    <cellStyle name="Normal 4 2 4 4 6" xfId="2521" xr:uid="{00000000-0005-0000-0000-0000B6130000}"/>
    <cellStyle name="Normal 4 2 4 4 6 2" xfId="6805" xr:uid="{00000000-0005-0000-0000-0000B7130000}"/>
    <cellStyle name="Normal 4 2 4 4 6 2 2" xfId="15247" xr:uid="{1F814A16-7D6C-42D3-8EA4-6FA44958E051}"/>
    <cellStyle name="Normal 4 2 4 4 6 3" xfId="11029" xr:uid="{907D90B9-D9B0-43E7-B90F-6091E37A8411}"/>
    <cellStyle name="Normal 4 2 4 4 7" xfId="4740" xr:uid="{00000000-0005-0000-0000-0000B8130000}"/>
    <cellStyle name="Normal 4 2 4 4 7 2" xfId="13182" xr:uid="{E10AE2E8-AC43-49BA-ADAB-303AA0546361}"/>
    <cellStyle name="Normal 4 2 4 4 8" xfId="8964" xr:uid="{3DB849C6-D86B-4AB6-B262-1074315F8C3B}"/>
    <cellStyle name="Normal 4 2 4 5" xfId="831" xr:uid="{00000000-0005-0000-0000-0000B9130000}"/>
    <cellStyle name="Normal 4 2 4 5 2" xfId="3068" xr:uid="{00000000-0005-0000-0000-0000BA130000}"/>
    <cellStyle name="Normal 4 2 4 5 2 2" xfId="7291" xr:uid="{00000000-0005-0000-0000-0000BB130000}"/>
    <cellStyle name="Normal 4 2 4 5 2 2 2" xfId="15733" xr:uid="{374A27BB-5046-42DE-B382-018CDF1643EA}"/>
    <cellStyle name="Normal 4 2 4 5 2 3" xfId="11515" xr:uid="{46070F5C-0B8A-4CB3-8832-C236DE144400}"/>
    <cellStyle name="Normal 4 2 4 5 3" xfId="5146" xr:uid="{00000000-0005-0000-0000-0000BC130000}"/>
    <cellStyle name="Normal 4 2 4 5 3 2" xfId="13588" xr:uid="{CCEA06E7-1628-4756-BDE2-96FD61164F22}"/>
    <cellStyle name="Normal 4 2 4 5 4" xfId="9370" xr:uid="{BB8ABE93-AC7E-40A7-B4D1-521A2EF0A68A}"/>
    <cellStyle name="Normal 4 2 4 6" xfId="1251" xr:uid="{00000000-0005-0000-0000-0000BD130000}"/>
    <cellStyle name="Normal 4 2 4 6 2" xfId="3481" xr:uid="{00000000-0005-0000-0000-0000BE130000}"/>
    <cellStyle name="Normal 4 2 4 6 2 2" xfId="7704" xr:uid="{00000000-0005-0000-0000-0000BF130000}"/>
    <cellStyle name="Normal 4 2 4 6 2 2 2" xfId="16146" xr:uid="{23D78954-F852-4081-A98F-F8AD6AE04ED6}"/>
    <cellStyle name="Normal 4 2 4 6 2 3" xfId="11928" xr:uid="{1051470C-D859-4331-A6B5-D9620531D6E8}"/>
    <cellStyle name="Normal 4 2 4 6 3" xfId="5559" xr:uid="{00000000-0005-0000-0000-0000C0130000}"/>
    <cellStyle name="Normal 4 2 4 6 3 2" xfId="14001" xr:uid="{BB9944B6-4346-413D-83F1-8B90F269C57A}"/>
    <cellStyle name="Normal 4 2 4 6 4" xfId="9783" xr:uid="{1BACC9EF-1FAA-4E02-B74B-5984AF5D6E99}"/>
    <cellStyle name="Normal 4 2 4 7" xfId="1664" xr:uid="{00000000-0005-0000-0000-0000C1130000}"/>
    <cellStyle name="Normal 4 2 4 7 2" xfId="3894" xr:uid="{00000000-0005-0000-0000-0000C2130000}"/>
    <cellStyle name="Normal 4 2 4 7 2 2" xfId="8117" xr:uid="{00000000-0005-0000-0000-0000C3130000}"/>
    <cellStyle name="Normal 4 2 4 7 2 2 2" xfId="16559" xr:uid="{7E311E85-6905-4D60-BF9B-56F2277F3696}"/>
    <cellStyle name="Normal 4 2 4 7 2 3" xfId="12341" xr:uid="{F9403B79-D20D-4712-B461-A63DF400CADD}"/>
    <cellStyle name="Normal 4 2 4 7 3" xfId="5972" xr:uid="{00000000-0005-0000-0000-0000C4130000}"/>
    <cellStyle name="Normal 4 2 4 7 3 2" xfId="14414" xr:uid="{BA6BD380-7537-4C0B-83D3-E15E2AA81EFC}"/>
    <cellStyle name="Normal 4 2 4 7 4" xfId="10196" xr:uid="{092A9E83-D0E9-45BF-90E3-D39A7BB63567}"/>
    <cellStyle name="Normal 4 2 4 8" xfId="2078" xr:uid="{00000000-0005-0000-0000-0000C5130000}"/>
    <cellStyle name="Normal 4 2 4 8 2" xfId="4307" xr:uid="{00000000-0005-0000-0000-0000C6130000}"/>
    <cellStyle name="Normal 4 2 4 8 2 2" xfId="8530" xr:uid="{00000000-0005-0000-0000-0000C7130000}"/>
    <cellStyle name="Normal 4 2 4 8 2 2 2" xfId="16972" xr:uid="{98761BBC-B0A1-481A-B1CA-D874F52B9275}"/>
    <cellStyle name="Normal 4 2 4 8 2 3" xfId="12754" xr:uid="{4C61F5D0-F4B3-4E17-917B-BD7A384B8E15}"/>
    <cellStyle name="Normal 4 2 4 8 3" xfId="6385" xr:uid="{00000000-0005-0000-0000-0000C8130000}"/>
    <cellStyle name="Normal 4 2 4 8 3 2" xfId="14827" xr:uid="{84CC3556-27FA-4D5C-A48F-5460BEC748EB}"/>
    <cellStyle name="Normal 4 2 4 8 4" xfId="10609" xr:uid="{BC1EA6F0-A16F-459E-9C4D-933241B90251}"/>
    <cellStyle name="Normal 4 2 4 9" xfId="2514" xr:uid="{00000000-0005-0000-0000-0000C9130000}"/>
    <cellStyle name="Normal 4 2 4 9 2" xfId="6798" xr:uid="{00000000-0005-0000-0000-0000CA130000}"/>
    <cellStyle name="Normal 4 2 4 9 2 2" xfId="15240" xr:uid="{BAD87E64-8543-49D4-891C-AF4835AE1F5E}"/>
    <cellStyle name="Normal 4 2 4 9 3" xfId="11022" xr:uid="{9E68E1AC-8A0C-4036-A179-5BD86F3A806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2 2 2" xfId="15742" xr:uid="{CAE49937-B984-447A-8D44-009059727590}"/>
    <cellStyle name="Normal 4 2 5 2 2 2 3" xfId="11524" xr:uid="{0C005F19-EDAB-4B3A-8186-2443E2F86D56}"/>
    <cellStyle name="Normal 4 2 5 2 2 3" xfId="5155" xr:uid="{00000000-0005-0000-0000-0000D0130000}"/>
    <cellStyle name="Normal 4 2 5 2 2 3 2" xfId="13597" xr:uid="{1465CEA4-6718-41CF-8383-811571044609}"/>
    <cellStyle name="Normal 4 2 5 2 2 4" xfId="9379" xr:uid="{764FCFC3-89D5-43F6-ADF5-F30FFB02EB58}"/>
    <cellStyle name="Normal 4 2 5 2 3" xfId="1260" xr:uid="{00000000-0005-0000-0000-0000D1130000}"/>
    <cellStyle name="Normal 4 2 5 2 3 2" xfId="3490" xr:uid="{00000000-0005-0000-0000-0000D2130000}"/>
    <cellStyle name="Normal 4 2 5 2 3 2 2" xfId="7713" xr:uid="{00000000-0005-0000-0000-0000D3130000}"/>
    <cellStyle name="Normal 4 2 5 2 3 2 2 2" xfId="16155" xr:uid="{4CF2D347-B7EE-48C7-983A-F587715FF2FC}"/>
    <cellStyle name="Normal 4 2 5 2 3 2 3" xfId="11937" xr:uid="{7C84E2E8-25C6-45CC-9D34-F098DA6B1AD9}"/>
    <cellStyle name="Normal 4 2 5 2 3 3" xfId="5568" xr:uid="{00000000-0005-0000-0000-0000D4130000}"/>
    <cellStyle name="Normal 4 2 5 2 3 3 2" xfId="14010" xr:uid="{05372B05-31C2-4F69-ABFE-F25B59EBA4A5}"/>
    <cellStyle name="Normal 4 2 5 2 3 4" xfId="9792" xr:uid="{CA9F604C-CF0A-4B36-84F8-610475056F67}"/>
    <cellStyle name="Normal 4 2 5 2 4" xfId="1673" xr:uid="{00000000-0005-0000-0000-0000D5130000}"/>
    <cellStyle name="Normal 4 2 5 2 4 2" xfId="3903" xr:uid="{00000000-0005-0000-0000-0000D6130000}"/>
    <cellStyle name="Normal 4 2 5 2 4 2 2" xfId="8126" xr:uid="{00000000-0005-0000-0000-0000D7130000}"/>
    <cellStyle name="Normal 4 2 5 2 4 2 2 2" xfId="16568" xr:uid="{FA1FBF7A-00D7-4A28-8426-F5EA0AAEB862}"/>
    <cellStyle name="Normal 4 2 5 2 4 2 3" xfId="12350" xr:uid="{F21CDC96-FFB0-4C19-B154-75F268422408}"/>
    <cellStyle name="Normal 4 2 5 2 4 3" xfId="5981" xr:uid="{00000000-0005-0000-0000-0000D8130000}"/>
    <cellStyle name="Normal 4 2 5 2 4 3 2" xfId="14423" xr:uid="{1FD58C23-96D7-4481-9DA2-0E8A463D07BE}"/>
    <cellStyle name="Normal 4 2 5 2 4 4" xfId="10205" xr:uid="{CF118CCC-3B1D-4A79-B0FC-16A1B8A56C3B}"/>
    <cellStyle name="Normal 4 2 5 2 5" xfId="2087" xr:uid="{00000000-0005-0000-0000-0000D9130000}"/>
    <cellStyle name="Normal 4 2 5 2 5 2" xfId="4316" xr:uid="{00000000-0005-0000-0000-0000DA130000}"/>
    <cellStyle name="Normal 4 2 5 2 5 2 2" xfId="8539" xr:uid="{00000000-0005-0000-0000-0000DB130000}"/>
    <cellStyle name="Normal 4 2 5 2 5 2 2 2" xfId="16981" xr:uid="{96E223AC-55F1-48BB-B7CD-469B60E6DD0E}"/>
    <cellStyle name="Normal 4 2 5 2 5 2 3" xfId="12763" xr:uid="{660ED69B-69CE-42F3-B273-19BFDA66CB19}"/>
    <cellStyle name="Normal 4 2 5 2 5 3" xfId="6394" xr:uid="{00000000-0005-0000-0000-0000DC130000}"/>
    <cellStyle name="Normal 4 2 5 2 5 3 2" xfId="14836" xr:uid="{17D2AF59-23EE-42C9-84A5-2BDC5E85BCFE}"/>
    <cellStyle name="Normal 4 2 5 2 5 4" xfId="10618" xr:uid="{2A3E70B3-A5BB-42C3-876B-4E0C477A803A}"/>
    <cellStyle name="Normal 4 2 5 2 6" xfId="2523" xr:uid="{00000000-0005-0000-0000-0000DD130000}"/>
    <cellStyle name="Normal 4 2 5 2 6 2" xfId="6807" xr:uid="{00000000-0005-0000-0000-0000DE130000}"/>
    <cellStyle name="Normal 4 2 5 2 6 2 2" xfId="15249" xr:uid="{5066A82B-3896-4939-B97F-7D9CC57DAEA6}"/>
    <cellStyle name="Normal 4 2 5 2 6 3" xfId="11031" xr:uid="{C9637793-D631-417C-9263-1965D6E33BDD}"/>
    <cellStyle name="Normal 4 2 5 2 7" xfId="4742" xr:uid="{00000000-0005-0000-0000-0000DF130000}"/>
    <cellStyle name="Normal 4 2 5 2 7 2" xfId="13184" xr:uid="{52F8D228-8BAB-4E38-B683-0337351089D7}"/>
    <cellStyle name="Normal 4 2 5 2 8" xfId="8966" xr:uid="{BC12E98E-BEDA-4475-A0EB-820CC090F29F}"/>
    <cellStyle name="Normal 4 2 5 3" xfId="839" xr:uid="{00000000-0005-0000-0000-0000E0130000}"/>
    <cellStyle name="Normal 4 2 5 3 2" xfId="3076" xr:uid="{00000000-0005-0000-0000-0000E1130000}"/>
    <cellStyle name="Normal 4 2 5 3 2 2" xfId="7299" xr:uid="{00000000-0005-0000-0000-0000E2130000}"/>
    <cellStyle name="Normal 4 2 5 3 2 2 2" xfId="15741" xr:uid="{17D9711B-FAD2-4AB9-A48F-61E89F626F41}"/>
    <cellStyle name="Normal 4 2 5 3 2 3" xfId="11523" xr:uid="{F844BF7D-DCF3-4D92-AEE3-9F1CCEE993AA}"/>
    <cellStyle name="Normal 4 2 5 3 3" xfId="5154" xr:uid="{00000000-0005-0000-0000-0000E3130000}"/>
    <cellStyle name="Normal 4 2 5 3 3 2" xfId="13596" xr:uid="{51163CDB-93D0-455D-92FD-F6BC28606031}"/>
    <cellStyle name="Normal 4 2 5 3 4" xfId="9378" xr:uid="{83883D09-D4C1-4F11-8145-E4AFDE4F697B}"/>
    <cellStyle name="Normal 4 2 5 4" xfId="1259" xr:uid="{00000000-0005-0000-0000-0000E4130000}"/>
    <cellStyle name="Normal 4 2 5 4 2" xfId="3489" xr:uid="{00000000-0005-0000-0000-0000E5130000}"/>
    <cellStyle name="Normal 4 2 5 4 2 2" xfId="7712" xr:uid="{00000000-0005-0000-0000-0000E6130000}"/>
    <cellStyle name="Normal 4 2 5 4 2 2 2" xfId="16154" xr:uid="{BF69F7F2-142A-4391-9D8C-32A4B7C117D7}"/>
    <cellStyle name="Normal 4 2 5 4 2 3" xfId="11936" xr:uid="{FE22F2A2-086F-421C-AD7D-B59E71006A45}"/>
    <cellStyle name="Normal 4 2 5 4 3" xfId="5567" xr:uid="{00000000-0005-0000-0000-0000E7130000}"/>
    <cellStyle name="Normal 4 2 5 4 3 2" xfId="14009" xr:uid="{72548176-A6D2-455D-827F-810E0DD08E04}"/>
    <cellStyle name="Normal 4 2 5 4 4" xfId="9791" xr:uid="{E7575A1B-73EC-4409-99CF-448D3D94C8C5}"/>
    <cellStyle name="Normal 4 2 5 5" xfId="1672" xr:uid="{00000000-0005-0000-0000-0000E8130000}"/>
    <cellStyle name="Normal 4 2 5 5 2" xfId="3902" xr:uid="{00000000-0005-0000-0000-0000E9130000}"/>
    <cellStyle name="Normal 4 2 5 5 2 2" xfId="8125" xr:uid="{00000000-0005-0000-0000-0000EA130000}"/>
    <cellStyle name="Normal 4 2 5 5 2 2 2" xfId="16567" xr:uid="{829ABEA0-41AC-4D12-8A61-5FA46097060A}"/>
    <cellStyle name="Normal 4 2 5 5 2 3" xfId="12349" xr:uid="{810B53BE-E4B7-4926-99E4-BC2838225BA4}"/>
    <cellStyle name="Normal 4 2 5 5 3" xfId="5980" xr:uid="{00000000-0005-0000-0000-0000EB130000}"/>
    <cellStyle name="Normal 4 2 5 5 3 2" xfId="14422" xr:uid="{B696E679-63EE-4AE9-9A36-465944106D64}"/>
    <cellStyle name="Normal 4 2 5 5 4" xfId="10204" xr:uid="{50632899-6D70-454D-BEEC-3ADA9645DD2E}"/>
    <cellStyle name="Normal 4 2 5 6" xfId="2086" xr:uid="{00000000-0005-0000-0000-0000EC130000}"/>
    <cellStyle name="Normal 4 2 5 6 2" xfId="4315" xr:uid="{00000000-0005-0000-0000-0000ED130000}"/>
    <cellStyle name="Normal 4 2 5 6 2 2" xfId="8538" xr:uid="{00000000-0005-0000-0000-0000EE130000}"/>
    <cellStyle name="Normal 4 2 5 6 2 2 2" xfId="16980" xr:uid="{077024DF-7A14-47E2-9197-BB9F3913BC5A}"/>
    <cellStyle name="Normal 4 2 5 6 2 3" xfId="12762" xr:uid="{1B101FE3-43B8-4932-99F0-A84FCFFE17BA}"/>
    <cellStyle name="Normal 4 2 5 6 3" xfId="6393" xr:uid="{00000000-0005-0000-0000-0000EF130000}"/>
    <cellStyle name="Normal 4 2 5 6 3 2" xfId="14835" xr:uid="{98843EBD-AA19-4638-94AA-7865BB38D8F2}"/>
    <cellStyle name="Normal 4 2 5 6 4" xfId="10617" xr:uid="{64951D0F-F88B-4E0D-ABE7-3C48E97AEF1F}"/>
    <cellStyle name="Normal 4 2 5 7" xfId="2522" xr:uid="{00000000-0005-0000-0000-0000F0130000}"/>
    <cellStyle name="Normal 4 2 5 7 2" xfId="6806" xr:uid="{00000000-0005-0000-0000-0000F1130000}"/>
    <cellStyle name="Normal 4 2 5 7 2 2" xfId="15248" xr:uid="{026324A3-50EF-4A5B-AEA6-3B63166C31FE}"/>
    <cellStyle name="Normal 4 2 5 7 3" xfId="11030" xr:uid="{37552E26-E3CD-4582-B216-175C11C580B1}"/>
    <cellStyle name="Normal 4 2 5 8" xfId="4741" xr:uid="{00000000-0005-0000-0000-0000F2130000}"/>
    <cellStyle name="Normal 4 2 5 8 2" xfId="13183" xr:uid="{DB14B024-78E6-4054-AA51-AF1BE21D3AEF}"/>
    <cellStyle name="Normal 4 2 5 9" xfId="8965" xr:uid="{F9CCBBE9-A8A4-4505-B23D-020AC974557B}"/>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2 2 2" xfId="15743" xr:uid="{AE1021C3-89DE-4E95-9C4E-F5603AEA1757}"/>
    <cellStyle name="Normal 4 2 6 2 2 3" xfId="11525" xr:uid="{900B6C8E-7055-4299-87E0-1214505690E6}"/>
    <cellStyle name="Normal 4 2 6 2 3" xfId="5156" xr:uid="{00000000-0005-0000-0000-0000F7130000}"/>
    <cellStyle name="Normal 4 2 6 2 3 2" xfId="13598" xr:uid="{409A80D7-437E-49CD-9B71-C96DB15B7FAA}"/>
    <cellStyle name="Normal 4 2 6 2 4" xfId="9380" xr:uid="{4B9349C8-F83A-4D60-AEFB-C2A733F4A071}"/>
    <cellStyle name="Normal 4 2 6 3" xfId="1261" xr:uid="{00000000-0005-0000-0000-0000F8130000}"/>
    <cellStyle name="Normal 4 2 6 3 2" xfId="3491" xr:uid="{00000000-0005-0000-0000-0000F9130000}"/>
    <cellStyle name="Normal 4 2 6 3 2 2" xfId="7714" xr:uid="{00000000-0005-0000-0000-0000FA130000}"/>
    <cellStyle name="Normal 4 2 6 3 2 2 2" xfId="16156" xr:uid="{EA7AA750-F64A-456F-8069-77D36995368D}"/>
    <cellStyle name="Normal 4 2 6 3 2 3" xfId="11938" xr:uid="{372C74F0-B6BF-4383-9A74-EB582C4716C3}"/>
    <cellStyle name="Normal 4 2 6 3 3" xfId="5569" xr:uid="{00000000-0005-0000-0000-0000FB130000}"/>
    <cellStyle name="Normal 4 2 6 3 3 2" xfId="14011" xr:uid="{28786137-A70E-4869-80DE-677EFCA1E9F0}"/>
    <cellStyle name="Normal 4 2 6 3 4" xfId="9793" xr:uid="{721758D0-E2B9-4AD4-A78C-A0F6C88E9483}"/>
    <cellStyle name="Normal 4 2 6 4" xfId="1674" xr:uid="{00000000-0005-0000-0000-0000FC130000}"/>
    <cellStyle name="Normal 4 2 6 4 2" xfId="3904" xr:uid="{00000000-0005-0000-0000-0000FD130000}"/>
    <cellStyle name="Normal 4 2 6 4 2 2" xfId="8127" xr:uid="{00000000-0005-0000-0000-0000FE130000}"/>
    <cellStyle name="Normal 4 2 6 4 2 2 2" xfId="16569" xr:uid="{C0880295-2B4A-4C51-9498-B5DA4A1CB177}"/>
    <cellStyle name="Normal 4 2 6 4 2 3" xfId="12351" xr:uid="{62919460-499A-4485-AA9E-64B767F8AD9B}"/>
    <cellStyle name="Normal 4 2 6 4 3" xfId="5982" xr:uid="{00000000-0005-0000-0000-0000FF130000}"/>
    <cellStyle name="Normal 4 2 6 4 3 2" xfId="14424" xr:uid="{C3BD0CB4-E9EE-4F9E-8F29-F18CCF2AF397}"/>
    <cellStyle name="Normal 4 2 6 4 4" xfId="10206" xr:uid="{544FAB96-8EFC-4271-8046-AFCC83FADC83}"/>
    <cellStyle name="Normal 4 2 6 5" xfId="2088" xr:uid="{00000000-0005-0000-0000-000000140000}"/>
    <cellStyle name="Normal 4 2 6 5 2" xfId="4317" xr:uid="{00000000-0005-0000-0000-000001140000}"/>
    <cellStyle name="Normal 4 2 6 5 2 2" xfId="8540" xr:uid="{00000000-0005-0000-0000-000002140000}"/>
    <cellStyle name="Normal 4 2 6 5 2 2 2" xfId="16982" xr:uid="{3E2A3EC8-7C69-4021-8B35-1EE573AA395D}"/>
    <cellStyle name="Normal 4 2 6 5 2 3" xfId="12764" xr:uid="{D4C2A43A-69DA-4F17-B198-EC6C3ABC2BBF}"/>
    <cellStyle name="Normal 4 2 6 5 3" xfId="6395" xr:uid="{00000000-0005-0000-0000-000003140000}"/>
    <cellStyle name="Normal 4 2 6 5 3 2" xfId="14837" xr:uid="{F7540292-A209-484A-94E8-399E867576C2}"/>
    <cellStyle name="Normal 4 2 6 5 4" xfId="10619" xr:uid="{F5C7105E-2A1A-41EA-AB9F-4126359EC0C6}"/>
    <cellStyle name="Normal 4 2 6 6" xfId="2524" xr:uid="{00000000-0005-0000-0000-000004140000}"/>
    <cellStyle name="Normal 4 2 6 6 2" xfId="6808" xr:uid="{00000000-0005-0000-0000-000005140000}"/>
    <cellStyle name="Normal 4 2 6 6 2 2" xfId="15250" xr:uid="{2C3FB2CB-C229-4885-BAAF-BBC39D295735}"/>
    <cellStyle name="Normal 4 2 6 6 3" xfId="11032" xr:uid="{F7FDCCB9-D0D9-45E2-8E7E-BC763042D983}"/>
    <cellStyle name="Normal 4 2 6 7" xfId="4743" xr:uid="{00000000-0005-0000-0000-000006140000}"/>
    <cellStyle name="Normal 4 2 6 7 2" xfId="13185" xr:uid="{BD4C916F-596A-472E-ADF8-F6A7450B687E}"/>
    <cellStyle name="Normal 4 2 6 8" xfId="8967" xr:uid="{FECFFFB0-DB62-4C6C-B51D-DF83D5218F3F}"/>
    <cellStyle name="Normal 4 3" xfId="366" xr:uid="{00000000-0005-0000-0000-000007140000}"/>
    <cellStyle name="Normal 4 3 10" xfId="8968" xr:uid="{417852A7-ED3E-4E2B-9671-049956475123}"/>
    <cellStyle name="Normal 4 3 2" xfId="367" xr:uid="{00000000-0005-0000-0000-000008140000}"/>
    <cellStyle name="Normal 4 3 2 2" xfId="368" xr:uid="{00000000-0005-0000-0000-000009140000}"/>
    <cellStyle name="Normal 4 3 2 2 2" xfId="369" xr:uid="{00000000-0005-0000-0000-00000A140000}"/>
    <cellStyle name="Normal 4 3 2 2 2 10" xfId="8969" xr:uid="{DEFB9953-B8E5-47BB-8057-0ED9337F6EEC}"/>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2 2 2" xfId="15747" xr:uid="{CF685930-FD17-48AD-B4C4-C11E4D0036E0}"/>
    <cellStyle name="Normal 4 3 2 2 2 2 2 2 2 3" xfId="11529" xr:uid="{588F5461-D0CF-4FA5-B10C-B0D165765EE3}"/>
    <cellStyle name="Normal 4 3 2 2 2 2 2 2 3" xfId="5160" xr:uid="{00000000-0005-0000-0000-000010140000}"/>
    <cellStyle name="Normal 4 3 2 2 2 2 2 2 3 2" xfId="13602" xr:uid="{C766FE69-9CAD-4950-83EC-0B4D129C7715}"/>
    <cellStyle name="Normal 4 3 2 2 2 2 2 2 4" xfId="9384" xr:uid="{4442FDAD-A379-49D9-BF70-06E01D733D68}"/>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2 2 2" xfId="16160" xr:uid="{540B8454-7115-4D48-A3ED-B201430D0C77}"/>
    <cellStyle name="Normal 4 3 2 2 2 2 2 3 2 3" xfId="11942" xr:uid="{D4404D0E-8E26-412A-A703-949DFC01B3C7}"/>
    <cellStyle name="Normal 4 3 2 2 2 2 2 3 3" xfId="5573" xr:uid="{00000000-0005-0000-0000-000014140000}"/>
    <cellStyle name="Normal 4 3 2 2 2 2 2 3 3 2" xfId="14015" xr:uid="{B5DDEE75-96DD-46BF-BC4D-A25CB495977E}"/>
    <cellStyle name="Normal 4 3 2 2 2 2 2 3 4" xfId="9797" xr:uid="{A5257DC6-6D11-4A12-ACF1-0A5B86291235}"/>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2 2 2" xfId="16573" xr:uid="{1583E727-89A1-4AF7-AD61-332804729E4A}"/>
    <cellStyle name="Normal 4 3 2 2 2 2 2 4 2 3" xfId="12355" xr:uid="{C7A1FE21-9BED-4B43-92EB-9F3DB9EF922C}"/>
    <cellStyle name="Normal 4 3 2 2 2 2 2 4 3" xfId="5986" xr:uid="{00000000-0005-0000-0000-000018140000}"/>
    <cellStyle name="Normal 4 3 2 2 2 2 2 4 3 2" xfId="14428" xr:uid="{C830AFA6-87C9-4C0F-9166-92803EF8FC62}"/>
    <cellStyle name="Normal 4 3 2 2 2 2 2 4 4" xfId="10210" xr:uid="{3659267B-B5C2-4E45-A4C7-AE8AB350E725}"/>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2 2 2" xfId="16986" xr:uid="{CB6DF84B-71A7-4997-9569-975F7BE6D05C}"/>
    <cellStyle name="Normal 4 3 2 2 2 2 2 5 2 3" xfId="12768" xr:uid="{AF549D07-0A76-4493-9F11-3654CAF4F70C}"/>
    <cellStyle name="Normal 4 3 2 2 2 2 2 5 3" xfId="6399" xr:uid="{00000000-0005-0000-0000-00001C140000}"/>
    <cellStyle name="Normal 4 3 2 2 2 2 2 5 3 2" xfId="14841" xr:uid="{F0E5C2FF-539F-4F04-BD57-3D875AE60080}"/>
    <cellStyle name="Normal 4 3 2 2 2 2 2 5 4" xfId="10623" xr:uid="{22E3015B-609F-4FF7-91D4-E75B06FC456B}"/>
    <cellStyle name="Normal 4 3 2 2 2 2 2 6" xfId="2528" xr:uid="{00000000-0005-0000-0000-00001D140000}"/>
    <cellStyle name="Normal 4 3 2 2 2 2 2 6 2" xfId="6812" xr:uid="{00000000-0005-0000-0000-00001E140000}"/>
    <cellStyle name="Normal 4 3 2 2 2 2 2 6 2 2" xfId="15254" xr:uid="{71D49007-5688-416F-886E-18498270CD36}"/>
    <cellStyle name="Normal 4 3 2 2 2 2 2 6 3" xfId="11036" xr:uid="{6C22005B-ADAA-4425-8855-F26034C0E73E}"/>
    <cellStyle name="Normal 4 3 2 2 2 2 2 7" xfId="4747" xr:uid="{00000000-0005-0000-0000-00001F140000}"/>
    <cellStyle name="Normal 4 3 2 2 2 2 2 7 2" xfId="13189" xr:uid="{3069BD18-592E-4B04-A33E-E3D6B6D63E87}"/>
    <cellStyle name="Normal 4 3 2 2 2 2 2 8" xfId="8971" xr:uid="{D83EDFC4-BDE3-4E32-A029-80DCCA0497F2}"/>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2 2 2" xfId="15746" xr:uid="{E1E19C86-F013-4C93-A72B-DBD5A63B87E8}"/>
    <cellStyle name="Normal 4 3 2 2 2 2 3 2 3" xfId="11528" xr:uid="{E0744034-34F2-4C08-B13E-D09199FA388B}"/>
    <cellStyle name="Normal 4 3 2 2 2 2 3 3" xfId="5159" xr:uid="{00000000-0005-0000-0000-000023140000}"/>
    <cellStyle name="Normal 4 3 2 2 2 2 3 3 2" xfId="13601" xr:uid="{5C4AEAA3-D2EE-44AB-9C63-A8C69D4487DA}"/>
    <cellStyle name="Normal 4 3 2 2 2 2 3 4" xfId="9383" xr:uid="{F5AE59E2-B43A-4513-9FB2-60DE9E16D1C7}"/>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2 2 2" xfId="16159" xr:uid="{E4E5680C-C1A9-4612-8F3B-371787DB12EB}"/>
    <cellStyle name="Normal 4 3 2 2 2 2 4 2 3" xfId="11941" xr:uid="{5B9442AC-8A93-4597-A1B5-8C6F6D1C6919}"/>
    <cellStyle name="Normal 4 3 2 2 2 2 4 3" xfId="5572" xr:uid="{00000000-0005-0000-0000-000027140000}"/>
    <cellStyle name="Normal 4 3 2 2 2 2 4 3 2" xfId="14014" xr:uid="{DD79C00A-A052-4AE5-9394-B940388FE108}"/>
    <cellStyle name="Normal 4 3 2 2 2 2 4 4" xfId="9796" xr:uid="{61C57FE7-BFF4-4CA0-87A2-417BC0F2D121}"/>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2 2 2" xfId="16572" xr:uid="{6E26DDEB-846D-49A1-BDD1-D70B94CF2285}"/>
    <cellStyle name="Normal 4 3 2 2 2 2 5 2 3" xfId="12354" xr:uid="{1309E29E-A8A2-425B-A698-EC188CABDB27}"/>
    <cellStyle name="Normal 4 3 2 2 2 2 5 3" xfId="5985" xr:uid="{00000000-0005-0000-0000-00002B140000}"/>
    <cellStyle name="Normal 4 3 2 2 2 2 5 3 2" xfId="14427" xr:uid="{909D97FD-E97A-49E4-8B8D-714CD4EC1BE7}"/>
    <cellStyle name="Normal 4 3 2 2 2 2 5 4" xfId="10209" xr:uid="{CC02C80A-CA46-4C05-B6B1-0CC43FBC0FBA}"/>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2 2 2" xfId="16985" xr:uid="{BAA65BD5-6C97-4A7C-8437-F567A7B8271B}"/>
    <cellStyle name="Normal 4 3 2 2 2 2 6 2 3" xfId="12767" xr:uid="{9E08BD01-1756-4CD7-BAD7-29536B9429EA}"/>
    <cellStyle name="Normal 4 3 2 2 2 2 6 3" xfId="6398" xr:uid="{00000000-0005-0000-0000-00002F140000}"/>
    <cellStyle name="Normal 4 3 2 2 2 2 6 3 2" xfId="14840" xr:uid="{DE203080-0D96-4E72-ABBB-BAC48657D55E}"/>
    <cellStyle name="Normal 4 3 2 2 2 2 6 4" xfId="10622" xr:uid="{601FA57B-8549-4916-9C20-25B5B6587FF6}"/>
    <cellStyle name="Normal 4 3 2 2 2 2 7" xfId="2527" xr:uid="{00000000-0005-0000-0000-000030140000}"/>
    <cellStyle name="Normal 4 3 2 2 2 2 7 2" xfId="6811" xr:uid="{00000000-0005-0000-0000-000031140000}"/>
    <cellStyle name="Normal 4 3 2 2 2 2 7 2 2" xfId="15253" xr:uid="{EF90021B-95EB-4794-A241-B5B320B3FD03}"/>
    <cellStyle name="Normal 4 3 2 2 2 2 7 3" xfId="11035" xr:uid="{836045FD-338A-499D-A92B-FFE613B4D1A9}"/>
    <cellStyle name="Normal 4 3 2 2 2 2 8" xfId="4746" xr:uid="{00000000-0005-0000-0000-000032140000}"/>
    <cellStyle name="Normal 4 3 2 2 2 2 8 2" xfId="13188" xr:uid="{8547144B-5B1B-4010-9D69-914E04D3B0FA}"/>
    <cellStyle name="Normal 4 3 2 2 2 2 9" xfId="8970" xr:uid="{1BA78DC8-CFC0-40D3-8D00-986B3CEF60D5}"/>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2 2 2" xfId="15748" xr:uid="{0E889725-6494-4874-BDDF-85D134BEB1FF}"/>
    <cellStyle name="Normal 4 3 2 2 2 3 2 2 3" xfId="11530" xr:uid="{1F8156AC-2259-460A-949F-E395973822AC}"/>
    <cellStyle name="Normal 4 3 2 2 2 3 2 3" xfId="5161" xr:uid="{00000000-0005-0000-0000-000037140000}"/>
    <cellStyle name="Normal 4 3 2 2 2 3 2 3 2" xfId="13603" xr:uid="{3E6DA8E1-B168-4626-8C9D-871CEB2086D9}"/>
    <cellStyle name="Normal 4 3 2 2 2 3 2 4" xfId="9385" xr:uid="{CBA12BAE-5549-4854-AA5F-612103C6C3E6}"/>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2 2 2" xfId="16161" xr:uid="{4E10B7D8-2274-4CB7-A2A3-EE3CBADBC8BA}"/>
    <cellStyle name="Normal 4 3 2 2 2 3 3 2 3" xfId="11943" xr:uid="{72ED971E-B1C7-4916-8DB1-311E549094C4}"/>
    <cellStyle name="Normal 4 3 2 2 2 3 3 3" xfId="5574" xr:uid="{00000000-0005-0000-0000-00003B140000}"/>
    <cellStyle name="Normal 4 3 2 2 2 3 3 3 2" xfId="14016" xr:uid="{BF20ACFD-1766-4565-B300-8C4037E0A3A1}"/>
    <cellStyle name="Normal 4 3 2 2 2 3 3 4" xfId="9798" xr:uid="{834F42DB-FF5C-4C2C-9C4B-99D298CF4F07}"/>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2 2 2" xfId="16574" xr:uid="{F1729F20-AB24-4003-86C9-44DD733C40E2}"/>
    <cellStyle name="Normal 4 3 2 2 2 3 4 2 3" xfId="12356" xr:uid="{C5420AC8-CAE0-4454-8DB2-B90CA646CE4D}"/>
    <cellStyle name="Normal 4 3 2 2 2 3 4 3" xfId="5987" xr:uid="{00000000-0005-0000-0000-00003F140000}"/>
    <cellStyle name="Normal 4 3 2 2 2 3 4 3 2" xfId="14429" xr:uid="{10711052-7CFB-461E-8E5A-BC7902ACAAA2}"/>
    <cellStyle name="Normal 4 3 2 2 2 3 4 4" xfId="10211" xr:uid="{7A9056D3-9297-4CCD-8453-BE7C46F4F309}"/>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2 2 2" xfId="16987" xr:uid="{059D2FF8-8076-419A-819A-D209022ECC2C}"/>
    <cellStyle name="Normal 4 3 2 2 2 3 5 2 3" xfId="12769" xr:uid="{46187BBB-C5A0-4833-8865-F72FAE7F7BD3}"/>
    <cellStyle name="Normal 4 3 2 2 2 3 5 3" xfId="6400" xr:uid="{00000000-0005-0000-0000-000043140000}"/>
    <cellStyle name="Normal 4 3 2 2 2 3 5 3 2" xfId="14842" xr:uid="{359370F3-21C5-41A3-ACB7-6D0925F5F7A5}"/>
    <cellStyle name="Normal 4 3 2 2 2 3 5 4" xfId="10624" xr:uid="{54F31B40-DE2F-47A5-9150-2108E3A46047}"/>
    <cellStyle name="Normal 4 3 2 2 2 3 6" xfId="2529" xr:uid="{00000000-0005-0000-0000-000044140000}"/>
    <cellStyle name="Normal 4 3 2 2 2 3 6 2" xfId="6813" xr:uid="{00000000-0005-0000-0000-000045140000}"/>
    <cellStyle name="Normal 4 3 2 2 2 3 6 2 2" xfId="15255" xr:uid="{B4EE8608-94CD-401D-A63F-AFD65952AA93}"/>
    <cellStyle name="Normal 4 3 2 2 2 3 6 3" xfId="11037" xr:uid="{A52A1BB4-58EF-4AAB-94DF-865864DBA283}"/>
    <cellStyle name="Normal 4 3 2 2 2 3 7" xfId="4748" xr:uid="{00000000-0005-0000-0000-000046140000}"/>
    <cellStyle name="Normal 4 3 2 2 2 3 7 2" xfId="13190" xr:uid="{DC3F3596-DAC2-4F17-B066-3C647D95D6AD}"/>
    <cellStyle name="Normal 4 3 2 2 2 3 8" xfId="8972" xr:uid="{3B29B0AA-3573-499A-BE1B-F3C1F7CBBCBD}"/>
    <cellStyle name="Normal 4 3 2 2 2 4" xfId="844" xr:uid="{00000000-0005-0000-0000-000047140000}"/>
    <cellStyle name="Normal 4 3 2 2 2 4 2" xfId="3080" xr:uid="{00000000-0005-0000-0000-000048140000}"/>
    <cellStyle name="Normal 4 3 2 2 2 4 2 2" xfId="7303" xr:uid="{00000000-0005-0000-0000-000049140000}"/>
    <cellStyle name="Normal 4 3 2 2 2 4 2 2 2" xfId="15745" xr:uid="{3E64AA34-234A-47F3-9411-131B47068C50}"/>
    <cellStyle name="Normal 4 3 2 2 2 4 2 3" xfId="11527" xr:uid="{54585DAC-F27A-4BCC-B184-7CAA6EEFCB37}"/>
    <cellStyle name="Normal 4 3 2 2 2 4 3" xfId="5158" xr:uid="{00000000-0005-0000-0000-00004A140000}"/>
    <cellStyle name="Normal 4 3 2 2 2 4 3 2" xfId="13600" xr:uid="{FDFD6763-1C2C-458A-A6FC-DE43800A40E3}"/>
    <cellStyle name="Normal 4 3 2 2 2 4 4" xfId="9382" xr:uid="{4E6ADAD9-E6C7-4565-9B43-BD59724A6C66}"/>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2 2 2" xfId="16158" xr:uid="{472E2B13-C787-4F7D-B260-503C0EEDC5AE}"/>
    <cellStyle name="Normal 4 3 2 2 2 5 2 3" xfId="11940" xr:uid="{94D1BCDA-F503-4C2A-9AA1-F40993B7464D}"/>
    <cellStyle name="Normal 4 3 2 2 2 5 3" xfId="5571" xr:uid="{00000000-0005-0000-0000-00004E140000}"/>
    <cellStyle name="Normal 4 3 2 2 2 5 3 2" xfId="14013" xr:uid="{FA5FEB9D-DA56-4ACE-80F9-BC54F5B6C6D8}"/>
    <cellStyle name="Normal 4 3 2 2 2 5 4" xfId="9795" xr:uid="{DA0521BC-AE0F-4F4E-9B98-61302682C89F}"/>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2 2 2" xfId="16571" xr:uid="{65280F63-FACF-4F3E-9BB5-53A234C8C876}"/>
    <cellStyle name="Normal 4 3 2 2 2 6 2 3" xfId="12353" xr:uid="{D1EA3ECF-F07A-4D87-AE9E-A1B9900A80BA}"/>
    <cellStyle name="Normal 4 3 2 2 2 6 3" xfId="5984" xr:uid="{00000000-0005-0000-0000-000052140000}"/>
    <cellStyle name="Normal 4 3 2 2 2 6 3 2" xfId="14426" xr:uid="{AFDB348C-5B3F-456A-B339-824904ABFFF3}"/>
    <cellStyle name="Normal 4 3 2 2 2 6 4" xfId="10208" xr:uid="{C063B20A-DD1A-49AA-AF63-742F923A2796}"/>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2 2 2" xfId="16984" xr:uid="{A3E73F5C-8B4B-4F3A-8800-0C547E21B393}"/>
    <cellStyle name="Normal 4 3 2 2 2 7 2 3" xfId="12766" xr:uid="{53518503-24B0-489B-8100-7DE06CCB6F38}"/>
    <cellStyle name="Normal 4 3 2 2 2 7 3" xfId="6397" xr:uid="{00000000-0005-0000-0000-000056140000}"/>
    <cellStyle name="Normal 4 3 2 2 2 7 3 2" xfId="14839" xr:uid="{6CC3541D-CBFF-4B7D-A434-B5F39DA5E5E1}"/>
    <cellStyle name="Normal 4 3 2 2 2 7 4" xfId="10621" xr:uid="{CDE793BA-572D-490B-9DE0-623E5A42624D}"/>
    <cellStyle name="Normal 4 3 2 2 2 8" xfId="2526" xr:uid="{00000000-0005-0000-0000-000057140000}"/>
    <cellStyle name="Normal 4 3 2 2 2 8 2" xfId="6810" xr:uid="{00000000-0005-0000-0000-000058140000}"/>
    <cellStyle name="Normal 4 3 2 2 2 8 2 2" xfId="15252" xr:uid="{31E3BEAB-9ECD-4611-A730-47BF5B08006A}"/>
    <cellStyle name="Normal 4 3 2 2 2 8 3" xfId="11034" xr:uid="{4FFB459F-6A39-4EA9-8204-C384B96AAB3A}"/>
    <cellStyle name="Normal 4 3 2 2 2 9" xfId="4745" xr:uid="{00000000-0005-0000-0000-000059140000}"/>
    <cellStyle name="Normal 4 3 2 2 2 9 2" xfId="13187" xr:uid="{46D745D4-02B1-4825-B005-4EA7C88BFF0B}"/>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973" xr:uid="{A24323A0-D9ED-41DD-B5ED-D5BDCA986E34}"/>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2 2 2" xfId="15751" xr:uid="{2085C0B3-E0FB-44D1-B901-668FF6EB0A18}"/>
    <cellStyle name="Normal 4 3 3 2 2 2 2 3" xfId="11533" xr:uid="{277E3F26-182E-4EE0-8B50-F2857D2DC2D5}"/>
    <cellStyle name="Normal 4 3 3 2 2 2 3" xfId="5164" xr:uid="{00000000-0005-0000-0000-000063140000}"/>
    <cellStyle name="Normal 4 3 3 2 2 2 3 2" xfId="13606" xr:uid="{7C98746E-C9A3-4C9B-A091-C7EC42DA8EBC}"/>
    <cellStyle name="Normal 4 3 3 2 2 2 4" xfId="9388" xr:uid="{29348711-EA14-4A26-94EC-BF9F7551AA0F}"/>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2 2 2" xfId="16164" xr:uid="{7DC1E4D5-46F4-44D5-969E-02E5443CBA76}"/>
    <cellStyle name="Normal 4 3 3 2 2 3 2 3" xfId="11946" xr:uid="{84A6A220-0A16-4B2D-B514-101717F96AF5}"/>
    <cellStyle name="Normal 4 3 3 2 2 3 3" xfId="5577" xr:uid="{00000000-0005-0000-0000-000067140000}"/>
    <cellStyle name="Normal 4 3 3 2 2 3 3 2" xfId="14019" xr:uid="{0357CB16-10EA-48E7-94EF-0C76AB3AD1CB}"/>
    <cellStyle name="Normal 4 3 3 2 2 3 4" xfId="9801" xr:uid="{AD51EB49-7620-43E5-93EA-DF29DD5EC37B}"/>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2 2 2" xfId="16577" xr:uid="{CB46E3ED-0F89-45B4-A522-A90F88530C14}"/>
    <cellStyle name="Normal 4 3 3 2 2 4 2 3" xfId="12359" xr:uid="{8FCB287D-0609-414F-AEB5-899D5D8F0D1E}"/>
    <cellStyle name="Normal 4 3 3 2 2 4 3" xfId="5990" xr:uid="{00000000-0005-0000-0000-00006B140000}"/>
    <cellStyle name="Normal 4 3 3 2 2 4 3 2" xfId="14432" xr:uid="{E9061809-B9DB-4CE8-A004-3C6CD881E809}"/>
    <cellStyle name="Normal 4 3 3 2 2 4 4" xfId="10214" xr:uid="{8EEF2FD0-7849-4B52-9BAB-47AC8B56558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2 2 2" xfId="16990" xr:uid="{9C86B035-51ED-46A8-B823-DFB84BF6CECC}"/>
    <cellStyle name="Normal 4 3 3 2 2 5 2 3" xfId="12772" xr:uid="{31431410-A781-43C2-8C7E-0CE30F65A9FA}"/>
    <cellStyle name="Normal 4 3 3 2 2 5 3" xfId="6403" xr:uid="{00000000-0005-0000-0000-00006F140000}"/>
    <cellStyle name="Normal 4 3 3 2 2 5 3 2" xfId="14845" xr:uid="{F9EB3DA6-AE29-46BB-ABA0-1320274E110D}"/>
    <cellStyle name="Normal 4 3 3 2 2 5 4" xfId="10627" xr:uid="{930B00DC-0959-4D2F-B835-096C49CB585B}"/>
    <cellStyle name="Normal 4 3 3 2 2 6" xfId="2532" xr:uid="{00000000-0005-0000-0000-000070140000}"/>
    <cellStyle name="Normal 4 3 3 2 2 6 2" xfId="6816" xr:uid="{00000000-0005-0000-0000-000071140000}"/>
    <cellStyle name="Normal 4 3 3 2 2 6 2 2" xfId="15258" xr:uid="{1463EA29-AB55-4BA1-BAAF-B981AEE5C48B}"/>
    <cellStyle name="Normal 4 3 3 2 2 6 3" xfId="11040" xr:uid="{1FCBAADB-DED2-4EDD-A320-04B4F537E419}"/>
    <cellStyle name="Normal 4 3 3 2 2 7" xfId="4751" xr:uid="{00000000-0005-0000-0000-000072140000}"/>
    <cellStyle name="Normal 4 3 3 2 2 7 2" xfId="13193" xr:uid="{6BEF0325-DD63-4A06-9FB4-F8335D718D8A}"/>
    <cellStyle name="Normal 4 3 3 2 2 8" xfId="8975" xr:uid="{C9756259-9AA0-4691-994C-DFEADA159FDC}"/>
    <cellStyle name="Normal 4 3 3 2 3" xfId="850" xr:uid="{00000000-0005-0000-0000-000073140000}"/>
    <cellStyle name="Normal 4 3 3 2 3 2" xfId="3085" xr:uid="{00000000-0005-0000-0000-000074140000}"/>
    <cellStyle name="Normal 4 3 3 2 3 2 2" xfId="7308" xr:uid="{00000000-0005-0000-0000-000075140000}"/>
    <cellStyle name="Normal 4 3 3 2 3 2 2 2" xfId="15750" xr:uid="{7D83FF64-91EC-4DF5-A7D6-6DBD9429F435}"/>
    <cellStyle name="Normal 4 3 3 2 3 2 3" xfId="11532" xr:uid="{FDECA657-5AD9-4655-A645-F4A75D7EED01}"/>
    <cellStyle name="Normal 4 3 3 2 3 3" xfId="5163" xr:uid="{00000000-0005-0000-0000-000076140000}"/>
    <cellStyle name="Normal 4 3 3 2 3 3 2" xfId="13605" xr:uid="{1EC0A16F-AF63-46F0-A244-45C01CBD98E0}"/>
    <cellStyle name="Normal 4 3 3 2 3 4" xfId="9387" xr:uid="{EF6641EB-096C-48E2-810E-1ADB358ED9F9}"/>
    <cellStyle name="Normal 4 3 3 2 4" xfId="1268" xr:uid="{00000000-0005-0000-0000-000077140000}"/>
    <cellStyle name="Normal 4 3 3 2 4 2" xfId="3498" xr:uid="{00000000-0005-0000-0000-000078140000}"/>
    <cellStyle name="Normal 4 3 3 2 4 2 2" xfId="7721" xr:uid="{00000000-0005-0000-0000-000079140000}"/>
    <cellStyle name="Normal 4 3 3 2 4 2 2 2" xfId="16163" xr:uid="{C9B921E7-5F98-4459-A348-2B9872A3CB25}"/>
    <cellStyle name="Normal 4 3 3 2 4 2 3" xfId="11945" xr:uid="{FAC537B0-B38E-43BC-ADBC-0FFEE0F8B558}"/>
    <cellStyle name="Normal 4 3 3 2 4 3" xfId="5576" xr:uid="{00000000-0005-0000-0000-00007A140000}"/>
    <cellStyle name="Normal 4 3 3 2 4 3 2" xfId="14018" xr:uid="{56A832DC-3D22-457C-90A6-D35D06A44C47}"/>
    <cellStyle name="Normal 4 3 3 2 4 4" xfId="9800" xr:uid="{4B7AB88F-F957-45EB-8642-2BCFC318A2CF}"/>
    <cellStyle name="Normal 4 3 3 2 5" xfId="1681" xr:uid="{00000000-0005-0000-0000-00007B140000}"/>
    <cellStyle name="Normal 4 3 3 2 5 2" xfId="3911" xr:uid="{00000000-0005-0000-0000-00007C140000}"/>
    <cellStyle name="Normal 4 3 3 2 5 2 2" xfId="8134" xr:uid="{00000000-0005-0000-0000-00007D140000}"/>
    <cellStyle name="Normal 4 3 3 2 5 2 2 2" xfId="16576" xr:uid="{AC5CA468-3BFF-44D2-BA4B-84520C109668}"/>
    <cellStyle name="Normal 4 3 3 2 5 2 3" xfId="12358" xr:uid="{65BF75F1-239C-417C-B83C-8C9231D02D12}"/>
    <cellStyle name="Normal 4 3 3 2 5 3" xfId="5989" xr:uid="{00000000-0005-0000-0000-00007E140000}"/>
    <cellStyle name="Normal 4 3 3 2 5 3 2" xfId="14431" xr:uid="{A1A37586-6431-4167-8BFD-E8E24FDF5889}"/>
    <cellStyle name="Normal 4 3 3 2 5 4" xfId="10213" xr:uid="{4E6DD966-BB83-457A-A1B0-959946C4DB05}"/>
    <cellStyle name="Normal 4 3 3 2 6" xfId="2095" xr:uid="{00000000-0005-0000-0000-00007F140000}"/>
    <cellStyle name="Normal 4 3 3 2 6 2" xfId="4324" xr:uid="{00000000-0005-0000-0000-000080140000}"/>
    <cellStyle name="Normal 4 3 3 2 6 2 2" xfId="8547" xr:uid="{00000000-0005-0000-0000-000081140000}"/>
    <cellStyle name="Normal 4 3 3 2 6 2 2 2" xfId="16989" xr:uid="{4CA3A7D9-D1AE-43CF-8508-AA06A67E5BAC}"/>
    <cellStyle name="Normal 4 3 3 2 6 2 3" xfId="12771" xr:uid="{E01C0642-889B-41DF-AFCF-3A7C98EA7095}"/>
    <cellStyle name="Normal 4 3 3 2 6 3" xfId="6402" xr:uid="{00000000-0005-0000-0000-000082140000}"/>
    <cellStyle name="Normal 4 3 3 2 6 3 2" xfId="14844" xr:uid="{D3D58F51-4C4E-4FAE-ACE2-ABE5EA1C08E8}"/>
    <cellStyle name="Normal 4 3 3 2 6 4" xfId="10626" xr:uid="{74C99568-1D52-4F17-9298-CB2654FC0A38}"/>
    <cellStyle name="Normal 4 3 3 2 7" xfId="2531" xr:uid="{00000000-0005-0000-0000-000083140000}"/>
    <cellStyle name="Normal 4 3 3 2 7 2" xfId="6815" xr:uid="{00000000-0005-0000-0000-000084140000}"/>
    <cellStyle name="Normal 4 3 3 2 7 2 2" xfId="15257" xr:uid="{369EA27A-AC61-469E-A466-87216773FBAC}"/>
    <cellStyle name="Normal 4 3 3 2 7 3" xfId="11039" xr:uid="{E1132EF0-80D4-4184-A009-AC64C49CD854}"/>
    <cellStyle name="Normal 4 3 3 2 8" xfId="4750" xr:uid="{00000000-0005-0000-0000-000085140000}"/>
    <cellStyle name="Normal 4 3 3 2 8 2" xfId="13192" xr:uid="{947912C8-74CC-4D42-91A4-9A0ED887BE70}"/>
    <cellStyle name="Normal 4 3 3 2 9" xfId="8974" xr:uid="{7B4056BA-BBC0-488D-9436-6AC84EA93FBE}"/>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2 2 2" xfId="15752" xr:uid="{9500A2D3-E0F3-49BF-8BF9-8B6D93E104C1}"/>
    <cellStyle name="Normal 4 3 3 3 2 2 3" xfId="11534" xr:uid="{91F2AC75-EE75-488B-B72C-4E7D4BE6A268}"/>
    <cellStyle name="Normal 4 3 3 3 2 3" xfId="5165" xr:uid="{00000000-0005-0000-0000-00008A140000}"/>
    <cellStyle name="Normal 4 3 3 3 2 3 2" xfId="13607" xr:uid="{28CAA9DF-E370-4CB2-B033-09240E1FA6A3}"/>
    <cellStyle name="Normal 4 3 3 3 2 4" xfId="9389" xr:uid="{6F83AD7D-7677-45C8-9CCE-AF1FDFBCED7C}"/>
    <cellStyle name="Normal 4 3 3 3 3" xfId="1270" xr:uid="{00000000-0005-0000-0000-00008B140000}"/>
    <cellStyle name="Normal 4 3 3 3 3 2" xfId="3500" xr:uid="{00000000-0005-0000-0000-00008C140000}"/>
    <cellStyle name="Normal 4 3 3 3 3 2 2" xfId="7723" xr:uid="{00000000-0005-0000-0000-00008D140000}"/>
    <cellStyle name="Normal 4 3 3 3 3 2 2 2" xfId="16165" xr:uid="{ABF0EBBB-9E4A-4B6C-9A2A-3E35C0AC1BFF}"/>
    <cellStyle name="Normal 4 3 3 3 3 2 3" xfId="11947" xr:uid="{0A51B4ED-3B27-4C2E-9F3E-02673379475B}"/>
    <cellStyle name="Normal 4 3 3 3 3 3" xfId="5578" xr:uid="{00000000-0005-0000-0000-00008E140000}"/>
    <cellStyle name="Normal 4 3 3 3 3 3 2" xfId="14020" xr:uid="{266A7D98-83B6-44C2-9F07-3D7717690EE8}"/>
    <cellStyle name="Normal 4 3 3 3 3 4" xfId="9802" xr:uid="{995B63D5-22AF-44E2-ACF5-95291623B0CE}"/>
    <cellStyle name="Normal 4 3 3 3 4" xfId="1683" xr:uid="{00000000-0005-0000-0000-00008F140000}"/>
    <cellStyle name="Normal 4 3 3 3 4 2" xfId="3913" xr:uid="{00000000-0005-0000-0000-000090140000}"/>
    <cellStyle name="Normal 4 3 3 3 4 2 2" xfId="8136" xr:uid="{00000000-0005-0000-0000-000091140000}"/>
    <cellStyle name="Normal 4 3 3 3 4 2 2 2" xfId="16578" xr:uid="{884B56ED-03D4-4272-88E6-10D0F9F4A5DF}"/>
    <cellStyle name="Normal 4 3 3 3 4 2 3" xfId="12360" xr:uid="{64371289-3912-4059-A912-0F543180B912}"/>
    <cellStyle name="Normal 4 3 3 3 4 3" xfId="5991" xr:uid="{00000000-0005-0000-0000-000092140000}"/>
    <cellStyle name="Normal 4 3 3 3 4 3 2" xfId="14433" xr:uid="{05B4BC9D-E8FF-4BE0-A674-28F4582F384A}"/>
    <cellStyle name="Normal 4 3 3 3 4 4" xfId="10215" xr:uid="{6625E7E0-CD37-4B76-8FEC-CA6C2B7E908D}"/>
    <cellStyle name="Normal 4 3 3 3 5" xfId="2097" xr:uid="{00000000-0005-0000-0000-000093140000}"/>
    <cellStyle name="Normal 4 3 3 3 5 2" xfId="4326" xr:uid="{00000000-0005-0000-0000-000094140000}"/>
    <cellStyle name="Normal 4 3 3 3 5 2 2" xfId="8549" xr:uid="{00000000-0005-0000-0000-000095140000}"/>
    <cellStyle name="Normal 4 3 3 3 5 2 2 2" xfId="16991" xr:uid="{54D48E8A-0E5D-43F6-B959-3DEB088C1979}"/>
    <cellStyle name="Normal 4 3 3 3 5 2 3" xfId="12773" xr:uid="{89E73E1C-626D-4B68-A477-AD365A80039D}"/>
    <cellStyle name="Normal 4 3 3 3 5 3" xfId="6404" xr:uid="{00000000-0005-0000-0000-000096140000}"/>
    <cellStyle name="Normal 4 3 3 3 5 3 2" xfId="14846" xr:uid="{635861BB-98D8-4F23-84F6-9A75A7588291}"/>
    <cellStyle name="Normal 4 3 3 3 5 4" xfId="10628" xr:uid="{B8265C59-6772-4990-BE92-6F80F1F6A8B2}"/>
    <cellStyle name="Normal 4 3 3 3 6" xfId="2533" xr:uid="{00000000-0005-0000-0000-000097140000}"/>
    <cellStyle name="Normal 4 3 3 3 6 2" xfId="6817" xr:uid="{00000000-0005-0000-0000-000098140000}"/>
    <cellStyle name="Normal 4 3 3 3 6 2 2" xfId="15259" xr:uid="{0ABD51E8-3F7B-410E-A883-2C9AE4231EB3}"/>
    <cellStyle name="Normal 4 3 3 3 6 3" xfId="11041" xr:uid="{907AB479-A01D-43FB-BF99-0E93F294BA1B}"/>
    <cellStyle name="Normal 4 3 3 3 7" xfId="4752" xr:uid="{00000000-0005-0000-0000-000099140000}"/>
    <cellStyle name="Normal 4 3 3 3 7 2" xfId="13194" xr:uid="{FFD98DC5-781B-4574-8B5E-FF7F5910A6D9}"/>
    <cellStyle name="Normal 4 3 3 3 8" xfId="8976" xr:uid="{9E85B779-AEB7-467B-BCA6-80BB5CE1B979}"/>
    <cellStyle name="Normal 4 3 3 4" xfId="849" xr:uid="{00000000-0005-0000-0000-00009A140000}"/>
    <cellStyle name="Normal 4 3 3 4 2" xfId="3084" xr:uid="{00000000-0005-0000-0000-00009B140000}"/>
    <cellStyle name="Normal 4 3 3 4 2 2" xfId="7307" xr:uid="{00000000-0005-0000-0000-00009C140000}"/>
    <cellStyle name="Normal 4 3 3 4 2 2 2" xfId="15749" xr:uid="{8F3F1680-53E7-4CF6-8C64-7DC0070C74BC}"/>
    <cellStyle name="Normal 4 3 3 4 2 3" xfId="11531" xr:uid="{DDD27D87-0EFC-4C11-AA72-6176F10C6AC0}"/>
    <cellStyle name="Normal 4 3 3 4 3" xfId="5162" xr:uid="{00000000-0005-0000-0000-00009D140000}"/>
    <cellStyle name="Normal 4 3 3 4 3 2" xfId="13604" xr:uid="{1DA48ECF-8589-4A3C-927F-4899270BF0B9}"/>
    <cellStyle name="Normal 4 3 3 4 4" xfId="9386" xr:uid="{4BB88733-60DD-4B32-A64D-5E6162647CE1}"/>
    <cellStyle name="Normal 4 3 3 5" xfId="1267" xr:uid="{00000000-0005-0000-0000-00009E140000}"/>
    <cellStyle name="Normal 4 3 3 5 2" xfId="3497" xr:uid="{00000000-0005-0000-0000-00009F140000}"/>
    <cellStyle name="Normal 4 3 3 5 2 2" xfId="7720" xr:uid="{00000000-0005-0000-0000-0000A0140000}"/>
    <cellStyle name="Normal 4 3 3 5 2 2 2" xfId="16162" xr:uid="{113F4EB0-1C2E-4EF7-AAAC-32F9FB037490}"/>
    <cellStyle name="Normal 4 3 3 5 2 3" xfId="11944" xr:uid="{29059EBE-B55E-4CFE-85ED-1A218289F09D}"/>
    <cellStyle name="Normal 4 3 3 5 3" xfId="5575" xr:uid="{00000000-0005-0000-0000-0000A1140000}"/>
    <cellStyle name="Normal 4 3 3 5 3 2" xfId="14017" xr:uid="{DD0D60F2-7826-42F6-82C7-A8F4197C864E}"/>
    <cellStyle name="Normal 4 3 3 5 4" xfId="9799" xr:uid="{43CEA0A0-E592-409E-BF4C-14D847E1F761}"/>
    <cellStyle name="Normal 4 3 3 6" xfId="1680" xr:uid="{00000000-0005-0000-0000-0000A2140000}"/>
    <cellStyle name="Normal 4 3 3 6 2" xfId="3910" xr:uid="{00000000-0005-0000-0000-0000A3140000}"/>
    <cellStyle name="Normal 4 3 3 6 2 2" xfId="8133" xr:uid="{00000000-0005-0000-0000-0000A4140000}"/>
    <cellStyle name="Normal 4 3 3 6 2 2 2" xfId="16575" xr:uid="{D454222D-D22E-4724-898C-85449E4C30C7}"/>
    <cellStyle name="Normal 4 3 3 6 2 3" xfId="12357" xr:uid="{7117D7E2-E081-48DA-9808-06552011A5CC}"/>
    <cellStyle name="Normal 4 3 3 6 3" xfId="5988" xr:uid="{00000000-0005-0000-0000-0000A5140000}"/>
    <cellStyle name="Normal 4 3 3 6 3 2" xfId="14430" xr:uid="{1205C72B-32CE-4EB9-A005-B0D1B094F6A4}"/>
    <cellStyle name="Normal 4 3 3 6 4" xfId="10212" xr:uid="{AE61304D-0AE9-4D01-8D00-9D74BF497E65}"/>
    <cellStyle name="Normal 4 3 3 7" xfId="2094" xr:uid="{00000000-0005-0000-0000-0000A6140000}"/>
    <cellStyle name="Normal 4 3 3 7 2" xfId="4323" xr:uid="{00000000-0005-0000-0000-0000A7140000}"/>
    <cellStyle name="Normal 4 3 3 7 2 2" xfId="8546" xr:uid="{00000000-0005-0000-0000-0000A8140000}"/>
    <cellStyle name="Normal 4 3 3 7 2 2 2" xfId="16988" xr:uid="{0633C076-4176-4488-8681-F0B0B112432D}"/>
    <cellStyle name="Normal 4 3 3 7 2 3" xfId="12770" xr:uid="{CE70CE70-A4C4-4349-9062-B650F7920752}"/>
    <cellStyle name="Normal 4 3 3 7 3" xfId="6401" xr:uid="{00000000-0005-0000-0000-0000A9140000}"/>
    <cellStyle name="Normal 4 3 3 7 3 2" xfId="14843" xr:uid="{28C9924E-424D-487E-864C-2D7FED73E2DD}"/>
    <cellStyle name="Normal 4 3 3 7 4" xfId="10625" xr:uid="{1A9092B1-0C35-4D3F-B500-3FEAB3559FA1}"/>
    <cellStyle name="Normal 4 3 3 8" xfId="2530" xr:uid="{00000000-0005-0000-0000-0000AA140000}"/>
    <cellStyle name="Normal 4 3 3 8 2" xfId="6814" xr:uid="{00000000-0005-0000-0000-0000AB140000}"/>
    <cellStyle name="Normal 4 3 3 8 2 2" xfId="15256" xr:uid="{DDCD062D-AAAB-43FE-A2E6-9C88B3CA562A}"/>
    <cellStyle name="Normal 4 3 3 8 3" xfId="11038" xr:uid="{2B424501-6A78-4879-9A89-12EFAC707CC7}"/>
    <cellStyle name="Normal 4 3 3 9" xfId="4749" xr:uid="{00000000-0005-0000-0000-0000AC140000}"/>
    <cellStyle name="Normal 4 3 3 9 2" xfId="13191" xr:uid="{A30E4556-FDEF-4D67-A8C7-49153DFBCA0F}"/>
    <cellStyle name="Normal 4 3 4" xfId="842" xr:uid="{00000000-0005-0000-0000-0000AD140000}"/>
    <cellStyle name="Normal 4 3 4 2" xfId="3079" xr:uid="{00000000-0005-0000-0000-0000AE140000}"/>
    <cellStyle name="Normal 4 3 4 2 2" xfId="7302" xr:uid="{00000000-0005-0000-0000-0000AF140000}"/>
    <cellStyle name="Normal 4 3 4 2 2 2" xfId="15744" xr:uid="{66E29841-4D52-421B-8713-76A9528A1349}"/>
    <cellStyle name="Normal 4 3 4 2 3" xfId="11526" xr:uid="{140C0103-967E-49FD-A602-2BAC3B043630}"/>
    <cellStyle name="Normal 4 3 4 3" xfId="5157" xr:uid="{00000000-0005-0000-0000-0000B0140000}"/>
    <cellStyle name="Normal 4 3 4 3 2" xfId="13599" xr:uid="{D4BDD638-D6FA-4038-A5A7-49A4A72C2C77}"/>
    <cellStyle name="Normal 4 3 4 4" xfId="9381" xr:uid="{8E6F6319-DAA0-44F6-A2C6-B0A2E11A0707}"/>
    <cellStyle name="Normal 4 3 5" xfId="1262" xr:uid="{00000000-0005-0000-0000-0000B1140000}"/>
    <cellStyle name="Normal 4 3 5 2" xfId="3492" xr:uid="{00000000-0005-0000-0000-0000B2140000}"/>
    <cellStyle name="Normal 4 3 5 2 2" xfId="7715" xr:uid="{00000000-0005-0000-0000-0000B3140000}"/>
    <cellStyle name="Normal 4 3 5 2 2 2" xfId="16157" xr:uid="{38449CC5-0EB5-4EA6-9241-6944C4317FB8}"/>
    <cellStyle name="Normal 4 3 5 2 3" xfId="11939" xr:uid="{475780A4-0EE9-47A3-B3FD-A94F4812DF5F}"/>
    <cellStyle name="Normal 4 3 5 3" xfId="5570" xr:uid="{00000000-0005-0000-0000-0000B4140000}"/>
    <cellStyle name="Normal 4 3 5 3 2" xfId="14012" xr:uid="{5027F27A-EC14-48A3-BD2C-00D8A1CD375D}"/>
    <cellStyle name="Normal 4 3 5 4" xfId="9794" xr:uid="{3F5B747B-7232-47E9-AF87-5739A12AF63E}"/>
    <cellStyle name="Normal 4 3 6" xfId="1675" xr:uid="{00000000-0005-0000-0000-0000B5140000}"/>
    <cellStyle name="Normal 4 3 6 2" xfId="3905" xr:uid="{00000000-0005-0000-0000-0000B6140000}"/>
    <cellStyle name="Normal 4 3 6 2 2" xfId="8128" xr:uid="{00000000-0005-0000-0000-0000B7140000}"/>
    <cellStyle name="Normal 4 3 6 2 2 2" xfId="16570" xr:uid="{206B3838-695E-44F5-8160-F5B8D47BFDF4}"/>
    <cellStyle name="Normal 4 3 6 2 3" xfId="12352" xr:uid="{F8962DFA-CE47-4311-AC8D-36C03708A9A1}"/>
    <cellStyle name="Normal 4 3 6 3" xfId="5983" xr:uid="{00000000-0005-0000-0000-0000B8140000}"/>
    <cellStyle name="Normal 4 3 6 3 2" xfId="14425" xr:uid="{D87AF542-6CF5-43D2-8D24-22D640D89BFB}"/>
    <cellStyle name="Normal 4 3 6 4" xfId="10207" xr:uid="{AD0D9ACD-9863-4551-881B-C253A56A052F}"/>
    <cellStyle name="Normal 4 3 7" xfId="2089" xr:uid="{00000000-0005-0000-0000-0000B9140000}"/>
    <cellStyle name="Normal 4 3 7 2" xfId="4318" xr:uid="{00000000-0005-0000-0000-0000BA140000}"/>
    <cellStyle name="Normal 4 3 7 2 2" xfId="8541" xr:uid="{00000000-0005-0000-0000-0000BB140000}"/>
    <cellStyle name="Normal 4 3 7 2 2 2" xfId="16983" xr:uid="{A96D470B-ED48-41DD-9892-CBA102CFDB0F}"/>
    <cellStyle name="Normal 4 3 7 2 3" xfId="12765" xr:uid="{1A07AB59-8512-4066-98FB-801CF2626216}"/>
    <cellStyle name="Normal 4 3 7 3" xfId="6396" xr:uid="{00000000-0005-0000-0000-0000BC140000}"/>
    <cellStyle name="Normal 4 3 7 3 2" xfId="14838" xr:uid="{4D9B6511-0FFA-4962-A0B5-738F7A3BA452}"/>
    <cellStyle name="Normal 4 3 7 4" xfId="10620" xr:uid="{7ABFDA5B-9FE7-4332-91F3-968C9F9E924B}"/>
    <cellStyle name="Normal 4 3 8" xfId="2525" xr:uid="{00000000-0005-0000-0000-0000BD140000}"/>
    <cellStyle name="Normal 4 3 8 2" xfId="6809" xr:uid="{00000000-0005-0000-0000-0000BE140000}"/>
    <cellStyle name="Normal 4 3 8 2 2" xfId="15251" xr:uid="{F166C89E-761B-4A10-88A9-EEE30B754389}"/>
    <cellStyle name="Normal 4 3 8 3" xfId="11033" xr:uid="{82C0493F-9973-4245-A1FA-3510695082A4}"/>
    <cellStyle name="Normal 4 3 9" xfId="4744" xr:uid="{00000000-0005-0000-0000-0000BF140000}"/>
    <cellStyle name="Normal 4 3 9 2" xfId="13186" xr:uid="{3FDEEAF4-0775-42BD-A9FB-6D958D41026E}"/>
    <cellStyle name="Normal 4 4" xfId="378" xr:uid="{00000000-0005-0000-0000-0000C0140000}"/>
    <cellStyle name="Normal 4 4 10" xfId="2534" xr:uid="{00000000-0005-0000-0000-0000C1140000}"/>
    <cellStyle name="Normal 4 4 10 2" xfId="6818" xr:uid="{00000000-0005-0000-0000-0000C2140000}"/>
    <cellStyle name="Normal 4 4 10 2 2" xfId="15260" xr:uid="{2DD0B54C-2B43-4002-91AD-2CF701BB25E5}"/>
    <cellStyle name="Normal 4 4 10 3" xfId="11042" xr:uid="{65ECFD66-7B20-4E33-A607-8B2DF922DCCF}"/>
    <cellStyle name="Normal 4 4 11" xfId="4753" xr:uid="{00000000-0005-0000-0000-0000C3140000}"/>
    <cellStyle name="Normal 4 4 11 2" xfId="13195" xr:uid="{D2F21B63-3574-4763-9FA7-D5ED64CAEF45}"/>
    <cellStyle name="Normal 4 4 12" xfId="8977" xr:uid="{B9DA8CB1-7AAF-4107-BC6C-7C7CAB3B3FD3}"/>
    <cellStyle name="Normal 4 4 2" xfId="379" xr:uid="{00000000-0005-0000-0000-0000C4140000}"/>
    <cellStyle name="Normal 4 4 2 10" xfId="4754" xr:uid="{00000000-0005-0000-0000-0000C5140000}"/>
    <cellStyle name="Normal 4 4 2 10 2" xfId="13196" xr:uid="{722FE50E-EDAA-4EB6-8BAB-066927EA5477}"/>
    <cellStyle name="Normal 4 4 2 11" xfId="8978" xr:uid="{FD4633FC-AB6F-4ECC-B6AD-22E4F6EE8549}"/>
    <cellStyle name="Normal 4 4 2 2" xfId="380" xr:uid="{00000000-0005-0000-0000-0000C6140000}"/>
    <cellStyle name="Normal 4 4 2 2 10" xfId="8979" xr:uid="{A84063EC-F0CA-4260-9903-17385A0ADCDE}"/>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2 2 2" xfId="15757" xr:uid="{287F1DF4-E4E4-497D-AFCA-BAB0D9214110}"/>
    <cellStyle name="Normal 4 4 2 2 2 2 2 2 3" xfId="11539" xr:uid="{34559CC1-F826-4BD8-8AA9-C5A8F5DD6127}"/>
    <cellStyle name="Normal 4 4 2 2 2 2 2 3" xfId="5170" xr:uid="{00000000-0005-0000-0000-0000CC140000}"/>
    <cellStyle name="Normal 4 4 2 2 2 2 2 3 2" xfId="13612" xr:uid="{F7DB6937-9489-416F-BA94-D5F7E1C7D6AA}"/>
    <cellStyle name="Normal 4 4 2 2 2 2 2 4" xfId="9394" xr:uid="{C4A93B77-E7A1-4AEC-A7D3-02C3292634B7}"/>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2 2 2" xfId="16170" xr:uid="{6BBDA775-2076-4A32-A21A-30616A613AA7}"/>
    <cellStyle name="Normal 4 4 2 2 2 2 3 2 3" xfId="11952" xr:uid="{C85BF5BB-EAF5-4066-A633-1D20319C6CA6}"/>
    <cellStyle name="Normal 4 4 2 2 2 2 3 3" xfId="5583" xr:uid="{00000000-0005-0000-0000-0000D0140000}"/>
    <cellStyle name="Normal 4 4 2 2 2 2 3 3 2" xfId="14025" xr:uid="{4F922994-0235-403D-8244-3398D0DB7CA3}"/>
    <cellStyle name="Normal 4 4 2 2 2 2 3 4" xfId="9807" xr:uid="{0EB513D7-DD4B-4C93-BA8D-A1350936679D}"/>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2 2 2" xfId="16583" xr:uid="{C85E0464-8AD9-4BD4-A8A4-775DF8D924BB}"/>
    <cellStyle name="Normal 4 4 2 2 2 2 4 2 3" xfId="12365" xr:uid="{FEFBCA92-1EDB-4F00-AFCD-BD257657849F}"/>
    <cellStyle name="Normal 4 4 2 2 2 2 4 3" xfId="5996" xr:uid="{00000000-0005-0000-0000-0000D4140000}"/>
    <cellStyle name="Normal 4 4 2 2 2 2 4 3 2" xfId="14438" xr:uid="{759E61F4-8D3D-4C3C-9D21-AA8CE6D7C16F}"/>
    <cellStyle name="Normal 4 4 2 2 2 2 4 4" xfId="10220" xr:uid="{0567EE09-129B-4627-A562-4F85FCE74018}"/>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2 2 2" xfId="16996" xr:uid="{810D72DA-026D-423C-863D-B0286B74DBBE}"/>
    <cellStyle name="Normal 4 4 2 2 2 2 5 2 3" xfId="12778" xr:uid="{6166F778-D7B6-4D77-A542-F206F4DB0834}"/>
    <cellStyle name="Normal 4 4 2 2 2 2 5 3" xfId="6409" xr:uid="{00000000-0005-0000-0000-0000D8140000}"/>
    <cellStyle name="Normal 4 4 2 2 2 2 5 3 2" xfId="14851" xr:uid="{5AA8173E-D680-4628-9F15-17F68747E5E2}"/>
    <cellStyle name="Normal 4 4 2 2 2 2 5 4" xfId="10633" xr:uid="{0BE41102-02B8-4356-BF4F-6DB4DF00C4DB}"/>
    <cellStyle name="Normal 4 4 2 2 2 2 6" xfId="2538" xr:uid="{00000000-0005-0000-0000-0000D9140000}"/>
    <cellStyle name="Normal 4 4 2 2 2 2 6 2" xfId="6822" xr:uid="{00000000-0005-0000-0000-0000DA140000}"/>
    <cellStyle name="Normal 4 4 2 2 2 2 6 2 2" xfId="15264" xr:uid="{2302AB3E-E4AC-451E-8DD7-792C8FB5D379}"/>
    <cellStyle name="Normal 4 4 2 2 2 2 6 3" xfId="11046" xr:uid="{70372D51-393D-44D0-B14E-5DA6E736F7CA}"/>
    <cellStyle name="Normal 4 4 2 2 2 2 7" xfId="4757" xr:uid="{00000000-0005-0000-0000-0000DB140000}"/>
    <cellStyle name="Normal 4 4 2 2 2 2 7 2" xfId="13199" xr:uid="{377E4DC1-1F51-4743-A48F-A93419CEB673}"/>
    <cellStyle name="Normal 4 4 2 2 2 2 8" xfId="8981" xr:uid="{BE1BB476-83FB-4058-83D2-E3C842B03CBC}"/>
    <cellStyle name="Normal 4 4 2 2 2 3" xfId="856" xr:uid="{00000000-0005-0000-0000-0000DC140000}"/>
    <cellStyle name="Normal 4 4 2 2 2 3 2" xfId="3091" xr:uid="{00000000-0005-0000-0000-0000DD140000}"/>
    <cellStyle name="Normal 4 4 2 2 2 3 2 2" xfId="7314" xr:uid="{00000000-0005-0000-0000-0000DE140000}"/>
    <cellStyle name="Normal 4 4 2 2 2 3 2 2 2" xfId="15756" xr:uid="{C9AB56BC-157B-4575-AE47-29AB9F623DA3}"/>
    <cellStyle name="Normal 4 4 2 2 2 3 2 3" xfId="11538" xr:uid="{03A884EF-25A8-4B98-91B6-0F172DB07B93}"/>
    <cellStyle name="Normal 4 4 2 2 2 3 3" xfId="5169" xr:uid="{00000000-0005-0000-0000-0000DF140000}"/>
    <cellStyle name="Normal 4 4 2 2 2 3 3 2" xfId="13611" xr:uid="{ABA9648D-FF43-4310-BE42-410389FDD9CE}"/>
    <cellStyle name="Normal 4 4 2 2 2 3 4" xfId="9393" xr:uid="{137A0799-22C1-45BB-87BB-1CF70CBAF19F}"/>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2 2 2" xfId="16169" xr:uid="{CD49E55E-03D2-4F58-9A3F-EF33CB0935FF}"/>
    <cellStyle name="Normal 4 4 2 2 2 4 2 3" xfId="11951" xr:uid="{27C41F1C-7520-4215-AD07-6D9AB0E9A8B2}"/>
    <cellStyle name="Normal 4 4 2 2 2 4 3" xfId="5582" xr:uid="{00000000-0005-0000-0000-0000E3140000}"/>
    <cellStyle name="Normal 4 4 2 2 2 4 3 2" xfId="14024" xr:uid="{016166A9-D1B6-4F6C-A74D-C8BF71CD05C4}"/>
    <cellStyle name="Normal 4 4 2 2 2 4 4" xfId="9806" xr:uid="{9FC6B276-61CF-480A-AD9F-1628413F03AF}"/>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2 2 2" xfId="16582" xr:uid="{2D7DC9FA-80DD-4A80-A2EF-60059C16A14A}"/>
    <cellStyle name="Normal 4 4 2 2 2 5 2 3" xfId="12364" xr:uid="{D7F11E15-99FA-40B0-BF03-4AE0821E92D3}"/>
    <cellStyle name="Normal 4 4 2 2 2 5 3" xfId="5995" xr:uid="{00000000-0005-0000-0000-0000E7140000}"/>
    <cellStyle name="Normal 4 4 2 2 2 5 3 2" xfId="14437" xr:uid="{7DF42C4F-BDFF-42FF-8482-6A84A26EE332}"/>
    <cellStyle name="Normal 4 4 2 2 2 5 4" xfId="10219" xr:uid="{C663D9E1-7995-4E14-8666-D20D52106E88}"/>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2 2 2" xfId="16995" xr:uid="{D0D0BCA4-9EDF-4018-9B25-20775A2BE7E3}"/>
    <cellStyle name="Normal 4 4 2 2 2 6 2 3" xfId="12777" xr:uid="{2CD1BC26-67F9-4742-84C8-83E4A532D79A}"/>
    <cellStyle name="Normal 4 4 2 2 2 6 3" xfId="6408" xr:uid="{00000000-0005-0000-0000-0000EB140000}"/>
    <cellStyle name="Normal 4 4 2 2 2 6 3 2" xfId="14850" xr:uid="{9F2AD9C2-4DC5-4189-9E2D-DB4D6F21A24F}"/>
    <cellStyle name="Normal 4 4 2 2 2 6 4" xfId="10632" xr:uid="{53430EA5-146B-409F-B5CE-62C70A2201F3}"/>
    <cellStyle name="Normal 4 4 2 2 2 7" xfId="2537" xr:uid="{00000000-0005-0000-0000-0000EC140000}"/>
    <cellStyle name="Normal 4 4 2 2 2 7 2" xfId="6821" xr:uid="{00000000-0005-0000-0000-0000ED140000}"/>
    <cellStyle name="Normal 4 4 2 2 2 7 2 2" xfId="15263" xr:uid="{C3D35CDE-134D-4ED9-B05F-EA80AE0DEC97}"/>
    <cellStyle name="Normal 4 4 2 2 2 7 3" xfId="11045" xr:uid="{3DC88732-D74C-4934-BDE5-96C7C2D3060A}"/>
    <cellStyle name="Normal 4 4 2 2 2 8" xfId="4756" xr:uid="{00000000-0005-0000-0000-0000EE140000}"/>
    <cellStyle name="Normal 4 4 2 2 2 8 2" xfId="13198" xr:uid="{95DE6A44-B70F-49AA-B915-7DABC1D3C5C2}"/>
    <cellStyle name="Normal 4 4 2 2 2 9" xfId="8980" xr:uid="{0955BCC1-B187-4272-AAF0-A4998DE2DF8D}"/>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2 2 2" xfId="15758" xr:uid="{10E5CDCE-0103-4212-A8C6-7BF43AEAAE10}"/>
    <cellStyle name="Normal 4 4 2 2 3 2 2 3" xfId="11540" xr:uid="{2B3F6EC8-69F3-4740-B091-8F68A66A06BE}"/>
    <cellStyle name="Normal 4 4 2 2 3 2 3" xfId="5171" xr:uid="{00000000-0005-0000-0000-0000F3140000}"/>
    <cellStyle name="Normal 4 4 2 2 3 2 3 2" xfId="13613" xr:uid="{639C46E6-B349-49DC-A012-EAD8F7675F75}"/>
    <cellStyle name="Normal 4 4 2 2 3 2 4" xfId="9395" xr:uid="{2D52A633-EE08-44FF-9E35-555DA05698E4}"/>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2 2 2" xfId="16171" xr:uid="{67463575-A210-48D2-9890-FC72168DF2CB}"/>
    <cellStyle name="Normal 4 4 2 2 3 3 2 3" xfId="11953" xr:uid="{93C2A7AD-5781-4995-B136-613A29D3E5E2}"/>
    <cellStyle name="Normal 4 4 2 2 3 3 3" xfId="5584" xr:uid="{00000000-0005-0000-0000-0000F7140000}"/>
    <cellStyle name="Normal 4 4 2 2 3 3 3 2" xfId="14026" xr:uid="{CC058952-ED77-4359-8DD1-980BC9FFE398}"/>
    <cellStyle name="Normal 4 4 2 2 3 3 4" xfId="9808" xr:uid="{6ED1EEA1-D92F-4F0D-9A56-1B23505637DE}"/>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2 2 2" xfId="16584" xr:uid="{CE47F73A-1AEC-43B7-B1B8-6F832FE18E10}"/>
    <cellStyle name="Normal 4 4 2 2 3 4 2 3" xfId="12366" xr:uid="{348B0414-2944-4415-AF6F-4283DB99BB02}"/>
    <cellStyle name="Normal 4 4 2 2 3 4 3" xfId="5997" xr:uid="{00000000-0005-0000-0000-0000FB140000}"/>
    <cellStyle name="Normal 4 4 2 2 3 4 3 2" xfId="14439" xr:uid="{C3FF45D8-683E-4169-8B67-D2EABCA84738}"/>
    <cellStyle name="Normal 4 4 2 2 3 4 4" xfId="10221" xr:uid="{50ACA442-D18D-42B8-B294-EC0E9A229A38}"/>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2 2 2" xfId="16997" xr:uid="{6FA7533A-FB66-4D72-9A30-A74AA44BF2DA}"/>
    <cellStyle name="Normal 4 4 2 2 3 5 2 3" xfId="12779" xr:uid="{44ADC947-A327-4719-8026-68CBDD854F61}"/>
    <cellStyle name="Normal 4 4 2 2 3 5 3" xfId="6410" xr:uid="{00000000-0005-0000-0000-0000FF140000}"/>
    <cellStyle name="Normal 4 4 2 2 3 5 3 2" xfId="14852" xr:uid="{BFCD8A5F-4802-4335-9E53-EFC21554F981}"/>
    <cellStyle name="Normal 4 4 2 2 3 5 4" xfId="10634" xr:uid="{801A8B00-48FE-45A3-9FC4-64140FF9F9A5}"/>
    <cellStyle name="Normal 4 4 2 2 3 6" xfId="2539" xr:uid="{00000000-0005-0000-0000-000000150000}"/>
    <cellStyle name="Normal 4 4 2 2 3 6 2" xfId="6823" xr:uid="{00000000-0005-0000-0000-000001150000}"/>
    <cellStyle name="Normal 4 4 2 2 3 6 2 2" xfId="15265" xr:uid="{ABB79049-AA72-4CCE-9A22-7E8750199895}"/>
    <cellStyle name="Normal 4 4 2 2 3 6 3" xfId="11047" xr:uid="{63E9B781-32DC-48AC-88D2-1089FC6A0045}"/>
    <cellStyle name="Normal 4 4 2 2 3 7" xfId="4758" xr:uid="{00000000-0005-0000-0000-000002150000}"/>
    <cellStyle name="Normal 4 4 2 2 3 7 2" xfId="13200" xr:uid="{50B5710F-7392-47B4-B253-DFE3DF35E4BD}"/>
    <cellStyle name="Normal 4 4 2 2 3 8" xfId="8982" xr:uid="{228D9467-FEE0-4628-A457-FA008F280EFE}"/>
    <cellStyle name="Normal 4 4 2 2 4" xfId="855" xr:uid="{00000000-0005-0000-0000-000003150000}"/>
    <cellStyle name="Normal 4 4 2 2 4 2" xfId="3090" xr:uid="{00000000-0005-0000-0000-000004150000}"/>
    <cellStyle name="Normal 4 4 2 2 4 2 2" xfId="7313" xr:uid="{00000000-0005-0000-0000-000005150000}"/>
    <cellStyle name="Normal 4 4 2 2 4 2 2 2" xfId="15755" xr:uid="{5E245F33-274B-4563-BD83-803015B6A4A8}"/>
    <cellStyle name="Normal 4 4 2 2 4 2 3" xfId="11537" xr:uid="{3CC06AFF-8A7C-4FF7-A6C9-9C970E09298E}"/>
    <cellStyle name="Normal 4 4 2 2 4 3" xfId="5168" xr:uid="{00000000-0005-0000-0000-000006150000}"/>
    <cellStyle name="Normal 4 4 2 2 4 3 2" xfId="13610" xr:uid="{A6934D07-85DB-4FB0-AF19-C8B8C093074F}"/>
    <cellStyle name="Normal 4 4 2 2 4 4" xfId="9392" xr:uid="{0A3E1FE1-796E-406E-867B-A948DF89B2DE}"/>
    <cellStyle name="Normal 4 4 2 2 5" xfId="1273" xr:uid="{00000000-0005-0000-0000-000007150000}"/>
    <cellStyle name="Normal 4 4 2 2 5 2" xfId="3503" xr:uid="{00000000-0005-0000-0000-000008150000}"/>
    <cellStyle name="Normal 4 4 2 2 5 2 2" xfId="7726" xr:uid="{00000000-0005-0000-0000-000009150000}"/>
    <cellStyle name="Normal 4 4 2 2 5 2 2 2" xfId="16168" xr:uid="{06DBE402-83CD-496E-9682-1B62283EC594}"/>
    <cellStyle name="Normal 4 4 2 2 5 2 3" xfId="11950" xr:uid="{C43C5E12-C975-4858-81A3-EB2D37EEAA9A}"/>
    <cellStyle name="Normal 4 4 2 2 5 3" xfId="5581" xr:uid="{00000000-0005-0000-0000-00000A150000}"/>
    <cellStyle name="Normal 4 4 2 2 5 3 2" xfId="14023" xr:uid="{C79CC2F5-DB24-4CBE-A49E-38D6D82AF6E6}"/>
    <cellStyle name="Normal 4 4 2 2 5 4" xfId="9805" xr:uid="{12D00329-E946-4ECB-84B6-F3767411C7E6}"/>
    <cellStyle name="Normal 4 4 2 2 6" xfId="1686" xr:uid="{00000000-0005-0000-0000-00000B150000}"/>
    <cellStyle name="Normal 4 4 2 2 6 2" xfId="3916" xr:uid="{00000000-0005-0000-0000-00000C150000}"/>
    <cellStyle name="Normal 4 4 2 2 6 2 2" xfId="8139" xr:uid="{00000000-0005-0000-0000-00000D150000}"/>
    <cellStyle name="Normal 4 4 2 2 6 2 2 2" xfId="16581" xr:uid="{344B6A33-5B3A-4962-97EA-D5D8BB418BD1}"/>
    <cellStyle name="Normal 4 4 2 2 6 2 3" xfId="12363" xr:uid="{5270C8E1-FF76-4D3B-9798-306EF5669C59}"/>
    <cellStyle name="Normal 4 4 2 2 6 3" xfId="5994" xr:uid="{00000000-0005-0000-0000-00000E150000}"/>
    <cellStyle name="Normal 4 4 2 2 6 3 2" xfId="14436" xr:uid="{C9281C51-D7FE-4CA6-8D30-23E289030F62}"/>
    <cellStyle name="Normal 4 4 2 2 6 4" xfId="10218" xr:uid="{698F288F-ABFF-4C0A-BD22-98F14076DF2A}"/>
    <cellStyle name="Normal 4 4 2 2 7" xfId="2100" xr:uid="{00000000-0005-0000-0000-00000F150000}"/>
    <cellStyle name="Normal 4 4 2 2 7 2" xfId="4329" xr:uid="{00000000-0005-0000-0000-000010150000}"/>
    <cellStyle name="Normal 4 4 2 2 7 2 2" xfId="8552" xr:uid="{00000000-0005-0000-0000-000011150000}"/>
    <cellStyle name="Normal 4 4 2 2 7 2 2 2" xfId="16994" xr:uid="{381044F5-470B-40DF-8FAF-034D8B4E758C}"/>
    <cellStyle name="Normal 4 4 2 2 7 2 3" xfId="12776" xr:uid="{4F9B2964-9459-4819-8034-5C4358E21D55}"/>
    <cellStyle name="Normal 4 4 2 2 7 3" xfId="6407" xr:uid="{00000000-0005-0000-0000-000012150000}"/>
    <cellStyle name="Normal 4 4 2 2 7 3 2" xfId="14849" xr:uid="{653B308B-CBBA-468D-BB9C-2EA83BC35BEE}"/>
    <cellStyle name="Normal 4 4 2 2 7 4" xfId="10631" xr:uid="{65902630-16A0-409A-B2C9-058B55D62E12}"/>
    <cellStyle name="Normal 4 4 2 2 8" xfId="2536" xr:uid="{00000000-0005-0000-0000-000013150000}"/>
    <cellStyle name="Normal 4 4 2 2 8 2" xfId="6820" xr:uid="{00000000-0005-0000-0000-000014150000}"/>
    <cellStyle name="Normal 4 4 2 2 8 2 2" xfId="15262" xr:uid="{E494A204-1073-4021-A03A-546D8691D467}"/>
    <cellStyle name="Normal 4 4 2 2 8 3" xfId="11044" xr:uid="{07B09999-80C6-4331-AABF-6DC421917782}"/>
    <cellStyle name="Normal 4 4 2 2 9" xfId="4755" xr:uid="{00000000-0005-0000-0000-000015150000}"/>
    <cellStyle name="Normal 4 4 2 2 9 2" xfId="13197" xr:uid="{65E489BD-A51B-4319-895F-101299227287}"/>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2 2 2" xfId="15760" xr:uid="{1EA6F485-5EC3-4D7A-A757-A7AFA4B38D6E}"/>
    <cellStyle name="Normal 4 4 2 3 2 2 2 3" xfId="11542" xr:uid="{AF6DD6B2-28FD-4073-9D93-4DC27978B71B}"/>
    <cellStyle name="Normal 4 4 2 3 2 2 3" xfId="5173" xr:uid="{00000000-0005-0000-0000-00001B150000}"/>
    <cellStyle name="Normal 4 4 2 3 2 2 3 2" xfId="13615" xr:uid="{616DF40E-C93B-4122-93FB-25858381CCA7}"/>
    <cellStyle name="Normal 4 4 2 3 2 2 4" xfId="9397" xr:uid="{C204696D-ACA7-4179-9CCE-107D0D8F7F4E}"/>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2 2 2" xfId="16173" xr:uid="{1712AEEC-5CFF-410A-A662-1F8FA1A0659C}"/>
    <cellStyle name="Normal 4 4 2 3 2 3 2 3" xfId="11955" xr:uid="{101E55AD-BDE1-4AC6-98F0-2B61FC918B6F}"/>
    <cellStyle name="Normal 4 4 2 3 2 3 3" xfId="5586" xr:uid="{00000000-0005-0000-0000-00001F150000}"/>
    <cellStyle name="Normal 4 4 2 3 2 3 3 2" xfId="14028" xr:uid="{8BABBF4A-E404-4E18-B9C9-BA46EF335D95}"/>
    <cellStyle name="Normal 4 4 2 3 2 3 4" xfId="9810" xr:uid="{A941F83D-0CBA-4774-BB74-439D26629F2A}"/>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2 2 2" xfId="16586" xr:uid="{7AF933B1-31F6-432B-B238-44AA3FC6510A}"/>
    <cellStyle name="Normal 4 4 2 3 2 4 2 3" xfId="12368" xr:uid="{77C483A8-7A5A-4A66-86EB-7517933531E4}"/>
    <cellStyle name="Normal 4 4 2 3 2 4 3" xfId="5999" xr:uid="{00000000-0005-0000-0000-000023150000}"/>
    <cellStyle name="Normal 4 4 2 3 2 4 3 2" xfId="14441" xr:uid="{E4E9CAAE-0AAC-41B6-86D9-E0C9C3C7FF6F}"/>
    <cellStyle name="Normal 4 4 2 3 2 4 4" xfId="10223" xr:uid="{3E939E64-81BA-4723-AE22-2FBFD4CB6C19}"/>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2 2 2" xfId="16999" xr:uid="{FC605960-092F-4221-8F95-8F45DEBA47EB}"/>
    <cellStyle name="Normal 4 4 2 3 2 5 2 3" xfId="12781" xr:uid="{AB9E450A-2EC3-4EE0-AD03-34B8E2C3D882}"/>
    <cellStyle name="Normal 4 4 2 3 2 5 3" xfId="6412" xr:uid="{00000000-0005-0000-0000-000027150000}"/>
    <cellStyle name="Normal 4 4 2 3 2 5 3 2" xfId="14854" xr:uid="{04823701-7B5C-4BEC-86D1-C43309EA54D7}"/>
    <cellStyle name="Normal 4 4 2 3 2 5 4" xfId="10636" xr:uid="{3F8DCC04-0F0E-4060-AEB5-4A85673EB3C1}"/>
    <cellStyle name="Normal 4 4 2 3 2 6" xfId="2541" xr:uid="{00000000-0005-0000-0000-000028150000}"/>
    <cellStyle name="Normal 4 4 2 3 2 6 2" xfId="6825" xr:uid="{00000000-0005-0000-0000-000029150000}"/>
    <cellStyle name="Normal 4 4 2 3 2 6 2 2" xfId="15267" xr:uid="{92A224C6-0424-4706-8973-84E0AF6645FE}"/>
    <cellStyle name="Normal 4 4 2 3 2 6 3" xfId="11049" xr:uid="{AED9BE30-3B5A-4317-8636-67A7450151E1}"/>
    <cellStyle name="Normal 4 4 2 3 2 7" xfId="4760" xr:uid="{00000000-0005-0000-0000-00002A150000}"/>
    <cellStyle name="Normal 4 4 2 3 2 7 2" xfId="13202" xr:uid="{2B458DCB-3170-4CB4-8252-B3333BAA758D}"/>
    <cellStyle name="Normal 4 4 2 3 2 8" xfId="8984" xr:uid="{DB32739D-D0BD-49FF-ADD0-4229EF4301BB}"/>
    <cellStyle name="Normal 4 4 2 3 3" xfId="859" xr:uid="{00000000-0005-0000-0000-00002B150000}"/>
    <cellStyle name="Normal 4 4 2 3 3 2" xfId="3094" xr:uid="{00000000-0005-0000-0000-00002C150000}"/>
    <cellStyle name="Normal 4 4 2 3 3 2 2" xfId="7317" xr:uid="{00000000-0005-0000-0000-00002D150000}"/>
    <cellStyle name="Normal 4 4 2 3 3 2 2 2" xfId="15759" xr:uid="{32EDA239-9BAE-4180-BCF8-3171B0FF2230}"/>
    <cellStyle name="Normal 4 4 2 3 3 2 3" xfId="11541" xr:uid="{C6F5C988-869D-4259-B6CB-12642D9FBA7A}"/>
    <cellStyle name="Normal 4 4 2 3 3 3" xfId="5172" xr:uid="{00000000-0005-0000-0000-00002E150000}"/>
    <cellStyle name="Normal 4 4 2 3 3 3 2" xfId="13614" xr:uid="{6AD31639-D707-4EAC-B7B9-133875B249E4}"/>
    <cellStyle name="Normal 4 4 2 3 3 4" xfId="9396" xr:uid="{B00A3CFD-E3E8-4FD4-94BC-645BA1F16184}"/>
    <cellStyle name="Normal 4 4 2 3 4" xfId="1277" xr:uid="{00000000-0005-0000-0000-00002F150000}"/>
    <cellStyle name="Normal 4 4 2 3 4 2" xfId="3507" xr:uid="{00000000-0005-0000-0000-000030150000}"/>
    <cellStyle name="Normal 4 4 2 3 4 2 2" xfId="7730" xr:uid="{00000000-0005-0000-0000-000031150000}"/>
    <cellStyle name="Normal 4 4 2 3 4 2 2 2" xfId="16172" xr:uid="{7AC5E18E-F19F-4AF4-8DF7-2F47415D93AB}"/>
    <cellStyle name="Normal 4 4 2 3 4 2 3" xfId="11954" xr:uid="{E9BFED9E-315D-46C7-A156-A5289B641836}"/>
    <cellStyle name="Normal 4 4 2 3 4 3" xfId="5585" xr:uid="{00000000-0005-0000-0000-000032150000}"/>
    <cellStyle name="Normal 4 4 2 3 4 3 2" xfId="14027" xr:uid="{90F10CB6-03A8-47DA-B880-806B54B7C08B}"/>
    <cellStyle name="Normal 4 4 2 3 4 4" xfId="9809" xr:uid="{F59CB22A-6883-4144-8D9D-D0ED9F13A6DC}"/>
    <cellStyle name="Normal 4 4 2 3 5" xfId="1690" xr:uid="{00000000-0005-0000-0000-000033150000}"/>
    <cellStyle name="Normal 4 4 2 3 5 2" xfId="3920" xr:uid="{00000000-0005-0000-0000-000034150000}"/>
    <cellStyle name="Normal 4 4 2 3 5 2 2" xfId="8143" xr:uid="{00000000-0005-0000-0000-000035150000}"/>
    <cellStyle name="Normal 4 4 2 3 5 2 2 2" xfId="16585" xr:uid="{E134E083-896E-44B3-B998-E7011E6DC486}"/>
    <cellStyle name="Normal 4 4 2 3 5 2 3" xfId="12367" xr:uid="{35CF072E-48F4-49D1-A0DF-DDF84760E0FD}"/>
    <cellStyle name="Normal 4 4 2 3 5 3" xfId="5998" xr:uid="{00000000-0005-0000-0000-000036150000}"/>
    <cellStyle name="Normal 4 4 2 3 5 3 2" xfId="14440" xr:uid="{DA27419D-D8A9-4253-9A5E-4DF19092733E}"/>
    <cellStyle name="Normal 4 4 2 3 5 4" xfId="10222" xr:uid="{21EE3B15-14A9-4908-BAB7-00D3DA095694}"/>
    <cellStyle name="Normal 4 4 2 3 6" xfId="2104" xr:uid="{00000000-0005-0000-0000-000037150000}"/>
    <cellStyle name="Normal 4 4 2 3 6 2" xfId="4333" xr:uid="{00000000-0005-0000-0000-000038150000}"/>
    <cellStyle name="Normal 4 4 2 3 6 2 2" xfId="8556" xr:uid="{00000000-0005-0000-0000-000039150000}"/>
    <cellStyle name="Normal 4 4 2 3 6 2 2 2" xfId="16998" xr:uid="{571F8FC5-4CC8-41D1-AA7E-6BD2BA6F0B6B}"/>
    <cellStyle name="Normal 4 4 2 3 6 2 3" xfId="12780" xr:uid="{22657F45-898F-40ED-A0EB-3454AF192149}"/>
    <cellStyle name="Normal 4 4 2 3 6 3" xfId="6411" xr:uid="{00000000-0005-0000-0000-00003A150000}"/>
    <cellStyle name="Normal 4 4 2 3 6 3 2" xfId="14853" xr:uid="{21055CF8-C816-4879-AECB-FF1466CE6A53}"/>
    <cellStyle name="Normal 4 4 2 3 6 4" xfId="10635" xr:uid="{2F793D60-16FE-4306-BBF6-2CDC53540C2D}"/>
    <cellStyle name="Normal 4 4 2 3 7" xfId="2540" xr:uid="{00000000-0005-0000-0000-00003B150000}"/>
    <cellStyle name="Normal 4 4 2 3 7 2" xfId="6824" xr:uid="{00000000-0005-0000-0000-00003C150000}"/>
    <cellStyle name="Normal 4 4 2 3 7 2 2" xfId="15266" xr:uid="{18662424-B288-49F1-8612-9EEABA71E93F}"/>
    <cellStyle name="Normal 4 4 2 3 7 3" xfId="11048" xr:uid="{DC81B957-2F33-461D-93B2-59F4376D4EDF}"/>
    <cellStyle name="Normal 4 4 2 3 8" xfId="4759" xr:uid="{00000000-0005-0000-0000-00003D150000}"/>
    <cellStyle name="Normal 4 4 2 3 8 2" xfId="13201" xr:uid="{F67E1E9E-240A-4FA1-9152-2F45BDE867E4}"/>
    <cellStyle name="Normal 4 4 2 3 9" xfId="8983" xr:uid="{0C0CCD77-009D-4025-8061-0A8EB24D08BF}"/>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2 2 2" xfId="15761" xr:uid="{F9776A70-C566-404B-80F2-752117AEB64E}"/>
    <cellStyle name="Normal 4 4 2 4 2 2 3" xfId="11543" xr:uid="{850DFF9B-2455-429D-A7A6-02308044CBEA}"/>
    <cellStyle name="Normal 4 4 2 4 2 3" xfId="5174" xr:uid="{00000000-0005-0000-0000-000042150000}"/>
    <cellStyle name="Normal 4 4 2 4 2 3 2" xfId="13616" xr:uid="{497856E5-A314-41A2-AE82-8761F3C9934C}"/>
    <cellStyle name="Normal 4 4 2 4 2 4" xfId="9398" xr:uid="{1035A7C8-D281-4631-8C86-1FB219368B3C}"/>
    <cellStyle name="Normal 4 4 2 4 3" xfId="1279" xr:uid="{00000000-0005-0000-0000-000043150000}"/>
    <cellStyle name="Normal 4 4 2 4 3 2" xfId="3509" xr:uid="{00000000-0005-0000-0000-000044150000}"/>
    <cellStyle name="Normal 4 4 2 4 3 2 2" xfId="7732" xr:uid="{00000000-0005-0000-0000-000045150000}"/>
    <cellStyle name="Normal 4 4 2 4 3 2 2 2" xfId="16174" xr:uid="{FE7CAE7F-E4F0-4432-AE4B-83BFD63E8550}"/>
    <cellStyle name="Normal 4 4 2 4 3 2 3" xfId="11956" xr:uid="{E573CD0B-C5FB-4D4C-B863-D31B0FF18BE0}"/>
    <cellStyle name="Normal 4 4 2 4 3 3" xfId="5587" xr:uid="{00000000-0005-0000-0000-000046150000}"/>
    <cellStyle name="Normal 4 4 2 4 3 3 2" xfId="14029" xr:uid="{CE12A9BB-515A-4B1D-B0F5-B69512970DCD}"/>
    <cellStyle name="Normal 4 4 2 4 3 4" xfId="9811" xr:uid="{48A572DB-6D84-4D4C-9F66-04CB941A7AAD}"/>
    <cellStyle name="Normal 4 4 2 4 4" xfId="1692" xr:uid="{00000000-0005-0000-0000-000047150000}"/>
    <cellStyle name="Normal 4 4 2 4 4 2" xfId="3922" xr:uid="{00000000-0005-0000-0000-000048150000}"/>
    <cellStyle name="Normal 4 4 2 4 4 2 2" xfId="8145" xr:uid="{00000000-0005-0000-0000-000049150000}"/>
    <cellStyle name="Normal 4 4 2 4 4 2 2 2" xfId="16587" xr:uid="{A96EBA9F-BFD6-43C3-A7BC-F9B1F862674A}"/>
    <cellStyle name="Normal 4 4 2 4 4 2 3" xfId="12369" xr:uid="{AFECC485-970D-4CAC-851F-0048093877B9}"/>
    <cellStyle name="Normal 4 4 2 4 4 3" xfId="6000" xr:uid="{00000000-0005-0000-0000-00004A150000}"/>
    <cellStyle name="Normal 4 4 2 4 4 3 2" xfId="14442" xr:uid="{983828AC-3228-428B-8197-4058F2E8C5DB}"/>
    <cellStyle name="Normal 4 4 2 4 4 4" xfId="10224" xr:uid="{96A5157C-6CFD-484D-BE16-3A07ED7B913F}"/>
    <cellStyle name="Normal 4 4 2 4 5" xfId="2106" xr:uid="{00000000-0005-0000-0000-00004B150000}"/>
    <cellStyle name="Normal 4 4 2 4 5 2" xfId="4335" xr:uid="{00000000-0005-0000-0000-00004C150000}"/>
    <cellStyle name="Normal 4 4 2 4 5 2 2" xfId="8558" xr:uid="{00000000-0005-0000-0000-00004D150000}"/>
    <cellStyle name="Normal 4 4 2 4 5 2 2 2" xfId="17000" xr:uid="{DF256D24-A72E-4EBD-B726-1E512019010B}"/>
    <cellStyle name="Normal 4 4 2 4 5 2 3" xfId="12782" xr:uid="{E301C70F-2743-4BA7-908B-121DBA0EC99D}"/>
    <cellStyle name="Normal 4 4 2 4 5 3" xfId="6413" xr:uid="{00000000-0005-0000-0000-00004E150000}"/>
    <cellStyle name="Normal 4 4 2 4 5 3 2" xfId="14855" xr:uid="{90AC98E4-09AD-4004-883C-D965292E4579}"/>
    <cellStyle name="Normal 4 4 2 4 5 4" xfId="10637" xr:uid="{3A65B788-123E-4E7B-8EB7-02A79065E84D}"/>
    <cellStyle name="Normal 4 4 2 4 6" xfId="2542" xr:uid="{00000000-0005-0000-0000-00004F150000}"/>
    <cellStyle name="Normal 4 4 2 4 6 2" xfId="6826" xr:uid="{00000000-0005-0000-0000-000050150000}"/>
    <cellStyle name="Normal 4 4 2 4 6 2 2" xfId="15268" xr:uid="{9AEB6648-0618-43B9-9BEF-7AAC07FE14D0}"/>
    <cellStyle name="Normal 4 4 2 4 6 3" xfId="11050" xr:uid="{D2147531-CD9F-4A61-82C9-66AFBFA3CDBE}"/>
    <cellStyle name="Normal 4 4 2 4 7" xfId="4761" xr:uid="{00000000-0005-0000-0000-000051150000}"/>
    <cellStyle name="Normal 4 4 2 4 7 2" xfId="13203" xr:uid="{5749D78C-E940-45C0-AD89-142384EB6D53}"/>
    <cellStyle name="Normal 4 4 2 4 8" xfId="8985" xr:uid="{9D13A7B2-12F8-4472-97DD-7A98A305343D}"/>
    <cellStyle name="Normal 4 4 2 5" xfId="854" xr:uid="{00000000-0005-0000-0000-000052150000}"/>
    <cellStyle name="Normal 4 4 2 5 2" xfId="3089" xr:uid="{00000000-0005-0000-0000-000053150000}"/>
    <cellStyle name="Normal 4 4 2 5 2 2" xfId="7312" xr:uid="{00000000-0005-0000-0000-000054150000}"/>
    <cellStyle name="Normal 4 4 2 5 2 2 2" xfId="15754" xr:uid="{1CE1643D-543C-465F-8DC7-07EC911D3058}"/>
    <cellStyle name="Normal 4 4 2 5 2 3" xfId="11536" xr:uid="{9BE3950D-C6D8-4C57-B0AC-C828339BAA3B}"/>
    <cellStyle name="Normal 4 4 2 5 3" xfId="5167" xr:uid="{00000000-0005-0000-0000-000055150000}"/>
    <cellStyle name="Normal 4 4 2 5 3 2" xfId="13609" xr:uid="{79BB2A9D-D386-499B-AB30-93FDF41F7F8D}"/>
    <cellStyle name="Normal 4 4 2 5 4" xfId="9391" xr:uid="{8FC7DB0D-F78D-4184-A60A-2C28C5512716}"/>
    <cellStyle name="Normal 4 4 2 6" xfId="1272" xr:uid="{00000000-0005-0000-0000-000056150000}"/>
    <cellStyle name="Normal 4 4 2 6 2" xfId="3502" xr:uid="{00000000-0005-0000-0000-000057150000}"/>
    <cellStyle name="Normal 4 4 2 6 2 2" xfId="7725" xr:uid="{00000000-0005-0000-0000-000058150000}"/>
    <cellStyle name="Normal 4 4 2 6 2 2 2" xfId="16167" xr:uid="{BF1DF7C8-9168-4B89-AC41-DD79BE6E288C}"/>
    <cellStyle name="Normal 4 4 2 6 2 3" xfId="11949" xr:uid="{9F075061-521A-4D35-B599-84A124474A55}"/>
    <cellStyle name="Normal 4 4 2 6 3" xfId="5580" xr:uid="{00000000-0005-0000-0000-000059150000}"/>
    <cellStyle name="Normal 4 4 2 6 3 2" xfId="14022" xr:uid="{FE741F2E-DA3E-4B1E-BC10-F7132CC2F883}"/>
    <cellStyle name="Normal 4 4 2 6 4" xfId="9804" xr:uid="{9B426720-6036-457B-8163-45C442A39297}"/>
    <cellStyle name="Normal 4 4 2 7" xfId="1685" xr:uid="{00000000-0005-0000-0000-00005A150000}"/>
    <cellStyle name="Normal 4 4 2 7 2" xfId="3915" xr:uid="{00000000-0005-0000-0000-00005B150000}"/>
    <cellStyle name="Normal 4 4 2 7 2 2" xfId="8138" xr:uid="{00000000-0005-0000-0000-00005C150000}"/>
    <cellStyle name="Normal 4 4 2 7 2 2 2" xfId="16580" xr:uid="{87956F76-B2E0-434B-A761-8942179EB64F}"/>
    <cellStyle name="Normal 4 4 2 7 2 3" xfId="12362" xr:uid="{FFEA3CA6-213B-4DBB-B787-ABBC04D87E6D}"/>
    <cellStyle name="Normal 4 4 2 7 3" xfId="5993" xr:uid="{00000000-0005-0000-0000-00005D150000}"/>
    <cellStyle name="Normal 4 4 2 7 3 2" xfId="14435" xr:uid="{C3315D83-7ED2-43EC-B16C-9750059AD483}"/>
    <cellStyle name="Normal 4 4 2 7 4" xfId="10217" xr:uid="{10D48BA9-E7A9-4BF4-9320-A8E275C14B80}"/>
    <cellStyle name="Normal 4 4 2 8" xfId="2099" xr:uid="{00000000-0005-0000-0000-00005E150000}"/>
    <cellStyle name="Normal 4 4 2 8 2" xfId="4328" xr:uid="{00000000-0005-0000-0000-00005F150000}"/>
    <cellStyle name="Normal 4 4 2 8 2 2" xfId="8551" xr:uid="{00000000-0005-0000-0000-000060150000}"/>
    <cellStyle name="Normal 4 4 2 8 2 2 2" xfId="16993" xr:uid="{7AECB237-7DCC-405C-A0A8-2B53FF484508}"/>
    <cellStyle name="Normal 4 4 2 8 2 3" xfId="12775" xr:uid="{79CB0DAE-3965-446B-812D-42B56589E58E}"/>
    <cellStyle name="Normal 4 4 2 8 3" xfId="6406" xr:uid="{00000000-0005-0000-0000-000061150000}"/>
    <cellStyle name="Normal 4 4 2 8 3 2" xfId="14848" xr:uid="{DBCA2657-9FF5-43C2-924C-400E8E9FC694}"/>
    <cellStyle name="Normal 4 4 2 8 4" xfId="10630" xr:uid="{36D401EB-90E8-4018-A407-9B0EB154501F}"/>
    <cellStyle name="Normal 4 4 2 9" xfId="2535" xr:uid="{00000000-0005-0000-0000-000062150000}"/>
    <cellStyle name="Normal 4 4 2 9 2" xfId="6819" xr:uid="{00000000-0005-0000-0000-000063150000}"/>
    <cellStyle name="Normal 4 4 2 9 2 2" xfId="15261" xr:uid="{6B02803B-6918-415A-861C-354928254E80}"/>
    <cellStyle name="Normal 4 4 2 9 3" xfId="11043" xr:uid="{3E94B4F4-947E-4205-857A-34EE2A28C29F}"/>
    <cellStyle name="Normal 4 4 3" xfId="387" xr:uid="{00000000-0005-0000-0000-000064150000}"/>
    <cellStyle name="Normal 4 4 3 10" xfId="8986" xr:uid="{7759A6F3-1B23-4A02-B91C-4B1B9C927F06}"/>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2 2 2" xfId="15764" xr:uid="{25AC3F64-531B-4ADB-AD9C-058AB82D5933}"/>
    <cellStyle name="Normal 4 4 3 2 2 2 2 3" xfId="11546" xr:uid="{44152042-4C9A-43E0-B2DA-1CAE42D6B326}"/>
    <cellStyle name="Normal 4 4 3 2 2 2 3" xfId="5177" xr:uid="{00000000-0005-0000-0000-00006A150000}"/>
    <cellStyle name="Normal 4 4 3 2 2 2 3 2" xfId="13619" xr:uid="{1433D830-C0E6-4707-8CA9-883ED859A9D0}"/>
    <cellStyle name="Normal 4 4 3 2 2 2 4" xfId="9401" xr:uid="{8E66AD56-42DA-4B66-BCBE-5E2889BE8BDA}"/>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2 2 2" xfId="16177" xr:uid="{AF6ADC31-C640-4458-A319-C2545730BEEF}"/>
    <cellStyle name="Normal 4 4 3 2 2 3 2 3" xfId="11959" xr:uid="{D486EA23-9F9F-41A6-AA1A-702A43713279}"/>
    <cellStyle name="Normal 4 4 3 2 2 3 3" xfId="5590" xr:uid="{00000000-0005-0000-0000-00006E150000}"/>
    <cellStyle name="Normal 4 4 3 2 2 3 3 2" xfId="14032" xr:uid="{08C96285-DCD3-4A14-BAAB-4990E8219092}"/>
    <cellStyle name="Normal 4 4 3 2 2 3 4" xfId="9814" xr:uid="{1F7262F7-481B-47F7-8047-CEEF35892B62}"/>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2 2 2" xfId="16590" xr:uid="{95EBC07A-868E-43F5-885C-DE46F90A2166}"/>
    <cellStyle name="Normal 4 4 3 2 2 4 2 3" xfId="12372" xr:uid="{C7158B8C-4E95-4F77-9D36-D89BC02BD774}"/>
    <cellStyle name="Normal 4 4 3 2 2 4 3" xfId="6003" xr:uid="{00000000-0005-0000-0000-000072150000}"/>
    <cellStyle name="Normal 4 4 3 2 2 4 3 2" xfId="14445" xr:uid="{52809E8B-8D95-4680-9D1E-DF4CF2AD5DF6}"/>
    <cellStyle name="Normal 4 4 3 2 2 4 4" xfId="10227" xr:uid="{8D0EADCD-C088-4178-B46B-86020FF19777}"/>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2 2 2" xfId="17003" xr:uid="{9CBC616F-BFDA-4E75-9D8B-E2D36F8A4CC5}"/>
    <cellStyle name="Normal 4 4 3 2 2 5 2 3" xfId="12785" xr:uid="{32833FAD-0D99-49C0-AC5F-13E7C65A6D84}"/>
    <cellStyle name="Normal 4 4 3 2 2 5 3" xfId="6416" xr:uid="{00000000-0005-0000-0000-000076150000}"/>
    <cellStyle name="Normal 4 4 3 2 2 5 3 2" xfId="14858" xr:uid="{BDE793A7-D579-4D0D-B306-15DD47F2B819}"/>
    <cellStyle name="Normal 4 4 3 2 2 5 4" xfId="10640" xr:uid="{00BBD109-A41D-41D1-A6CF-8E326A93E624}"/>
    <cellStyle name="Normal 4 4 3 2 2 6" xfId="2545" xr:uid="{00000000-0005-0000-0000-000077150000}"/>
    <cellStyle name="Normal 4 4 3 2 2 6 2" xfId="6829" xr:uid="{00000000-0005-0000-0000-000078150000}"/>
    <cellStyle name="Normal 4 4 3 2 2 6 2 2" xfId="15271" xr:uid="{DE3C8AAF-8FBC-447B-8554-D642A2847737}"/>
    <cellStyle name="Normal 4 4 3 2 2 6 3" xfId="11053" xr:uid="{2FF7125B-BE29-4757-B7B1-82F3E3E7722B}"/>
    <cellStyle name="Normal 4 4 3 2 2 7" xfId="4764" xr:uid="{00000000-0005-0000-0000-000079150000}"/>
    <cellStyle name="Normal 4 4 3 2 2 7 2" xfId="13206" xr:uid="{A488C47B-26EF-4118-99D6-7B29DDC6FDAA}"/>
    <cellStyle name="Normal 4 4 3 2 2 8" xfId="8988" xr:uid="{E2362277-D030-4058-8E20-2FD56C01AF07}"/>
    <cellStyle name="Normal 4 4 3 2 3" xfId="863" xr:uid="{00000000-0005-0000-0000-00007A150000}"/>
    <cellStyle name="Normal 4 4 3 2 3 2" xfId="3098" xr:uid="{00000000-0005-0000-0000-00007B150000}"/>
    <cellStyle name="Normal 4 4 3 2 3 2 2" xfId="7321" xr:uid="{00000000-0005-0000-0000-00007C150000}"/>
    <cellStyle name="Normal 4 4 3 2 3 2 2 2" xfId="15763" xr:uid="{F657B02F-B3EF-4E1B-8C8E-DB9F393BCA9A}"/>
    <cellStyle name="Normal 4 4 3 2 3 2 3" xfId="11545" xr:uid="{004F1C38-F92D-4BD6-A1FB-3783E9E198FD}"/>
    <cellStyle name="Normal 4 4 3 2 3 3" xfId="5176" xr:uid="{00000000-0005-0000-0000-00007D150000}"/>
    <cellStyle name="Normal 4 4 3 2 3 3 2" xfId="13618" xr:uid="{50431CE4-2455-4E40-8480-D4E5F99EAE50}"/>
    <cellStyle name="Normal 4 4 3 2 3 4" xfId="9400" xr:uid="{37E73BE2-C8F6-4357-8890-7846C6D3A62A}"/>
    <cellStyle name="Normal 4 4 3 2 4" xfId="1281" xr:uid="{00000000-0005-0000-0000-00007E150000}"/>
    <cellStyle name="Normal 4 4 3 2 4 2" xfId="3511" xr:uid="{00000000-0005-0000-0000-00007F150000}"/>
    <cellStyle name="Normal 4 4 3 2 4 2 2" xfId="7734" xr:uid="{00000000-0005-0000-0000-000080150000}"/>
    <cellStyle name="Normal 4 4 3 2 4 2 2 2" xfId="16176" xr:uid="{D08E829F-7E53-40EA-97A9-FEEB381F5F9A}"/>
    <cellStyle name="Normal 4 4 3 2 4 2 3" xfId="11958" xr:uid="{65CD4FD9-98F1-4A1F-AD7F-D87F5A846590}"/>
    <cellStyle name="Normal 4 4 3 2 4 3" xfId="5589" xr:uid="{00000000-0005-0000-0000-000081150000}"/>
    <cellStyle name="Normal 4 4 3 2 4 3 2" xfId="14031" xr:uid="{D0FF7623-20AC-47A8-9B2C-A097FCBEA13A}"/>
    <cellStyle name="Normal 4 4 3 2 4 4" xfId="9813" xr:uid="{8AA434FF-52FF-4F9F-A003-F6A2C458AC73}"/>
    <cellStyle name="Normal 4 4 3 2 5" xfId="1694" xr:uid="{00000000-0005-0000-0000-000082150000}"/>
    <cellStyle name="Normal 4 4 3 2 5 2" xfId="3924" xr:uid="{00000000-0005-0000-0000-000083150000}"/>
    <cellStyle name="Normal 4 4 3 2 5 2 2" xfId="8147" xr:uid="{00000000-0005-0000-0000-000084150000}"/>
    <cellStyle name="Normal 4 4 3 2 5 2 2 2" xfId="16589" xr:uid="{6651324A-CE1C-4E60-8E35-63A26C2D21B7}"/>
    <cellStyle name="Normal 4 4 3 2 5 2 3" xfId="12371" xr:uid="{ADC6CD2A-1D1D-40CE-8A4A-B8866B978081}"/>
    <cellStyle name="Normal 4 4 3 2 5 3" xfId="6002" xr:uid="{00000000-0005-0000-0000-000085150000}"/>
    <cellStyle name="Normal 4 4 3 2 5 3 2" xfId="14444" xr:uid="{8FF5219B-FBE2-4084-B070-158A729D6F62}"/>
    <cellStyle name="Normal 4 4 3 2 5 4" xfId="10226" xr:uid="{17D7BEFF-7317-405E-BA92-C6BDEBE58864}"/>
    <cellStyle name="Normal 4 4 3 2 6" xfId="2108" xr:uid="{00000000-0005-0000-0000-000086150000}"/>
    <cellStyle name="Normal 4 4 3 2 6 2" xfId="4337" xr:uid="{00000000-0005-0000-0000-000087150000}"/>
    <cellStyle name="Normal 4 4 3 2 6 2 2" xfId="8560" xr:uid="{00000000-0005-0000-0000-000088150000}"/>
    <cellStyle name="Normal 4 4 3 2 6 2 2 2" xfId="17002" xr:uid="{F1874D6A-0CB9-4226-97AB-663D5DCCD8AB}"/>
    <cellStyle name="Normal 4 4 3 2 6 2 3" xfId="12784" xr:uid="{70C32E11-3070-4531-BE17-9B95FEE51E62}"/>
    <cellStyle name="Normal 4 4 3 2 6 3" xfId="6415" xr:uid="{00000000-0005-0000-0000-000089150000}"/>
    <cellStyle name="Normal 4 4 3 2 6 3 2" xfId="14857" xr:uid="{E7335DE2-589A-4C87-B6F2-F1DA43D465F7}"/>
    <cellStyle name="Normal 4 4 3 2 6 4" xfId="10639" xr:uid="{57EE7994-3093-40B2-A56D-4986BAD2E30C}"/>
    <cellStyle name="Normal 4 4 3 2 7" xfId="2544" xr:uid="{00000000-0005-0000-0000-00008A150000}"/>
    <cellStyle name="Normal 4 4 3 2 7 2" xfId="6828" xr:uid="{00000000-0005-0000-0000-00008B150000}"/>
    <cellStyle name="Normal 4 4 3 2 7 2 2" xfId="15270" xr:uid="{2F6B3748-3E27-4C94-9DE5-FEA8BFF050BF}"/>
    <cellStyle name="Normal 4 4 3 2 7 3" xfId="11052" xr:uid="{E0A23394-BC77-4400-BB57-DECB6CF09642}"/>
    <cellStyle name="Normal 4 4 3 2 8" xfId="4763" xr:uid="{00000000-0005-0000-0000-00008C150000}"/>
    <cellStyle name="Normal 4 4 3 2 8 2" xfId="13205" xr:uid="{5C93D79E-051E-4B39-B90D-19C3F6F2A915}"/>
    <cellStyle name="Normal 4 4 3 2 9" xfId="8987" xr:uid="{DAEBB8EE-D5D2-4235-9166-715ECFAD8364}"/>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2 2 2" xfId="15765" xr:uid="{FFE608EC-FF8D-44FE-B23A-4BDC09613A89}"/>
    <cellStyle name="Normal 4 4 3 3 2 2 3" xfId="11547" xr:uid="{3F71D059-1951-42CA-944F-EC3E2B97D9BE}"/>
    <cellStyle name="Normal 4 4 3 3 2 3" xfId="5178" xr:uid="{00000000-0005-0000-0000-000091150000}"/>
    <cellStyle name="Normal 4 4 3 3 2 3 2" xfId="13620" xr:uid="{FAF837D0-748D-467A-8E9E-230AD0349CA7}"/>
    <cellStyle name="Normal 4 4 3 3 2 4" xfId="9402" xr:uid="{F1046012-DED2-4282-862A-B294F4775748}"/>
    <cellStyle name="Normal 4 4 3 3 3" xfId="1283" xr:uid="{00000000-0005-0000-0000-000092150000}"/>
    <cellStyle name="Normal 4 4 3 3 3 2" xfId="3513" xr:uid="{00000000-0005-0000-0000-000093150000}"/>
    <cellStyle name="Normal 4 4 3 3 3 2 2" xfId="7736" xr:uid="{00000000-0005-0000-0000-000094150000}"/>
    <cellStyle name="Normal 4 4 3 3 3 2 2 2" xfId="16178" xr:uid="{E5100187-E0CA-4C7A-93F6-D01F0F4949D6}"/>
    <cellStyle name="Normal 4 4 3 3 3 2 3" xfId="11960" xr:uid="{BF228916-A3F4-4C89-BE89-FF12F1FE357E}"/>
    <cellStyle name="Normal 4 4 3 3 3 3" xfId="5591" xr:uid="{00000000-0005-0000-0000-000095150000}"/>
    <cellStyle name="Normal 4 4 3 3 3 3 2" xfId="14033" xr:uid="{D20267D7-823F-4B62-A6EC-4E4E195A4A0B}"/>
    <cellStyle name="Normal 4 4 3 3 3 4" xfId="9815" xr:uid="{BBFC22EE-2060-42BA-9F81-7F3169521A7E}"/>
    <cellStyle name="Normal 4 4 3 3 4" xfId="1696" xr:uid="{00000000-0005-0000-0000-000096150000}"/>
    <cellStyle name="Normal 4 4 3 3 4 2" xfId="3926" xr:uid="{00000000-0005-0000-0000-000097150000}"/>
    <cellStyle name="Normal 4 4 3 3 4 2 2" xfId="8149" xr:uid="{00000000-0005-0000-0000-000098150000}"/>
    <cellStyle name="Normal 4 4 3 3 4 2 2 2" xfId="16591" xr:uid="{54CEC784-8131-43A5-83BA-99B9F147030A}"/>
    <cellStyle name="Normal 4 4 3 3 4 2 3" xfId="12373" xr:uid="{935B2B18-40E6-4315-B123-1A18378712ED}"/>
    <cellStyle name="Normal 4 4 3 3 4 3" xfId="6004" xr:uid="{00000000-0005-0000-0000-000099150000}"/>
    <cellStyle name="Normal 4 4 3 3 4 3 2" xfId="14446" xr:uid="{3C399BCF-5374-4E09-B32A-AB9C685E9F90}"/>
    <cellStyle name="Normal 4 4 3 3 4 4" xfId="10228" xr:uid="{3857276C-9C34-4A78-9F78-E67BAB83E040}"/>
    <cellStyle name="Normal 4 4 3 3 5" xfId="2110" xr:uid="{00000000-0005-0000-0000-00009A150000}"/>
    <cellStyle name="Normal 4 4 3 3 5 2" xfId="4339" xr:uid="{00000000-0005-0000-0000-00009B150000}"/>
    <cellStyle name="Normal 4 4 3 3 5 2 2" xfId="8562" xr:uid="{00000000-0005-0000-0000-00009C150000}"/>
    <cellStyle name="Normal 4 4 3 3 5 2 2 2" xfId="17004" xr:uid="{A3F3B465-40AC-4353-9895-DECC18D74BBD}"/>
    <cellStyle name="Normal 4 4 3 3 5 2 3" xfId="12786" xr:uid="{DDBBAF28-2FA8-4332-929D-9F61C0EBE4EC}"/>
    <cellStyle name="Normal 4 4 3 3 5 3" xfId="6417" xr:uid="{00000000-0005-0000-0000-00009D150000}"/>
    <cellStyle name="Normal 4 4 3 3 5 3 2" xfId="14859" xr:uid="{51DA607D-0294-4DF4-A5EB-C31FA221D092}"/>
    <cellStyle name="Normal 4 4 3 3 5 4" xfId="10641" xr:uid="{D703F582-0776-4B55-AE4D-5FB5654B581A}"/>
    <cellStyle name="Normal 4 4 3 3 6" xfId="2546" xr:uid="{00000000-0005-0000-0000-00009E150000}"/>
    <cellStyle name="Normal 4 4 3 3 6 2" xfId="6830" xr:uid="{00000000-0005-0000-0000-00009F150000}"/>
    <cellStyle name="Normal 4 4 3 3 6 2 2" xfId="15272" xr:uid="{D8EBE2A8-01F3-4675-8D16-45A18E1EFFE6}"/>
    <cellStyle name="Normal 4 4 3 3 6 3" xfId="11054" xr:uid="{328D70FC-57F9-4EB4-A0E8-83EC08A27546}"/>
    <cellStyle name="Normal 4 4 3 3 7" xfId="4765" xr:uid="{00000000-0005-0000-0000-0000A0150000}"/>
    <cellStyle name="Normal 4 4 3 3 7 2" xfId="13207" xr:uid="{22E7D0D5-6828-4A8F-B8C8-14F198C73FB7}"/>
    <cellStyle name="Normal 4 4 3 3 8" xfId="8989" xr:uid="{BE77997E-8C89-4F15-A9E3-DB8C52F28284}"/>
    <cellStyle name="Normal 4 4 3 4" xfId="862" xr:uid="{00000000-0005-0000-0000-0000A1150000}"/>
    <cellStyle name="Normal 4 4 3 4 2" xfId="3097" xr:uid="{00000000-0005-0000-0000-0000A2150000}"/>
    <cellStyle name="Normal 4 4 3 4 2 2" xfId="7320" xr:uid="{00000000-0005-0000-0000-0000A3150000}"/>
    <cellStyle name="Normal 4 4 3 4 2 2 2" xfId="15762" xr:uid="{136B970D-8E68-49A1-9A2C-006F05D7E648}"/>
    <cellStyle name="Normal 4 4 3 4 2 3" xfId="11544" xr:uid="{4CD445AE-ADDA-43BA-9B82-4C79751C383A}"/>
    <cellStyle name="Normal 4 4 3 4 3" xfId="5175" xr:uid="{00000000-0005-0000-0000-0000A4150000}"/>
    <cellStyle name="Normal 4 4 3 4 3 2" xfId="13617" xr:uid="{B7A2BB96-540F-448B-8D37-2BCDFF66D53B}"/>
    <cellStyle name="Normal 4 4 3 4 4" xfId="9399" xr:uid="{BC565559-FD1B-422F-897F-C982420CCA20}"/>
    <cellStyle name="Normal 4 4 3 5" xfId="1280" xr:uid="{00000000-0005-0000-0000-0000A5150000}"/>
    <cellStyle name="Normal 4 4 3 5 2" xfId="3510" xr:uid="{00000000-0005-0000-0000-0000A6150000}"/>
    <cellStyle name="Normal 4 4 3 5 2 2" xfId="7733" xr:uid="{00000000-0005-0000-0000-0000A7150000}"/>
    <cellStyle name="Normal 4 4 3 5 2 2 2" xfId="16175" xr:uid="{43323850-C312-41F3-BA88-B7ABC0BF2127}"/>
    <cellStyle name="Normal 4 4 3 5 2 3" xfId="11957" xr:uid="{A2540730-E461-466A-A347-C8368DA35C54}"/>
    <cellStyle name="Normal 4 4 3 5 3" xfId="5588" xr:uid="{00000000-0005-0000-0000-0000A8150000}"/>
    <cellStyle name="Normal 4 4 3 5 3 2" xfId="14030" xr:uid="{C48AAA9E-6531-412F-8F80-8B65384B2CED}"/>
    <cellStyle name="Normal 4 4 3 5 4" xfId="9812" xr:uid="{602DF474-89C4-4DD5-97C4-418177294EBD}"/>
    <cellStyle name="Normal 4 4 3 6" xfId="1693" xr:uid="{00000000-0005-0000-0000-0000A9150000}"/>
    <cellStyle name="Normal 4 4 3 6 2" xfId="3923" xr:uid="{00000000-0005-0000-0000-0000AA150000}"/>
    <cellStyle name="Normal 4 4 3 6 2 2" xfId="8146" xr:uid="{00000000-0005-0000-0000-0000AB150000}"/>
    <cellStyle name="Normal 4 4 3 6 2 2 2" xfId="16588" xr:uid="{686FBF81-A9A0-49A4-AED2-81B197546892}"/>
    <cellStyle name="Normal 4 4 3 6 2 3" xfId="12370" xr:uid="{6BC8F0FD-FC1F-4E57-825B-13C70A497988}"/>
    <cellStyle name="Normal 4 4 3 6 3" xfId="6001" xr:uid="{00000000-0005-0000-0000-0000AC150000}"/>
    <cellStyle name="Normal 4 4 3 6 3 2" xfId="14443" xr:uid="{7ACC551E-F8CC-44EC-B718-B7F7F474AC32}"/>
    <cellStyle name="Normal 4 4 3 6 4" xfId="10225" xr:uid="{B61FC627-C89B-48F5-ABD1-9B56DCDFC288}"/>
    <cellStyle name="Normal 4 4 3 7" xfId="2107" xr:uid="{00000000-0005-0000-0000-0000AD150000}"/>
    <cellStyle name="Normal 4 4 3 7 2" xfId="4336" xr:uid="{00000000-0005-0000-0000-0000AE150000}"/>
    <cellStyle name="Normal 4 4 3 7 2 2" xfId="8559" xr:uid="{00000000-0005-0000-0000-0000AF150000}"/>
    <cellStyle name="Normal 4 4 3 7 2 2 2" xfId="17001" xr:uid="{DEC245D3-866A-46B7-A532-0DA6A75C8A0D}"/>
    <cellStyle name="Normal 4 4 3 7 2 3" xfId="12783" xr:uid="{D8222257-37D9-4383-A610-710A1EF75F39}"/>
    <cellStyle name="Normal 4 4 3 7 3" xfId="6414" xr:uid="{00000000-0005-0000-0000-0000B0150000}"/>
    <cellStyle name="Normal 4 4 3 7 3 2" xfId="14856" xr:uid="{5DD87A2A-61E6-4F99-AD70-D4F888A0ECA5}"/>
    <cellStyle name="Normal 4 4 3 7 4" xfId="10638" xr:uid="{7133483B-A080-468D-9CC2-0232FBE84222}"/>
    <cellStyle name="Normal 4 4 3 8" xfId="2543" xr:uid="{00000000-0005-0000-0000-0000B1150000}"/>
    <cellStyle name="Normal 4 4 3 8 2" xfId="6827" xr:uid="{00000000-0005-0000-0000-0000B2150000}"/>
    <cellStyle name="Normal 4 4 3 8 2 2" xfId="15269" xr:uid="{07CB6BAC-DDC1-4271-9BBB-CAEE6FDE3096}"/>
    <cellStyle name="Normal 4 4 3 8 3" xfId="11051" xr:uid="{F11A3E4F-A515-4DEA-BF2E-DE9186EEFFDC}"/>
    <cellStyle name="Normal 4 4 3 9" xfId="4762" xr:uid="{00000000-0005-0000-0000-0000B3150000}"/>
    <cellStyle name="Normal 4 4 3 9 2" xfId="13204" xr:uid="{E183150F-BF7D-49CF-8A76-B474F3AC2F73}"/>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2 2 2" xfId="15767" xr:uid="{8D608815-9271-4CE7-91E1-25FCCBF1F871}"/>
    <cellStyle name="Normal 4 4 4 2 2 2 3" xfId="11549" xr:uid="{EADA2E83-5B5F-470F-8284-110C4E688CEA}"/>
    <cellStyle name="Normal 4 4 4 2 2 3" xfId="5180" xr:uid="{00000000-0005-0000-0000-0000B9150000}"/>
    <cellStyle name="Normal 4 4 4 2 2 3 2" xfId="13622" xr:uid="{DE19C596-852A-48BF-9935-58BC7066E93F}"/>
    <cellStyle name="Normal 4 4 4 2 2 4" xfId="9404" xr:uid="{E3673F8D-CDD8-4D35-96E3-EF8F378F4B12}"/>
    <cellStyle name="Normal 4 4 4 2 3" xfId="1285" xr:uid="{00000000-0005-0000-0000-0000BA150000}"/>
    <cellStyle name="Normal 4 4 4 2 3 2" xfId="3515" xr:uid="{00000000-0005-0000-0000-0000BB150000}"/>
    <cellStyle name="Normal 4 4 4 2 3 2 2" xfId="7738" xr:uid="{00000000-0005-0000-0000-0000BC150000}"/>
    <cellStyle name="Normal 4 4 4 2 3 2 2 2" xfId="16180" xr:uid="{6FE8E082-9C1C-4EFE-B463-315A8CB383FE}"/>
    <cellStyle name="Normal 4 4 4 2 3 2 3" xfId="11962" xr:uid="{7DDBC29C-D135-4501-AA0A-888D7644F9D5}"/>
    <cellStyle name="Normal 4 4 4 2 3 3" xfId="5593" xr:uid="{00000000-0005-0000-0000-0000BD150000}"/>
    <cellStyle name="Normal 4 4 4 2 3 3 2" xfId="14035" xr:uid="{004825B4-25E3-474E-9D7A-01D68DE8A7D3}"/>
    <cellStyle name="Normal 4 4 4 2 3 4" xfId="9817" xr:uid="{ADD03EE1-CC55-4E9D-AEF2-5D0453FE3D50}"/>
    <cellStyle name="Normal 4 4 4 2 4" xfId="1698" xr:uid="{00000000-0005-0000-0000-0000BE150000}"/>
    <cellStyle name="Normal 4 4 4 2 4 2" xfId="3928" xr:uid="{00000000-0005-0000-0000-0000BF150000}"/>
    <cellStyle name="Normal 4 4 4 2 4 2 2" xfId="8151" xr:uid="{00000000-0005-0000-0000-0000C0150000}"/>
    <cellStyle name="Normal 4 4 4 2 4 2 2 2" xfId="16593" xr:uid="{614B1D61-788C-46BB-AA4C-AEB761526965}"/>
    <cellStyle name="Normal 4 4 4 2 4 2 3" xfId="12375" xr:uid="{9E592E3B-810E-4A4A-8C89-FCEC30EAA5BE}"/>
    <cellStyle name="Normal 4 4 4 2 4 3" xfId="6006" xr:uid="{00000000-0005-0000-0000-0000C1150000}"/>
    <cellStyle name="Normal 4 4 4 2 4 3 2" xfId="14448" xr:uid="{46B66034-1E2E-4E03-88EA-40ACD188A52F}"/>
    <cellStyle name="Normal 4 4 4 2 4 4" xfId="10230" xr:uid="{C86A931E-E5E6-4034-8B0F-CF868A036F18}"/>
    <cellStyle name="Normal 4 4 4 2 5" xfId="2112" xr:uid="{00000000-0005-0000-0000-0000C2150000}"/>
    <cellStyle name="Normal 4 4 4 2 5 2" xfId="4341" xr:uid="{00000000-0005-0000-0000-0000C3150000}"/>
    <cellStyle name="Normal 4 4 4 2 5 2 2" xfId="8564" xr:uid="{00000000-0005-0000-0000-0000C4150000}"/>
    <cellStyle name="Normal 4 4 4 2 5 2 2 2" xfId="17006" xr:uid="{F11FC7EF-AAEE-4DB6-BB27-F475712DA4D9}"/>
    <cellStyle name="Normal 4 4 4 2 5 2 3" xfId="12788" xr:uid="{1127284C-03C0-4A2C-BB1E-D9F4AB93212A}"/>
    <cellStyle name="Normal 4 4 4 2 5 3" xfId="6419" xr:uid="{00000000-0005-0000-0000-0000C5150000}"/>
    <cellStyle name="Normal 4 4 4 2 5 3 2" xfId="14861" xr:uid="{6898632E-2D23-4E1E-A303-3728B8BEC7AD}"/>
    <cellStyle name="Normal 4 4 4 2 5 4" xfId="10643" xr:uid="{BEA2DD01-776D-4E05-90CA-A8D4073431EA}"/>
    <cellStyle name="Normal 4 4 4 2 6" xfId="2548" xr:uid="{00000000-0005-0000-0000-0000C6150000}"/>
    <cellStyle name="Normal 4 4 4 2 6 2" xfId="6832" xr:uid="{00000000-0005-0000-0000-0000C7150000}"/>
    <cellStyle name="Normal 4 4 4 2 6 2 2" xfId="15274" xr:uid="{5F73D5FA-6FEE-4DE0-BCBF-87294D37F2EC}"/>
    <cellStyle name="Normal 4 4 4 2 6 3" xfId="11056" xr:uid="{05979399-89C8-43D5-9CD8-687E6C763CEC}"/>
    <cellStyle name="Normal 4 4 4 2 7" xfId="4767" xr:uid="{00000000-0005-0000-0000-0000C8150000}"/>
    <cellStyle name="Normal 4 4 4 2 7 2" xfId="13209" xr:uid="{186304B4-7B09-4035-B576-404220E0F6F2}"/>
    <cellStyle name="Normal 4 4 4 2 8" xfId="8991" xr:uid="{B198F6E4-0102-4363-BA91-7D90A92C40C7}"/>
    <cellStyle name="Normal 4 4 4 3" xfId="866" xr:uid="{00000000-0005-0000-0000-0000C9150000}"/>
    <cellStyle name="Normal 4 4 4 3 2" xfId="3101" xr:uid="{00000000-0005-0000-0000-0000CA150000}"/>
    <cellStyle name="Normal 4 4 4 3 2 2" xfId="7324" xr:uid="{00000000-0005-0000-0000-0000CB150000}"/>
    <cellStyle name="Normal 4 4 4 3 2 2 2" xfId="15766" xr:uid="{79FBBAAF-317C-49C7-BD74-7571756AD01B}"/>
    <cellStyle name="Normal 4 4 4 3 2 3" xfId="11548" xr:uid="{48B1211E-44F2-4104-ABD8-3A346A32A68F}"/>
    <cellStyle name="Normal 4 4 4 3 3" xfId="5179" xr:uid="{00000000-0005-0000-0000-0000CC150000}"/>
    <cellStyle name="Normal 4 4 4 3 3 2" xfId="13621" xr:uid="{6E3B2861-19F2-42B8-836A-2367637FE491}"/>
    <cellStyle name="Normal 4 4 4 3 4" xfId="9403" xr:uid="{C16914A1-3A2E-49C5-8A82-65D8FE788AEC}"/>
    <cellStyle name="Normal 4 4 4 4" xfId="1284" xr:uid="{00000000-0005-0000-0000-0000CD150000}"/>
    <cellStyle name="Normal 4 4 4 4 2" xfId="3514" xr:uid="{00000000-0005-0000-0000-0000CE150000}"/>
    <cellStyle name="Normal 4 4 4 4 2 2" xfId="7737" xr:uid="{00000000-0005-0000-0000-0000CF150000}"/>
    <cellStyle name="Normal 4 4 4 4 2 2 2" xfId="16179" xr:uid="{48A6877E-63B6-4B0D-A697-A98FD15E1D2A}"/>
    <cellStyle name="Normal 4 4 4 4 2 3" xfId="11961" xr:uid="{96070A12-3968-4B80-89DE-7535501F03DA}"/>
    <cellStyle name="Normal 4 4 4 4 3" xfId="5592" xr:uid="{00000000-0005-0000-0000-0000D0150000}"/>
    <cellStyle name="Normal 4 4 4 4 3 2" xfId="14034" xr:uid="{E7A0A2BB-AFDD-45C4-A97C-C43B62D29A6F}"/>
    <cellStyle name="Normal 4 4 4 4 4" xfId="9816" xr:uid="{799B5074-FC05-4902-A24B-563287C50985}"/>
    <cellStyle name="Normal 4 4 4 5" xfId="1697" xr:uid="{00000000-0005-0000-0000-0000D1150000}"/>
    <cellStyle name="Normal 4 4 4 5 2" xfId="3927" xr:uid="{00000000-0005-0000-0000-0000D2150000}"/>
    <cellStyle name="Normal 4 4 4 5 2 2" xfId="8150" xr:uid="{00000000-0005-0000-0000-0000D3150000}"/>
    <cellStyle name="Normal 4 4 4 5 2 2 2" xfId="16592" xr:uid="{254E0D98-639E-40DE-86F3-97EDF69E724D}"/>
    <cellStyle name="Normal 4 4 4 5 2 3" xfId="12374" xr:uid="{EA3478E8-E71F-4A5E-AC0A-B130548963C3}"/>
    <cellStyle name="Normal 4 4 4 5 3" xfId="6005" xr:uid="{00000000-0005-0000-0000-0000D4150000}"/>
    <cellStyle name="Normal 4 4 4 5 3 2" xfId="14447" xr:uid="{E6107C12-77F8-4B50-818B-1674070D85D0}"/>
    <cellStyle name="Normal 4 4 4 5 4" xfId="10229" xr:uid="{38F24F97-D925-4AFA-8BA9-D86B9D6406EE}"/>
    <cellStyle name="Normal 4 4 4 6" xfId="2111" xr:uid="{00000000-0005-0000-0000-0000D5150000}"/>
    <cellStyle name="Normal 4 4 4 6 2" xfId="4340" xr:uid="{00000000-0005-0000-0000-0000D6150000}"/>
    <cellStyle name="Normal 4 4 4 6 2 2" xfId="8563" xr:uid="{00000000-0005-0000-0000-0000D7150000}"/>
    <cellStyle name="Normal 4 4 4 6 2 2 2" xfId="17005" xr:uid="{541848E1-F2DB-4098-93AF-6A3ADE39F5DD}"/>
    <cellStyle name="Normal 4 4 4 6 2 3" xfId="12787" xr:uid="{38C36C20-E1C9-4E13-955F-72A9142B393C}"/>
    <cellStyle name="Normal 4 4 4 6 3" xfId="6418" xr:uid="{00000000-0005-0000-0000-0000D8150000}"/>
    <cellStyle name="Normal 4 4 4 6 3 2" xfId="14860" xr:uid="{477401BF-C478-42CB-B818-53524FFEAA98}"/>
    <cellStyle name="Normal 4 4 4 6 4" xfId="10642" xr:uid="{32DD74E5-C107-4EBF-8C19-0AA303210A1F}"/>
    <cellStyle name="Normal 4 4 4 7" xfId="2547" xr:uid="{00000000-0005-0000-0000-0000D9150000}"/>
    <cellStyle name="Normal 4 4 4 7 2" xfId="6831" xr:uid="{00000000-0005-0000-0000-0000DA150000}"/>
    <cellStyle name="Normal 4 4 4 7 2 2" xfId="15273" xr:uid="{2A6C316F-0111-49F1-A3C2-3AD6DCA40344}"/>
    <cellStyle name="Normal 4 4 4 7 3" xfId="11055" xr:uid="{2B0A4A29-1865-4EB3-878D-F2275EF17294}"/>
    <cellStyle name="Normal 4 4 4 8" xfId="4766" xr:uid="{00000000-0005-0000-0000-0000DB150000}"/>
    <cellStyle name="Normal 4 4 4 8 2" xfId="13208" xr:uid="{80CE74D2-B57D-4CB1-A7AE-5EC8A6821FF6}"/>
    <cellStyle name="Normal 4 4 4 9" xfId="8990" xr:uid="{15F714E1-4277-40D7-A91E-4A941599DF2F}"/>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2 2 2" xfId="15768" xr:uid="{72AF1BB7-52F7-47A3-A046-1D5CC40E9336}"/>
    <cellStyle name="Normal 4 4 5 2 2 3" xfId="11550" xr:uid="{FD034334-3048-4BB5-B16C-7FA88EB28983}"/>
    <cellStyle name="Normal 4 4 5 2 3" xfId="5181" xr:uid="{00000000-0005-0000-0000-0000E0150000}"/>
    <cellStyle name="Normal 4 4 5 2 3 2" xfId="13623" xr:uid="{BB1ABC57-A132-4ADF-BCE1-646F8AEE8DEE}"/>
    <cellStyle name="Normal 4 4 5 2 4" xfId="9405" xr:uid="{55A61043-7D3A-4002-A8C5-F5AA98D7C15E}"/>
    <cellStyle name="Normal 4 4 5 3" xfId="1286" xr:uid="{00000000-0005-0000-0000-0000E1150000}"/>
    <cellStyle name="Normal 4 4 5 3 2" xfId="3516" xr:uid="{00000000-0005-0000-0000-0000E2150000}"/>
    <cellStyle name="Normal 4 4 5 3 2 2" xfId="7739" xr:uid="{00000000-0005-0000-0000-0000E3150000}"/>
    <cellStyle name="Normal 4 4 5 3 2 2 2" xfId="16181" xr:uid="{285AF310-0BAA-4732-80F4-95AE91350F75}"/>
    <cellStyle name="Normal 4 4 5 3 2 3" xfId="11963" xr:uid="{058BB22D-BC65-4472-B5E3-2883BF887383}"/>
    <cellStyle name="Normal 4 4 5 3 3" xfId="5594" xr:uid="{00000000-0005-0000-0000-0000E4150000}"/>
    <cellStyle name="Normal 4 4 5 3 3 2" xfId="14036" xr:uid="{724E90ED-E68A-4520-ABF1-6CEF3816F4DA}"/>
    <cellStyle name="Normal 4 4 5 3 4" xfId="9818" xr:uid="{F4349B3F-F86E-4134-8C87-DFAF4939701F}"/>
    <cellStyle name="Normal 4 4 5 4" xfId="1699" xr:uid="{00000000-0005-0000-0000-0000E5150000}"/>
    <cellStyle name="Normal 4 4 5 4 2" xfId="3929" xr:uid="{00000000-0005-0000-0000-0000E6150000}"/>
    <cellStyle name="Normal 4 4 5 4 2 2" xfId="8152" xr:uid="{00000000-0005-0000-0000-0000E7150000}"/>
    <cellStyle name="Normal 4 4 5 4 2 2 2" xfId="16594" xr:uid="{D80972AF-E323-42E3-9931-FD92C18205A4}"/>
    <cellStyle name="Normal 4 4 5 4 2 3" xfId="12376" xr:uid="{DC5C4156-CBD8-4B69-96B7-5BA02DAB5D1E}"/>
    <cellStyle name="Normal 4 4 5 4 3" xfId="6007" xr:uid="{00000000-0005-0000-0000-0000E8150000}"/>
    <cellStyle name="Normal 4 4 5 4 3 2" xfId="14449" xr:uid="{1726C388-D404-4F76-9538-331AC3384E10}"/>
    <cellStyle name="Normal 4 4 5 4 4" xfId="10231" xr:uid="{53AE910E-503D-420E-AF15-CF5520A99F02}"/>
    <cellStyle name="Normal 4 4 5 5" xfId="2113" xr:uid="{00000000-0005-0000-0000-0000E9150000}"/>
    <cellStyle name="Normal 4 4 5 5 2" xfId="4342" xr:uid="{00000000-0005-0000-0000-0000EA150000}"/>
    <cellStyle name="Normal 4 4 5 5 2 2" xfId="8565" xr:uid="{00000000-0005-0000-0000-0000EB150000}"/>
    <cellStyle name="Normal 4 4 5 5 2 2 2" xfId="17007" xr:uid="{32A7CC00-39BD-4583-BF10-0255BD9D9B96}"/>
    <cellStyle name="Normal 4 4 5 5 2 3" xfId="12789" xr:uid="{C9693393-DF72-4182-B326-D82799EB2F5B}"/>
    <cellStyle name="Normal 4 4 5 5 3" xfId="6420" xr:uid="{00000000-0005-0000-0000-0000EC150000}"/>
    <cellStyle name="Normal 4 4 5 5 3 2" xfId="14862" xr:uid="{4B717D84-94B0-4F15-8B98-BE5B958BBF81}"/>
    <cellStyle name="Normal 4 4 5 5 4" xfId="10644" xr:uid="{1D6C1EAC-5FFB-4347-BCF1-3E88BEEF4F6D}"/>
    <cellStyle name="Normal 4 4 5 6" xfId="2549" xr:uid="{00000000-0005-0000-0000-0000ED150000}"/>
    <cellStyle name="Normal 4 4 5 6 2" xfId="6833" xr:uid="{00000000-0005-0000-0000-0000EE150000}"/>
    <cellStyle name="Normal 4 4 5 6 2 2" xfId="15275" xr:uid="{28DF6DB4-3A0D-4616-9F0D-F8017A5EF5FA}"/>
    <cellStyle name="Normal 4 4 5 6 3" xfId="11057" xr:uid="{E35023F1-4A8E-400D-B101-9AED22439172}"/>
    <cellStyle name="Normal 4 4 5 7" xfId="4768" xr:uid="{00000000-0005-0000-0000-0000EF150000}"/>
    <cellStyle name="Normal 4 4 5 7 2" xfId="13210" xr:uid="{8179CBBB-2840-43FD-8E66-00D3761B4AC7}"/>
    <cellStyle name="Normal 4 4 5 8" xfId="8992" xr:uid="{95498172-5122-431D-953A-877EA8A84BCB}"/>
    <cellStyle name="Normal 4 4 6" xfId="853" xr:uid="{00000000-0005-0000-0000-0000F0150000}"/>
    <cellStyle name="Normal 4 4 6 2" xfId="3088" xr:uid="{00000000-0005-0000-0000-0000F1150000}"/>
    <cellStyle name="Normal 4 4 6 2 2" xfId="7311" xr:uid="{00000000-0005-0000-0000-0000F2150000}"/>
    <cellStyle name="Normal 4 4 6 2 2 2" xfId="15753" xr:uid="{D244FD32-C163-4C5C-82B9-72E269204B87}"/>
    <cellStyle name="Normal 4 4 6 2 3" xfId="11535" xr:uid="{25F678CF-9728-415A-AD50-C2E8E995C649}"/>
    <cellStyle name="Normal 4 4 6 3" xfId="5166" xr:uid="{00000000-0005-0000-0000-0000F3150000}"/>
    <cellStyle name="Normal 4 4 6 3 2" xfId="13608" xr:uid="{C65DF3D7-0077-4D77-BA0B-C73E094FCE7D}"/>
    <cellStyle name="Normal 4 4 6 4" xfId="9390" xr:uid="{EEE9CD2A-A286-41E5-B27C-BE603BB65185}"/>
    <cellStyle name="Normal 4 4 7" xfId="1271" xr:uid="{00000000-0005-0000-0000-0000F4150000}"/>
    <cellStyle name="Normal 4 4 7 2" xfId="3501" xr:uid="{00000000-0005-0000-0000-0000F5150000}"/>
    <cellStyle name="Normal 4 4 7 2 2" xfId="7724" xr:uid="{00000000-0005-0000-0000-0000F6150000}"/>
    <cellStyle name="Normal 4 4 7 2 2 2" xfId="16166" xr:uid="{2D739684-AC58-4D86-931F-FDF1DE0C860E}"/>
    <cellStyle name="Normal 4 4 7 2 3" xfId="11948" xr:uid="{9A636895-216C-4C87-B970-C3FE7EA0BB62}"/>
    <cellStyle name="Normal 4 4 7 3" xfId="5579" xr:uid="{00000000-0005-0000-0000-0000F7150000}"/>
    <cellStyle name="Normal 4 4 7 3 2" xfId="14021" xr:uid="{F1E4C8DE-5836-47DF-A812-C22C2BFAB870}"/>
    <cellStyle name="Normal 4 4 7 4" xfId="9803" xr:uid="{BC54BD09-3CD2-4276-BDA1-9FD16965EC2E}"/>
    <cellStyle name="Normal 4 4 8" xfId="1684" xr:uid="{00000000-0005-0000-0000-0000F8150000}"/>
    <cellStyle name="Normal 4 4 8 2" xfId="3914" xr:uid="{00000000-0005-0000-0000-0000F9150000}"/>
    <cellStyle name="Normal 4 4 8 2 2" xfId="8137" xr:uid="{00000000-0005-0000-0000-0000FA150000}"/>
    <cellStyle name="Normal 4 4 8 2 2 2" xfId="16579" xr:uid="{B97E2E1E-51B4-4924-B2EF-37C42D2FAFC4}"/>
    <cellStyle name="Normal 4 4 8 2 3" xfId="12361" xr:uid="{A95D45C4-F75D-42F1-B68A-0CF4F75CFEA0}"/>
    <cellStyle name="Normal 4 4 8 3" xfId="5992" xr:uid="{00000000-0005-0000-0000-0000FB150000}"/>
    <cellStyle name="Normal 4 4 8 3 2" xfId="14434" xr:uid="{7E4A6EA0-8454-472E-BCE6-030D67103D2D}"/>
    <cellStyle name="Normal 4 4 8 4" xfId="10216" xr:uid="{40A5330B-D37E-4733-8324-58B35F2F1AC0}"/>
    <cellStyle name="Normal 4 4 9" xfId="2098" xr:uid="{00000000-0005-0000-0000-0000FC150000}"/>
    <cellStyle name="Normal 4 4 9 2" xfId="4327" xr:uid="{00000000-0005-0000-0000-0000FD150000}"/>
    <cellStyle name="Normal 4 4 9 2 2" xfId="8550" xr:uid="{00000000-0005-0000-0000-0000FE150000}"/>
    <cellStyle name="Normal 4 4 9 2 2 2" xfId="16992" xr:uid="{3CCD5640-0468-43F8-83C8-E7D9575E6418}"/>
    <cellStyle name="Normal 4 4 9 2 3" xfId="12774" xr:uid="{8B31D28C-072C-492A-8757-7D60E2875574}"/>
    <cellStyle name="Normal 4 4 9 3" xfId="6405" xr:uid="{00000000-0005-0000-0000-0000FF150000}"/>
    <cellStyle name="Normal 4 4 9 3 2" xfId="14847" xr:uid="{302C951D-73C0-4257-8B3F-586568EB7C40}"/>
    <cellStyle name="Normal 4 4 9 4" xfId="10629" xr:uid="{EA5C7DD1-7E73-4F77-999A-CDAFADC6E1AA}"/>
    <cellStyle name="Normal 4 5" xfId="394" xr:uid="{00000000-0005-0000-0000-000000160000}"/>
    <cellStyle name="Normal 4 6" xfId="395" xr:uid="{00000000-0005-0000-0000-000001160000}"/>
    <cellStyle name="Normal 4 6 10" xfId="4769" xr:uid="{00000000-0005-0000-0000-000002160000}"/>
    <cellStyle name="Normal 4 6 10 2" xfId="13211" xr:uid="{F4830F2E-71AC-4DFF-A269-4CE48AAA8618}"/>
    <cellStyle name="Normal 4 6 11" xfId="8993" xr:uid="{C422C5D7-AD9C-4015-9D06-A332F8C97477}"/>
    <cellStyle name="Normal 4 6 2" xfId="396" xr:uid="{00000000-0005-0000-0000-000003160000}"/>
    <cellStyle name="Normal 4 6 2 10" xfId="8994" xr:uid="{A5F3E2FF-E8E5-4495-A57D-3C4FEDB1BAFA}"/>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2 2 2" xfId="15772" xr:uid="{64948DFC-835E-4CCC-88E8-011D10457726}"/>
    <cellStyle name="Normal 4 6 2 2 2 2 2 3" xfId="11554" xr:uid="{2A9DE002-8E5C-4F2C-9280-55680BE4E66E}"/>
    <cellStyle name="Normal 4 6 2 2 2 2 3" xfId="5185" xr:uid="{00000000-0005-0000-0000-000009160000}"/>
    <cellStyle name="Normal 4 6 2 2 2 2 3 2" xfId="13627" xr:uid="{D75E0903-D6D7-49B4-A9A5-53552F763953}"/>
    <cellStyle name="Normal 4 6 2 2 2 2 4" xfId="9409" xr:uid="{65ED4E1F-46C3-4DE4-BBEB-1CCEE03DE337}"/>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2 2 2" xfId="16185" xr:uid="{E7B4EE9E-94D9-4D5C-BB98-DE7EFF3D1DBD}"/>
    <cellStyle name="Normal 4 6 2 2 2 3 2 3" xfId="11967" xr:uid="{5E2F4C0F-58DB-4FDB-BF5A-970A73EA3320}"/>
    <cellStyle name="Normal 4 6 2 2 2 3 3" xfId="5598" xr:uid="{00000000-0005-0000-0000-00000D160000}"/>
    <cellStyle name="Normal 4 6 2 2 2 3 3 2" xfId="14040" xr:uid="{AC0AF5ED-0E79-464A-B081-967FED12BE08}"/>
    <cellStyle name="Normal 4 6 2 2 2 3 4" xfId="9822" xr:uid="{72D920E3-B27A-449C-937D-D36873B90C6B}"/>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2 2 2" xfId="16598" xr:uid="{C3D3B643-6C63-4551-BDDB-98FC22D6767F}"/>
    <cellStyle name="Normal 4 6 2 2 2 4 2 3" xfId="12380" xr:uid="{3D3C15D1-E306-46EA-8A09-340116148A6B}"/>
    <cellStyle name="Normal 4 6 2 2 2 4 3" xfId="6011" xr:uid="{00000000-0005-0000-0000-000011160000}"/>
    <cellStyle name="Normal 4 6 2 2 2 4 3 2" xfId="14453" xr:uid="{043570AC-44BB-4B91-B9FB-ECB9A3D5E50C}"/>
    <cellStyle name="Normal 4 6 2 2 2 4 4" xfId="10235" xr:uid="{93EF9516-BFA9-4B94-BF41-CA9E14147018}"/>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2 2 2" xfId="17011" xr:uid="{EDE2BA2C-FAD7-426B-B9FF-E63C7975C25D}"/>
    <cellStyle name="Normal 4 6 2 2 2 5 2 3" xfId="12793" xr:uid="{8CE6B81A-54CC-4816-AC3B-94282B638CA1}"/>
    <cellStyle name="Normal 4 6 2 2 2 5 3" xfId="6424" xr:uid="{00000000-0005-0000-0000-000015160000}"/>
    <cellStyle name="Normal 4 6 2 2 2 5 3 2" xfId="14866" xr:uid="{A33E02AA-B7A7-4290-980D-80F8D372A93D}"/>
    <cellStyle name="Normal 4 6 2 2 2 5 4" xfId="10648" xr:uid="{9045031F-C020-4B41-97C5-69624C770C6F}"/>
    <cellStyle name="Normal 4 6 2 2 2 6" xfId="2553" xr:uid="{00000000-0005-0000-0000-000016160000}"/>
    <cellStyle name="Normal 4 6 2 2 2 6 2" xfId="6837" xr:uid="{00000000-0005-0000-0000-000017160000}"/>
    <cellStyle name="Normal 4 6 2 2 2 6 2 2" xfId="15279" xr:uid="{8BC3D71F-82C5-4C06-A6FC-E900EA79B05C}"/>
    <cellStyle name="Normal 4 6 2 2 2 6 3" xfId="11061" xr:uid="{454BE2DD-4DB3-44D8-ADA7-1B7B36280E66}"/>
    <cellStyle name="Normal 4 6 2 2 2 7" xfId="4772" xr:uid="{00000000-0005-0000-0000-000018160000}"/>
    <cellStyle name="Normal 4 6 2 2 2 7 2" xfId="13214" xr:uid="{6686C5D8-1B04-4B88-96E8-D99E20523A7A}"/>
    <cellStyle name="Normal 4 6 2 2 2 8" xfId="8996" xr:uid="{5EE748C9-46A4-43F2-A8C0-FF12063FA57D}"/>
    <cellStyle name="Normal 4 6 2 2 3" xfId="871" xr:uid="{00000000-0005-0000-0000-000019160000}"/>
    <cellStyle name="Normal 4 6 2 2 3 2" xfId="3106" xr:uid="{00000000-0005-0000-0000-00001A160000}"/>
    <cellStyle name="Normal 4 6 2 2 3 2 2" xfId="7329" xr:uid="{00000000-0005-0000-0000-00001B160000}"/>
    <cellStyle name="Normal 4 6 2 2 3 2 2 2" xfId="15771" xr:uid="{31D434E9-2AF4-4EE5-B4EB-C336D555D2DB}"/>
    <cellStyle name="Normal 4 6 2 2 3 2 3" xfId="11553" xr:uid="{971BBAE8-D701-4CE6-A755-FBA54A18D7EE}"/>
    <cellStyle name="Normal 4 6 2 2 3 3" xfId="5184" xr:uid="{00000000-0005-0000-0000-00001C160000}"/>
    <cellStyle name="Normal 4 6 2 2 3 3 2" xfId="13626" xr:uid="{58F95827-5C18-442A-A111-920BFACB4920}"/>
    <cellStyle name="Normal 4 6 2 2 3 4" xfId="9408" xr:uid="{4A0D3EC2-A401-4F29-9985-5B8B9F442B27}"/>
    <cellStyle name="Normal 4 6 2 2 4" xfId="1289" xr:uid="{00000000-0005-0000-0000-00001D160000}"/>
    <cellStyle name="Normal 4 6 2 2 4 2" xfId="3519" xr:uid="{00000000-0005-0000-0000-00001E160000}"/>
    <cellStyle name="Normal 4 6 2 2 4 2 2" xfId="7742" xr:uid="{00000000-0005-0000-0000-00001F160000}"/>
    <cellStyle name="Normal 4 6 2 2 4 2 2 2" xfId="16184" xr:uid="{F47054CC-845F-46B4-9C67-BB2DF549718B}"/>
    <cellStyle name="Normal 4 6 2 2 4 2 3" xfId="11966" xr:uid="{1C6A84AA-1787-4F65-B91C-7E139D2928A0}"/>
    <cellStyle name="Normal 4 6 2 2 4 3" xfId="5597" xr:uid="{00000000-0005-0000-0000-000020160000}"/>
    <cellStyle name="Normal 4 6 2 2 4 3 2" xfId="14039" xr:uid="{80E6D04A-3406-455A-900F-EE471B353740}"/>
    <cellStyle name="Normal 4 6 2 2 4 4" xfId="9821" xr:uid="{F6DDA3BB-8E1E-43FB-8B16-9F0C6DDEF3AA}"/>
    <cellStyle name="Normal 4 6 2 2 5" xfId="1702" xr:uid="{00000000-0005-0000-0000-000021160000}"/>
    <cellStyle name="Normal 4 6 2 2 5 2" xfId="3932" xr:uid="{00000000-0005-0000-0000-000022160000}"/>
    <cellStyle name="Normal 4 6 2 2 5 2 2" xfId="8155" xr:uid="{00000000-0005-0000-0000-000023160000}"/>
    <cellStyle name="Normal 4 6 2 2 5 2 2 2" xfId="16597" xr:uid="{42A44DE5-ED5F-499E-96AD-BF0224CF6CD7}"/>
    <cellStyle name="Normal 4 6 2 2 5 2 3" xfId="12379" xr:uid="{3F27FA24-AA56-4ACC-8906-AD6A16DE73C0}"/>
    <cellStyle name="Normal 4 6 2 2 5 3" xfId="6010" xr:uid="{00000000-0005-0000-0000-000024160000}"/>
    <cellStyle name="Normal 4 6 2 2 5 3 2" xfId="14452" xr:uid="{F2073A7F-8739-4F69-999E-5F5BAA23761C}"/>
    <cellStyle name="Normal 4 6 2 2 5 4" xfId="10234" xr:uid="{B59D0F99-68F2-4A32-94E3-A8DB3EA14A0C}"/>
    <cellStyle name="Normal 4 6 2 2 6" xfId="2116" xr:uid="{00000000-0005-0000-0000-000025160000}"/>
    <cellStyle name="Normal 4 6 2 2 6 2" xfId="4345" xr:uid="{00000000-0005-0000-0000-000026160000}"/>
    <cellStyle name="Normal 4 6 2 2 6 2 2" xfId="8568" xr:uid="{00000000-0005-0000-0000-000027160000}"/>
    <cellStyle name="Normal 4 6 2 2 6 2 2 2" xfId="17010" xr:uid="{C654B8B4-D303-4C6A-BF0E-BBC0524095A9}"/>
    <cellStyle name="Normal 4 6 2 2 6 2 3" xfId="12792" xr:uid="{2F5B50E0-B71F-4D52-A7B1-CA637C697C49}"/>
    <cellStyle name="Normal 4 6 2 2 6 3" xfId="6423" xr:uid="{00000000-0005-0000-0000-000028160000}"/>
    <cellStyle name="Normal 4 6 2 2 6 3 2" xfId="14865" xr:uid="{87875D4A-C278-4879-AE91-30D167B46CFD}"/>
    <cellStyle name="Normal 4 6 2 2 6 4" xfId="10647" xr:uid="{6C56C455-9903-440B-AD9C-AB819E7F01EA}"/>
    <cellStyle name="Normal 4 6 2 2 7" xfId="2552" xr:uid="{00000000-0005-0000-0000-000029160000}"/>
    <cellStyle name="Normal 4 6 2 2 7 2" xfId="6836" xr:uid="{00000000-0005-0000-0000-00002A160000}"/>
    <cellStyle name="Normal 4 6 2 2 7 2 2" xfId="15278" xr:uid="{7A29255A-8B28-4DB2-A2DF-285D70B78DFB}"/>
    <cellStyle name="Normal 4 6 2 2 7 3" xfId="11060" xr:uid="{9DDF0F82-B5BA-492B-9ECD-181E91CBA682}"/>
    <cellStyle name="Normal 4 6 2 2 8" xfId="4771" xr:uid="{00000000-0005-0000-0000-00002B160000}"/>
    <cellStyle name="Normal 4 6 2 2 8 2" xfId="13213" xr:uid="{51509C9B-CB9B-4A70-A723-42927F3CE4C9}"/>
    <cellStyle name="Normal 4 6 2 2 9" xfId="8995" xr:uid="{19DBDE10-5182-467C-87F2-CAC2DE3FAF89}"/>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2 2 2" xfId="15773" xr:uid="{B4115A50-D722-49CC-BABC-E692696B3269}"/>
    <cellStyle name="Normal 4 6 2 3 2 2 3" xfId="11555" xr:uid="{A63F80B0-612A-46FD-AC76-DB6A512F8983}"/>
    <cellStyle name="Normal 4 6 2 3 2 3" xfId="5186" xr:uid="{00000000-0005-0000-0000-000030160000}"/>
    <cellStyle name="Normal 4 6 2 3 2 3 2" xfId="13628" xr:uid="{F3166D8D-F680-4E3A-9CAE-63CF95F6F743}"/>
    <cellStyle name="Normal 4 6 2 3 2 4" xfId="9410" xr:uid="{ECD11FEA-E664-4BB6-89F5-0512433C48BE}"/>
    <cellStyle name="Normal 4 6 2 3 3" xfId="1291" xr:uid="{00000000-0005-0000-0000-000031160000}"/>
    <cellStyle name="Normal 4 6 2 3 3 2" xfId="3521" xr:uid="{00000000-0005-0000-0000-000032160000}"/>
    <cellStyle name="Normal 4 6 2 3 3 2 2" xfId="7744" xr:uid="{00000000-0005-0000-0000-000033160000}"/>
    <cellStyle name="Normal 4 6 2 3 3 2 2 2" xfId="16186" xr:uid="{83A39006-D89C-44D2-9F26-AD574339C0DB}"/>
    <cellStyle name="Normal 4 6 2 3 3 2 3" xfId="11968" xr:uid="{81FBDE89-B7BA-4359-A1B0-7BEB11A8ECED}"/>
    <cellStyle name="Normal 4 6 2 3 3 3" xfId="5599" xr:uid="{00000000-0005-0000-0000-000034160000}"/>
    <cellStyle name="Normal 4 6 2 3 3 3 2" xfId="14041" xr:uid="{A9D88FBE-CA31-4720-8A6F-D0FD5142CCEF}"/>
    <cellStyle name="Normal 4 6 2 3 3 4" xfId="9823" xr:uid="{391A6B28-0053-4A4F-A698-3BA989C34C0E}"/>
    <cellStyle name="Normal 4 6 2 3 4" xfId="1704" xr:uid="{00000000-0005-0000-0000-000035160000}"/>
    <cellStyle name="Normal 4 6 2 3 4 2" xfId="3934" xr:uid="{00000000-0005-0000-0000-000036160000}"/>
    <cellStyle name="Normal 4 6 2 3 4 2 2" xfId="8157" xr:uid="{00000000-0005-0000-0000-000037160000}"/>
    <cellStyle name="Normal 4 6 2 3 4 2 2 2" xfId="16599" xr:uid="{59601F29-6E29-4537-9D97-6AAA50844896}"/>
    <cellStyle name="Normal 4 6 2 3 4 2 3" xfId="12381" xr:uid="{2CB3AB8E-8324-43F9-B15C-B524FA776D0A}"/>
    <cellStyle name="Normal 4 6 2 3 4 3" xfId="6012" xr:uid="{00000000-0005-0000-0000-000038160000}"/>
    <cellStyle name="Normal 4 6 2 3 4 3 2" xfId="14454" xr:uid="{4189B07C-D9B5-436B-8588-DB9FD06A2244}"/>
    <cellStyle name="Normal 4 6 2 3 4 4" xfId="10236" xr:uid="{D13DC67D-D3CF-4239-B16A-53DE78047C56}"/>
    <cellStyle name="Normal 4 6 2 3 5" xfId="2118" xr:uid="{00000000-0005-0000-0000-000039160000}"/>
    <cellStyle name="Normal 4 6 2 3 5 2" xfId="4347" xr:uid="{00000000-0005-0000-0000-00003A160000}"/>
    <cellStyle name="Normal 4 6 2 3 5 2 2" xfId="8570" xr:uid="{00000000-0005-0000-0000-00003B160000}"/>
    <cellStyle name="Normal 4 6 2 3 5 2 2 2" xfId="17012" xr:uid="{42D52AFE-107F-4FC8-BB80-8D9FDE1B1853}"/>
    <cellStyle name="Normal 4 6 2 3 5 2 3" xfId="12794" xr:uid="{7C10BC44-21E8-4547-9C74-48A84B09B510}"/>
    <cellStyle name="Normal 4 6 2 3 5 3" xfId="6425" xr:uid="{00000000-0005-0000-0000-00003C160000}"/>
    <cellStyle name="Normal 4 6 2 3 5 3 2" xfId="14867" xr:uid="{4BB8EE3C-B3EC-49BF-AF54-E3499CF3D6AF}"/>
    <cellStyle name="Normal 4 6 2 3 5 4" xfId="10649" xr:uid="{F494EB91-35FC-458A-B179-C6E14C6A19CA}"/>
    <cellStyle name="Normal 4 6 2 3 6" xfId="2554" xr:uid="{00000000-0005-0000-0000-00003D160000}"/>
    <cellStyle name="Normal 4 6 2 3 6 2" xfId="6838" xr:uid="{00000000-0005-0000-0000-00003E160000}"/>
    <cellStyle name="Normal 4 6 2 3 6 2 2" xfId="15280" xr:uid="{57EB5AAD-C819-4712-9914-AEEFDB67ED6C}"/>
    <cellStyle name="Normal 4 6 2 3 6 3" xfId="11062" xr:uid="{8B294816-ED49-49A6-B9FC-B2563E1EFF57}"/>
    <cellStyle name="Normal 4 6 2 3 7" xfId="4773" xr:uid="{00000000-0005-0000-0000-00003F160000}"/>
    <cellStyle name="Normal 4 6 2 3 7 2" xfId="13215" xr:uid="{BA2DE417-FF19-4E35-BEED-B2D81CCD3783}"/>
    <cellStyle name="Normal 4 6 2 3 8" xfId="8997" xr:uid="{1468DB96-AD00-41C5-8254-16A09121EF91}"/>
    <cellStyle name="Normal 4 6 2 4" xfId="870" xr:uid="{00000000-0005-0000-0000-000040160000}"/>
    <cellStyle name="Normal 4 6 2 4 2" xfId="3105" xr:uid="{00000000-0005-0000-0000-000041160000}"/>
    <cellStyle name="Normal 4 6 2 4 2 2" xfId="7328" xr:uid="{00000000-0005-0000-0000-000042160000}"/>
    <cellStyle name="Normal 4 6 2 4 2 2 2" xfId="15770" xr:uid="{6A421381-ED50-4644-A2C4-DB8538E089C8}"/>
    <cellStyle name="Normal 4 6 2 4 2 3" xfId="11552" xr:uid="{BE7918B9-921E-480A-86D1-FA5D6BFD06A4}"/>
    <cellStyle name="Normal 4 6 2 4 3" xfId="5183" xr:uid="{00000000-0005-0000-0000-000043160000}"/>
    <cellStyle name="Normal 4 6 2 4 3 2" xfId="13625" xr:uid="{0681CCD8-1A85-4CD0-98C2-1C1CEAE3DF99}"/>
    <cellStyle name="Normal 4 6 2 4 4" xfId="9407" xr:uid="{F5067FBE-E33E-4751-A9C8-20659F53ED54}"/>
    <cellStyle name="Normal 4 6 2 5" xfId="1288" xr:uid="{00000000-0005-0000-0000-000044160000}"/>
    <cellStyle name="Normal 4 6 2 5 2" xfId="3518" xr:uid="{00000000-0005-0000-0000-000045160000}"/>
    <cellStyle name="Normal 4 6 2 5 2 2" xfId="7741" xr:uid="{00000000-0005-0000-0000-000046160000}"/>
    <cellStyle name="Normal 4 6 2 5 2 2 2" xfId="16183" xr:uid="{1DF30274-1220-4C19-A066-4794C46C1FD2}"/>
    <cellStyle name="Normal 4 6 2 5 2 3" xfId="11965" xr:uid="{77874026-2868-4AB4-90A2-755852834FD1}"/>
    <cellStyle name="Normal 4 6 2 5 3" xfId="5596" xr:uid="{00000000-0005-0000-0000-000047160000}"/>
    <cellStyle name="Normal 4 6 2 5 3 2" xfId="14038" xr:uid="{4669BC64-4045-47AE-8CD4-504035DB87D6}"/>
    <cellStyle name="Normal 4 6 2 5 4" xfId="9820" xr:uid="{83F0E18E-74F8-4B16-B6A3-F51ADF7126E3}"/>
    <cellStyle name="Normal 4 6 2 6" xfId="1701" xr:uid="{00000000-0005-0000-0000-000048160000}"/>
    <cellStyle name="Normal 4 6 2 6 2" xfId="3931" xr:uid="{00000000-0005-0000-0000-000049160000}"/>
    <cellStyle name="Normal 4 6 2 6 2 2" xfId="8154" xr:uid="{00000000-0005-0000-0000-00004A160000}"/>
    <cellStyle name="Normal 4 6 2 6 2 2 2" xfId="16596" xr:uid="{086E5A5F-1878-4BB8-B8E7-C8E0327B950B}"/>
    <cellStyle name="Normal 4 6 2 6 2 3" xfId="12378" xr:uid="{DD5EC67B-6D79-4FDC-96D1-E3A1F9A2CD1B}"/>
    <cellStyle name="Normal 4 6 2 6 3" xfId="6009" xr:uid="{00000000-0005-0000-0000-00004B160000}"/>
    <cellStyle name="Normal 4 6 2 6 3 2" xfId="14451" xr:uid="{C2E7B317-B0DE-4804-B6D5-0CF74A6AD9D8}"/>
    <cellStyle name="Normal 4 6 2 6 4" xfId="10233" xr:uid="{CB9E9C8C-0C76-4629-ABC7-FA9995C50B71}"/>
    <cellStyle name="Normal 4 6 2 7" xfId="2115" xr:uid="{00000000-0005-0000-0000-00004C160000}"/>
    <cellStyle name="Normal 4 6 2 7 2" xfId="4344" xr:uid="{00000000-0005-0000-0000-00004D160000}"/>
    <cellStyle name="Normal 4 6 2 7 2 2" xfId="8567" xr:uid="{00000000-0005-0000-0000-00004E160000}"/>
    <cellStyle name="Normal 4 6 2 7 2 2 2" xfId="17009" xr:uid="{F0DE22B0-25CC-429D-93AF-55B57AD07364}"/>
    <cellStyle name="Normal 4 6 2 7 2 3" xfId="12791" xr:uid="{8703916B-BF56-4587-9F49-963009B7FCE6}"/>
    <cellStyle name="Normal 4 6 2 7 3" xfId="6422" xr:uid="{00000000-0005-0000-0000-00004F160000}"/>
    <cellStyle name="Normal 4 6 2 7 3 2" xfId="14864" xr:uid="{FEB118D2-E644-4C90-9960-8DC0315AF070}"/>
    <cellStyle name="Normal 4 6 2 7 4" xfId="10646" xr:uid="{95C18342-D817-466B-B379-AE2AFCA1087F}"/>
    <cellStyle name="Normal 4 6 2 8" xfId="2551" xr:uid="{00000000-0005-0000-0000-000050160000}"/>
    <cellStyle name="Normal 4 6 2 8 2" xfId="6835" xr:uid="{00000000-0005-0000-0000-000051160000}"/>
    <cellStyle name="Normal 4 6 2 8 2 2" xfId="15277" xr:uid="{FF3139A9-5DA1-4A73-899D-0FEC84E78E80}"/>
    <cellStyle name="Normal 4 6 2 8 3" xfId="11059" xr:uid="{BBFB8A3E-C3BA-48A6-AE46-97964045E741}"/>
    <cellStyle name="Normal 4 6 2 9" xfId="4770" xr:uid="{00000000-0005-0000-0000-000052160000}"/>
    <cellStyle name="Normal 4 6 2 9 2" xfId="13212" xr:uid="{313638D0-A51C-4EBA-A0F1-BFC4D4194AD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2 2 2" xfId="15775" xr:uid="{C7A1F32F-2818-4937-B84D-294748B46144}"/>
    <cellStyle name="Normal 4 6 3 2 2 2 3" xfId="11557" xr:uid="{3C05B3F1-7A09-429C-B686-6967446059C4}"/>
    <cellStyle name="Normal 4 6 3 2 2 3" xfId="5188" xr:uid="{00000000-0005-0000-0000-000058160000}"/>
    <cellStyle name="Normal 4 6 3 2 2 3 2" xfId="13630" xr:uid="{896FE9CC-A112-4BF8-ACAB-34E97E71D1BB}"/>
    <cellStyle name="Normal 4 6 3 2 2 4" xfId="9412" xr:uid="{88D996E1-9C06-4E8B-8AA6-2CB6861DF682}"/>
    <cellStyle name="Normal 4 6 3 2 3" xfId="1293" xr:uid="{00000000-0005-0000-0000-000059160000}"/>
    <cellStyle name="Normal 4 6 3 2 3 2" xfId="3523" xr:uid="{00000000-0005-0000-0000-00005A160000}"/>
    <cellStyle name="Normal 4 6 3 2 3 2 2" xfId="7746" xr:uid="{00000000-0005-0000-0000-00005B160000}"/>
    <cellStyle name="Normal 4 6 3 2 3 2 2 2" xfId="16188" xr:uid="{56CFF332-8639-4144-9580-3A1C1C1DDA7E}"/>
    <cellStyle name="Normal 4 6 3 2 3 2 3" xfId="11970" xr:uid="{DD3DDE04-9B85-4659-8E7A-F8537FC16637}"/>
    <cellStyle name="Normal 4 6 3 2 3 3" xfId="5601" xr:uid="{00000000-0005-0000-0000-00005C160000}"/>
    <cellStyle name="Normal 4 6 3 2 3 3 2" xfId="14043" xr:uid="{41B35FDF-EE06-4C66-BE38-F9880AA03E0C}"/>
    <cellStyle name="Normal 4 6 3 2 3 4" xfId="9825" xr:uid="{5FFC95C3-EDBC-4C30-A07B-43EF32D1EB85}"/>
    <cellStyle name="Normal 4 6 3 2 4" xfId="1706" xr:uid="{00000000-0005-0000-0000-00005D160000}"/>
    <cellStyle name="Normal 4 6 3 2 4 2" xfId="3936" xr:uid="{00000000-0005-0000-0000-00005E160000}"/>
    <cellStyle name="Normal 4 6 3 2 4 2 2" xfId="8159" xr:uid="{00000000-0005-0000-0000-00005F160000}"/>
    <cellStyle name="Normal 4 6 3 2 4 2 2 2" xfId="16601" xr:uid="{27499368-76B2-4041-A975-6D861BEA5D85}"/>
    <cellStyle name="Normal 4 6 3 2 4 2 3" xfId="12383" xr:uid="{9B50BE43-461E-41CB-8D30-3710C15DC098}"/>
    <cellStyle name="Normal 4 6 3 2 4 3" xfId="6014" xr:uid="{00000000-0005-0000-0000-000060160000}"/>
    <cellStyle name="Normal 4 6 3 2 4 3 2" xfId="14456" xr:uid="{77CA1312-0A03-4E7D-ABE4-7067E81BF5B0}"/>
    <cellStyle name="Normal 4 6 3 2 4 4" xfId="10238" xr:uid="{BD7D171F-372A-4F07-84D8-00C8CCAC2579}"/>
    <cellStyle name="Normal 4 6 3 2 5" xfId="2120" xr:uid="{00000000-0005-0000-0000-000061160000}"/>
    <cellStyle name="Normal 4 6 3 2 5 2" xfId="4349" xr:uid="{00000000-0005-0000-0000-000062160000}"/>
    <cellStyle name="Normal 4 6 3 2 5 2 2" xfId="8572" xr:uid="{00000000-0005-0000-0000-000063160000}"/>
    <cellStyle name="Normal 4 6 3 2 5 2 2 2" xfId="17014" xr:uid="{72288C24-7483-4EED-B615-0C9BD4D1B14F}"/>
    <cellStyle name="Normal 4 6 3 2 5 2 3" xfId="12796" xr:uid="{276330D6-5A3C-414A-8D48-42AC9D4CAAF9}"/>
    <cellStyle name="Normal 4 6 3 2 5 3" xfId="6427" xr:uid="{00000000-0005-0000-0000-000064160000}"/>
    <cellStyle name="Normal 4 6 3 2 5 3 2" xfId="14869" xr:uid="{ABB1D858-2F6A-4BAD-9DDF-C9F8678166F5}"/>
    <cellStyle name="Normal 4 6 3 2 5 4" xfId="10651" xr:uid="{BF9A6927-52CC-4DCD-932D-A2D286C4DB2D}"/>
    <cellStyle name="Normal 4 6 3 2 6" xfId="2556" xr:uid="{00000000-0005-0000-0000-000065160000}"/>
    <cellStyle name="Normal 4 6 3 2 6 2" xfId="6840" xr:uid="{00000000-0005-0000-0000-000066160000}"/>
    <cellStyle name="Normal 4 6 3 2 6 2 2" xfId="15282" xr:uid="{04708219-750B-4AD6-A294-A3A79EDBD1D5}"/>
    <cellStyle name="Normal 4 6 3 2 6 3" xfId="11064" xr:uid="{81234D9A-C1F5-40BD-9E2A-5D40CDE87FD0}"/>
    <cellStyle name="Normal 4 6 3 2 7" xfId="4775" xr:uid="{00000000-0005-0000-0000-000067160000}"/>
    <cellStyle name="Normal 4 6 3 2 7 2" xfId="13217" xr:uid="{2E2B3632-5064-4DA4-BE18-D566AD91C069}"/>
    <cellStyle name="Normal 4 6 3 2 8" xfId="8999" xr:uid="{BF6180E1-178A-4633-8B86-CB3CA34F2B7B}"/>
    <cellStyle name="Normal 4 6 3 3" xfId="874" xr:uid="{00000000-0005-0000-0000-000068160000}"/>
    <cellStyle name="Normal 4 6 3 3 2" xfId="3109" xr:uid="{00000000-0005-0000-0000-000069160000}"/>
    <cellStyle name="Normal 4 6 3 3 2 2" xfId="7332" xr:uid="{00000000-0005-0000-0000-00006A160000}"/>
    <cellStyle name="Normal 4 6 3 3 2 2 2" xfId="15774" xr:uid="{9C5B0832-B384-4287-A11F-33AFE7DD9731}"/>
    <cellStyle name="Normal 4 6 3 3 2 3" xfId="11556" xr:uid="{8B09AD52-AF70-4EAF-B2F9-2A9EB2C491CA}"/>
    <cellStyle name="Normal 4 6 3 3 3" xfId="5187" xr:uid="{00000000-0005-0000-0000-00006B160000}"/>
    <cellStyle name="Normal 4 6 3 3 3 2" xfId="13629" xr:uid="{25F711F5-ABDB-4D23-9DB5-01B19CAAC8D2}"/>
    <cellStyle name="Normal 4 6 3 3 4" xfId="9411" xr:uid="{42076CBF-6808-4AA4-BAE5-9988FD98EC84}"/>
    <cellStyle name="Normal 4 6 3 4" xfId="1292" xr:uid="{00000000-0005-0000-0000-00006C160000}"/>
    <cellStyle name="Normal 4 6 3 4 2" xfId="3522" xr:uid="{00000000-0005-0000-0000-00006D160000}"/>
    <cellStyle name="Normal 4 6 3 4 2 2" xfId="7745" xr:uid="{00000000-0005-0000-0000-00006E160000}"/>
    <cellStyle name="Normal 4 6 3 4 2 2 2" xfId="16187" xr:uid="{30267C2D-BEAA-4B8A-B36E-ABF7BC6E6795}"/>
    <cellStyle name="Normal 4 6 3 4 2 3" xfId="11969" xr:uid="{732697C3-ABD2-49C1-8114-5DF0E94CE6F7}"/>
    <cellStyle name="Normal 4 6 3 4 3" xfId="5600" xr:uid="{00000000-0005-0000-0000-00006F160000}"/>
    <cellStyle name="Normal 4 6 3 4 3 2" xfId="14042" xr:uid="{F8513F16-70E6-4252-8EBE-674D91B9D772}"/>
    <cellStyle name="Normal 4 6 3 4 4" xfId="9824" xr:uid="{70CB9D03-A627-458C-A4E2-4DCD1DC3B2D5}"/>
    <cellStyle name="Normal 4 6 3 5" xfId="1705" xr:uid="{00000000-0005-0000-0000-000070160000}"/>
    <cellStyle name="Normal 4 6 3 5 2" xfId="3935" xr:uid="{00000000-0005-0000-0000-000071160000}"/>
    <cellStyle name="Normal 4 6 3 5 2 2" xfId="8158" xr:uid="{00000000-0005-0000-0000-000072160000}"/>
    <cellStyle name="Normal 4 6 3 5 2 2 2" xfId="16600" xr:uid="{8B32DCC6-41E2-45B3-A79F-1AEE97FD4F07}"/>
    <cellStyle name="Normal 4 6 3 5 2 3" xfId="12382" xr:uid="{69734C70-DE00-4C26-A2CC-886FABBC63CE}"/>
    <cellStyle name="Normal 4 6 3 5 3" xfId="6013" xr:uid="{00000000-0005-0000-0000-000073160000}"/>
    <cellStyle name="Normal 4 6 3 5 3 2" xfId="14455" xr:uid="{17DDE6C7-3B5D-4CBB-ABC9-C7E06658B804}"/>
    <cellStyle name="Normal 4 6 3 5 4" xfId="10237" xr:uid="{3D0F1406-034F-4850-94F6-DDC5984684EB}"/>
    <cellStyle name="Normal 4 6 3 6" xfId="2119" xr:uid="{00000000-0005-0000-0000-000074160000}"/>
    <cellStyle name="Normal 4 6 3 6 2" xfId="4348" xr:uid="{00000000-0005-0000-0000-000075160000}"/>
    <cellStyle name="Normal 4 6 3 6 2 2" xfId="8571" xr:uid="{00000000-0005-0000-0000-000076160000}"/>
    <cellStyle name="Normal 4 6 3 6 2 2 2" xfId="17013" xr:uid="{62E744BA-41F9-4402-97B8-ECF951DB3155}"/>
    <cellStyle name="Normal 4 6 3 6 2 3" xfId="12795" xr:uid="{2A30C3AC-80A2-4A13-BBD0-4925637A8ACE}"/>
    <cellStyle name="Normal 4 6 3 6 3" xfId="6426" xr:uid="{00000000-0005-0000-0000-000077160000}"/>
    <cellStyle name="Normal 4 6 3 6 3 2" xfId="14868" xr:uid="{1494042D-DBE6-4CEE-9CBB-25FE9A8A9264}"/>
    <cellStyle name="Normal 4 6 3 6 4" xfId="10650" xr:uid="{DA43E9D3-47C8-4510-96EA-B9A74D8EFEB8}"/>
    <cellStyle name="Normal 4 6 3 7" xfId="2555" xr:uid="{00000000-0005-0000-0000-000078160000}"/>
    <cellStyle name="Normal 4 6 3 7 2" xfId="6839" xr:uid="{00000000-0005-0000-0000-000079160000}"/>
    <cellStyle name="Normal 4 6 3 7 2 2" xfId="15281" xr:uid="{4CF6C638-EE5F-48D5-8276-132C307071A9}"/>
    <cellStyle name="Normal 4 6 3 7 3" xfId="11063" xr:uid="{465F6701-05B4-4123-B5DA-8CE40F749C13}"/>
    <cellStyle name="Normal 4 6 3 8" xfId="4774" xr:uid="{00000000-0005-0000-0000-00007A160000}"/>
    <cellStyle name="Normal 4 6 3 8 2" xfId="13216" xr:uid="{3E986951-42A9-4BF6-B081-640DF9507F3B}"/>
    <cellStyle name="Normal 4 6 3 9" xfId="8998" xr:uid="{7C475FCC-3B49-4545-B850-0ABFE537C8F3}"/>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2 2 2" xfId="15776" xr:uid="{87CEA8BA-31CD-4A45-A93A-A0E5E95897DD}"/>
    <cellStyle name="Normal 4 6 4 2 2 3" xfId="11558" xr:uid="{1D832272-F57E-443D-B60E-802D1B719C55}"/>
    <cellStyle name="Normal 4 6 4 2 3" xfId="5189" xr:uid="{00000000-0005-0000-0000-00007F160000}"/>
    <cellStyle name="Normal 4 6 4 2 3 2" xfId="13631" xr:uid="{20392554-B26D-4F6D-95B3-7321E1896B2B}"/>
    <cellStyle name="Normal 4 6 4 2 4" xfId="9413" xr:uid="{BC8D4447-9D03-4BED-ADA4-F4B5ED22BEF4}"/>
    <cellStyle name="Normal 4 6 4 3" xfId="1294" xr:uid="{00000000-0005-0000-0000-000080160000}"/>
    <cellStyle name="Normal 4 6 4 3 2" xfId="3524" xr:uid="{00000000-0005-0000-0000-000081160000}"/>
    <cellStyle name="Normal 4 6 4 3 2 2" xfId="7747" xr:uid="{00000000-0005-0000-0000-000082160000}"/>
    <cellStyle name="Normal 4 6 4 3 2 2 2" xfId="16189" xr:uid="{186468FE-34C3-4016-AF08-A7501D6C961F}"/>
    <cellStyle name="Normal 4 6 4 3 2 3" xfId="11971" xr:uid="{B332B163-B086-4259-B16F-232700E8538F}"/>
    <cellStyle name="Normal 4 6 4 3 3" xfId="5602" xr:uid="{00000000-0005-0000-0000-000083160000}"/>
    <cellStyle name="Normal 4 6 4 3 3 2" xfId="14044" xr:uid="{6E211F30-9F03-4A73-9347-0A72CDB1D736}"/>
    <cellStyle name="Normal 4 6 4 3 4" xfId="9826" xr:uid="{7C9438CD-FDEA-4003-A232-CDC3AA55A5EF}"/>
    <cellStyle name="Normal 4 6 4 4" xfId="1707" xr:uid="{00000000-0005-0000-0000-000084160000}"/>
    <cellStyle name="Normal 4 6 4 4 2" xfId="3937" xr:uid="{00000000-0005-0000-0000-000085160000}"/>
    <cellStyle name="Normal 4 6 4 4 2 2" xfId="8160" xr:uid="{00000000-0005-0000-0000-000086160000}"/>
    <cellStyle name="Normal 4 6 4 4 2 2 2" xfId="16602" xr:uid="{939417AE-45C2-466E-B217-9B963F2399B0}"/>
    <cellStyle name="Normal 4 6 4 4 2 3" xfId="12384" xr:uid="{ED44E167-D2EC-40BA-B1E4-4FACA35D6DFE}"/>
    <cellStyle name="Normal 4 6 4 4 3" xfId="6015" xr:uid="{00000000-0005-0000-0000-000087160000}"/>
    <cellStyle name="Normal 4 6 4 4 3 2" xfId="14457" xr:uid="{365099B6-BAED-4482-B74D-02F69A3CA523}"/>
    <cellStyle name="Normal 4 6 4 4 4" xfId="10239" xr:uid="{C66C9869-D9E2-431A-9E11-A237233C7403}"/>
    <cellStyle name="Normal 4 6 4 5" xfId="2121" xr:uid="{00000000-0005-0000-0000-000088160000}"/>
    <cellStyle name="Normal 4 6 4 5 2" xfId="4350" xr:uid="{00000000-0005-0000-0000-000089160000}"/>
    <cellStyle name="Normal 4 6 4 5 2 2" xfId="8573" xr:uid="{00000000-0005-0000-0000-00008A160000}"/>
    <cellStyle name="Normal 4 6 4 5 2 2 2" xfId="17015" xr:uid="{488AF3D8-A1A2-46F5-8A2D-6EFBFFC9622D}"/>
    <cellStyle name="Normal 4 6 4 5 2 3" xfId="12797" xr:uid="{6E68C537-A4A4-4E90-8CEA-BF4CACE85660}"/>
    <cellStyle name="Normal 4 6 4 5 3" xfId="6428" xr:uid="{00000000-0005-0000-0000-00008B160000}"/>
    <cellStyle name="Normal 4 6 4 5 3 2" xfId="14870" xr:uid="{4105AFD9-69E8-4BFD-8182-BD273D9231BD}"/>
    <cellStyle name="Normal 4 6 4 5 4" xfId="10652" xr:uid="{A50A546F-D1B5-4C0A-8AF0-446A7B1E380B}"/>
    <cellStyle name="Normal 4 6 4 6" xfId="2557" xr:uid="{00000000-0005-0000-0000-00008C160000}"/>
    <cellStyle name="Normal 4 6 4 6 2" xfId="6841" xr:uid="{00000000-0005-0000-0000-00008D160000}"/>
    <cellStyle name="Normal 4 6 4 6 2 2" xfId="15283" xr:uid="{683AE634-0542-4D59-BD1D-C13649DF63B6}"/>
    <cellStyle name="Normal 4 6 4 6 3" xfId="11065" xr:uid="{6DCA17D0-914A-45BF-B355-3C8DD87194B1}"/>
    <cellStyle name="Normal 4 6 4 7" xfId="4776" xr:uid="{00000000-0005-0000-0000-00008E160000}"/>
    <cellStyle name="Normal 4 6 4 7 2" xfId="13218" xr:uid="{203C2FF0-51B4-4A09-AE44-66066FE623EF}"/>
    <cellStyle name="Normal 4 6 4 8" xfId="9000" xr:uid="{AD27EAFD-26DE-4F16-B865-EA353A15474C}"/>
    <cellStyle name="Normal 4 6 5" xfId="869" xr:uid="{00000000-0005-0000-0000-00008F160000}"/>
    <cellStyle name="Normal 4 6 5 2" xfId="3104" xr:uid="{00000000-0005-0000-0000-000090160000}"/>
    <cellStyle name="Normal 4 6 5 2 2" xfId="7327" xr:uid="{00000000-0005-0000-0000-000091160000}"/>
    <cellStyle name="Normal 4 6 5 2 2 2" xfId="15769" xr:uid="{B20D0472-42B5-4F08-A28E-4BAE2004D5A0}"/>
    <cellStyle name="Normal 4 6 5 2 3" xfId="11551" xr:uid="{B29F1396-EDC9-439A-887B-75509541CD31}"/>
    <cellStyle name="Normal 4 6 5 3" xfId="5182" xr:uid="{00000000-0005-0000-0000-000092160000}"/>
    <cellStyle name="Normal 4 6 5 3 2" xfId="13624" xr:uid="{50739031-D65F-47C0-91BE-143E282B3425}"/>
    <cellStyle name="Normal 4 6 5 4" xfId="9406" xr:uid="{A7A3D17C-4486-4F82-BDB5-0881876E3917}"/>
    <cellStyle name="Normal 4 6 6" xfId="1287" xr:uid="{00000000-0005-0000-0000-000093160000}"/>
    <cellStyle name="Normal 4 6 6 2" xfId="3517" xr:uid="{00000000-0005-0000-0000-000094160000}"/>
    <cellStyle name="Normal 4 6 6 2 2" xfId="7740" xr:uid="{00000000-0005-0000-0000-000095160000}"/>
    <cellStyle name="Normal 4 6 6 2 2 2" xfId="16182" xr:uid="{DAADC28B-0988-4E6C-9E7F-07314DE83002}"/>
    <cellStyle name="Normal 4 6 6 2 3" xfId="11964" xr:uid="{873FB29B-6A81-4D15-BEA1-0C817EDA87BA}"/>
    <cellStyle name="Normal 4 6 6 3" xfId="5595" xr:uid="{00000000-0005-0000-0000-000096160000}"/>
    <cellStyle name="Normal 4 6 6 3 2" xfId="14037" xr:uid="{A7857AAE-0B60-4B66-B19D-1321D1617B61}"/>
    <cellStyle name="Normal 4 6 6 4" xfId="9819" xr:uid="{5ED338F4-A89B-4587-88C2-FEC137F47D60}"/>
    <cellStyle name="Normal 4 6 7" xfId="1700" xr:uid="{00000000-0005-0000-0000-000097160000}"/>
    <cellStyle name="Normal 4 6 7 2" xfId="3930" xr:uid="{00000000-0005-0000-0000-000098160000}"/>
    <cellStyle name="Normal 4 6 7 2 2" xfId="8153" xr:uid="{00000000-0005-0000-0000-000099160000}"/>
    <cellStyle name="Normal 4 6 7 2 2 2" xfId="16595" xr:uid="{E8552A69-F149-4E02-BDFB-89E53ECA0B8E}"/>
    <cellStyle name="Normal 4 6 7 2 3" xfId="12377" xr:uid="{EF56D741-3038-432A-9656-A5EB1C8A18A8}"/>
    <cellStyle name="Normal 4 6 7 3" xfId="6008" xr:uid="{00000000-0005-0000-0000-00009A160000}"/>
    <cellStyle name="Normal 4 6 7 3 2" xfId="14450" xr:uid="{94A90552-8EDB-4606-9555-118E4D2E2FD6}"/>
    <cellStyle name="Normal 4 6 7 4" xfId="10232" xr:uid="{73F13EFB-3E56-45C7-AEFF-41A89571337B}"/>
    <cellStyle name="Normal 4 6 8" xfId="2114" xr:uid="{00000000-0005-0000-0000-00009B160000}"/>
    <cellStyle name="Normal 4 6 8 2" xfId="4343" xr:uid="{00000000-0005-0000-0000-00009C160000}"/>
    <cellStyle name="Normal 4 6 8 2 2" xfId="8566" xr:uid="{00000000-0005-0000-0000-00009D160000}"/>
    <cellStyle name="Normal 4 6 8 2 2 2" xfId="17008" xr:uid="{C875994A-3E41-46A1-8FD2-C47688617EC8}"/>
    <cellStyle name="Normal 4 6 8 2 3" xfId="12790" xr:uid="{668736C2-BC28-413F-A3B6-7AF89A7BB1A5}"/>
    <cellStyle name="Normal 4 6 8 3" xfId="6421" xr:uid="{00000000-0005-0000-0000-00009E160000}"/>
    <cellStyle name="Normal 4 6 8 3 2" xfId="14863" xr:uid="{6D31F913-D33C-4521-8010-CE35CA269ABC}"/>
    <cellStyle name="Normal 4 6 8 4" xfId="10645" xr:uid="{A8801CA9-BB16-40CF-A06F-502EFF8245D1}"/>
    <cellStyle name="Normal 4 6 9" xfId="2550" xr:uid="{00000000-0005-0000-0000-00009F160000}"/>
    <cellStyle name="Normal 4 6 9 2" xfId="6834" xr:uid="{00000000-0005-0000-0000-0000A0160000}"/>
    <cellStyle name="Normal 4 6 9 2 2" xfId="15276" xr:uid="{EEB6E145-7E5C-49A2-B814-D767A88A100E}"/>
    <cellStyle name="Normal 4 6 9 3" xfId="11058" xr:uid="{F1D405A0-A220-4257-AC22-C31B5540F0FB}"/>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2 2 2" xfId="15778" xr:uid="{AD144C8E-B052-404D-ADF4-1C3490D368EA}"/>
    <cellStyle name="Normal 4 7 2 2 2 3" xfId="11560" xr:uid="{FCAFC881-4A4B-4E86-9FA2-7ACA40B8B9F4}"/>
    <cellStyle name="Normal 4 7 2 2 3" xfId="5191" xr:uid="{00000000-0005-0000-0000-0000A6160000}"/>
    <cellStyle name="Normal 4 7 2 2 3 2" xfId="13633" xr:uid="{328D4907-1B6A-46A1-8ED9-107788F302C1}"/>
    <cellStyle name="Normal 4 7 2 2 4" xfId="9415" xr:uid="{0D3EA4F3-2C8B-402C-8E93-1D5D57CFEE91}"/>
    <cellStyle name="Normal 4 7 2 3" xfId="1296" xr:uid="{00000000-0005-0000-0000-0000A7160000}"/>
    <cellStyle name="Normal 4 7 2 3 2" xfId="3526" xr:uid="{00000000-0005-0000-0000-0000A8160000}"/>
    <cellStyle name="Normal 4 7 2 3 2 2" xfId="7749" xr:uid="{00000000-0005-0000-0000-0000A9160000}"/>
    <cellStyle name="Normal 4 7 2 3 2 2 2" xfId="16191" xr:uid="{365D68AB-4DAE-40C2-8B74-5A78DD2464E6}"/>
    <cellStyle name="Normal 4 7 2 3 2 3" xfId="11973" xr:uid="{7E1A7138-006A-48C8-8136-63A1F6DFE044}"/>
    <cellStyle name="Normal 4 7 2 3 3" xfId="5604" xr:uid="{00000000-0005-0000-0000-0000AA160000}"/>
    <cellStyle name="Normal 4 7 2 3 3 2" xfId="14046" xr:uid="{028E9DAC-4BCF-4FEB-A172-E9969956B465}"/>
    <cellStyle name="Normal 4 7 2 3 4" xfId="9828" xr:uid="{9F1229B3-D4FE-49D6-99A6-39253E1378B5}"/>
    <cellStyle name="Normal 4 7 2 4" xfId="1709" xr:uid="{00000000-0005-0000-0000-0000AB160000}"/>
    <cellStyle name="Normal 4 7 2 4 2" xfId="3939" xr:uid="{00000000-0005-0000-0000-0000AC160000}"/>
    <cellStyle name="Normal 4 7 2 4 2 2" xfId="8162" xr:uid="{00000000-0005-0000-0000-0000AD160000}"/>
    <cellStyle name="Normal 4 7 2 4 2 2 2" xfId="16604" xr:uid="{2FABA574-679F-41E1-9EC4-8074FBA60AAF}"/>
    <cellStyle name="Normal 4 7 2 4 2 3" xfId="12386" xr:uid="{163134B3-7A0D-485D-8310-4B1A27047010}"/>
    <cellStyle name="Normal 4 7 2 4 3" xfId="6017" xr:uid="{00000000-0005-0000-0000-0000AE160000}"/>
    <cellStyle name="Normal 4 7 2 4 3 2" xfId="14459" xr:uid="{FDC8253E-918E-41DA-A836-0E5CCB48F3E4}"/>
    <cellStyle name="Normal 4 7 2 4 4" xfId="10241" xr:uid="{E24B5B65-F63E-4697-B1F0-3AD3219B3475}"/>
    <cellStyle name="Normal 4 7 2 5" xfId="2123" xr:uid="{00000000-0005-0000-0000-0000AF160000}"/>
    <cellStyle name="Normal 4 7 2 5 2" xfId="4352" xr:uid="{00000000-0005-0000-0000-0000B0160000}"/>
    <cellStyle name="Normal 4 7 2 5 2 2" xfId="8575" xr:uid="{00000000-0005-0000-0000-0000B1160000}"/>
    <cellStyle name="Normal 4 7 2 5 2 2 2" xfId="17017" xr:uid="{CEAEB933-8A8E-4053-9551-1F383DB02DCE}"/>
    <cellStyle name="Normal 4 7 2 5 2 3" xfId="12799" xr:uid="{95091F14-C060-425D-B79E-9F8613C34271}"/>
    <cellStyle name="Normal 4 7 2 5 3" xfId="6430" xr:uid="{00000000-0005-0000-0000-0000B2160000}"/>
    <cellStyle name="Normal 4 7 2 5 3 2" xfId="14872" xr:uid="{37FC917B-2098-47DD-A2E6-514E49FB5BFC}"/>
    <cellStyle name="Normal 4 7 2 5 4" xfId="10654" xr:uid="{3164161D-A661-47D6-AA9A-C4C44A257FD2}"/>
    <cellStyle name="Normal 4 7 2 6" xfId="2559" xr:uid="{00000000-0005-0000-0000-0000B3160000}"/>
    <cellStyle name="Normal 4 7 2 6 2" xfId="6843" xr:uid="{00000000-0005-0000-0000-0000B4160000}"/>
    <cellStyle name="Normal 4 7 2 6 2 2" xfId="15285" xr:uid="{74461FD4-2179-4296-874A-072C4761484B}"/>
    <cellStyle name="Normal 4 7 2 6 3" xfId="11067" xr:uid="{86A7BFDD-AA21-4879-95CF-D40BFF0F8E3E}"/>
    <cellStyle name="Normal 4 7 2 7" xfId="4778" xr:uid="{00000000-0005-0000-0000-0000B5160000}"/>
    <cellStyle name="Normal 4 7 2 7 2" xfId="13220" xr:uid="{02D67619-768E-49A6-8C61-9C5BC4C33F4D}"/>
    <cellStyle name="Normal 4 7 2 8" xfId="9002" xr:uid="{ADAEEC9C-808E-4F25-991B-D6CCF43A970C}"/>
    <cellStyle name="Normal 4 7 3" xfId="877" xr:uid="{00000000-0005-0000-0000-0000B6160000}"/>
    <cellStyle name="Normal 4 7 3 2" xfId="3112" xr:uid="{00000000-0005-0000-0000-0000B7160000}"/>
    <cellStyle name="Normal 4 7 3 2 2" xfId="7335" xr:uid="{00000000-0005-0000-0000-0000B8160000}"/>
    <cellStyle name="Normal 4 7 3 2 2 2" xfId="15777" xr:uid="{BFA1D35A-69F5-4518-8BAD-1B59082D9A5B}"/>
    <cellStyle name="Normal 4 7 3 2 3" xfId="11559" xr:uid="{85761AFF-3D91-4B6E-B5A3-A4FFF1279DFD}"/>
    <cellStyle name="Normal 4 7 3 3" xfId="5190" xr:uid="{00000000-0005-0000-0000-0000B9160000}"/>
    <cellStyle name="Normal 4 7 3 3 2" xfId="13632" xr:uid="{60A1F988-E76F-4B8D-82B5-9085F846C9C8}"/>
    <cellStyle name="Normal 4 7 3 4" xfId="9414" xr:uid="{AA344478-FB74-494A-B8FD-9317A42814BC}"/>
    <cellStyle name="Normal 4 7 4" xfId="1295" xr:uid="{00000000-0005-0000-0000-0000BA160000}"/>
    <cellStyle name="Normal 4 7 4 2" xfId="3525" xr:uid="{00000000-0005-0000-0000-0000BB160000}"/>
    <cellStyle name="Normal 4 7 4 2 2" xfId="7748" xr:uid="{00000000-0005-0000-0000-0000BC160000}"/>
    <cellStyle name="Normal 4 7 4 2 2 2" xfId="16190" xr:uid="{6DEFA4AD-1338-4D03-A278-B93ACF743DFA}"/>
    <cellStyle name="Normal 4 7 4 2 3" xfId="11972" xr:uid="{79E3811C-5E79-47A4-A9C9-150354727925}"/>
    <cellStyle name="Normal 4 7 4 3" xfId="5603" xr:uid="{00000000-0005-0000-0000-0000BD160000}"/>
    <cellStyle name="Normal 4 7 4 3 2" xfId="14045" xr:uid="{53BA11A7-3D1B-4815-A545-39FBFAF2BF9E}"/>
    <cellStyle name="Normal 4 7 4 4" xfId="9827" xr:uid="{27707D65-9810-4266-A4A3-3454063114CD}"/>
    <cellStyle name="Normal 4 7 5" xfId="1708" xr:uid="{00000000-0005-0000-0000-0000BE160000}"/>
    <cellStyle name="Normal 4 7 5 2" xfId="3938" xr:uid="{00000000-0005-0000-0000-0000BF160000}"/>
    <cellStyle name="Normal 4 7 5 2 2" xfId="8161" xr:uid="{00000000-0005-0000-0000-0000C0160000}"/>
    <cellStyle name="Normal 4 7 5 2 2 2" xfId="16603" xr:uid="{8925921F-A30A-4E6B-9C1C-93AF74BD74DB}"/>
    <cellStyle name="Normal 4 7 5 2 3" xfId="12385" xr:uid="{FCA742C0-87CD-48C4-B058-2A1D6304ED3F}"/>
    <cellStyle name="Normal 4 7 5 3" xfId="6016" xr:uid="{00000000-0005-0000-0000-0000C1160000}"/>
    <cellStyle name="Normal 4 7 5 3 2" xfId="14458" xr:uid="{E1A6C69E-FAD2-4AD9-A5FC-086CF3151476}"/>
    <cellStyle name="Normal 4 7 5 4" xfId="10240" xr:uid="{D0DE5A4F-8F6F-4586-AE3F-057E0B3DFBA7}"/>
    <cellStyle name="Normal 4 7 6" xfId="2122" xr:uid="{00000000-0005-0000-0000-0000C2160000}"/>
    <cellStyle name="Normal 4 7 6 2" xfId="4351" xr:uid="{00000000-0005-0000-0000-0000C3160000}"/>
    <cellStyle name="Normal 4 7 6 2 2" xfId="8574" xr:uid="{00000000-0005-0000-0000-0000C4160000}"/>
    <cellStyle name="Normal 4 7 6 2 2 2" xfId="17016" xr:uid="{5EDCC258-FCE3-4C6B-824F-00C4E5AB4412}"/>
    <cellStyle name="Normal 4 7 6 2 3" xfId="12798" xr:uid="{C4EAC127-E2C1-4C34-9CBA-D7F6355A17C9}"/>
    <cellStyle name="Normal 4 7 6 3" xfId="6429" xr:uid="{00000000-0005-0000-0000-0000C5160000}"/>
    <cellStyle name="Normal 4 7 6 3 2" xfId="14871" xr:uid="{7D1B95DB-E4B6-4EF4-BEC8-2B8995D73542}"/>
    <cellStyle name="Normal 4 7 6 4" xfId="10653" xr:uid="{F3F0A9AD-FD84-4953-8365-6368E4F80B96}"/>
    <cellStyle name="Normal 4 7 7" xfId="2558" xr:uid="{00000000-0005-0000-0000-0000C6160000}"/>
    <cellStyle name="Normal 4 7 7 2" xfId="6842" xr:uid="{00000000-0005-0000-0000-0000C7160000}"/>
    <cellStyle name="Normal 4 7 7 2 2" xfId="15284" xr:uid="{77382AFD-86EF-46B7-AE8D-9B99000FF91A}"/>
    <cellStyle name="Normal 4 7 7 3" xfId="11066" xr:uid="{F756A508-C657-43AA-B6E5-6C4D3216D62F}"/>
    <cellStyle name="Normal 4 7 8" xfId="4777" xr:uid="{00000000-0005-0000-0000-0000C8160000}"/>
    <cellStyle name="Normal 4 7 8 2" xfId="13219" xr:uid="{985FB0B3-6586-4B4B-9C4B-3BFABC3232BB}"/>
    <cellStyle name="Normal 4 7 9" xfId="9001" xr:uid="{57E4BBC4-997C-416B-897E-574D90134B3E}"/>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2 2 2" xfId="15779" xr:uid="{C4E1B36E-6CAB-4AC7-938C-092640ED7CEA}"/>
    <cellStyle name="Normal 4 8 2 2 3" xfId="11561" xr:uid="{F5944E81-0221-4359-B624-A482873E5801}"/>
    <cellStyle name="Normal 4 8 2 3" xfId="5192" xr:uid="{00000000-0005-0000-0000-0000CD160000}"/>
    <cellStyle name="Normal 4 8 2 3 2" xfId="13634" xr:uid="{7D43B83E-DA60-40C8-B2AA-A94D2E6F2429}"/>
    <cellStyle name="Normal 4 8 2 4" xfId="9416" xr:uid="{B8E98C49-D6C5-49AE-A096-4AA45469B6FF}"/>
    <cellStyle name="Normal 4 8 3" xfId="1297" xr:uid="{00000000-0005-0000-0000-0000CE160000}"/>
    <cellStyle name="Normal 4 8 3 2" xfId="3527" xr:uid="{00000000-0005-0000-0000-0000CF160000}"/>
    <cellStyle name="Normal 4 8 3 2 2" xfId="7750" xr:uid="{00000000-0005-0000-0000-0000D0160000}"/>
    <cellStyle name="Normal 4 8 3 2 2 2" xfId="16192" xr:uid="{9CFCEC3A-58F7-4688-A652-1D7F8165E63A}"/>
    <cellStyle name="Normal 4 8 3 2 3" xfId="11974" xr:uid="{464D20FF-D4F4-4C17-8172-F1140C937441}"/>
    <cellStyle name="Normal 4 8 3 3" xfId="5605" xr:uid="{00000000-0005-0000-0000-0000D1160000}"/>
    <cellStyle name="Normal 4 8 3 3 2" xfId="14047" xr:uid="{E985BED7-E65E-49E8-A028-82FE46E541D3}"/>
    <cellStyle name="Normal 4 8 3 4" xfId="9829" xr:uid="{42086A64-C971-4371-BD8E-78F1313EE043}"/>
    <cellStyle name="Normal 4 8 4" xfId="1710" xr:uid="{00000000-0005-0000-0000-0000D2160000}"/>
    <cellStyle name="Normal 4 8 4 2" xfId="3940" xr:uid="{00000000-0005-0000-0000-0000D3160000}"/>
    <cellStyle name="Normal 4 8 4 2 2" xfId="8163" xr:uid="{00000000-0005-0000-0000-0000D4160000}"/>
    <cellStyle name="Normal 4 8 4 2 2 2" xfId="16605" xr:uid="{E46F4256-1A1E-45BA-AE87-6CFB711D3A96}"/>
    <cellStyle name="Normal 4 8 4 2 3" xfId="12387" xr:uid="{53EC495D-BC34-4FDB-8820-3FA603C7EA89}"/>
    <cellStyle name="Normal 4 8 4 3" xfId="6018" xr:uid="{00000000-0005-0000-0000-0000D5160000}"/>
    <cellStyle name="Normal 4 8 4 3 2" xfId="14460" xr:uid="{417E1D1E-DC69-423F-B5E5-3C4071750556}"/>
    <cellStyle name="Normal 4 8 4 4" xfId="10242" xr:uid="{687D092F-7F14-49A1-B093-068836DF46F7}"/>
    <cellStyle name="Normal 4 8 5" xfId="2124" xr:uid="{00000000-0005-0000-0000-0000D6160000}"/>
    <cellStyle name="Normal 4 8 5 2" xfId="4353" xr:uid="{00000000-0005-0000-0000-0000D7160000}"/>
    <cellStyle name="Normal 4 8 5 2 2" xfId="8576" xr:uid="{00000000-0005-0000-0000-0000D8160000}"/>
    <cellStyle name="Normal 4 8 5 2 2 2" xfId="17018" xr:uid="{3790FD49-0A56-4D2F-AF49-8EDE8F18E12C}"/>
    <cellStyle name="Normal 4 8 5 2 3" xfId="12800" xr:uid="{70BE46DD-4117-4C38-BC28-9ECF249CC7AD}"/>
    <cellStyle name="Normal 4 8 5 3" xfId="6431" xr:uid="{00000000-0005-0000-0000-0000D9160000}"/>
    <cellStyle name="Normal 4 8 5 3 2" xfId="14873" xr:uid="{47F1CBEC-3F85-4820-AC92-8BE8EFCDF882}"/>
    <cellStyle name="Normal 4 8 5 4" xfId="10655" xr:uid="{6FE605EC-318E-422D-B012-050B4A9F6FDC}"/>
    <cellStyle name="Normal 4 8 6" xfId="2560" xr:uid="{00000000-0005-0000-0000-0000DA160000}"/>
    <cellStyle name="Normal 4 8 6 2" xfId="6844" xr:uid="{00000000-0005-0000-0000-0000DB160000}"/>
    <cellStyle name="Normal 4 8 6 2 2" xfId="15286" xr:uid="{5016380A-9941-401C-8473-5AE8A5C5A3F9}"/>
    <cellStyle name="Normal 4 8 6 3" xfId="11068" xr:uid="{0F21930E-4C7B-4891-B148-889145109B58}"/>
    <cellStyle name="Normal 4 8 7" xfId="4779" xr:uid="{00000000-0005-0000-0000-0000DC160000}"/>
    <cellStyle name="Normal 4 8 7 2" xfId="13221" xr:uid="{6CFA7B1E-4D95-44BD-8510-9A5FA6238F8C}"/>
    <cellStyle name="Normal 4 8 8" xfId="9003" xr:uid="{059CE319-5553-49E0-BF7C-72E08C175178}"/>
    <cellStyle name="Normal 4 9" xfId="4716" xr:uid="{00000000-0005-0000-0000-0000DD160000}"/>
    <cellStyle name="Normal 4 9 2" xfId="13158" xr:uid="{362E00F2-7789-4F93-94D5-7B8A05D4B4AE}"/>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2 2 2" xfId="16606" xr:uid="{7260651F-3EF1-4A93-8B92-924092FA370D}"/>
    <cellStyle name="Normal 5 10 2 3" xfId="12388" xr:uid="{4E7759D2-0BE9-4962-B29F-F881001CF7B1}"/>
    <cellStyle name="Normal 5 10 3" xfId="6019" xr:uid="{00000000-0005-0000-0000-0000E2160000}"/>
    <cellStyle name="Normal 5 10 3 2" xfId="14461" xr:uid="{18B9A659-E4BA-424E-9933-7BF1990B9B33}"/>
    <cellStyle name="Normal 5 10 4" xfId="10243" xr:uid="{9341CA35-07AE-42B5-A3FC-DA7CBCCCB28C}"/>
    <cellStyle name="Normal 5 11" xfId="2125" xr:uid="{00000000-0005-0000-0000-0000E3160000}"/>
    <cellStyle name="Normal 5 11 2" xfId="4354" xr:uid="{00000000-0005-0000-0000-0000E4160000}"/>
    <cellStyle name="Normal 5 11 2 2" xfId="8577" xr:uid="{00000000-0005-0000-0000-0000E5160000}"/>
    <cellStyle name="Normal 5 11 2 2 2" xfId="17019" xr:uid="{4D5D4E32-CFBB-45AB-9472-0019F1CAAA46}"/>
    <cellStyle name="Normal 5 11 2 3" xfId="12801" xr:uid="{0BC8C0A9-32FD-4702-92DB-036A03329DE9}"/>
    <cellStyle name="Normal 5 11 3" xfId="6432" xr:uid="{00000000-0005-0000-0000-0000E6160000}"/>
    <cellStyle name="Normal 5 11 3 2" xfId="14874" xr:uid="{2AD1D6E6-F298-4081-A442-39828F9E66B5}"/>
    <cellStyle name="Normal 5 11 4" xfId="10656" xr:uid="{83DB0882-A9D5-4FF3-990E-D91BDC671AC8}"/>
    <cellStyle name="Normal 5 12" xfId="2561" xr:uid="{00000000-0005-0000-0000-0000E7160000}"/>
    <cellStyle name="Normal 5 12 2" xfId="6845" xr:uid="{00000000-0005-0000-0000-0000E8160000}"/>
    <cellStyle name="Normal 5 12 2 2" xfId="15287" xr:uid="{1889C33D-F8FB-4AE4-9D46-5E3B1EE42594}"/>
    <cellStyle name="Normal 5 12 3" xfId="11069" xr:uid="{15915E63-AFF0-41FE-99C2-EBC7F25CE339}"/>
    <cellStyle name="Normal 5 13" xfId="4780" xr:uid="{00000000-0005-0000-0000-0000E9160000}"/>
    <cellStyle name="Normal 5 13 2" xfId="13222" xr:uid="{BC4709E4-32F1-4BC4-8385-88E40BB5EC26}"/>
    <cellStyle name="Normal 5 14" xfId="9004" xr:uid="{544D13A0-C6FB-4A8E-A3C7-9639E72342FE}"/>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2 2 2" xfId="17020" xr:uid="{1B54A2A0-BF4F-47AD-851E-97B3E4DF5BBA}"/>
    <cellStyle name="Normal 5 2 10 2 3" xfId="12802" xr:uid="{ABF863E0-1964-4AA3-9493-D637322298EC}"/>
    <cellStyle name="Normal 5 2 10 3" xfId="6433" xr:uid="{00000000-0005-0000-0000-0000EE160000}"/>
    <cellStyle name="Normal 5 2 10 3 2" xfId="14875" xr:uid="{BC413B47-9CEB-4B43-81DF-B67F09996633}"/>
    <cellStyle name="Normal 5 2 10 4" xfId="10657" xr:uid="{C506F027-73D0-47A1-BE43-8C5E4D9BDC7C}"/>
    <cellStyle name="Normal 5 2 11" xfId="2562" xr:uid="{00000000-0005-0000-0000-0000EF160000}"/>
    <cellStyle name="Normal 5 2 11 2" xfId="6846" xr:uid="{00000000-0005-0000-0000-0000F0160000}"/>
    <cellStyle name="Normal 5 2 11 2 2" xfId="15288" xr:uid="{D902BEF3-CAC3-4CCD-8BE7-21EF5AB1E5EA}"/>
    <cellStyle name="Normal 5 2 11 3" xfId="11070" xr:uid="{BA14990C-AD4B-4400-B953-9E96E0BE976C}"/>
    <cellStyle name="Normal 5 2 12" xfId="4781" xr:uid="{00000000-0005-0000-0000-0000F1160000}"/>
    <cellStyle name="Normal 5 2 12 2" xfId="13223" xr:uid="{B9FEC65B-7A75-452C-B2F6-D9CB811015F9}"/>
    <cellStyle name="Normal 5 2 13" xfId="9005" xr:uid="{7CD85323-2567-4BEB-B192-23630C5F22C0}"/>
    <cellStyle name="Normal 5 2 2" xfId="408" xr:uid="{00000000-0005-0000-0000-0000F2160000}"/>
    <cellStyle name="Normal 5 2 2 10" xfId="2563" xr:uid="{00000000-0005-0000-0000-0000F3160000}"/>
    <cellStyle name="Normal 5 2 2 10 2" xfId="6847" xr:uid="{00000000-0005-0000-0000-0000F4160000}"/>
    <cellStyle name="Normal 5 2 2 10 2 2" xfId="15289" xr:uid="{B5E568BB-3F94-42B3-9541-2571D1EA2EAD}"/>
    <cellStyle name="Normal 5 2 2 10 3" xfId="11071" xr:uid="{0CEA32FC-23A1-43B0-A335-BA05F8E9C5B5}"/>
    <cellStyle name="Normal 5 2 2 11" xfId="4782" xr:uid="{00000000-0005-0000-0000-0000F5160000}"/>
    <cellStyle name="Normal 5 2 2 11 2" xfId="13224" xr:uid="{97628949-CF18-4920-B0CC-B59F45AC8EBA}"/>
    <cellStyle name="Normal 5 2 2 12" xfId="9006" xr:uid="{33552489-15B6-4448-AC5E-5185F8F194FE}"/>
    <cellStyle name="Normal 5 2 2 2" xfId="409" xr:uid="{00000000-0005-0000-0000-0000F6160000}"/>
    <cellStyle name="Normal 5 2 2 2 10" xfId="4783" xr:uid="{00000000-0005-0000-0000-0000F7160000}"/>
    <cellStyle name="Normal 5 2 2 2 10 2" xfId="13225" xr:uid="{09B70F36-1681-4C0B-A6D4-526E0AE84AD4}"/>
    <cellStyle name="Normal 5 2 2 2 11" xfId="9007" xr:uid="{5520F46A-9ACB-46D7-86C8-06640930CC05}"/>
    <cellStyle name="Normal 5 2 2 2 2" xfId="410" xr:uid="{00000000-0005-0000-0000-0000F8160000}"/>
    <cellStyle name="Normal 5 2 2 2 2 10" xfId="9008" xr:uid="{3F1FA657-51BD-4964-BEFB-645B0BA74A66}"/>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2 2 2" xfId="15786" xr:uid="{E456D46D-6AAA-4CBB-9741-46BD5D0AAC43}"/>
    <cellStyle name="Normal 5 2 2 2 2 2 2 2 2 3" xfId="11568" xr:uid="{B7F0FD1A-31C8-4CB5-B004-985B09670126}"/>
    <cellStyle name="Normal 5 2 2 2 2 2 2 2 3" xfId="5199" xr:uid="{00000000-0005-0000-0000-0000FE160000}"/>
    <cellStyle name="Normal 5 2 2 2 2 2 2 2 3 2" xfId="13641" xr:uid="{CD43C0A4-D616-4821-A94E-FC1F4A10315B}"/>
    <cellStyle name="Normal 5 2 2 2 2 2 2 2 4" xfId="9423" xr:uid="{FB322552-3359-4F47-9325-272473CE7735}"/>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2 2 2" xfId="16199" xr:uid="{E5B1A211-71C3-4612-A10A-A19AABEBC28C}"/>
    <cellStyle name="Normal 5 2 2 2 2 2 2 3 2 3" xfId="11981" xr:uid="{880D768F-5264-441D-B545-8E95D45EB13D}"/>
    <cellStyle name="Normal 5 2 2 2 2 2 2 3 3" xfId="5612" xr:uid="{00000000-0005-0000-0000-000002170000}"/>
    <cellStyle name="Normal 5 2 2 2 2 2 2 3 3 2" xfId="14054" xr:uid="{3C5E05F2-320B-4B1B-844A-1C2C9B44A6FF}"/>
    <cellStyle name="Normal 5 2 2 2 2 2 2 3 4" xfId="9836" xr:uid="{31784A41-676B-41E6-9FA4-E4F3EB84D4D4}"/>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2 2 2" xfId="16612" xr:uid="{A5CD18B3-5B36-46ED-9FE6-C90A948F3B2C}"/>
    <cellStyle name="Normal 5 2 2 2 2 2 2 4 2 3" xfId="12394" xr:uid="{ED8581CD-2DFF-4460-B8F7-9BD4EBA91E37}"/>
    <cellStyle name="Normal 5 2 2 2 2 2 2 4 3" xfId="6025" xr:uid="{00000000-0005-0000-0000-000006170000}"/>
    <cellStyle name="Normal 5 2 2 2 2 2 2 4 3 2" xfId="14467" xr:uid="{B7C3D0B8-55F3-4585-AE59-CEA318B3AFBD}"/>
    <cellStyle name="Normal 5 2 2 2 2 2 2 4 4" xfId="10249" xr:uid="{A77ACDCA-ECFD-4AE3-9B50-D276430AD3C4}"/>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2 2 2" xfId="17025" xr:uid="{B74D514E-3084-4BD7-8D86-40F787599B8C}"/>
    <cellStyle name="Normal 5 2 2 2 2 2 2 5 2 3" xfId="12807" xr:uid="{79A692D3-7F0E-4AFC-9245-B0083F6E6C06}"/>
    <cellStyle name="Normal 5 2 2 2 2 2 2 5 3" xfId="6438" xr:uid="{00000000-0005-0000-0000-00000A170000}"/>
    <cellStyle name="Normal 5 2 2 2 2 2 2 5 3 2" xfId="14880" xr:uid="{ED30895A-BCDA-473B-9C7E-940402457C6D}"/>
    <cellStyle name="Normal 5 2 2 2 2 2 2 5 4" xfId="10662" xr:uid="{150F4525-8196-43FE-91FB-DB36323FC49D}"/>
    <cellStyle name="Normal 5 2 2 2 2 2 2 6" xfId="2567" xr:uid="{00000000-0005-0000-0000-00000B170000}"/>
    <cellStyle name="Normal 5 2 2 2 2 2 2 6 2" xfId="6851" xr:uid="{00000000-0005-0000-0000-00000C170000}"/>
    <cellStyle name="Normal 5 2 2 2 2 2 2 6 2 2" xfId="15293" xr:uid="{CF40F58B-0120-43DD-8398-166D2C569EE0}"/>
    <cellStyle name="Normal 5 2 2 2 2 2 2 6 3" xfId="11075" xr:uid="{1B3EB4EA-42E2-4D4E-8F75-4154025E2DBD}"/>
    <cellStyle name="Normal 5 2 2 2 2 2 2 7" xfId="4786" xr:uid="{00000000-0005-0000-0000-00000D170000}"/>
    <cellStyle name="Normal 5 2 2 2 2 2 2 7 2" xfId="13228" xr:uid="{1D99EDEE-60E1-4EAD-8ADB-BFCA1E37A789}"/>
    <cellStyle name="Normal 5 2 2 2 2 2 2 8" xfId="9010" xr:uid="{9B60FC66-FC13-4855-B2EF-D158D4332284}"/>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2 2 2" xfId="15785" xr:uid="{A1C66A17-4D5B-446F-9B47-0FEEE4F58DC4}"/>
    <cellStyle name="Normal 5 2 2 2 2 2 3 2 3" xfId="11567" xr:uid="{B9774A79-EA4F-4A5B-BE36-C26E510EF399}"/>
    <cellStyle name="Normal 5 2 2 2 2 2 3 3" xfId="5198" xr:uid="{00000000-0005-0000-0000-000011170000}"/>
    <cellStyle name="Normal 5 2 2 2 2 2 3 3 2" xfId="13640" xr:uid="{A5964D36-B41E-48EC-AF64-0D71D1F72EB5}"/>
    <cellStyle name="Normal 5 2 2 2 2 2 3 4" xfId="9422" xr:uid="{E9AA05A2-B88D-4046-BE07-DE351E10C66E}"/>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2 2 2" xfId="16198" xr:uid="{6ADE8D76-61A1-41CD-8557-89E285081E11}"/>
    <cellStyle name="Normal 5 2 2 2 2 2 4 2 3" xfId="11980" xr:uid="{4D7EABF1-2FE3-4415-9EFD-EF9D8D51F1DD}"/>
    <cellStyle name="Normal 5 2 2 2 2 2 4 3" xfId="5611" xr:uid="{00000000-0005-0000-0000-000015170000}"/>
    <cellStyle name="Normal 5 2 2 2 2 2 4 3 2" xfId="14053" xr:uid="{5F487289-6F3F-4F44-89DA-3A7781966671}"/>
    <cellStyle name="Normal 5 2 2 2 2 2 4 4" xfId="9835" xr:uid="{4C9B4663-4C6F-47D3-A660-556A2B6C8249}"/>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2 2 2" xfId="16611" xr:uid="{15A69B82-DA02-4281-8928-E3CCCC9A3D67}"/>
    <cellStyle name="Normal 5 2 2 2 2 2 5 2 3" xfId="12393" xr:uid="{78A43B5D-E4E1-4AD2-A19F-E416B3F40DEC}"/>
    <cellStyle name="Normal 5 2 2 2 2 2 5 3" xfId="6024" xr:uid="{00000000-0005-0000-0000-000019170000}"/>
    <cellStyle name="Normal 5 2 2 2 2 2 5 3 2" xfId="14466" xr:uid="{D7493567-6B77-46CC-90BD-6E7382001B02}"/>
    <cellStyle name="Normal 5 2 2 2 2 2 5 4" xfId="10248" xr:uid="{115C71B2-B2BE-40A7-9A44-E0F0208FAC7F}"/>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2 2 2" xfId="17024" xr:uid="{EDCFDC76-7874-4B9E-9DC3-3DE51AAA9D77}"/>
    <cellStyle name="Normal 5 2 2 2 2 2 6 2 3" xfId="12806" xr:uid="{00BA3E4A-1594-4363-9ECA-57F86CE75ADD}"/>
    <cellStyle name="Normal 5 2 2 2 2 2 6 3" xfId="6437" xr:uid="{00000000-0005-0000-0000-00001D170000}"/>
    <cellStyle name="Normal 5 2 2 2 2 2 6 3 2" xfId="14879" xr:uid="{38D65CF2-ED9B-47D1-8303-29C4FA20C29B}"/>
    <cellStyle name="Normal 5 2 2 2 2 2 6 4" xfId="10661" xr:uid="{277A61B0-7982-4EDD-A707-76B66F74039C}"/>
    <cellStyle name="Normal 5 2 2 2 2 2 7" xfId="2566" xr:uid="{00000000-0005-0000-0000-00001E170000}"/>
    <cellStyle name="Normal 5 2 2 2 2 2 7 2" xfId="6850" xr:uid="{00000000-0005-0000-0000-00001F170000}"/>
    <cellStyle name="Normal 5 2 2 2 2 2 7 2 2" xfId="15292" xr:uid="{463B2C54-B959-437D-8B12-DC2A2C039FCE}"/>
    <cellStyle name="Normal 5 2 2 2 2 2 7 3" xfId="11074" xr:uid="{E4087F0F-C6BB-4DA0-AA71-F248FCA6B0B3}"/>
    <cellStyle name="Normal 5 2 2 2 2 2 8" xfId="4785" xr:uid="{00000000-0005-0000-0000-000020170000}"/>
    <cellStyle name="Normal 5 2 2 2 2 2 8 2" xfId="13227" xr:uid="{A8167424-9EB0-49D3-81DF-116CF6A7AD48}"/>
    <cellStyle name="Normal 5 2 2 2 2 2 9" xfId="9009" xr:uid="{E6651707-B6C6-4A85-87A2-D980C4531C92}"/>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2 2 2" xfId="15787" xr:uid="{E85ACFD2-18AD-4BCF-B188-A28D0E56CF33}"/>
    <cellStyle name="Normal 5 2 2 2 2 3 2 2 3" xfId="11569" xr:uid="{072F758B-E4B9-4B26-A141-6BF695AA039D}"/>
    <cellStyle name="Normal 5 2 2 2 2 3 2 3" xfId="5200" xr:uid="{00000000-0005-0000-0000-000025170000}"/>
    <cellStyle name="Normal 5 2 2 2 2 3 2 3 2" xfId="13642" xr:uid="{32CDDCBD-EF7A-4517-8C7B-891991EF61E6}"/>
    <cellStyle name="Normal 5 2 2 2 2 3 2 4" xfId="9424" xr:uid="{7B41DAE1-83F3-41C2-BCA2-9081DEDC0453}"/>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2 2 2" xfId="16200" xr:uid="{644EBDE5-4E33-4B55-9239-789A730956AB}"/>
    <cellStyle name="Normal 5 2 2 2 2 3 3 2 3" xfId="11982" xr:uid="{85B404CF-755F-4A07-89A8-F6EBC590C475}"/>
    <cellStyle name="Normal 5 2 2 2 2 3 3 3" xfId="5613" xr:uid="{00000000-0005-0000-0000-000029170000}"/>
    <cellStyle name="Normal 5 2 2 2 2 3 3 3 2" xfId="14055" xr:uid="{3D793A91-66A5-4BDB-A4DB-267A61F13B7B}"/>
    <cellStyle name="Normal 5 2 2 2 2 3 3 4" xfId="9837" xr:uid="{1DDDF62F-6F3E-4480-B602-AF124303F3D9}"/>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2 2 2" xfId="16613" xr:uid="{CF10BC0C-7467-406F-BFDB-BB09E948EC5C}"/>
    <cellStyle name="Normal 5 2 2 2 2 3 4 2 3" xfId="12395" xr:uid="{04A80A39-6238-4505-9493-B321744FAA3D}"/>
    <cellStyle name="Normal 5 2 2 2 2 3 4 3" xfId="6026" xr:uid="{00000000-0005-0000-0000-00002D170000}"/>
    <cellStyle name="Normal 5 2 2 2 2 3 4 3 2" xfId="14468" xr:uid="{665D4D54-23EF-43BB-80DC-E3849C34CCB8}"/>
    <cellStyle name="Normal 5 2 2 2 2 3 4 4" xfId="10250" xr:uid="{51C56408-842F-4C16-B162-090098E22257}"/>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2 2 2" xfId="17026" xr:uid="{11175D9F-291D-4AD1-8C7A-AFC2947F4BE7}"/>
    <cellStyle name="Normal 5 2 2 2 2 3 5 2 3" xfId="12808" xr:uid="{224ED651-11B9-4216-A381-4E12900AAB72}"/>
    <cellStyle name="Normal 5 2 2 2 2 3 5 3" xfId="6439" xr:uid="{00000000-0005-0000-0000-000031170000}"/>
    <cellStyle name="Normal 5 2 2 2 2 3 5 3 2" xfId="14881" xr:uid="{10E0694A-CB47-4FEF-8D7F-CC59D5872316}"/>
    <cellStyle name="Normal 5 2 2 2 2 3 5 4" xfId="10663" xr:uid="{295EB800-B53F-46A1-BDA6-171CFE456251}"/>
    <cellStyle name="Normal 5 2 2 2 2 3 6" xfId="2568" xr:uid="{00000000-0005-0000-0000-000032170000}"/>
    <cellStyle name="Normal 5 2 2 2 2 3 6 2" xfId="6852" xr:uid="{00000000-0005-0000-0000-000033170000}"/>
    <cellStyle name="Normal 5 2 2 2 2 3 6 2 2" xfId="15294" xr:uid="{627CBD8C-CED7-4E89-A5FC-692181342179}"/>
    <cellStyle name="Normal 5 2 2 2 2 3 6 3" xfId="11076" xr:uid="{3EAD0CD5-27B3-4C52-8FDA-A0ECA5638CE7}"/>
    <cellStyle name="Normal 5 2 2 2 2 3 7" xfId="4787" xr:uid="{00000000-0005-0000-0000-000034170000}"/>
    <cellStyle name="Normal 5 2 2 2 2 3 7 2" xfId="13229" xr:uid="{027D7B5A-EF20-4B84-BD5B-7C90938E45FE}"/>
    <cellStyle name="Normal 5 2 2 2 2 3 8" xfId="9011" xr:uid="{8D13B56A-61DF-45BD-B199-91BCD7864003}"/>
    <cellStyle name="Normal 5 2 2 2 2 4" xfId="884" xr:uid="{00000000-0005-0000-0000-000035170000}"/>
    <cellStyle name="Normal 5 2 2 2 2 4 2" xfId="3119" xr:uid="{00000000-0005-0000-0000-000036170000}"/>
    <cellStyle name="Normal 5 2 2 2 2 4 2 2" xfId="7342" xr:uid="{00000000-0005-0000-0000-000037170000}"/>
    <cellStyle name="Normal 5 2 2 2 2 4 2 2 2" xfId="15784" xr:uid="{2192ED17-98C9-4059-9DC9-BD7D916B404C}"/>
    <cellStyle name="Normal 5 2 2 2 2 4 2 3" xfId="11566" xr:uid="{89554539-70F9-49A6-A712-294F2F41FAE2}"/>
    <cellStyle name="Normal 5 2 2 2 2 4 3" xfId="5197" xr:uid="{00000000-0005-0000-0000-000038170000}"/>
    <cellStyle name="Normal 5 2 2 2 2 4 3 2" xfId="13639" xr:uid="{D0857BA9-6CF7-437D-9C63-E638FB3A343F}"/>
    <cellStyle name="Normal 5 2 2 2 2 4 4" xfId="9421" xr:uid="{B6A6D4AD-4868-4E6A-A91A-1FE8D8828B6D}"/>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2 2 2" xfId="16197" xr:uid="{E931782F-3808-493B-9B30-340B60EB6125}"/>
    <cellStyle name="Normal 5 2 2 2 2 5 2 3" xfId="11979" xr:uid="{902F7A0E-C4EA-4169-8328-796CB190CFD3}"/>
    <cellStyle name="Normal 5 2 2 2 2 5 3" xfId="5610" xr:uid="{00000000-0005-0000-0000-00003C170000}"/>
    <cellStyle name="Normal 5 2 2 2 2 5 3 2" xfId="14052" xr:uid="{0B186607-C7F5-4B75-B1E7-1B1C2AEDA8FD}"/>
    <cellStyle name="Normal 5 2 2 2 2 5 4" xfId="9834" xr:uid="{A7C06834-7800-40C4-9E35-0C717F417639}"/>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2 2 2" xfId="16610" xr:uid="{2007F9B8-EFE3-4FCF-B3AF-97864B54D50F}"/>
    <cellStyle name="Normal 5 2 2 2 2 6 2 3" xfId="12392" xr:uid="{B093FCF8-44C0-42AB-B92F-AC066DF9B096}"/>
    <cellStyle name="Normal 5 2 2 2 2 6 3" xfId="6023" xr:uid="{00000000-0005-0000-0000-000040170000}"/>
    <cellStyle name="Normal 5 2 2 2 2 6 3 2" xfId="14465" xr:uid="{48E0BDBD-1B2A-415A-8170-C83EC1A21494}"/>
    <cellStyle name="Normal 5 2 2 2 2 6 4" xfId="10247" xr:uid="{50164A36-69EE-4582-9E0B-2343B576944A}"/>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2 2 2" xfId="17023" xr:uid="{337D6F17-FD15-4D69-A238-9D190EEAEE39}"/>
    <cellStyle name="Normal 5 2 2 2 2 7 2 3" xfId="12805" xr:uid="{19941E8A-DB2E-48F5-A0C2-1708AA245701}"/>
    <cellStyle name="Normal 5 2 2 2 2 7 3" xfId="6436" xr:uid="{00000000-0005-0000-0000-000044170000}"/>
    <cellStyle name="Normal 5 2 2 2 2 7 3 2" xfId="14878" xr:uid="{DA4F8E0F-6925-4A64-990C-308379FE5BBD}"/>
    <cellStyle name="Normal 5 2 2 2 2 7 4" xfId="10660" xr:uid="{739EB11D-63A2-4914-B535-5195F9256C65}"/>
    <cellStyle name="Normal 5 2 2 2 2 8" xfId="2565" xr:uid="{00000000-0005-0000-0000-000045170000}"/>
    <cellStyle name="Normal 5 2 2 2 2 8 2" xfId="6849" xr:uid="{00000000-0005-0000-0000-000046170000}"/>
    <cellStyle name="Normal 5 2 2 2 2 8 2 2" xfId="15291" xr:uid="{48296A6D-AB48-4E2F-AA2B-87EFD0EB102C}"/>
    <cellStyle name="Normal 5 2 2 2 2 8 3" xfId="11073" xr:uid="{1BD4089B-6A62-4572-9304-FB7843D87899}"/>
    <cellStyle name="Normal 5 2 2 2 2 9" xfId="4784" xr:uid="{00000000-0005-0000-0000-000047170000}"/>
    <cellStyle name="Normal 5 2 2 2 2 9 2" xfId="13226" xr:uid="{3A2FBE43-2F28-4BC4-8E23-8C6040ED5E85}"/>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2 2 2" xfId="15789" xr:uid="{920FF398-8FDB-4799-9432-A5EC5C3BAB45}"/>
    <cellStyle name="Normal 5 2 2 2 3 2 2 2 3" xfId="11571" xr:uid="{56959E7B-F8F4-4F53-B5BF-24C9C4D67CC9}"/>
    <cellStyle name="Normal 5 2 2 2 3 2 2 3" xfId="5202" xr:uid="{00000000-0005-0000-0000-00004D170000}"/>
    <cellStyle name="Normal 5 2 2 2 3 2 2 3 2" xfId="13644" xr:uid="{53B954DF-D455-47F8-A91E-CDFAD9776FBA}"/>
    <cellStyle name="Normal 5 2 2 2 3 2 2 4" xfId="9426" xr:uid="{18618976-6256-4007-AB41-2BE3EA8986DB}"/>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2 2 2" xfId="16202" xr:uid="{984474D3-6242-496A-84A0-E0B0FE89195D}"/>
    <cellStyle name="Normal 5 2 2 2 3 2 3 2 3" xfId="11984" xr:uid="{337A66F8-2798-4F9D-87F4-C09177FCA62F}"/>
    <cellStyle name="Normal 5 2 2 2 3 2 3 3" xfId="5615" xr:uid="{00000000-0005-0000-0000-000051170000}"/>
    <cellStyle name="Normal 5 2 2 2 3 2 3 3 2" xfId="14057" xr:uid="{DD07D9C7-6380-416B-875E-B0EA66788DCC}"/>
    <cellStyle name="Normal 5 2 2 2 3 2 3 4" xfId="9839" xr:uid="{3C98CDF0-3A2E-4F53-BBB7-280DE2833BC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2 2 2" xfId="16615" xr:uid="{E776D20F-1EA2-4DAC-B8D4-3DA50974B544}"/>
    <cellStyle name="Normal 5 2 2 2 3 2 4 2 3" xfId="12397" xr:uid="{E405F8CC-51C6-4BC6-8C5A-B09F9E8DCEF6}"/>
    <cellStyle name="Normal 5 2 2 2 3 2 4 3" xfId="6028" xr:uid="{00000000-0005-0000-0000-000055170000}"/>
    <cellStyle name="Normal 5 2 2 2 3 2 4 3 2" xfId="14470" xr:uid="{2630B98A-53AE-4EA8-AFED-B97FF229D051}"/>
    <cellStyle name="Normal 5 2 2 2 3 2 4 4" xfId="10252" xr:uid="{AD3C0817-9763-45E9-89D6-BE817F3168BC}"/>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2 2 2" xfId="17028" xr:uid="{33391D2C-699D-4A99-AFC3-FCBDB4C11060}"/>
    <cellStyle name="Normal 5 2 2 2 3 2 5 2 3" xfId="12810" xr:uid="{97B47D0E-013A-4584-8326-2FF2C7D7CC45}"/>
    <cellStyle name="Normal 5 2 2 2 3 2 5 3" xfId="6441" xr:uid="{00000000-0005-0000-0000-000059170000}"/>
    <cellStyle name="Normal 5 2 2 2 3 2 5 3 2" xfId="14883" xr:uid="{8A868232-B634-44FB-8645-F125823A2109}"/>
    <cellStyle name="Normal 5 2 2 2 3 2 5 4" xfId="10665" xr:uid="{2697C77D-9DDC-48B6-BFD1-2F4EA3593E67}"/>
    <cellStyle name="Normal 5 2 2 2 3 2 6" xfId="2570" xr:uid="{00000000-0005-0000-0000-00005A170000}"/>
    <cellStyle name="Normal 5 2 2 2 3 2 6 2" xfId="6854" xr:uid="{00000000-0005-0000-0000-00005B170000}"/>
    <cellStyle name="Normal 5 2 2 2 3 2 6 2 2" xfId="15296" xr:uid="{B6200631-5136-4C32-9E09-2B48528F1ACC}"/>
    <cellStyle name="Normal 5 2 2 2 3 2 6 3" xfId="11078" xr:uid="{694725AB-47A8-4ADF-B340-3DE363EF0B8B}"/>
    <cellStyle name="Normal 5 2 2 2 3 2 7" xfId="4789" xr:uid="{00000000-0005-0000-0000-00005C170000}"/>
    <cellStyle name="Normal 5 2 2 2 3 2 7 2" xfId="13231" xr:uid="{36FEDB54-3918-423C-BC2D-5DAE5995DF3E}"/>
    <cellStyle name="Normal 5 2 2 2 3 2 8" xfId="9013" xr:uid="{116D9CAF-F3B0-46E1-942D-A9FE034C23DB}"/>
    <cellStyle name="Normal 5 2 2 2 3 3" xfId="888" xr:uid="{00000000-0005-0000-0000-00005D170000}"/>
    <cellStyle name="Normal 5 2 2 2 3 3 2" xfId="3123" xr:uid="{00000000-0005-0000-0000-00005E170000}"/>
    <cellStyle name="Normal 5 2 2 2 3 3 2 2" xfId="7346" xr:uid="{00000000-0005-0000-0000-00005F170000}"/>
    <cellStyle name="Normal 5 2 2 2 3 3 2 2 2" xfId="15788" xr:uid="{6004F5E5-DDE3-42A8-A109-6A8F6A9BC2B2}"/>
    <cellStyle name="Normal 5 2 2 2 3 3 2 3" xfId="11570" xr:uid="{B2402490-D15F-4491-93D9-675459729000}"/>
    <cellStyle name="Normal 5 2 2 2 3 3 3" xfId="5201" xr:uid="{00000000-0005-0000-0000-000060170000}"/>
    <cellStyle name="Normal 5 2 2 2 3 3 3 2" xfId="13643" xr:uid="{4E5DCBB5-6902-425F-8ACA-EACF45F8C960}"/>
    <cellStyle name="Normal 5 2 2 2 3 3 4" xfId="9425" xr:uid="{36D1B744-B679-49DE-AA09-8EF319339287}"/>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2 2 2" xfId="16201" xr:uid="{A2632469-010A-4BE9-B5D2-7D28982B5052}"/>
    <cellStyle name="Normal 5 2 2 2 3 4 2 3" xfId="11983" xr:uid="{76CC1F2F-B422-4BD4-8A30-E7A6CD1EF862}"/>
    <cellStyle name="Normal 5 2 2 2 3 4 3" xfId="5614" xr:uid="{00000000-0005-0000-0000-000064170000}"/>
    <cellStyle name="Normal 5 2 2 2 3 4 3 2" xfId="14056" xr:uid="{958712D5-B507-4AB1-B6F2-52699D02FF5B}"/>
    <cellStyle name="Normal 5 2 2 2 3 4 4" xfId="9838" xr:uid="{38850260-84CB-4535-83C1-EDE3BA64E1E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2 2 2" xfId="16614" xr:uid="{5C1DB02E-02DC-4B86-9A9F-6B50DCECFFD5}"/>
    <cellStyle name="Normal 5 2 2 2 3 5 2 3" xfId="12396" xr:uid="{8D0A82C8-2EB9-400A-87BE-381FAA1EFD4D}"/>
    <cellStyle name="Normal 5 2 2 2 3 5 3" xfId="6027" xr:uid="{00000000-0005-0000-0000-000068170000}"/>
    <cellStyle name="Normal 5 2 2 2 3 5 3 2" xfId="14469" xr:uid="{0BCF3697-8E9A-4839-ACFC-2D7FB06F2A7C}"/>
    <cellStyle name="Normal 5 2 2 2 3 5 4" xfId="10251" xr:uid="{6B0C88B4-ECD0-4E94-A520-4A8372DDA9FF}"/>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2 2 2" xfId="17027" xr:uid="{0B632D9A-6FCF-43B9-9D12-FE946C67563F}"/>
    <cellStyle name="Normal 5 2 2 2 3 6 2 3" xfId="12809" xr:uid="{0E624DFF-3DA7-45BE-9AE8-D88AC12372B7}"/>
    <cellStyle name="Normal 5 2 2 2 3 6 3" xfId="6440" xr:uid="{00000000-0005-0000-0000-00006C170000}"/>
    <cellStyle name="Normal 5 2 2 2 3 6 3 2" xfId="14882" xr:uid="{26820548-6C3A-4071-9E8B-C2424C202AF4}"/>
    <cellStyle name="Normal 5 2 2 2 3 6 4" xfId="10664" xr:uid="{481476C6-6B05-45A6-9126-5F659DEA48BF}"/>
    <cellStyle name="Normal 5 2 2 2 3 7" xfId="2569" xr:uid="{00000000-0005-0000-0000-00006D170000}"/>
    <cellStyle name="Normal 5 2 2 2 3 7 2" xfId="6853" xr:uid="{00000000-0005-0000-0000-00006E170000}"/>
    <cellStyle name="Normal 5 2 2 2 3 7 2 2" xfId="15295" xr:uid="{BC406D6B-3A4B-4A07-9BFA-BF85DC1975EB}"/>
    <cellStyle name="Normal 5 2 2 2 3 7 3" xfId="11077" xr:uid="{82A5FFE9-F163-408D-A3CA-7D48C2506AEC}"/>
    <cellStyle name="Normal 5 2 2 2 3 8" xfId="4788" xr:uid="{00000000-0005-0000-0000-00006F170000}"/>
    <cellStyle name="Normal 5 2 2 2 3 8 2" xfId="13230" xr:uid="{F8C1BB20-B57B-4DD6-AAD6-3D1F818080FA}"/>
    <cellStyle name="Normal 5 2 2 2 3 9" xfId="9012" xr:uid="{F2B5B655-A3BB-48DE-8CCB-8A43199C7223}"/>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2 2 2" xfId="15790" xr:uid="{73585BED-7037-44E2-889C-E8159C357480}"/>
    <cellStyle name="Normal 5 2 2 2 4 2 2 3" xfId="11572" xr:uid="{FDCB20C0-01FE-4F65-BB23-B20E32BF7727}"/>
    <cellStyle name="Normal 5 2 2 2 4 2 3" xfId="5203" xr:uid="{00000000-0005-0000-0000-000074170000}"/>
    <cellStyle name="Normal 5 2 2 2 4 2 3 2" xfId="13645" xr:uid="{7BB30E60-8F6A-4C05-90AD-3AA1BD1E62A5}"/>
    <cellStyle name="Normal 5 2 2 2 4 2 4" xfId="9427" xr:uid="{FC42C255-19B2-4D35-A2DA-6AF891D74659}"/>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2 2 2" xfId="16203" xr:uid="{3EF17DAE-46CD-448C-816A-F486DF40710D}"/>
    <cellStyle name="Normal 5 2 2 2 4 3 2 3" xfId="11985" xr:uid="{8337115C-3D06-4BBC-8C59-7A257CCDDAC3}"/>
    <cellStyle name="Normal 5 2 2 2 4 3 3" xfId="5616" xr:uid="{00000000-0005-0000-0000-000078170000}"/>
    <cellStyle name="Normal 5 2 2 2 4 3 3 2" xfId="14058" xr:uid="{95A6C68E-9115-418E-808C-0C170C0FE1FD}"/>
    <cellStyle name="Normal 5 2 2 2 4 3 4" xfId="9840" xr:uid="{5C3BAAA6-C490-4612-8E80-92BBD97E7FA2}"/>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2 2 2" xfId="16616" xr:uid="{B0A84C43-A841-4764-9B72-2CF13D685ACC}"/>
    <cellStyle name="Normal 5 2 2 2 4 4 2 3" xfId="12398" xr:uid="{564AC749-2302-402B-B62C-44F33044A32D}"/>
    <cellStyle name="Normal 5 2 2 2 4 4 3" xfId="6029" xr:uid="{00000000-0005-0000-0000-00007C170000}"/>
    <cellStyle name="Normal 5 2 2 2 4 4 3 2" xfId="14471" xr:uid="{28A1AA43-B0BF-44D2-8A36-0B9A02E78749}"/>
    <cellStyle name="Normal 5 2 2 2 4 4 4" xfId="10253" xr:uid="{9F3F6B01-3018-4057-90CA-77D829F21F93}"/>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2 2 2" xfId="17029" xr:uid="{E10AAED2-3FE9-4791-812C-B4E2087BFEB1}"/>
    <cellStyle name="Normal 5 2 2 2 4 5 2 3" xfId="12811" xr:uid="{EA53377E-9D38-4127-B0DC-632EA42B1597}"/>
    <cellStyle name="Normal 5 2 2 2 4 5 3" xfId="6442" xr:uid="{00000000-0005-0000-0000-000080170000}"/>
    <cellStyle name="Normal 5 2 2 2 4 5 3 2" xfId="14884" xr:uid="{E9B250F1-0601-4C81-BA82-8ADC39227DAA}"/>
    <cellStyle name="Normal 5 2 2 2 4 5 4" xfId="10666" xr:uid="{F38A639C-7E03-4D3B-9E04-3B77EC3565F7}"/>
    <cellStyle name="Normal 5 2 2 2 4 6" xfId="2571" xr:uid="{00000000-0005-0000-0000-000081170000}"/>
    <cellStyle name="Normal 5 2 2 2 4 6 2" xfId="6855" xr:uid="{00000000-0005-0000-0000-000082170000}"/>
    <cellStyle name="Normal 5 2 2 2 4 6 2 2" xfId="15297" xr:uid="{5BC0FC13-AE54-41F3-B2B4-8F6230E069AC}"/>
    <cellStyle name="Normal 5 2 2 2 4 6 3" xfId="11079" xr:uid="{5A449C04-65CC-49BF-9848-6633CFEE30CC}"/>
    <cellStyle name="Normal 5 2 2 2 4 7" xfId="4790" xr:uid="{00000000-0005-0000-0000-000083170000}"/>
    <cellStyle name="Normal 5 2 2 2 4 7 2" xfId="13232" xr:uid="{885E8F15-61D4-4A37-8E87-6E8C19A6A5BE}"/>
    <cellStyle name="Normal 5 2 2 2 4 8" xfId="9014" xr:uid="{59563969-1AC4-4519-82FC-88A5DF892A0E}"/>
    <cellStyle name="Normal 5 2 2 2 5" xfId="883" xr:uid="{00000000-0005-0000-0000-000084170000}"/>
    <cellStyle name="Normal 5 2 2 2 5 2" xfId="3118" xr:uid="{00000000-0005-0000-0000-000085170000}"/>
    <cellStyle name="Normal 5 2 2 2 5 2 2" xfId="7341" xr:uid="{00000000-0005-0000-0000-000086170000}"/>
    <cellStyle name="Normal 5 2 2 2 5 2 2 2" xfId="15783" xr:uid="{438B790F-6BB8-4EAF-8D15-21BDD4472560}"/>
    <cellStyle name="Normal 5 2 2 2 5 2 3" xfId="11565" xr:uid="{C461EE42-F581-42C3-91B1-3513B34792F2}"/>
    <cellStyle name="Normal 5 2 2 2 5 3" xfId="5196" xr:uid="{00000000-0005-0000-0000-000087170000}"/>
    <cellStyle name="Normal 5 2 2 2 5 3 2" xfId="13638" xr:uid="{E735E3D0-DB80-4685-A879-EBA5EBFA7472}"/>
    <cellStyle name="Normal 5 2 2 2 5 4" xfId="9420" xr:uid="{050509BC-A82F-48BA-8DB4-32B0D64790E0}"/>
    <cellStyle name="Normal 5 2 2 2 6" xfId="1301" xr:uid="{00000000-0005-0000-0000-000088170000}"/>
    <cellStyle name="Normal 5 2 2 2 6 2" xfId="3531" xr:uid="{00000000-0005-0000-0000-000089170000}"/>
    <cellStyle name="Normal 5 2 2 2 6 2 2" xfId="7754" xr:uid="{00000000-0005-0000-0000-00008A170000}"/>
    <cellStyle name="Normal 5 2 2 2 6 2 2 2" xfId="16196" xr:uid="{4A2C914E-1BED-40AB-B864-FBF410E8D159}"/>
    <cellStyle name="Normal 5 2 2 2 6 2 3" xfId="11978" xr:uid="{C194375C-3EBC-4F73-807F-F1338BA087D7}"/>
    <cellStyle name="Normal 5 2 2 2 6 3" xfId="5609" xr:uid="{00000000-0005-0000-0000-00008B170000}"/>
    <cellStyle name="Normal 5 2 2 2 6 3 2" xfId="14051" xr:uid="{281CE26E-382A-4797-BB13-FEF0759A04B3}"/>
    <cellStyle name="Normal 5 2 2 2 6 4" xfId="9833" xr:uid="{C5C503FE-A2C0-489C-AED8-CDFF2265462A}"/>
    <cellStyle name="Normal 5 2 2 2 7" xfId="1714" xr:uid="{00000000-0005-0000-0000-00008C170000}"/>
    <cellStyle name="Normal 5 2 2 2 7 2" xfId="3944" xr:uid="{00000000-0005-0000-0000-00008D170000}"/>
    <cellStyle name="Normal 5 2 2 2 7 2 2" xfId="8167" xr:uid="{00000000-0005-0000-0000-00008E170000}"/>
    <cellStyle name="Normal 5 2 2 2 7 2 2 2" xfId="16609" xr:uid="{44E47491-D365-45E9-BA0D-0C3D69FBBFAA}"/>
    <cellStyle name="Normal 5 2 2 2 7 2 3" xfId="12391" xr:uid="{AFD0C963-2B34-48F7-89B7-72821D2F9503}"/>
    <cellStyle name="Normal 5 2 2 2 7 3" xfId="6022" xr:uid="{00000000-0005-0000-0000-00008F170000}"/>
    <cellStyle name="Normal 5 2 2 2 7 3 2" xfId="14464" xr:uid="{D95ABD2C-3DF5-4C9D-AFBD-9B901E23B439}"/>
    <cellStyle name="Normal 5 2 2 2 7 4" xfId="10246" xr:uid="{9C3A038E-47F8-4050-A35E-252B4521A6E7}"/>
    <cellStyle name="Normal 5 2 2 2 8" xfId="2128" xr:uid="{00000000-0005-0000-0000-000090170000}"/>
    <cellStyle name="Normal 5 2 2 2 8 2" xfId="4357" xr:uid="{00000000-0005-0000-0000-000091170000}"/>
    <cellStyle name="Normal 5 2 2 2 8 2 2" xfId="8580" xr:uid="{00000000-0005-0000-0000-000092170000}"/>
    <cellStyle name="Normal 5 2 2 2 8 2 2 2" xfId="17022" xr:uid="{93E5BAA7-ADE5-4FD2-B777-9DA4BC2F5A3E}"/>
    <cellStyle name="Normal 5 2 2 2 8 2 3" xfId="12804" xr:uid="{E9FEEEFA-B1C0-441D-B237-40D2871081E2}"/>
    <cellStyle name="Normal 5 2 2 2 8 3" xfId="6435" xr:uid="{00000000-0005-0000-0000-000093170000}"/>
    <cellStyle name="Normal 5 2 2 2 8 3 2" xfId="14877" xr:uid="{86353EE8-4620-4328-AAF8-DB98B5FFF5BF}"/>
    <cellStyle name="Normal 5 2 2 2 8 4" xfId="10659" xr:uid="{39247FEB-B5D6-4E4F-8ED9-D947D7D5BCB9}"/>
    <cellStyle name="Normal 5 2 2 2 9" xfId="2564" xr:uid="{00000000-0005-0000-0000-000094170000}"/>
    <cellStyle name="Normal 5 2 2 2 9 2" xfId="6848" xr:uid="{00000000-0005-0000-0000-000095170000}"/>
    <cellStyle name="Normal 5 2 2 2 9 2 2" xfId="15290" xr:uid="{F110C6FA-2051-4068-B188-80632DEA7D59}"/>
    <cellStyle name="Normal 5 2 2 2 9 3" xfId="11072" xr:uid="{E5B4230F-CAE1-47E4-BA9A-2CDE7A56346D}"/>
    <cellStyle name="Normal 5 2 2 3" xfId="417" xr:uid="{00000000-0005-0000-0000-000096170000}"/>
    <cellStyle name="Normal 5 2 2 3 10" xfId="9015" xr:uid="{2EC98C78-D522-4681-B7B7-2A62AA8BD732}"/>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2 2 2" xfId="15793" xr:uid="{8BEA5584-8FC2-461E-951F-5C813B26CECD}"/>
    <cellStyle name="Normal 5 2 2 3 2 2 2 2 3" xfId="11575" xr:uid="{8A9F00A8-4B14-4729-96A0-7CCE9FF7488A}"/>
    <cellStyle name="Normal 5 2 2 3 2 2 2 3" xfId="5206" xr:uid="{00000000-0005-0000-0000-00009C170000}"/>
    <cellStyle name="Normal 5 2 2 3 2 2 2 3 2" xfId="13648" xr:uid="{B63F6E92-599C-4874-B599-2F607258CD09}"/>
    <cellStyle name="Normal 5 2 2 3 2 2 2 4" xfId="9430" xr:uid="{CFD71744-06FA-4D54-AC73-2BD12208C38E}"/>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2 2 2" xfId="16206" xr:uid="{8787516F-8570-4C9B-B7EB-D5073C5F2A17}"/>
    <cellStyle name="Normal 5 2 2 3 2 2 3 2 3" xfId="11988" xr:uid="{9442733E-5EAF-4E81-B685-D22471182097}"/>
    <cellStyle name="Normal 5 2 2 3 2 2 3 3" xfId="5619" xr:uid="{00000000-0005-0000-0000-0000A0170000}"/>
    <cellStyle name="Normal 5 2 2 3 2 2 3 3 2" xfId="14061" xr:uid="{45B38806-29CF-4E9A-BA7A-9786146123F7}"/>
    <cellStyle name="Normal 5 2 2 3 2 2 3 4" xfId="9843" xr:uid="{E97662E5-5F6A-4DA3-B49C-3975BAABD403}"/>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2 2 2" xfId="16619" xr:uid="{A29150DF-78E8-44E6-B8CE-21552AA8F158}"/>
    <cellStyle name="Normal 5 2 2 3 2 2 4 2 3" xfId="12401" xr:uid="{00FB5D70-14E2-4FE2-9BC9-F1E97E1D5C74}"/>
    <cellStyle name="Normal 5 2 2 3 2 2 4 3" xfId="6032" xr:uid="{00000000-0005-0000-0000-0000A4170000}"/>
    <cellStyle name="Normal 5 2 2 3 2 2 4 3 2" xfId="14474" xr:uid="{86A97800-559F-4E67-9726-5202B05C40FC}"/>
    <cellStyle name="Normal 5 2 2 3 2 2 4 4" xfId="10256" xr:uid="{FCBEDE58-C850-49EB-BCBE-6F40C048EB1F}"/>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2 2 2" xfId="17032" xr:uid="{DDE023ED-86BA-425F-9F85-DDB75DC895BC}"/>
    <cellStyle name="Normal 5 2 2 3 2 2 5 2 3" xfId="12814" xr:uid="{43F69707-4552-4981-AFCB-AC69B5BC9F0D}"/>
    <cellStyle name="Normal 5 2 2 3 2 2 5 3" xfId="6445" xr:uid="{00000000-0005-0000-0000-0000A8170000}"/>
    <cellStyle name="Normal 5 2 2 3 2 2 5 3 2" xfId="14887" xr:uid="{3CA82E65-B551-4EE9-ABD9-8879D9890F0E}"/>
    <cellStyle name="Normal 5 2 2 3 2 2 5 4" xfId="10669" xr:uid="{E9D70273-FF17-4D7C-9FE2-322763F6FCD4}"/>
    <cellStyle name="Normal 5 2 2 3 2 2 6" xfId="2574" xr:uid="{00000000-0005-0000-0000-0000A9170000}"/>
    <cellStyle name="Normal 5 2 2 3 2 2 6 2" xfId="6858" xr:uid="{00000000-0005-0000-0000-0000AA170000}"/>
    <cellStyle name="Normal 5 2 2 3 2 2 6 2 2" xfId="15300" xr:uid="{FCDC9C0C-3BE5-48CB-B8EF-B0ED80D18703}"/>
    <cellStyle name="Normal 5 2 2 3 2 2 6 3" xfId="11082" xr:uid="{D3220773-597E-422D-AF7C-B9F3D2E3C8F9}"/>
    <cellStyle name="Normal 5 2 2 3 2 2 7" xfId="4793" xr:uid="{00000000-0005-0000-0000-0000AB170000}"/>
    <cellStyle name="Normal 5 2 2 3 2 2 7 2" xfId="13235" xr:uid="{6163AE91-A6CA-45F7-AE09-07F38F5351F5}"/>
    <cellStyle name="Normal 5 2 2 3 2 2 8" xfId="9017" xr:uid="{36E9CCE2-F42E-4997-BBA6-F9D6684F153C}"/>
    <cellStyle name="Normal 5 2 2 3 2 3" xfId="892" xr:uid="{00000000-0005-0000-0000-0000AC170000}"/>
    <cellStyle name="Normal 5 2 2 3 2 3 2" xfId="3127" xr:uid="{00000000-0005-0000-0000-0000AD170000}"/>
    <cellStyle name="Normal 5 2 2 3 2 3 2 2" xfId="7350" xr:uid="{00000000-0005-0000-0000-0000AE170000}"/>
    <cellStyle name="Normal 5 2 2 3 2 3 2 2 2" xfId="15792" xr:uid="{7F903750-3DA7-4CD7-981F-F5307CBB5FE2}"/>
    <cellStyle name="Normal 5 2 2 3 2 3 2 3" xfId="11574" xr:uid="{D4AE20A3-EFFA-4405-80D3-E12B4DCF111F}"/>
    <cellStyle name="Normal 5 2 2 3 2 3 3" xfId="5205" xr:uid="{00000000-0005-0000-0000-0000AF170000}"/>
    <cellStyle name="Normal 5 2 2 3 2 3 3 2" xfId="13647" xr:uid="{0EFA8166-0F88-426D-9935-AB772A674A2A}"/>
    <cellStyle name="Normal 5 2 2 3 2 3 4" xfId="9429" xr:uid="{4C9F00ED-4D08-43D6-B6E8-C43F9382710D}"/>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2 2 2" xfId="16205" xr:uid="{F4DC76BB-B376-455D-85A5-24EA032ABE30}"/>
    <cellStyle name="Normal 5 2 2 3 2 4 2 3" xfId="11987" xr:uid="{2F8F8F0A-6CCA-4F16-BB36-A9B0738D662E}"/>
    <cellStyle name="Normal 5 2 2 3 2 4 3" xfId="5618" xr:uid="{00000000-0005-0000-0000-0000B3170000}"/>
    <cellStyle name="Normal 5 2 2 3 2 4 3 2" xfId="14060" xr:uid="{653AA43B-E465-4801-9F4A-EF032F9EFE96}"/>
    <cellStyle name="Normal 5 2 2 3 2 4 4" xfId="9842" xr:uid="{F2AF778A-FB11-4C0B-9FC1-4F03ABF311D7}"/>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2 2 2" xfId="16618" xr:uid="{1CB7A8C4-2FDD-46B6-A34A-A2261C979730}"/>
    <cellStyle name="Normal 5 2 2 3 2 5 2 3" xfId="12400" xr:uid="{3F2ED33E-BBB5-4B76-90FD-A46EF9FE8D4D}"/>
    <cellStyle name="Normal 5 2 2 3 2 5 3" xfId="6031" xr:uid="{00000000-0005-0000-0000-0000B7170000}"/>
    <cellStyle name="Normal 5 2 2 3 2 5 3 2" xfId="14473" xr:uid="{12FE8F5B-77CF-4EAA-906B-45B31840A871}"/>
    <cellStyle name="Normal 5 2 2 3 2 5 4" xfId="10255" xr:uid="{24FDE434-1904-4031-8B5B-84AF21376C1D}"/>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2 2 2" xfId="17031" xr:uid="{A5609260-1BBF-489B-8142-9058C1BCA224}"/>
    <cellStyle name="Normal 5 2 2 3 2 6 2 3" xfId="12813" xr:uid="{3D389D03-7252-4580-8DC8-D7CF50B776FE}"/>
    <cellStyle name="Normal 5 2 2 3 2 6 3" xfId="6444" xr:uid="{00000000-0005-0000-0000-0000BB170000}"/>
    <cellStyle name="Normal 5 2 2 3 2 6 3 2" xfId="14886" xr:uid="{E2C99D1F-2905-4C28-A7DA-8DFD013A4504}"/>
    <cellStyle name="Normal 5 2 2 3 2 6 4" xfId="10668" xr:uid="{A60E49D3-F72D-4126-B7C1-07903926E937}"/>
    <cellStyle name="Normal 5 2 2 3 2 7" xfId="2573" xr:uid="{00000000-0005-0000-0000-0000BC170000}"/>
    <cellStyle name="Normal 5 2 2 3 2 7 2" xfId="6857" xr:uid="{00000000-0005-0000-0000-0000BD170000}"/>
    <cellStyle name="Normal 5 2 2 3 2 7 2 2" xfId="15299" xr:uid="{ACF73C3C-481C-4D26-8339-103D53790F9F}"/>
    <cellStyle name="Normal 5 2 2 3 2 7 3" xfId="11081" xr:uid="{A767FE14-3432-4CF0-8CDF-2CFAD6EC9FF4}"/>
    <cellStyle name="Normal 5 2 2 3 2 8" xfId="4792" xr:uid="{00000000-0005-0000-0000-0000BE170000}"/>
    <cellStyle name="Normal 5 2 2 3 2 8 2" xfId="13234" xr:uid="{795349D3-4D02-4743-A752-978D09C861A3}"/>
    <cellStyle name="Normal 5 2 2 3 2 9" xfId="9016" xr:uid="{D0802B56-8F5C-4090-9BF5-7B5821E38832}"/>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2 2 2" xfId="15794" xr:uid="{B167ABC8-A1FE-4298-8D4A-68F7076DC3F7}"/>
    <cellStyle name="Normal 5 2 2 3 3 2 2 3" xfId="11576" xr:uid="{F68EE1BC-C27E-4968-807B-F9BD81552BFA}"/>
    <cellStyle name="Normal 5 2 2 3 3 2 3" xfId="5207" xr:uid="{00000000-0005-0000-0000-0000C3170000}"/>
    <cellStyle name="Normal 5 2 2 3 3 2 3 2" xfId="13649" xr:uid="{F2B646BC-3FFC-4E3B-97CA-D1111FDE4BD6}"/>
    <cellStyle name="Normal 5 2 2 3 3 2 4" xfId="9431" xr:uid="{64E117EA-9EE2-4507-A1A2-3DA0AF8C1B11}"/>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2 2 2" xfId="16207" xr:uid="{9733A997-3252-4A67-9A62-2374353BC0AF}"/>
    <cellStyle name="Normal 5 2 2 3 3 3 2 3" xfId="11989" xr:uid="{EADD0D0B-1E31-413F-83A3-77A7E4230D66}"/>
    <cellStyle name="Normal 5 2 2 3 3 3 3" xfId="5620" xr:uid="{00000000-0005-0000-0000-0000C7170000}"/>
    <cellStyle name="Normal 5 2 2 3 3 3 3 2" xfId="14062" xr:uid="{78BCE189-E68B-4421-8246-12FF3219F18F}"/>
    <cellStyle name="Normal 5 2 2 3 3 3 4" xfId="9844" xr:uid="{EBF93EAB-6F63-4C6E-B115-EBC94BF64415}"/>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2 2 2" xfId="16620" xr:uid="{0475335F-EF9E-4261-B13B-A7010E9C0D5E}"/>
    <cellStyle name="Normal 5 2 2 3 3 4 2 3" xfId="12402" xr:uid="{6B25B9D2-3382-48C0-A942-AB2B29C7068E}"/>
    <cellStyle name="Normal 5 2 2 3 3 4 3" xfId="6033" xr:uid="{00000000-0005-0000-0000-0000CB170000}"/>
    <cellStyle name="Normal 5 2 2 3 3 4 3 2" xfId="14475" xr:uid="{B45CC8FE-3B05-4659-9528-C3D97ACEED6F}"/>
    <cellStyle name="Normal 5 2 2 3 3 4 4" xfId="10257" xr:uid="{5D191B16-625E-4036-A050-690AAD4D37C6}"/>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2 2 2" xfId="17033" xr:uid="{C89BB820-78AA-40EE-9D4E-60EC7D3B6A5A}"/>
    <cellStyle name="Normal 5 2 2 3 3 5 2 3" xfId="12815" xr:uid="{4028795A-D076-479A-A19F-C37AD8C49D6B}"/>
    <cellStyle name="Normal 5 2 2 3 3 5 3" xfId="6446" xr:uid="{00000000-0005-0000-0000-0000CF170000}"/>
    <cellStyle name="Normal 5 2 2 3 3 5 3 2" xfId="14888" xr:uid="{CF57F231-CDB0-4981-A98C-AF7591EAB988}"/>
    <cellStyle name="Normal 5 2 2 3 3 5 4" xfId="10670" xr:uid="{8740580D-B66B-4E8D-AFB0-6EF7EEF8F0A7}"/>
    <cellStyle name="Normal 5 2 2 3 3 6" xfId="2575" xr:uid="{00000000-0005-0000-0000-0000D0170000}"/>
    <cellStyle name="Normal 5 2 2 3 3 6 2" xfId="6859" xr:uid="{00000000-0005-0000-0000-0000D1170000}"/>
    <cellStyle name="Normal 5 2 2 3 3 6 2 2" xfId="15301" xr:uid="{D61BC66B-CED4-4724-BED9-F02B9FF42157}"/>
    <cellStyle name="Normal 5 2 2 3 3 6 3" xfId="11083" xr:uid="{C27F715A-2934-49F0-B3C1-69E2467DBFB9}"/>
    <cellStyle name="Normal 5 2 2 3 3 7" xfId="4794" xr:uid="{00000000-0005-0000-0000-0000D2170000}"/>
    <cellStyle name="Normal 5 2 2 3 3 7 2" xfId="13236" xr:uid="{0D292DF4-FD29-4E6B-B2FC-25232ED15603}"/>
    <cellStyle name="Normal 5 2 2 3 3 8" xfId="9018" xr:uid="{C4E76928-DDC2-430F-8E62-F9CB0832FC34}"/>
    <cellStyle name="Normal 5 2 2 3 4" xfId="891" xr:uid="{00000000-0005-0000-0000-0000D3170000}"/>
    <cellStyle name="Normal 5 2 2 3 4 2" xfId="3126" xr:uid="{00000000-0005-0000-0000-0000D4170000}"/>
    <cellStyle name="Normal 5 2 2 3 4 2 2" xfId="7349" xr:uid="{00000000-0005-0000-0000-0000D5170000}"/>
    <cellStyle name="Normal 5 2 2 3 4 2 2 2" xfId="15791" xr:uid="{869875CC-5F95-44AD-A355-26140280C594}"/>
    <cellStyle name="Normal 5 2 2 3 4 2 3" xfId="11573" xr:uid="{0F7C09B2-C436-4EDE-93FA-30D97CE5C849}"/>
    <cellStyle name="Normal 5 2 2 3 4 3" xfId="5204" xr:uid="{00000000-0005-0000-0000-0000D6170000}"/>
    <cellStyle name="Normal 5 2 2 3 4 3 2" xfId="13646" xr:uid="{90ADC429-F0EC-40DF-87AE-391E2A7A756C}"/>
    <cellStyle name="Normal 5 2 2 3 4 4" xfId="9428" xr:uid="{8E5BB294-415E-4AEA-9A0E-8DA1EC0B05AF}"/>
    <cellStyle name="Normal 5 2 2 3 5" xfId="1309" xr:uid="{00000000-0005-0000-0000-0000D7170000}"/>
    <cellStyle name="Normal 5 2 2 3 5 2" xfId="3539" xr:uid="{00000000-0005-0000-0000-0000D8170000}"/>
    <cellStyle name="Normal 5 2 2 3 5 2 2" xfId="7762" xr:uid="{00000000-0005-0000-0000-0000D9170000}"/>
    <cellStyle name="Normal 5 2 2 3 5 2 2 2" xfId="16204" xr:uid="{0C3D9D0F-D9B0-4E22-9788-E3F0B63AB02A}"/>
    <cellStyle name="Normal 5 2 2 3 5 2 3" xfId="11986" xr:uid="{B04AD3BA-50C5-47BD-86E2-580CBD962849}"/>
    <cellStyle name="Normal 5 2 2 3 5 3" xfId="5617" xr:uid="{00000000-0005-0000-0000-0000DA170000}"/>
    <cellStyle name="Normal 5 2 2 3 5 3 2" xfId="14059" xr:uid="{A7AFA893-971A-4975-9FA2-640A34C8693D}"/>
    <cellStyle name="Normal 5 2 2 3 5 4" xfId="9841" xr:uid="{C486F2B4-D2F4-4B89-BA06-2149C50AC437}"/>
    <cellStyle name="Normal 5 2 2 3 6" xfId="1722" xr:uid="{00000000-0005-0000-0000-0000DB170000}"/>
    <cellStyle name="Normal 5 2 2 3 6 2" xfId="3952" xr:uid="{00000000-0005-0000-0000-0000DC170000}"/>
    <cellStyle name="Normal 5 2 2 3 6 2 2" xfId="8175" xr:uid="{00000000-0005-0000-0000-0000DD170000}"/>
    <cellStyle name="Normal 5 2 2 3 6 2 2 2" xfId="16617" xr:uid="{BB01CC77-968F-4856-9DD5-3B15917CD87D}"/>
    <cellStyle name="Normal 5 2 2 3 6 2 3" xfId="12399" xr:uid="{0E13C1BB-774E-4C63-B962-DBE33069932F}"/>
    <cellStyle name="Normal 5 2 2 3 6 3" xfId="6030" xr:uid="{00000000-0005-0000-0000-0000DE170000}"/>
    <cellStyle name="Normal 5 2 2 3 6 3 2" xfId="14472" xr:uid="{96C05ED1-6568-4BD9-93CC-367A82BA0DBB}"/>
    <cellStyle name="Normal 5 2 2 3 6 4" xfId="10254" xr:uid="{0E7AF2B7-78C6-40C9-A15C-208D317F5AA5}"/>
    <cellStyle name="Normal 5 2 2 3 7" xfId="2136" xr:uid="{00000000-0005-0000-0000-0000DF170000}"/>
    <cellStyle name="Normal 5 2 2 3 7 2" xfId="4365" xr:uid="{00000000-0005-0000-0000-0000E0170000}"/>
    <cellStyle name="Normal 5 2 2 3 7 2 2" xfId="8588" xr:uid="{00000000-0005-0000-0000-0000E1170000}"/>
    <cellStyle name="Normal 5 2 2 3 7 2 2 2" xfId="17030" xr:uid="{6679E1C1-3C53-47FC-BCFB-E82A2B5A2BA4}"/>
    <cellStyle name="Normal 5 2 2 3 7 2 3" xfId="12812" xr:uid="{E399B621-572D-43DF-8D00-6A5A876ABEF1}"/>
    <cellStyle name="Normal 5 2 2 3 7 3" xfId="6443" xr:uid="{00000000-0005-0000-0000-0000E2170000}"/>
    <cellStyle name="Normal 5 2 2 3 7 3 2" xfId="14885" xr:uid="{4AA60439-6048-47C7-8037-692B9EC58BF6}"/>
    <cellStyle name="Normal 5 2 2 3 7 4" xfId="10667" xr:uid="{F28C83E4-43C2-4679-B41C-187A95D365B4}"/>
    <cellStyle name="Normal 5 2 2 3 8" xfId="2572" xr:uid="{00000000-0005-0000-0000-0000E3170000}"/>
    <cellStyle name="Normal 5 2 2 3 8 2" xfId="6856" xr:uid="{00000000-0005-0000-0000-0000E4170000}"/>
    <cellStyle name="Normal 5 2 2 3 8 2 2" xfId="15298" xr:uid="{42890C33-B775-4A72-A185-0606B4C7368D}"/>
    <cellStyle name="Normal 5 2 2 3 8 3" xfId="11080" xr:uid="{1B0B27BD-7A78-4014-9FCA-46A2EA616CC9}"/>
    <cellStyle name="Normal 5 2 2 3 9" xfId="4791" xr:uid="{00000000-0005-0000-0000-0000E5170000}"/>
    <cellStyle name="Normal 5 2 2 3 9 2" xfId="13233" xr:uid="{65C2B7E1-B4F3-40FC-8F0A-D16EB0F8071A}"/>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2 2 2" xfId="15796" xr:uid="{A27AF0AD-931F-4921-8D3A-DDE11A0FA1E9}"/>
    <cellStyle name="Normal 5 2 2 4 2 2 2 3" xfId="11578" xr:uid="{E107D9D9-4EE3-4FEF-9F0E-A01A16C45294}"/>
    <cellStyle name="Normal 5 2 2 4 2 2 3" xfId="5209" xr:uid="{00000000-0005-0000-0000-0000EB170000}"/>
    <cellStyle name="Normal 5 2 2 4 2 2 3 2" xfId="13651" xr:uid="{BBD637E9-74C9-43FD-BA6D-CB5A404DF3E9}"/>
    <cellStyle name="Normal 5 2 2 4 2 2 4" xfId="9433" xr:uid="{4F2B9940-F941-4806-AD31-8A5A54B5F24D}"/>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2 2 2" xfId="16209" xr:uid="{E2BEAB09-AEF2-42F3-BBA9-B7B720C2E209}"/>
    <cellStyle name="Normal 5 2 2 4 2 3 2 3" xfId="11991" xr:uid="{A646D237-C5BF-4FD5-A80B-2BDE192FC645}"/>
    <cellStyle name="Normal 5 2 2 4 2 3 3" xfId="5622" xr:uid="{00000000-0005-0000-0000-0000EF170000}"/>
    <cellStyle name="Normal 5 2 2 4 2 3 3 2" xfId="14064" xr:uid="{47AEE175-36D1-4DC4-A3F9-B9B2A033D5C0}"/>
    <cellStyle name="Normal 5 2 2 4 2 3 4" xfId="9846" xr:uid="{22C6A5D2-762C-4663-8B32-A4840C0F4714}"/>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2 2 2" xfId="16622" xr:uid="{E8908D10-2C78-4249-80E6-C282D8A6F463}"/>
    <cellStyle name="Normal 5 2 2 4 2 4 2 3" xfId="12404" xr:uid="{E98A8310-F0D3-4FC4-9BE7-3AA94E35C2F6}"/>
    <cellStyle name="Normal 5 2 2 4 2 4 3" xfId="6035" xr:uid="{00000000-0005-0000-0000-0000F3170000}"/>
    <cellStyle name="Normal 5 2 2 4 2 4 3 2" xfId="14477" xr:uid="{38F36397-2AE2-4B51-8B1A-6CE038EAC6BC}"/>
    <cellStyle name="Normal 5 2 2 4 2 4 4" xfId="10259" xr:uid="{6D811193-EB8F-44F8-9444-C7F070DC0F2E}"/>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2 2 2" xfId="17035" xr:uid="{C341BFB2-00C7-4873-91FA-516C382BCE9F}"/>
    <cellStyle name="Normal 5 2 2 4 2 5 2 3" xfId="12817" xr:uid="{E06BF42D-C74A-4C31-B80D-AB52A350616A}"/>
    <cellStyle name="Normal 5 2 2 4 2 5 3" xfId="6448" xr:uid="{00000000-0005-0000-0000-0000F7170000}"/>
    <cellStyle name="Normal 5 2 2 4 2 5 3 2" xfId="14890" xr:uid="{FB307A79-792F-4967-B24B-E29EA1709EB8}"/>
    <cellStyle name="Normal 5 2 2 4 2 5 4" xfId="10672" xr:uid="{B39D1893-1C2D-4932-A468-7F5A252D3255}"/>
    <cellStyle name="Normal 5 2 2 4 2 6" xfId="2577" xr:uid="{00000000-0005-0000-0000-0000F8170000}"/>
    <cellStyle name="Normal 5 2 2 4 2 6 2" xfId="6861" xr:uid="{00000000-0005-0000-0000-0000F9170000}"/>
    <cellStyle name="Normal 5 2 2 4 2 6 2 2" xfId="15303" xr:uid="{8094C3EE-6C03-4106-9283-DFB201EBFBF7}"/>
    <cellStyle name="Normal 5 2 2 4 2 6 3" xfId="11085" xr:uid="{88C81A83-C388-4137-9201-47AEDF9E9B5D}"/>
    <cellStyle name="Normal 5 2 2 4 2 7" xfId="4796" xr:uid="{00000000-0005-0000-0000-0000FA170000}"/>
    <cellStyle name="Normal 5 2 2 4 2 7 2" xfId="13238" xr:uid="{40DE9F09-179F-4106-ABBA-819CC01E7E44}"/>
    <cellStyle name="Normal 5 2 2 4 2 8" xfId="9020" xr:uid="{95646325-1D00-4F90-A166-DEB1460EAE9A}"/>
    <cellStyle name="Normal 5 2 2 4 3" xfId="895" xr:uid="{00000000-0005-0000-0000-0000FB170000}"/>
    <cellStyle name="Normal 5 2 2 4 3 2" xfId="3130" xr:uid="{00000000-0005-0000-0000-0000FC170000}"/>
    <cellStyle name="Normal 5 2 2 4 3 2 2" xfId="7353" xr:uid="{00000000-0005-0000-0000-0000FD170000}"/>
    <cellStyle name="Normal 5 2 2 4 3 2 2 2" xfId="15795" xr:uid="{26A011BF-4963-40D5-AA88-62749DEA1DB9}"/>
    <cellStyle name="Normal 5 2 2 4 3 2 3" xfId="11577" xr:uid="{CBAD62A9-662C-4743-ACE5-B0D122311942}"/>
    <cellStyle name="Normal 5 2 2 4 3 3" xfId="5208" xr:uid="{00000000-0005-0000-0000-0000FE170000}"/>
    <cellStyle name="Normal 5 2 2 4 3 3 2" xfId="13650" xr:uid="{431704CC-26C1-43D6-B6AB-4D08AACDCC0A}"/>
    <cellStyle name="Normal 5 2 2 4 3 4" xfId="9432" xr:uid="{B8755EF2-2D97-498D-980E-1A96CB2B2EDC}"/>
    <cellStyle name="Normal 5 2 2 4 4" xfId="1313" xr:uid="{00000000-0005-0000-0000-0000FF170000}"/>
    <cellStyle name="Normal 5 2 2 4 4 2" xfId="3543" xr:uid="{00000000-0005-0000-0000-000000180000}"/>
    <cellStyle name="Normal 5 2 2 4 4 2 2" xfId="7766" xr:uid="{00000000-0005-0000-0000-000001180000}"/>
    <cellStyle name="Normal 5 2 2 4 4 2 2 2" xfId="16208" xr:uid="{9E0CFBA9-839F-4B7D-82CB-B800B8C2C151}"/>
    <cellStyle name="Normal 5 2 2 4 4 2 3" xfId="11990" xr:uid="{5C76A0A2-B574-4E07-96A0-BB471E03F2C7}"/>
    <cellStyle name="Normal 5 2 2 4 4 3" xfId="5621" xr:uid="{00000000-0005-0000-0000-000002180000}"/>
    <cellStyle name="Normal 5 2 2 4 4 3 2" xfId="14063" xr:uid="{6FAC7FD3-D4B6-4C42-A9C1-3A5E285EB435}"/>
    <cellStyle name="Normal 5 2 2 4 4 4" xfId="9845" xr:uid="{FDBF8A23-61E4-405D-AB71-A796B6D1E8E0}"/>
    <cellStyle name="Normal 5 2 2 4 5" xfId="1726" xr:uid="{00000000-0005-0000-0000-000003180000}"/>
    <cellStyle name="Normal 5 2 2 4 5 2" xfId="3956" xr:uid="{00000000-0005-0000-0000-000004180000}"/>
    <cellStyle name="Normal 5 2 2 4 5 2 2" xfId="8179" xr:uid="{00000000-0005-0000-0000-000005180000}"/>
    <cellStyle name="Normal 5 2 2 4 5 2 2 2" xfId="16621" xr:uid="{FA6D4B6A-AC9E-4CA8-9E1B-76DCE5DFC28E}"/>
    <cellStyle name="Normal 5 2 2 4 5 2 3" xfId="12403" xr:uid="{90DA2959-D678-4BF7-BC96-3ADDCF0D60CC}"/>
    <cellStyle name="Normal 5 2 2 4 5 3" xfId="6034" xr:uid="{00000000-0005-0000-0000-000006180000}"/>
    <cellStyle name="Normal 5 2 2 4 5 3 2" xfId="14476" xr:uid="{A83C9C5E-AFEB-41FA-B1B1-22B578C34654}"/>
    <cellStyle name="Normal 5 2 2 4 5 4" xfId="10258" xr:uid="{7C5455B0-1F81-443E-BBA9-715557DE5D69}"/>
    <cellStyle name="Normal 5 2 2 4 6" xfId="2140" xr:uid="{00000000-0005-0000-0000-000007180000}"/>
    <cellStyle name="Normal 5 2 2 4 6 2" xfId="4369" xr:uid="{00000000-0005-0000-0000-000008180000}"/>
    <cellStyle name="Normal 5 2 2 4 6 2 2" xfId="8592" xr:uid="{00000000-0005-0000-0000-000009180000}"/>
    <cellStyle name="Normal 5 2 2 4 6 2 2 2" xfId="17034" xr:uid="{FC55E8A5-7F04-4E03-9341-09A25E2E7858}"/>
    <cellStyle name="Normal 5 2 2 4 6 2 3" xfId="12816" xr:uid="{64219B0F-5052-4B1F-B45C-D648A8670EC9}"/>
    <cellStyle name="Normal 5 2 2 4 6 3" xfId="6447" xr:uid="{00000000-0005-0000-0000-00000A180000}"/>
    <cellStyle name="Normal 5 2 2 4 6 3 2" xfId="14889" xr:uid="{6333CEE4-FDAB-48C0-A549-4C3CFA33ABA2}"/>
    <cellStyle name="Normal 5 2 2 4 6 4" xfId="10671" xr:uid="{7B33839E-1161-4791-AD96-BE9CB2B17E07}"/>
    <cellStyle name="Normal 5 2 2 4 7" xfId="2576" xr:uid="{00000000-0005-0000-0000-00000B180000}"/>
    <cellStyle name="Normal 5 2 2 4 7 2" xfId="6860" xr:uid="{00000000-0005-0000-0000-00000C180000}"/>
    <cellStyle name="Normal 5 2 2 4 7 2 2" xfId="15302" xr:uid="{BCC755F7-C743-4F40-8F18-D95E63E4473A}"/>
    <cellStyle name="Normal 5 2 2 4 7 3" xfId="11084" xr:uid="{19CD302C-0EE7-4EC9-A59C-AD0BDEA9369F}"/>
    <cellStyle name="Normal 5 2 2 4 8" xfId="4795" xr:uid="{00000000-0005-0000-0000-00000D180000}"/>
    <cellStyle name="Normal 5 2 2 4 8 2" xfId="13237" xr:uid="{D6B2EC17-FA45-4375-A1C8-79CA074E2AC9}"/>
    <cellStyle name="Normal 5 2 2 4 9" xfId="9019" xr:uid="{681558AB-3713-4BF6-9A0A-29308A89A612}"/>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2 2 2" xfId="15797" xr:uid="{F497449D-371A-4ADE-A008-F2631D397BA4}"/>
    <cellStyle name="Normal 5 2 2 5 2 2 3" xfId="11579" xr:uid="{8388A56E-F41C-46BC-9C24-A985BEFE6597}"/>
    <cellStyle name="Normal 5 2 2 5 2 3" xfId="5210" xr:uid="{00000000-0005-0000-0000-000012180000}"/>
    <cellStyle name="Normal 5 2 2 5 2 3 2" xfId="13652" xr:uid="{666E459A-7503-4AD0-B6C9-426C7E77260B}"/>
    <cellStyle name="Normal 5 2 2 5 2 4" xfId="9434" xr:uid="{AF08E4FC-9135-4DFF-A3BC-E5D53515F704}"/>
    <cellStyle name="Normal 5 2 2 5 3" xfId="1315" xr:uid="{00000000-0005-0000-0000-000013180000}"/>
    <cellStyle name="Normal 5 2 2 5 3 2" xfId="3545" xr:uid="{00000000-0005-0000-0000-000014180000}"/>
    <cellStyle name="Normal 5 2 2 5 3 2 2" xfId="7768" xr:uid="{00000000-0005-0000-0000-000015180000}"/>
    <cellStyle name="Normal 5 2 2 5 3 2 2 2" xfId="16210" xr:uid="{2E603D49-75C1-4AB1-8640-C111235E272C}"/>
    <cellStyle name="Normal 5 2 2 5 3 2 3" xfId="11992" xr:uid="{52BA1CC9-5DAD-4104-96AB-4291F7EA674B}"/>
    <cellStyle name="Normal 5 2 2 5 3 3" xfId="5623" xr:uid="{00000000-0005-0000-0000-000016180000}"/>
    <cellStyle name="Normal 5 2 2 5 3 3 2" xfId="14065" xr:uid="{C90C1B60-4069-49C1-B449-466708D96F6A}"/>
    <cellStyle name="Normal 5 2 2 5 3 4" xfId="9847" xr:uid="{35BE4585-9F58-44AC-9FE4-1CF865E5EDC5}"/>
    <cellStyle name="Normal 5 2 2 5 4" xfId="1728" xr:uid="{00000000-0005-0000-0000-000017180000}"/>
    <cellStyle name="Normal 5 2 2 5 4 2" xfId="3958" xr:uid="{00000000-0005-0000-0000-000018180000}"/>
    <cellStyle name="Normal 5 2 2 5 4 2 2" xfId="8181" xr:uid="{00000000-0005-0000-0000-000019180000}"/>
    <cellStyle name="Normal 5 2 2 5 4 2 2 2" xfId="16623" xr:uid="{58CDAD0A-1DB9-4825-B9DC-CC2CA6A4A5BE}"/>
    <cellStyle name="Normal 5 2 2 5 4 2 3" xfId="12405" xr:uid="{EECF81F0-1407-4654-8EA1-82433EF6C04F}"/>
    <cellStyle name="Normal 5 2 2 5 4 3" xfId="6036" xr:uid="{00000000-0005-0000-0000-00001A180000}"/>
    <cellStyle name="Normal 5 2 2 5 4 3 2" xfId="14478" xr:uid="{AEB9B450-AFBA-4A75-9917-95ECC4A1E53B}"/>
    <cellStyle name="Normal 5 2 2 5 4 4" xfId="10260" xr:uid="{A46E90E0-7AD9-42A9-BCFB-30EF989FD98D}"/>
    <cellStyle name="Normal 5 2 2 5 5" xfId="2142" xr:uid="{00000000-0005-0000-0000-00001B180000}"/>
    <cellStyle name="Normal 5 2 2 5 5 2" xfId="4371" xr:uid="{00000000-0005-0000-0000-00001C180000}"/>
    <cellStyle name="Normal 5 2 2 5 5 2 2" xfId="8594" xr:uid="{00000000-0005-0000-0000-00001D180000}"/>
    <cellStyle name="Normal 5 2 2 5 5 2 2 2" xfId="17036" xr:uid="{6EFAB42D-8B8A-4C79-B61C-2CC22065DA6C}"/>
    <cellStyle name="Normal 5 2 2 5 5 2 3" xfId="12818" xr:uid="{A7D66CF9-730A-40D3-9127-A962396CBAC4}"/>
    <cellStyle name="Normal 5 2 2 5 5 3" xfId="6449" xr:uid="{00000000-0005-0000-0000-00001E180000}"/>
    <cellStyle name="Normal 5 2 2 5 5 3 2" xfId="14891" xr:uid="{ED8F1306-FD8E-4984-8882-42487E66F835}"/>
    <cellStyle name="Normal 5 2 2 5 5 4" xfId="10673" xr:uid="{401BEB39-CBC6-407B-BE71-E01A9B0143E7}"/>
    <cellStyle name="Normal 5 2 2 5 6" xfId="2578" xr:uid="{00000000-0005-0000-0000-00001F180000}"/>
    <cellStyle name="Normal 5 2 2 5 6 2" xfId="6862" xr:uid="{00000000-0005-0000-0000-000020180000}"/>
    <cellStyle name="Normal 5 2 2 5 6 2 2" xfId="15304" xr:uid="{64C51321-4F13-4951-BFF2-11724D01134F}"/>
    <cellStyle name="Normal 5 2 2 5 6 3" xfId="11086" xr:uid="{3227A975-DE64-4B94-A26B-35952777636D}"/>
    <cellStyle name="Normal 5 2 2 5 7" xfId="4797" xr:uid="{00000000-0005-0000-0000-000021180000}"/>
    <cellStyle name="Normal 5 2 2 5 7 2" xfId="13239" xr:uid="{CD6D0ECE-5B05-4364-9099-A16ED9C74A21}"/>
    <cellStyle name="Normal 5 2 2 5 8" xfId="9021" xr:uid="{98A180A8-7EAD-4886-98C3-D908CB236B34}"/>
    <cellStyle name="Normal 5 2 2 6" xfId="882" xr:uid="{00000000-0005-0000-0000-000022180000}"/>
    <cellStyle name="Normal 5 2 2 6 2" xfId="3117" xr:uid="{00000000-0005-0000-0000-000023180000}"/>
    <cellStyle name="Normal 5 2 2 6 2 2" xfId="7340" xr:uid="{00000000-0005-0000-0000-000024180000}"/>
    <cellStyle name="Normal 5 2 2 6 2 2 2" xfId="15782" xr:uid="{84192117-E420-4567-B50E-4705C0B2AEE9}"/>
    <cellStyle name="Normal 5 2 2 6 2 3" xfId="11564" xr:uid="{0D6DC00B-008B-407B-B793-F76DBA0B2A28}"/>
    <cellStyle name="Normal 5 2 2 6 3" xfId="5195" xr:uid="{00000000-0005-0000-0000-000025180000}"/>
    <cellStyle name="Normal 5 2 2 6 3 2" xfId="13637" xr:uid="{6559A0DE-96E5-4C80-9761-503E34672BC1}"/>
    <cellStyle name="Normal 5 2 2 6 4" xfId="9419" xr:uid="{89ECA763-88B7-4584-A855-A853D5F1B86C}"/>
    <cellStyle name="Normal 5 2 2 7" xfId="1300" xr:uid="{00000000-0005-0000-0000-000026180000}"/>
    <cellStyle name="Normal 5 2 2 7 2" xfId="3530" xr:uid="{00000000-0005-0000-0000-000027180000}"/>
    <cellStyle name="Normal 5 2 2 7 2 2" xfId="7753" xr:uid="{00000000-0005-0000-0000-000028180000}"/>
    <cellStyle name="Normal 5 2 2 7 2 2 2" xfId="16195" xr:uid="{C4FCAD51-B239-4C58-955D-6E09EDCFDE31}"/>
    <cellStyle name="Normal 5 2 2 7 2 3" xfId="11977" xr:uid="{D22481F2-7D16-496F-9B98-FBAD2388F87E}"/>
    <cellStyle name="Normal 5 2 2 7 3" xfId="5608" xr:uid="{00000000-0005-0000-0000-000029180000}"/>
    <cellStyle name="Normal 5 2 2 7 3 2" xfId="14050" xr:uid="{8F4C1360-FC4E-43C7-816F-B94ED9F106FD}"/>
    <cellStyle name="Normal 5 2 2 7 4" xfId="9832" xr:uid="{B5471864-21E4-42E6-9721-6A8762D65A5A}"/>
    <cellStyle name="Normal 5 2 2 8" xfId="1713" xr:uid="{00000000-0005-0000-0000-00002A180000}"/>
    <cellStyle name="Normal 5 2 2 8 2" xfId="3943" xr:uid="{00000000-0005-0000-0000-00002B180000}"/>
    <cellStyle name="Normal 5 2 2 8 2 2" xfId="8166" xr:uid="{00000000-0005-0000-0000-00002C180000}"/>
    <cellStyle name="Normal 5 2 2 8 2 2 2" xfId="16608" xr:uid="{EF981B0F-1988-4EE9-9F39-B7B7D75A7AA0}"/>
    <cellStyle name="Normal 5 2 2 8 2 3" xfId="12390" xr:uid="{714B1807-4B70-40FA-8FAD-EE7F192D2AAB}"/>
    <cellStyle name="Normal 5 2 2 8 3" xfId="6021" xr:uid="{00000000-0005-0000-0000-00002D180000}"/>
    <cellStyle name="Normal 5 2 2 8 3 2" xfId="14463" xr:uid="{9EC33890-27C2-45FD-81C6-1170898AA80E}"/>
    <cellStyle name="Normal 5 2 2 8 4" xfId="10245" xr:uid="{D3B6BA94-AA6B-4706-9CA1-62B145FA100C}"/>
    <cellStyle name="Normal 5 2 2 9" xfId="2127" xr:uid="{00000000-0005-0000-0000-00002E180000}"/>
    <cellStyle name="Normal 5 2 2 9 2" xfId="4356" xr:uid="{00000000-0005-0000-0000-00002F180000}"/>
    <cellStyle name="Normal 5 2 2 9 2 2" xfId="8579" xr:uid="{00000000-0005-0000-0000-000030180000}"/>
    <cellStyle name="Normal 5 2 2 9 2 2 2" xfId="17021" xr:uid="{C94F6405-6B4F-4210-B144-21FBC7A591B7}"/>
    <cellStyle name="Normal 5 2 2 9 2 3" xfId="12803" xr:uid="{6A5D23D0-B74A-4CB0-BB56-66B87D02BE4F}"/>
    <cellStyle name="Normal 5 2 2 9 3" xfId="6434" xr:uid="{00000000-0005-0000-0000-000031180000}"/>
    <cellStyle name="Normal 5 2 2 9 3 2" xfId="14876" xr:uid="{A18EE2C8-21E6-4EBC-9AF3-6D904E37FA83}"/>
    <cellStyle name="Normal 5 2 2 9 4" xfId="10658" xr:uid="{4DA6A123-8C2E-42CB-B8A5-DC0AC4B62382}"/>
    <cellStyle name="Normal 5 2 3" xfId="424" xr:uid="{00000000-0005-0000-0000-000032180000}"/>
    <cellStyle name="Normal 5 2 3 10" xfId="4798" xr:uid="{00000000-0005-0000-0000-000033180000}"/>
    <cellStyle name="Normal 5 2 3 10 2" xfId="13240" xr:uid="{DF08EDFA-E333-4957-B57C-FCBF11E0110B}"/>
    <cellStyle name="Normal 5 2 3 11" xfId="9022" xr:uid="{524DBD14-FC25-4CFF-966D-0DFD65566DE8}"/>
    <cellStyle name="Normal 5 2 3 2" xfId="425" xr:uid="{00000000-0005-0000-0000-000034180000}"/>
    <cellStyle name="Normal 5 2 3 2 10" xfId="9023" xr:uid="{6FF396A8-ADC3-4817-8199-8F50CDF9C48C}"/>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2 2 2" xfId="15801" xr:uid="{4E4B18FD-B225-4D01-866C-1C2B358B1FF1}"/>
    <cellStyle name="Normal 5 2 3 2 2 2 2 2 3" xfId="11583" xr:uid="{51328A8E-7E95-429B-ACD6-A7B06875F82D}"/>
    <cellStyle name="Normal 5 2 3 2 2 2 2 3" xfId="5214" xr:uid="{00000000-0005-0000-0000-00003A180000}"/>
    <cellStyle name="Normal 5 2 3 2 2 2 2 3 2" xfId="13656" xr:uid="{614EC5A0-5E0D-4FBC-AC47-5335E66D5359}"/>
    <cellStyle name="Normal 5 2 3 2 2 2 2 4" xfId="9438" xr:uid="{38621BC0-B4AE-4762-9C8B-0A798CDBA1BD}"/>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2 2 2" xfId="16214" xr:uid="{1E683A5E-34E5-48F1-909B-4C393DE58E73}"/>
    <cellStyle name="Normal 5 2 3 2 2 2 3 2 3" xfId="11996" xr:uid="{49D48291-9DD6-4DEA-83CC-9AE9090E6ABA}"/>
    <cellStyle name="Normal 5 2 3 2 2 2 3 3" xfId="5627" xr:uid="{00000000-0005-0000-0000-00003E180000}"/>
    <cellStyle name="Normal 5 2 3 2 2 2 3 3 2" xfId="14069" xr:uid="{668008DD-58E7-4BEB-83B0-570A4C57F1C2}"/>
    <cellStyle name="Normal 5 2 3 2 2 2 3 4" xfId="9851" xr:uid="{FDF1D89F-3423-4A85-80B7-96BCAEEDA731}"/>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2 2 2" xfId="16627" xr:uid="{E29DA6C0-F595-4D94-82C6-30C5E9B12B38}"/>
    <cellStyle name="Normal 5 2 3 2 2 2 4 2 3" xfId="12409" xr:uid="{2C6AEDC6-467F-405F-B706-0D6E595686AE}"/>
    <cellStyle name="Normal 5 2 3 2 2 2 4 3" xfId="6040" xr:uid="{00000000-0005-0000-0000-000042180000}"/>
    <cellStyle name="Normal 5 2 3 2 2 2 4 3 2" xfId="14482" xr:uid="{41225154-443F-4830-9D9E-5DEEF4009D93}"/>
    <cellStyle name="Normal 5 2 3 2 2 2 4 4" xfId="10264" xr:uid="{0CEE6730-5800-4581-B4A9-43E1BB5E53C6}"/>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2 2 2" xfId="17040" xr:uid="{8ADCDFE4-7D2C-4D9E-9F7D-9A5821859833}"/>
    <cellStyle name="Normal 5 2 3 2 2 2 5 2 3" xfId="12822" xr:uid="{0D8916A0-C2E6-48CA-B612-99BFBF2DC12A}"/>
    <cellStyle name="Normal 5 2 3 2 2 2 5 3" xfId="6453" xr:uid="{00000000-0005-0000-0000-000046180000}"/>
    <cellStyle name="Normal 5 2 3 2 2 2 5 3 2" xfId="14895" xr:uid="{90886F45-2D55-4615-A00A-8974FAB005AE}"/>
    <cellStyle name="Normal 5 2 3 2 2 2 5 4" xfId="10677" xr:uid="{8B9519FA-2364-4A6D-8F7C-25E5B7E9664F}"/>
    <cellStyle name="Normal 5 2 3 2 2 2 6" xfId="2582" xr:uid="{00000000-0005-0000-0000-000047180000}"/>
    <cellStyle name="Normal 5 2 3 2 2 2 6 2" xfId="6866" xr:uid="{00000000-0005-0000-0000-000048180000}"/>
    <cellStyle name="Normal 5 2 3 2 2 2 6 2 2" xfId="15308" xr:uid="{31D58983-DBF0-48EE-8998-46404BA50C3C}"/>
    <cellStyle name="Normal 5 2 3 2 2 2 6 3" xfId="11090" xr:uid="{C1E5DA5C-CCF5-4E0F-9A54-5E6A619CAD0E}"/>
    <cellStyle name="Normal 5 2 3 2 2 2 7" xfId="4801" xr:uid="{00000000-0005-0000-0000-000049180000}"/>
    <cellStyle name="Normal 5 2 3 2 2 2 7 2" xfId="13243" xr:uid="{4E0F72B3-FC63-4CEF-A9D0-59238D47CF1F}"/>
    <cellStyle name="Normal 5 2 3 2 2 2 8" xfId="9025" xr:uid="{F7006738-5DE2-4FE6-B5BF-CB3C369F9595}"/>
    <cellStyle name="Normal 5 2 3 2 2 3" xfId="900" xr:uid="{00000000-0005-0000-0000-00004A180000}"/>
    <cellStyle name="Normal 5 2 3 2 2 3 2" xfId="3135" xr:uid="{00000000-0005-0000-0000-00004B180000}"/>
    <cellStyle name="Normal 5 2 3 2 2 3 2 2" xfId="7358" xr:uid="{00000000-0005-0000-0000-00004C180000}"/>
    <cellStyle name="Normal 5 2 3 2 2 3 2 2 2" xfId="15800" xr:uid="{EFB6DF24-800A-4DCA-8958-CA411338A1F0}"/>
    <cellStyle name="Normal 5 2 3 2 2 3 2 3" xfId="11582" xr:uid="{7CF62477-506A-4836-AE57-2265C950E6FB}"/>
    <cellStyle name="Normal 5 2 3 2 2 3 3" xfId="5213" xr:uid="{00000000-0005-0000-0000-00004D180000}"/>
    <cellStyle name="Normal 5 2 3 2 2 3 3 2" xfId="13655" xr:uid="{E1D0B165-C93A-42D9-B5A3-0729A4EC240E}"/>
    <cellStyle name="Normal 5 2 3 2 2 3 4" xfId="9437" xr:uid="{723A6516-C15C-4A31-A424-3F93E53CF477}"/>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2 2 2" xfId="16213" xr:uid="{5E8F24AE-339A-4C55-ADF7-B94B7B4D6579}"/>
    <cellStyle name="Normal 5 2 3 2 2 4 2 3" xfId="11995" xr:uid="{71CBF7E2-FFAA-4869-B330-861EEE5C4CDA}"/>
    <cellStyle name="Normal 5 2 3 2 2 4 3" xfId="5626" xr:uid="{00000000-0005-0000-0000-000051180000}"/>
    <cellStyle name="Normal 5 2 3 2 2 4 3 2" xfId="14068" xr:uid="{68EDC845-8042-4E2A-8413-1F7BB2CA443C}"/>
    <cellStyle name="Normal 5 2 3 2 2 4 4" xfId="9850" xr:uid="{58E0DC52-8D73-4380-86C1-52D1B1BCAD59}"/>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2 2 2" xfId="16626" xr:uid="{87073D79-9176-4AAE-A2E1-F8964F399BA4}"/>
    <cellStyle name="Normal 5 2 3 2 2 5 2 3" xfId="12408" xr:uid="{D57451C2-82CB-41D3-BA94-E96D890E07E2}"/>
    <cellStyle name="Normal 5 2 3 2 2 5 3" xfId="6039" xr:uid="{00000000-0005-0000-0000-000055180000}"/>
    <cellStyle name="Normal 5 2 3 2 2 5 3 2" xfId="14481" xr:uid="{8F78065D-4DF9-432F-925D-555B76D930EB}"/>
    <cellStyle name="Normal 5 2 3 2 2 5 4" xfId="10263" xr:uid="{8E237FF6-949D-4D7C-9669-F28A1BCA9D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2 2 2" xfId="17039" xr:uid="{24AE61DE-DDEF-46D4-A3EE-C4ED60ABE65C}"/>
    <cellStyle name="Normal 5 2 3 2 2 6 2 3" xfId="12821" xr:uid="{26B9E213-3024-48BC-AE4B-2E5C1AC21F49}"/>
    <cellStyle name="Normal 5 2 3 2 2 6 3" xfId="6452" xr:uid="{00000000-0005-0000-0000-000059180000}"/>
    <cellStyle name="Normal 5 2 3 2 2 6 3 2" xfId="14894" xr:uid="{6CF89138-7510-49DF-8F3D-5527B758A6E7}"/>
    <cellStyle name="Normal 5 2 3 2 2 6 4" xfId="10676" xr:uid="{64518E37-0483-4D41-818D-790084DE1055}"/>
    <cellStyle name="Normal 5 2 3 2 2 7" xfId="2581" xr:uid="{00000000-0005-0000-0000-00005A180000}"/>
    <cellStyle name="Normal 5 2 3 2 2 7 2" xfId="6865" xr:uid="{00000000-0005-0000-0000-00005B180000}"/>
    <cellStyle name="Normal 5 2 3 2 2 7 2 2" xfId="15307" xr:uid="{6CD1316E-DE95-4458-B678-F073F020D4D8}"/>
    <cellStyle name="Normal 5 2 3 2 2 7 3" xfId="11089" xr:uid="{915AED54-7ED4-4B66-8A75-01571415C3AD}"/>
    <cellStyle name="Normal 5 2 3 2 2 8" xfId="4800" xr:uid="{00000000-0005-0000-0000-00005C180000}"/>
    <cellStyle name="Normal 5 2 3 2 2 8 2" xfId="13242" xr:uid="{3E9C65E9-32A9-46AA-A24F-4A485BCA4939}"/>
    <cellStyle name="Normal 5 2 3 2 2 9" xfId="9024" xr:uid="{D50F7690-17CC-4C02-BA7A-C3CBFA68983E}"/>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2 2 2" xfId="15802" xr:uid="{10E3DA50-65DE-437B-9D8F-0F015C1E0C46}"/>
    <cellStyle name="Normal 5 2 3 2 3 2 2 3" xfId="11584" xr:uid="{A58A6E5A-3377-4ADB-A584-997BA65F870C}"/>
    <cellStyle name="Normal 5 2 3 2 3 2 3" xfId="5215" xr:uid="{00000000-0005-0000-0000-000061180000}"/>
    <cellStyle name="Normal 5 2 3 2 3 2 3 2" xfId="13657" xr:uid="{DBC39F92-50C4-4706-97CC-FA611831739A}"/>
    <cellStyle name="Normal 5 2 3 2 3 2 4" xfId="9439" xr:uid="{1C2246C3-A5F3-4C6A-8AA3-688A3868FF4B}"/>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2 2 2" xfId="16215" xr:uid="{65861A2B-B2B4-4CFB-9400-B78A7FE5213F}"/>
    <cellStyle name="Normal 5 2 3 2 3 3 2 3" xfId="11997" xr:uid="{D0374544-2586-4B23-9513-A63D50B24F67}"/>
    <cellStyle name="Normal 5 2 3 2 3 3 3" xfId="5628" xr:uid="{00000000-0005-0000-0000-000065180000}"/>
    <cellStyle name="Normal 5 2 3 2 3 3 3 2" xfId="14070" xr:uid="{B9B9E3F9-5298-4264-8DEE-EF81DD43E703}"/>
    <cellStyle name="Normal 5 2 3 2 3 3 4" xfId="9852" xr:uid="{FAEAD84E-0CD9-4070-9B00-A3883ACD1AEE}"/>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2 2 2" xfId="16628" xr:uid="{F19B164F-8C01-4FCC-A8D0-578DBF40C389}"/>
    <cellStyle name="Normal 5 2 3 2 3 4 2 3" xfId="12410" xr:uid="{6C6EF1CE-57AC-49F0-8DCE-2AD4546727A6}"/>
    <cellStyle name="Normal 5 2 3 2 3 4 3" xfId="6041" xr:uid="{00000000-0005-0000-0000-000069180000}"/>
    <cellStyle name="Normal 5 2 3 2 3 4 3 2" xfId="14483" xr:uid="{1B134553-5CA1-4A33-9949-D63A10FC03EC}"/>
    <cellStyle name="Normal 5 2 3 2 3 4 4" xfId="10265" xr:uid="{62223C71-5431-4457-BCDE-5F24798CB266}"/>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2 2 2" xfId="17041" xr:uid="{09AE75B7-5A06-43C0-B0E2-20ED6D5DDBB7}"/>
    <cellStyle name="Normal 5 2 3 2 3 5 2 3" xfId="12823" xr:uid="{A42FE05B-5A02-4B54-8383-6506E8A7BDD1}"/>
    <cellStyle name="Normal 5 2 3 2 3 5 3" xfId="6454" xr:uid="{00000000-0005-0000-0000-00006D180000}"/>
    <cellStyle name="Normal 5 2 3 2 3 5 3 2" xfId="14896" xr:uid="{3A8380FC-A530-48AC-BD3F-8907A8324F36}"/>
    <cellStyle name="Normal 5 2 3 2 3 5 4" xfId="10678" xr:uid="{FEB905BC-F938-4B9D-A69E-C8D193123A24}"/>
    <cellStyle name="Normal 5 2 3 2 3 6" xfId="2583" xr:uid="{00000000-0005-0000-0000-00006E180000}"/>
    <cellStyle name="Normal 5 2 3 2 3 6 2" xfId="6867" xr:uid="{00000000-0005-0000-0000-00006F180000}"/>
    <cellStyle name="Normal 5 2 3 2 3 6 2 2" xfId="15309" xr:uid="{B1191A25-8EE2-4996-885F-C410FAF4F60F}"/>
    <cellStyle name="Normal 5 2 3 2 3 6 3" xfId="11091" xr:uid="{0C8EF8E0-DA81-4188-A9FB-D10196CA03FB}"/>
    <cellStyle name="Normal 5 2 3 2 3 7" xfId="4802" xr:uid="{00000000-0005-0000-0000-000070180000}"/>
    <cellStyle name="Normal 5 2 3 2 3 7 2" xfId="13244" xr:uid="{FCD24EA6-867A-46DB-9410-2A1E8EFA3C57}"/>
    <cellStyle name="Normal 5 2 3 2 3 8" xfId="9026" xr:uid="{635E8010-7254-4553-AC11-1CD6940374BB}"/>
    <cellStyle name="Normal 5 2 3 2 4" xfId="899" xr:uid="{00000000-0005-0000-0000-000071180000}"/>
    <cellStyle name="Normal 5 2 3 2 4 2" xfId="3134" xr:uid="{00000000-0005-0000-0000-000072180000}"/>
    <cellStyle name="Normal 5 2 3 2 4 2 2" xfId="7357" xr:uid="{00000000-0005-0000-0000-000073180000}"/>
    <cellStyle name="Normal 5 2 3 2 4 2 2 2" xfId="15799" xr:uid="{BB24B9AE-04EA-496E-9B93-402DE9BC44EB}"/>
    <cellStyle name="Normal 5 2 3 2 4 2 3" xfId="11581" xr:uid="{7A87714F-3312-4C21-A93D-336CCD1A6FCB}"/>
    <cellStyle name="Normal 5 2 3 2 4 3" xfId="5212" xr:uid="{00000000-0005-0000-0000-000074180000}"/>
    <cellStyle name="Normal 5 2 3 2 4 3 2" xfId="13654" xr:uid="{043DA3CD-4892-4F0A-AD99-091170B23B99}"/>
    <cellStyle name="Normal 5 2 3 2 4 4" xfId="9436" xr:uid="{022CD71B-E740-4F39-B51F-064B1E78FC6A}"/>
    <cellStyle name="Normal 5 2 3 2 5" xfId="1317" xr:uid="{00000000-0005-0000-0000-000075180000}"/>
    <cellStyle name="Normal 5 2 3 2 5 2" xfId="3547" xr:uid="{00000000-0005-0000-0000-000076180000}"/>
    <cellStyle name="Normal 5 2 3 2 5 2 2" xfId="7770" xr:uid="{00000000-0005-0000-0000-000077180000}"/>
    <cellStyle name="Normal 5 2 3 2 5 2 2 2" xfId="16212" xr:uid="{74DB3AEC-1AEF-4974-BFDD-D554924FD677}"/>
    <cellStyle name="Normal 5 2 3 2 5 2 3" xfId="11994" xr:uid="{57867B68-DDAF-4610-BC52-4507CBA08E34}"/>
    <cellStyle name="Normal 5 2 3 2 5 3" xfId="5625" xr:uid="{00000000-0005-0000-0000-000078180000}"/>
    <cellStyle name="Normal 5 2 3 2 5 3 2" xfId="14067" xr:uid="{B40D3BB2-4447-4261-83BF-658AD9FDBC3B}"/>
    <cellStyle name="Normal 5 2 3 2 5 4" xfId="9849" xr:uid="{4A600756-A240-4D24-9CCA-85481020E8CE}"/>
    <cellStyle name="Normal 5 2 3 2 6" xfId="1730" xr:uid="{00000000-0005-0000-0000-000079180000}"/>
    <cellStyle name="Normal 5 2 3 2 6 2" xfId="3960" xr:uid="{00000000-0005-0000-0000-00007A180000}"/>
    <cellStyle name="Normal 5 2 3 2 6 2 2" xfId="8183" xr:uid="{00000000-0005-0000-0000-00007B180000}"/>
    <cellStyle name="Normal 5 2 3 2 6 2 2 2" xfId="16625" xr:uid="{3ECC2693-61DD-4F11-B4E9-0263ECBFFAFA}"/>
    <cellStyle name="Normal 5 2 3 2 6 2 3" xfId="12407" xr:uid="{36A4C0A5-A07E-47CB-B3DA-83EFE15AAAB5}"/>
    <cellStyle name="Normal 5 2 3 2 6 3" xfId="6038" xr:uid="{00000000-0005-0000-0000-00007C180000}"/>
    <cellStyle name="Normal 5 2 3 2 6 3 2" xfId="14480" xr:uid="{FAA517A6-7C18-407B-A9ED-9420607368B1}"/>
    <cellStyle name="Normal 5 2 3 2 6 4" xfId="10262" xr:uid="{3B84908A-B703-4D2F-B8DC-3332DDF4BCB1}"/>
    <cellStyle name="Normal 5 2 3 2 7" xfId="2144" xr:uid="{00000000-0005-0000-0000-00007D180000}"/>
    <cellStyle name="Normal 5 2 3 2 7 2" xfId="4373" xr:uid="{00000000-0005-0000-0000-00007E180000}"/>
    <cellStyle name="Normal 5 2 3 2 7 2 2" xfId="8596" xr:uid="{00000000-0005-0000-0000-00007F180000}"/>
    <cellStyle name="Normal 5 2 3 2 7 2 2 2" xfId="17038" xr:uid="{D06A072D-4A6A-4AC3-9E0E-9833C73082C8}"/>
    <cellStyle name="Normal 5 2 3 2 7 2 3" xfId="12820" xr:uid="{5E4568D3-D3B2-436F-9002-40D8DD9CB9F1}"/>
    <cellStyle name="Normal 5 2 3 2 7 3" xfId="6451" xr:uid="{00000000-0005-0000-0000-000080180000}"/>
    <cellStyle name="Normal 5 2 3 2 7 3 2" xfId="14893" xr:uid="{069A3CC8-4641-424D-B1A8-867EB30D27EF}"/>
    <cellStyle name="Normal 5 2 3 2 7 4" xfId="10675" xr:uid="{DF4CC6E8-2E95-4554-9A8C-D89B0A075CDA}"/>
    <cellStyle name="Normal 5 2 3 2 8" xfId="2580" xr:uid="{00000000-0005-0000-0000-000081180000}"/>
    <cellStyle name="Normal 5 2 3 2 8 2" xfId="6864" xr:uid="{00000000-0005-0000-0000-000082180000}"/>
    <cellStyle name="Normal 5 2 3 2 8 2 2" xfId="15306" xr:uid="{6075B46D-7614-49B0-B655-97FC1A272661}"/>
    <cellStyle name="Normal 5 2 3 2 8 3" xfId="11088" xr:uid="{72D474F5-F206-407C-AA7B-53F3DB1C82E2}"/>
    <cellStyle name="Normal 5 2 3 2 9" xfId="4799" xr:uid="{00000000-0005-0000-0000-000083180000}"/>
    <cellStyle name="Normal 5 2 3 2 9 2" xfId="13241" xr:uid="{3A647915-CD65-455B-BF2C-DD98D81FF5C9}"/>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2 2 2" xfId="15804" xr:uid="{D88214AD-E07A-4F00-BE1E-4DCEAEDF0665}"/>
    <cellStyle name="Normal 5 2 3 3 2 2 2 3" xfId="11586" xr:uid="{C136C9C5-628B-402A-B57C-1F57F872C14F}"/>
    <cellStyle name="Normal 5 2 3 3 2 2 3" xfId="5217" xr:uid="{00000000-0005-0000-0000-000089180000}"/>
    <cellStyle name="Normal 5 2 3 3 2 2 3 2" xfId="13659" xr:uid="{3DD9C758-A469-4D8D-9ECA-63A76A7E07CB}"/>
    <cellStyle name="Normal 5 2 3 3 2 2 4" xfId="9441" xr:uid="{679BFA84-9674-4A93-9760-76D8D84C5F51}"/>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2 2 2" xfId="16217" xr:uid="{FBA81A64-D8E9-44B3-81C8-A2F1C9E7CB76}"/>
    <cellStyle name="Normal 5 2 3 3 2 3 2 3" xfId="11999" xr:uid="{F080537E-9E96-4C50-BADC-C3684DE74A0E}"/>
    <cellStyle name="Normal 5 2 3 3 2 3 3" xfId="5630" xr:uid="{00000000-0005-0000-0000-00008D180000}"/>
    <cellStyle name="Normal 5 2 3 3 2 3 3 2" xfId="14072" xr:uid="{3F470346-AFCD-4950-99DE-4AB779273835}"/>
    <cellStyle name="Normal 5 2 3 3 2 3 4" xfId="9854" xr:uid="{F2FF9B1A-8EDD-41D9-AE1F-CEC2D3CFEA3D}"/>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2 2 2" xfId="16630" xr:uid="{97C77D17-B572-49F0-BBA7-0CC0EF493CA9}"/>
    <cellStyle name="Normal 5 2 3 3 2 4 2 3" xfId="12412" xr:uid="{ED1BFB56-85A4-4AFE-B2D2-0FD092AB497F}"/>
    <cellStyle name="Normal 5 2 3 3 2 4 3" xfId="6043" xr:uid="{00000000-0005-0000-0000-000091180000}"/>
    <cellStyle name="Normal 5 2 3 3 2 4 3 2" xfId="14485" xr:uid="{444E0FD5-CB5F-4CAD-A5B9-47C3373DE675}"/>
    <cellStyle name="Normal 5 2 3 3 2 4 4" xfId="10267" xr:uid="{09AE66CD-0F98-47CC-A1B2-C8C270826E72}"/>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2 2 2" xfId="17043" xr:uid="{66701D96-2D0B-447E-8856-D0552B553258}"/>
    <cellStyle name="Normal 5 2 3 3 2 5 2 3" xfId="12825" xr:uid="{21B4D6E3-94F4-4C59-8F82-6A7DF9975420}"/>
    <cellStyle name="Normal 5 2 3 3 2 5 3" xfId="6456" xr:uid="{00000000-0005-0000-0000-000095180000}"/>
    <cellStyle name="Normal 5 2 3 3 2 5 3 2" xfId="14898" xr:uid="{1895B555-2141-4598-B7FC-AF5A39D4F85B}"/>
    <cellStyle name="Normal 5 2 3 3 2 5 4" xfId="10680" xr:uid="{95D7AF81-072E-4335-A86E-A32775DE92A4}"/>
    <cellStyle name="Normal 5 2 3 3 2 6" xfId="2585" xr:uid="{00000000-0005-0000-0000-000096180000}"/>
    <cellStyle name="Normal 5 2 3 3 2 6 2" xfId="6869" xr:uid="{00000000-0005-0000-0000-000097180000}"/>
    <cellStyle name="Normal 5 2 3 3 2 6 2 2" xfId="15311" xr:uid="{7392D20C-3D06-4089-8983-3CD54C4AFD9F}"/>
    <cellStyle name="Normal 5 2 3 3 2 6 3" xfId="11093" xr:uid="{A77FD3E8-1273-4E00-BB43-F73034590D02}"/>
    <cellStyle name="Normal 5 2 3 3 2 7" xfId="4804" xr:uid="{00000000-0005-0000-0000-000098180000}"/>
    <cellStyle name="Normal 5 2 3 3 2 7 2" xfId="13246" xr:uid="{724B03F1-6E7C-41C9-800D-0437257ABC4D}"/>
    <cellStyle name="Normal 5 2 3 3 2 8" xfId="9028" xr:uid="{0676EE8F-0263-4058-A59D-27BAF801F05E}"/>
    <cellStyle name="Normal 5 2 3 3 3" xfId="903" xr:uid="{00000000-0005-0000-0000-000099180000}"/>
    <cellStyle name="Normal 5 2 3 3 3 2" xfId="3138" xr:uid="{00000000-0005-0000-0000-00009A180000}"/>
    <cellStyle name="Normal 5 2 3 3 3 2 2" xfId="7361" xr:uid="{00000000-0005-0000-0000-00009B180000}"/>
    <cellStyle name="Normal 5 2 3 3 3 2 2 2" xfId="15803" xr:uid="{57F460B1-4386-42A8-8B5C-D4B3D8B35495}"/>
    <cellStyle name="Normal 5 2 3 3 3 2 3" xfId="11585" xr:uid="{442E84C1-BDC3-4FC1-964B-E061CF1EE52B}"/>
    <cellStyle name="Normal 5 2 3 3 3 3" xfId="5216" xr:uid="{00000000-0005-0000-0000-00009C180000}"/>
    <cellStyle name="Normal 5 2 3 3 3 3 2" xfId="13658" xr:uid="{B0ED2AF5-6AE4-4658-B314-ABC88474E16C}"/>
    <cellStyle name="Normal 5 2 3 3 3 4" xfId="9440" xr:uid="{B773B092-82A3-452D-AB31-938801418E10}"/>
    <cellStyle name="Normal 5 2 3 3 4" xfId="1321" xr:uid="{00000000-0005-0000-0000-00009D180000}"/>
    <cellStyle name="Normal 5 2 3 3 4 2" xfId="3551" xr:uid="{00000000-0005-0000-0000-00009E180000}"/>
    <cellStyle name="Normal 5 2 3 3 4 2 2" xfId="7774" xr:uid="{00000000-0005-0000-0000-00009F180000}"/>
    <cellStyle name="Normal 5 2 3 3 4 2 2 2" xfId="16216" xr:uid="{D070777A-9154-4A16-86ED-0CE177FB08DE}"/>
    <cellStyle name="Normal 5 2 3 3 4 2 3" xfId="11998" xr:uid="{7CD7C062-DE6B-40C7-960E-9ACE0A7EF6AB}"/>
    <cellStyle name="Normal 5 2 3 3 4 3" xfId="5629" xr:uid="{00000000-0005-0000-0000-0000A0180000}"/>
    <cellStyle name="Normal 5 2 3 3 4 3 2" xfId="14071" xr:uid="{B71ABBEA-A1AF-4410-A832-20B59275A3B4}"/>
    <cellStyle name="Normal 5 2 3 3 4 4" xfId="9853" xr:uid="{FA7DFD15-2412-41E6-9E3F-2F0297E8DF31}"/>
    <cellStyle name="Normal 5 2 3 3 5" xfId="1734" xr:uid="{00000000-0005-0000-0000-0000A1180000}"/>
    <cellStyle name="Normal 5 2 3 3 5 2" xfId="3964" xr:uid="{00000000-0005-0000-0000-0000A2180000}"/>
    <cellStyle name="Normal 5 2 3 3 5 2 2" xfId="8187" xr:uid="{00000000-0005-0000-0000-0000A3180000}"/>
    <cellStyle name="Normal 5 2 3 3 5 2 2 2" xfId="16629" xr:uid="{5BD9BEDA-313E-43F1-9CD6-D35E2D8BB1F6}"/>
    <cellStyle name="Normal 5 2 3 3 5 2 3" xfId="12411" xr:uid="{42D95C8B-0D1A-4458-9AC5-CE7B2A43D6CB}"/>
    <cellStyle name="Normal 5 2 3 3 5 3" xfId="6042" xr:uid="{00000000-0005-0000-0000-0000A4180000}"/>
    <cellStyle name="Normal 5 2 3 3 5 3 2" xfId="14484" xr:uid="{4B625FF4-2235-4FEB-BD76-CE162064A7F1}"/>
    <cellStyle name="Normal 5 2 3 3 5 4" xfId="10266" xr:uid="{B5C0A8C4-0509-4A05-A1A9-5A7FE28434BA}"/>
    <cellStyle name="Normal 5 2 3 3 6" xfId="2148" xr:uid="{00000000-0005-0000-0000-0000A5180000}"/>
    <cellStyle name="Normal 5 2 3 3 6 2" xfId="4377" xr:uid="{00000000-0005-0000-0000-0000A6180000}"/>
    <cellStyle name="Normal 5 2 3 3 6 2 2" xfId="8600" xr:uid="{00000000-0005-0000-0000-0000A7180000}"/>
    <cellStyle name="Normal 5 2 3 3 6 2 2 2" xfId="17042" xr:uid="{7BC05B6E-9038-4B0E-A624-D69950010362}"/>
    <cellStyle name="Normal 5 2 3 3 6 2 3" xfId="12824" xr:uid="{250E309B-3E91-40D3-A6A2-989A862BA5C7}"/>
    <cellStyle name="Normal 5 2 3 3 6 3" xfId="6455" xr:uid="{00000000-0005-0000-0000-0000A8180000}"/>
    <cellStyle name="Normal 5 2 3 3 6 3 2" xfId="14897" xr:uid="{015AD3FC-9551-499D-98B3-1BDEEF830590}"/>
    <cellStyle name="Normal 5 2 3 3 6 4" xfId="10679" xr:uid="{C7916B3C-767C-4DB1-AF28-0DB422660D4F}"/>
    <cellStyle name="Normal 5 2 3 3 7" xfId="2584" xr:uid="{00000000-0005-0000-0000-0000A9180000}"/>
    <cellStyle name="Normal 5 2 3 3 7 2" xfId="6868" xr:uid="{00000000-0005-0000-0000-0000AA180000}"/>
    <cellStyle name="Normal 5 2 3 3 7 2 2" xfId="15310" xr:uid="{633C8568-381E-4556-88D7-D9529ECE8F4F}"/>
    <cellStyle name="Normal 5 2 3 3 7 3" xfId="11092" xr:uid="{206004B7-4A45-458E-AD1F-6FBE24B1B0A8}"/>
    <cellStyle name="Normal 5 2 3 3 8" xfId="4803" xr:uid="{00000000-0005-0000-0000-0000AB180000}"/>
    <cellStyle name="Normal 5 2 3 3 8 2" xfId="13245" xr:uid="{5C6699F8-686F-4867-8831-CF02839C482D}"/>
    <cellStyle name="Normal 5 2 3 3 9" xfId="9027" xr:uid="{B189D7EC-318B-4E85-B0AC-CE2B88548AD9}"/>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2 2 2" xfId="15805" xr:uid="{6E589661-242A-4098-A026-F199EF7234AC}"/>
    <cellStyle name="Normal 5 2 3 4 2 2 3" xfId="11587" xr:uid="{88B3CF7C-7939-4766-96B3-B96222F57EA4}"/>
    <cellStyle name="Normal 5 2 3 4 2 3" xfId="5218" xr:uid="{00000000-0005-0000-0000-0000B0180000}"/>
    <cellStyle name="Normal 5 2 3 4 2 3 2" xfId="13660" xr:uid="{951E0E5D-E485-4199-8214-516DBFA298FA}"/>
    <cellStyle name="Normal 5 2 3 4 2 4" xfId="9442" xr:uid="{214F0592-26E1-48C4-8BC6-5270B214CF5B}"/>
    <cellStyle name="Normal 5 2 3 4 3" xfId="1323" xr:uid="{00000000-0005-0000-0000-0000B1180000}"/>
    <cellStyle name="Normal 5 2 3 4 3 2" xfId="3553" xr:uid="{00000000-0005-0000-0000-0000B2180000}"/>
    <cellStyle name="Normal 5 2 3 4 3 2 2" xfId="7776" xr:uid="{00000000-0005-0000-0000-0000B3180000}"/>
    <cellStyle name="Normal 5 2 3 4 3 2 2 2" xfId="16218" xr:uid="{4126419F-D469-4A2F-9E7C-82B8FCEBDAE3}"/>
    <cellStyle name="Normal 5 2 3 4 3 2 3" xfId="12000" xr:uid="{FD75588D-16F3-4746-8A4B-D66DF185A9E5}"/>
    <cellStyle name="Normal 5 2 3 4 3 3" xfId="5631" xr:uid="{00000000-0005-0000-0000-0000B4180000}"/>
    <cellStyle name="Normal 5 2 3 4 3 3 2" xfId="14073" xr:uid="{26DED5FD-4EB3-416E-8F5D-E1CFC1C57511}"/>
    <cellStyle name="Normal 5 2 3 4 3 4" xfId="9855" xr:uid="{ECC7B7DA-BCC6-43B2-B46B-95C89E1BB550}"/>
    <cellStyle name="Normal 5 2 3 4 4" xfId="1736" xr:uid="{00000000-0005-0000-0000-0000B5180000}"/>
    <cellStyle name="Normal 5 2 3 4 4 2" xfId="3966" xr:uid="{00000000-0005-0000-0000-0000B6180000}"/>
    <cellStyle name="Normal 5 2 3 4 4 2 2" xfId="8189" xr:uid="{00000000-0005-0000-0000-0000B7180000}"/>
    <cellStyle name="Normal 5 2 3 4 4 2 2 2" xfId="16631" xr:uid="{6666E986-71C3-4963-ABEB-61FC878D89CF}"/>
    <cellStyle name="Normal 5 2 3 4 4 2 3" xfId="12413" xr:uid="{054F8571-2814-4F50-9D95-94AFBD68CC2A}"/>
    <cellStyle name="Normal 5 2 3 4 4 3" xfId="6044" xr:uid="{00000000-0005-0000-0000-0000B8180000}"/>
    <cellStyle name="Normal 5 2 3 4 4 3 2" xfId="14486" xr:uid="{9F4D171F-BDB1-4BE3-ABF7-1A7646114C9D}"/>
    <cellStyle name="Normal 5 2 3 4 4 4" xfId="10268" xr:uid="{8AA015AF-9F90-4DD2-8F61-12C0DAD39650}"/>
    <cellStyle name="Normal 5 2 3 4 5" xfId="2150" xr:uid="{00000000-0005-0000-0000-0000B9180000}"/>
    <cellStyle name="Normal 5 2 3 4 5 2" xfId="4379" xr:uid="{00000000-0005-0000-0000-0000BA180000}"/>
    <cellStyle name="Normal 5 2 3 4 5 2 2" xfId="8602" xr:uid="{00000000-0005-0000-0000-0000BB180000}"/>
    <cellStyle name="Normal 5 2 3 4 5 2 2 2" xfId="17044" xr:uid="{CD4AC2B1-DB16-4BE6-BA71-A033A80C1623}"/>
    <cellStyle name="Normal 5 2 3 4 5 2 3" xfId="12826" xr:uid="{B8CC9331-EE2F-409C-B73F-7AE26EDEA8C3}"/>
    <cellStyle name="Normal 5 2 3 4 5 3" xfId="6457" xr:uid="{00000000-0005-0000-0000-0000BC180000}"/>
    <cellStyle name="Normal 5 2 3 4 5 3 2" xfId="14899" xr:uid="{7BC94DE3-C3B5-490C-B4DB-00C5C348DBE3}"/>
    <cellStyle name="Normal 5 2 3 4 5 4" xfId="10681" xr:uid="{03BF8912-A6F3-408A-9D14-CE5DE5B3EC92}"/>
    <cellStyle name="Normal 5 2 3 4 6" xfId="2586" xr:uid="{00000000-0005-0000-0000-0000BD180000}"/>
    <cellStyle name="Normal 5 2 3 4 6 2" xfId="6870" xr:uid="{00000000-0005-0000-0000-0000BE180000}"/>
    <cellStyle name="Normal 5 2 3 4 6 2 2" xfId="15312" xr:uid="{DD254821-BD5E-4C51-93DF-6C3D1A4110B0}"/>
    <cellStyle name="Normal 5 2 3 4 6 3" xfId="11094" xr:uid="{5A3D97FC-ED01-4B87-A41C-8B10DBE92C08}"/>
    <cellStyle name="Normal 5 2 3 4 7" xfId="4805" xr:uid="{00000000-0005-0000-0000-0000BF180000}"/>
    <cellStyle name="Normal 5 2 3 4 7 2" xfId="13247" xr:uid="{FA261AF8-FB0B-4327-81C6-89648165714B}"/>
    <cellStyle name="Normal 5 2 3 4 8" xfId="9029" xr:uid="{7DC9DA01-D6BF-4F09-8FF6-5856613295D1}"/>
    <cellStyle name="Normal 5 2 3 5" xfId="898" xr:uid="{00000000-0005-0000-0000-0000C0180000}"/>
    <cellStyle name="Normal 5 2 3 5 2" xfId="3133" xr:uid="{00000000-0005-0000-0000-0000C1180000}"/>
    <cellStyle name="Normal 5 2 3 5 2 2" xfId="7356" xr:uid="{00000000-0005-0000-0000-0000C2180000}"/>
    <cellStyle name="Normal 5 2 3 5 2 2 2" xfId="15798" xr:uid="{B479342C-F12A-44AD-B621-C3B0E91E3920}"/>
    <cellStyle name="Normal 5 2 3 5 2 3" xfId="11580" xr:uid="{8E46089E-AF57-4C7E-8415-58571143F874}"/>
    <cellStyle name="Normal 5 2 3 5 3" xfId="5211" xr:uid="{00000000-0005-0000-0000-0000C3180000}"/>
    <cellStyle name="Normal 5 2 3 5 3 2" xfId="13653" xr:uid="{85DF17BC-6471-451C-9692-EDC36ED26968}"/>
    <cellStyle name="Normal 5 2 3 5 4" xfId="9435" xr:uid="{5D0CEF31-2EED-47FB-94F3-77AEDF92FCBC}"/>
    <cellStyle name="Normal 5 2 3 6" xfId="1316" xr:uid="{00000000-0005-0000-0000-0000C4180000}"/>
    <cellStyle name="Normal 5 2 3 6 2" xfId="3546" xr:uid="{00000000-0005-0000-0000-0000C5180000}"/>
    <cellStyle name="Normal 5 2 3 6 2 2" xfId="7769" xr:uid="{00000000-0005-0000-0000-0000C6180000}"/>
    <cellStyle name="Normal 5 2 3 6 2 2 2" xfId="16211" xr:uid="{E8719012-28C6-4DD7-8F8F-D6AC0983A53F}"/>
    <cellStyle name="Normal 5 2 3 6 2 3" xfId="11993" xr:uid="{CC8D2AA8-DE81-4B3E-98C5-BFF60DA8E574}"/>
    <cellStyle name="Normal 5 2 3 6 3" xfId="5624" xr:uid="{00000000-0005-0000-0000-0000C7180000}"/>
    <cellStyle name="Normal 5 2 3 6 3 2" xfId="14066" xr:uid="{074687EA-7466-44E8-97E3-8B39611CB6E2}"/>
    <cellStyle name="Normal 5 2 3 6 4" xfId="9848" xr:uid="{A336D976-A29A-4799-892A-5C00D66F5D29}"/>
    <cellStyle name="Normal 5 2 3 7" xfId="1729" xr:uid="{00000000-0005-0000-0000-0000C8180000}"/>
    <cellStyle name="Normal 5 2 3 7 2" xfId="3959" xr:uid="{00000000-0005-0000-0000-0000C9180000}"/>
    <cellStyle name="Normal 5 2 3 7 2 2" xfId="8182" xr:uid="{00000000-0005-0000-0000-0000CA180000}"/>
    <cellStyle name="Normal 5 2 3 7 2 2 2" xfId="16624" xr:uid="{5B117340-15C1-4369-8E91-DA06EB14A611}"/>
    <cellStyle name="Normal 5 2 3 7 2 3" xfId="12406" xr:uid="{AA912783-5636-4365-BB0B-FF609A8368AD}"/>
    <cellStyle name="Normal 5 2 3 7 3" xfId="6037" xr:uid="{00000000-0005-0000-0000-0000CB180000}"/>
    <cellStyle name="Normal 5 2 3 7 3 2" xfId="14479" xr:uid="{C27A1269-C14E-4773-AEF0-E2847205056D}"/>
    <cellStyle name="Normal 5 2 3 7 4" xfId="10261" xr:uid="{D197F881-89A0-41EF-A53E-0BC5CF8270A3}"/>
    <cellStyle name="Normal 5 2 3 8" xfId="2143" xr:uid="{00000000-0005-0000-0000-0000CC180000}"/>
    <cellStyle name="Normal 5 2 3 8 2" xfId="4372" xr:uid="{00000000-0005-0000-0000-0000CD180000}"/>
    <cellStyle name="Normal 5 2 3 8 2 2" xfId="8595" xr:uid="{00000000-0005-0000-0000-0000CE180000}"/>
    <cellStyle name="Normal 5 2 3 8 2 2 2" xfId="17037" xr:uid="{D95585FF-2350-441F-92B4-ABA486BB4B00}"/>
    <cellStyle name="Normal 5 2 3 8 2 3" xfId="12819" xr:uid="{0A2368C4-E740-4CC2-B46E-F2AC418B60DB}"/>
    <cellStyle name="Normal 5 2 3 8 3" xfId="6450" xr:uid="{00000000-0005-0000-0000-0000CF180000}"/>
    <cellStyle name="Normal 5 2 3 8 3 2" xfId="14892" xr:uid="{A81048BC-0102-4106-BF1F-84F2BDC5908E}"/>
    <cellStyle name="Normal 5 2 3 8 4" xfId="10674" xr:uid="{303AA2E5-6982-4F18-8285-D0B263555DEB}"/>
    <cellStyle name="Normal 5 2 3 9" xfId="2579" xr:uid="{00000000-0005-0000-0000-0000D0180000}"/>
    <cellStyle name="Normal 5 2 3 9 2" xfId="6863" xr:uid="{00000000-0005-0000-0000-0000D1180000}"/>
    <cellStyle name="Normal 5 2 3 9 2 2" xfId="15305" xr:uid="{744A5FBA-F648-4656-A0FF-AF60EA108378}"/>
    <cellStyle name="Normal 5 2 3 9 3" xfId="11087" xr:uid="{4D6D6FDF-DF35-4872-B099-D552C0A7B3B7}"/>
    <cellStyle name="Normal 5 2 4" xfId="432" xr:uid="{00000000-0005-0000-0000-0000D2180000}"/>
    <cellStyle name="Normal 5 2 4 10" xfId="9030" xr:uid="{2926FEFA-C0BB-4D48-A129-19E3FEA03F42}"/>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2 2 2" xfId="15808" xr:uid="{3091B561-4E73-429B-B59B-A427084660F7}"/>
    <cellStyle name="Normal 5 2 4 2 2 2 2 3" xfId="11590" xr:uid="{25B14F81-4695-49B6-BDD2-065F52D94214}"/>
    <cellStyle name="Normal 5 2 4 2 2 2 3" xfId="5221" xr:uid="{00000000-0005-0000-0000-0000D8180000}"/>
    <cellStyle name="Normal 5 2 4 2 2 2 3 2" xfId="13663" xr:uid="{8DC0ABEB-3CD8-4652-A023-DF379CFD0DFC}"/>
    <cellStyle name="Normal 5 2 4 2 2 2 4" xfId="9445" xr:uid="{A9094B49-C4A1-4E93-921B-CDAECCF03D78}"/>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2 2 2" xfId="16221" xr:uid="{ABD6FE4D-2EA2-432C-896F-A53C1DBE9265}"/>
    <cellStyle name="Normal 5 2 4 2 2 3 2 3" xfId="12003" xr:uid="{F71E0B3A-3FF3-4482-8E7B-95928C1725B7}"/>
    <cellStyle name="Normal 5 2 4 2 2 3 3" xfId="5634" xr:uid="{00000000-0005-0000-0000-0000DC180000}"/>
    <cellStyle name="Normal 5 2 4 2 2 3 3 2" xfId="14076" xr:uid="{C8112112-5722-4786-A88B-AA6A7C73A201}"/>
    <cellStyle name="Normal 5 2 4 2 2 3 4" xfId="9858" xr:uid="{0D047B3B-095E-462B-894D-C21A5A1010B1}"/>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2 2 2" xfId="16634" xr:uid="{BBFBB508-72CD-49AA-AFFB-B630EE5CDEFE}"/>
    <cellStyle name="Normal 5 2 4 2 2 4 2 3" xfId="12416" xr:uid="{583176C3-0BBD-4EE9-9D38-4DEA12C4C62C}"/>
    <cellStyle name="Normal 5 2 4 2 2 4 3" xfId="6047" xr:uid="{00000000-0005-0000-0000-0000E0180000}"/>
    <cellStyle name="Normal 5 2 4 2 2 4 3 2" xfId="14489" xr:uid="{0FA829A7-3DCD-4DFE-B6DC-F4E75AD45C08}"/>
    <cellStyle name="Normal 5 2 4 2 2 4 4" xfId="10271" xr:uid="{80A4903D-DC2E-4D72-B71E-AD768DFAE6FB}"/>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2 2 2" xfId="17047" xr:uid="{005A610A-0D8B-4574-92B4-D140B2B2866C}"/>
    <cellStyle name="Normal 5 2 4 2 2 5 2 3" xfId="12829" xr:uid="{578E742D-5107-47DE-9576-923ED0CF3636}"/>
    <cellStyle name="Normal 5 2 4 2 2 5 3" xfId="6460" xr:uid="{00000000-0005-0000-0000-0000E4180000}"/>
    <cellStyle name="Normal 5 2 4 2 2 5 3 2" xfId="14902" xr:uid="{FE00757E-7A6F-449E-8C97-0C218EA0A2D0}"/>
    <cellStyle name="Normal 5 2 4 2 2 5 4" xfId="10684" xr:uid="{7B7F00F3-9FF1-49C7-8450-F86A9A5F8888}"/>
    <cellStyle name="Normal 5 2 4 2 2 6" xfId="2589" xr:uid="{00000000-0005-0000-0000-0000E5180000}"/>
    <cellStyle name="Normal 5 2 4 2 2 6 2" xfId="6873" xr:uid="{00000000-0005-0000-0000-0000E6180000}"/>
    <cellStyle name="Normal 5 2 4 2 2 6 2 2" xfId="15315" xr:uid="{EF3FEB22-8A23-4FB3-AD10-9FF0832DBCD4}"/>
    <cellStyle name="Normal 5 2 4 2 2 6 3" xfId="11097" xr:uid="{3BC44345-B60D-4105-BD0E-382AAB6DA44F}"/>
    <cellStyle name="Normal 5 2 4 2 2 7" xfId="4808" xr:uid="{00000000-0005-0000-0000-0000E7180000}"/>
    <cellStyle name="Normal 5 2 4 2 2 7 2" xfId="13250" xr:uid="{2D8DBDC0-B781-4F3B-B042-2B94E991F978}"/>
    <cellStyle name="Normal 5 2 4 2 2 8" xfId="9032" xr:uid="{50907592-E359-4803-9EA3-3D63ED124BE9}"/>
    <cellStyle name="Normal 5 2 4 2 3" xfId="907" xr:uid="{00000000-0005-0000-0000-0000E8180000}"/>
    <cellStyle name="Normal 5 2 4 2 3 2" xfId="3142" xr:uid="{00000000-0005-0000-0000-0000E9180000}"/>
    <cellStyle name="Normal 5 2 4 2 3 2 2" xfId="7365" xr:uid="{00000000-0005-0000-0000-0000EA180000}"/>
    <cellStyle name="Normal 5 2 4 2 3 2 2 2" xfId="15807" xr:uid="{A6BFA2D1-DB0C-4D21-888D-A153239D09CC}"/>
    <cellStyle name="Normal 5 2 4 2 3 2 3" xfId="11589" xr:uid="{FD14F183-ECE5-4EFC-B5D8-535E5DF5DBEC}"/>
    <cellStyle name="Normal 5 2 4 2 3 3" xfId="5220" xr:uid="{00000000-0005-0000-0000-0000EB180000}"/>
    <cellStyle name="Normal 5 2 4 2 3 3 2" xfId="13662" xr:uid="{9D4A1883-BC7C-404B-A8CF-424490E28977}"/>
    <cellStyle name="Normal 5 2 4 2 3 4" xfId="9444" xr:uid="{72B13935-DF90-4FB7-B752-9B5258E9940A}"/>
    <cellStyle name="Normal 5 2 4 2 4" xfId="1325" xr:uid="{00000000-0005-0000-0000-0000EC180000}"/>
    <cellStyle name="Normal 5 2 4 2 4 2" xfId="3555" xr:uid="{00000000-0005-0000-0000-0000ED180000}"/>
    <cellStyle name="Normal 5 2 4 2 4 2 2" xfId="7778" xr:uid="{00000000-0005-0000-0000-0000EE180000}"/>
    <cellStyle name="Normal 5 2 4 2 4 2 2 2" xfId="16220" xr:uid="{CB9076F9-4139-42A3-8D82-20901CDCB5C6}"/>
    <cellStyle name="Normal 5 2 4 2 4 2 3" xfId="12002" xr:uid="{5B6F7D2C-3A36-4A1C-A855-197FEC94318E}"/>
    <cellStyle name="Normal 5 2 4 2 4 3" xfId="5633" xr:uid="{00000000-0005-0000-0000-0000EF180000}"/>
    <cellStyle name="Normal 5 2 4 2 4 3 2" xfId="14075" xr:uid="{6B7F9967-AB9B-4BD8-9A59-9A6557592DA3}"/>
    <cellStyle name="Normal 5 2 4 2 4 4" xfId="9857" xr:uid="{3993596A-C5DC-406F-8BD5-BD8218ACB054}"/>
    <cellStyle name="Normal 5 2 4 2 5" xfId="1738" xr:uid="{00000000-0005-0000-0000-0000F0180000}"/>
    <cellStyle name="Normal 5 2 4 2 5 2" xfId="3968" xr:uid="{00000000-0005-0000-0000-0000F1180000}"/>
    <cellStyle name="Normal 5 2 4 2 5 2 2" xfId="8191" xr:uid="{00000000-0005-0000-0000-0000F2180000}"/>
    <cellStyle name="Normal 5 2 4 2 5 2 2 2" xfId="16633" xr:uid="{65ED24CB-47AF-4729-AF98-7C87FBF44C83}"/>
    <cellStyle name="Normal 5 2 4 2 5 2 3" xfId="12415" xr:uid="{32FC6128-A2AA-4194-9A74-EA2FB18F4114}"/>
    <cellStyle name="Normal 5 2 4 2 5 3" xfId="6046" xr:uid="{00000000-0005-0000-0000-0000F3180000}"/>
    <cellStyle name="Normal 5 2 4 2 5 3 2" xfId="14488" xr:uid="{51C18042-501B-4272-9E8A-B9E1E9D41056}"/>
    <cellStyle name="Normal 5 2 4 2 5 4" xfId="10270" xr:uid="{87DE3238-6976-4938-9AD4-1B6A108E086A}"/>
    <cellStyle name="Normal 5 2 4 2 6" xfId="2152" xr:uid="{00000000-0005-0000-0000-0000F4180000}"/>
    <cellStyle name="Normal 5 2 4 2 6 2" xfId="4381" xr:uid="{00000000-0005-0000-0000-0000F5180000}"/>
    <cellStyle name="Normal 5 2 4 2 6 2 2" xfId="8604" xr:uid="{00000000-0005-0000-0000-0000F6180000}"/>
    <cellStyle name="Normal 5 2 4 2 6 2 2 2" xfId="17046" xr:uid="{8C17D669-67D1-416D-A867-5DF7F91320B3}"/>
    <cellStyle name="Normal 5 2 4 2 6 2 3" xfId="12828" xr:uid="{50436A38-F814-4D71-A992-498D5786CEE9}"/>
    <cellStyle name="Normal 5 2 4 2 6 3" xfId="6459" xr:uid="{00000000-0005-0000-0000-0000F7180000}"/>
    <cellStyle name="Normal 5 2 4 2 6 3 2" xfId="14901" xr:uid="{39A2C724-0BCD-4922-A791-4375945E184C}"/>
    <cellStyle name="Normal 5 2 4 2 6 4" xfId="10683" xr:uid="{A939EB24-FD84-4ADD-BEC7-8D9685F60886}"/>
    <cellStyle name="Normal 5 2 4 2 7" xfId="2588" xr:uid="{00000000-0005-0000-0000-0000F8180000}"/>
    <cellStyle name="Normal 5 2 4 2 7 2" xfId="6872" xr:uid="{00000000-0005-0000-0000-0000F9180000}"/>
    <cellStyle name="Normal 5 2 4 2 7 2 2" xfId="15314" xr:uid="{2AD3B496-E50E-4B80-8C02-98771ABA9788}"/>
    <cellStyle name="Normal 5 2 4 2 7 3" xfId="11096" xr:uid="{19F5FC86-0F51-4A0D-BED3-D864CD886E5E}"/>
    <cellStyle name="Normal 5 2 4 2 8" xfId="4807" xr:uid="{00000000-0005-0000-0000-0000FA180000}"/>
    <cellStyle name="Normal 5 2 4 2 8 2" xfId="13249" xr:uid="{8464F6AD-564C-43D4-8867-3C0B47236B5D}"/>
    <cellStyle name="Normal 5 2 4 2 9" xfId="9031" xr:uid="{8C2D11C9-59B5-4861-88F5-846E737DCE73}"/>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2 2 2" xfId="15809" xr:uid="{A694E9D1-5834-49C3-B83F-ABB6A63E4353}"/>
    <cellStyle name="Normal 5 2 4 3 2 2 3" xfId="11591" xr:uid="{388E2A5B-934C-4F17-886C-4D46520CCA02}"/>
    <cellStyle name="Normal 5 2 4 3 2 3" xfId="5222" xr:uid="{00000000-0005-0000-0000-0000FF180000}"/>
    <cellStyle name="Normal 5 2 4 3 2 3 2" xfId="13664" xr:uid="{39F65006-A4E5-434E-B76E-D3205B90CADB}"/>
    <cellStyle name="Normal 5 2 4 3 2 4" xfId="9446" xr:uid="{73372F99-F676-4AFA-A34B-5A746F6839F5}"/>
    <cellStyle name="Normal 5 2 4 3 3" xfId="1327" xr:uid="{00000000-0005-0000-0000-000000190000}"/>
    <cellStyle name="Normal 5 2 4 3 3 2" xfId="3557" xr:uid="{00000000-0005-0000-0000-000001190000}"/>
    <cellStyle name="Normal 5 2 4 3 3 2 2" xfId="7780" xr:uid="{00000000-0005-0000-0000-000002190000}"/>
    <cellStyle name="Normal 5 2 4 3 3 2 2 2" xfId="16222" xr:uid="{30C7726A-D0BB-47A6-966F-2AD45FBE7854}"/>
    <cellStyle name="Normal 5 2 4 3 3 2 3" xfId="12004" xr:uid="{9737C93E-6879-426E-8A5A-BD73706AB0F1}"/>
    <cellStyle name="Normal 5 2 4 3 3 3" xfId="5635" xr:uid="{00000000-0005-0000-0000-000003190000}"/>
    <cellStyle name="Normal 5 2 4 3 3 3 2" xfId="14077" xr:uid="{A771B826-2334-4283-BC81-5DAC94FE55F9}"/>
    <cellStyle name="Normal 5 2 4 3 3 4" xfId="9859" xr:uid="{F29CC73C-846C-4AEA-9A1D-63DFCF5DF7E4}"/>
    <cellStyle name="Normal 5 2 4 3 4" xfId="1740" xr:uid="{00000000-0005-0000-0000-000004190000}"/>
    <cellStyle name="Normal 5 2 4 3 4 2" xfId="3970" xr:uid="{00000000-0005-0000-0000-000005190000}"/>
    <cellStyle name="Normal 5 2 4 3 4 2 2" xfId="8193" xr:uid="{00000000-0005-0000-0000-000006190000}"/>
    <cellStyle name="Normal 5 2 4 3 4 2 2 2" xfId="16635" xr:uid="{D1D6AB33-3C05-4771-ADEF-B2A8FF3D02E6}"/>
    <cellStyle name="Normal 5 2 4 3 4 2 3" xfId="12417" xr:uid="{E44739A4-7A55-40D8-AA1F-7DE02E35E1DA}"/>
    <cellStyle name="Normal 5 2 4 3 4 3" xfId="6048" xr:uid="{00000000-0005-0000-0000-000007190000}"/>
    <cellStyle name="Normal 5 2 4 3 4 3 2" xfId="14490" xr:uid="{8734019B-4F08-4E4E-B662-0748C27E0FD5}"/>
    <cellStyle name="Normal 5 2 4 3 4 4" xfId="10272" xr:uid="{1D14DA4C-6A59-4B77-97E1-9768B8A38FA7}"/>
    <cellStyle name="Normal 5 2 4 3 5" xfId="2154" xr:uid="{00000000-0005-0000-0000-000008190000}"/>
    <cellStyle name="Normal 5 2 4 3 5 2" xfId="4383" xr:uid="{00000000-0005-0000-0000-000009190000}"/>
    <cellStyle name="Normal 5 2 4 3 5 2 2" xfId="8606" xr:uid="{00000000-0005-0000-0000-00000A190000}"/>
    <cellStyle name="Normal 5 2 4 3 5 2 2 2" xfId="17048" xr:uid="{CCA12BFB-BB51-47FB-A23F-24EB6D918270}"/>
    <cellStyle name="Normal 5 2 4 3 5 2 3" xfId="12830" xr:uid="{65C6D6BB-0D7A-4BF3-950E-C26EC7E35C46}"/>
    <cellStyle name="Normal 5 2 4 3 5 3" xfId="6461" xr:uid="{00000000-0005-0000-0000-00000B190000}"/>
    <cellStyle name="Normal 5 2 4 3 5 3 2" xfId="14903" xr:uid="{D4FF4856-91CB-471F-877F-A2FE1E81BC5C}"/>
    <cellStyle name="Normal 5 2 4 3 5 4" xfId="10685" xr:uid="{F491370F-3291-40E4-BE78-519DB5501544}"/>
    <cellStyle name="Normal 5 2 4 3 6" xfId="2590" xr:uid="{00000000-0005-0000-0000-00000C190000}"/>
    <cellStyle name="Normal 5 2 4 3 6 2" xfId="6874" xr:uid="{00000000-0005-0000-0000-00000D190000}"/>
    <cellStyle name="Normal 5 2 4 3 6 2 2" xfId="15316" xr:uid="{4BD115A1-62E4-4B5B-85EB-0E390D49315F}"/>
    <cellStyle name="Normal 5 2 4 3 6 3" xfId="11098" xr:uid="{4203C90A-B6F7-4471-BAFB-A2066A576165}"/>
    <cellStyle name="Normal 5 2 4 3 7" xfId="4809" xr:uid="{00000000-0005-0000-0000-00000E190000}"/>
    <cellStyle name="Normal 5 2 4 3 7 2" xfId="13251" xr:uid="{8B9CE79A-B9A7-405B-AA0E-E679B9D4E52C}"/>
    <cellStyle name="Normal 5 2 4 3 8" xfId="9033" xr:uid="{8419773F-CB80-44FE-B22A-874BAF33E3F5}"/>
    <cellStyle name="Normal 5 2 4 4" xfId="906" xr:uid="{00000000-0005-0000-0000-00000F190000}"/>
    <cellStyle name="Normal 5 2 4 4 2" xfId="3141" xr:uid="{00000000-0005-0000-0000-000010190000}"/>
    <cellStyle name="Normal 5 2 4 4 2 2" xfId="7364" xr:uid="{00000000-0005-0000-0000-000011190000}"/>
    <cellStyle name="Normal 5 2 4 4 2 2 2" xfId="15806" xr:uid="{9568F833-F2BB-4A0F-999D-A01A2964F61A}"/>
    <cellStyle name="Normal 5 2 4 4 2 3" xfId="11588" xr:uid="{232B80D0-1324-4525-9588-96AF40CD78BC}"/>
    <cellStyle name="Normal 5 2 4 4 3" xfId="5219" xr:uid="{00000000-0005-0000-0000-000012190000}"/>
    <cellStyle name="Normal 5 2 4 4 3 2" xfId="13661" xr:uid="{18346ABA-04DA-4642-8FEA-54DE72FE1C9D}"/>
    <cellStyle name="Normal 5 2 4 4 4" xfId="9443" xr:uid="{FC0271E4-726D-4D62-9353-00193619492A}"/>
    <cellStyle name="Normal 5 2 4 5" xfId="1324" xr:uid="{00000000-0005-0000-0000-000013190000}"/>
    <cellStyle name="Normal 5 2 4 5 2" xfId="3554" xr:uid="{00000000-0005-0000-0000-000014190000}"/>
    <cellStyle name="Normal 5 2 4 5 2 2" xfId="7777" xr:uid="{00000000-0005-0000-0000-000015190000}"/>
    <cellStyle name="Normal 5 2 4 5 2 2 2" xfId="16219" xr:uid="{1A3708C4-7BEF-401A-AF9B-534BC10C8498}"/>
    <cellStyle name="Normal 5 2 4 5 2 3" xfId="12001" xr:uid="{AA1010B2-CDF1-4946-AF4B-FC9A45BB575C}"/>
    <cellStyle name="Normal 5 2 4 5 3" xfId="5632" xr:uid="{00000000-0005-0000-0000-000016190000}"/>
    <cellStyle name="Normal 5 2 4 5 3 2" xfId="14074" xr:uid="{CEF571D9-AAD9-4ADD-8222-8CAE10555B19}"/>
    <cellStyle name="Normal 5 2 4 5 4" xfId="9856" xr:uid="{B4E3A62A-F828-4886-B19A-8FBFC51678A0}"/>
    <cellStyle name="Normal 5 2 4 6" xfId="1737" xr:uid="{00000000-0005-0000-0000-000017190000}"/>
    <cellStyle name="Normal 5 2 4 6 2" xfId="3967" xr:uid="{00000000-0005-0000-0000-000018190000}"/>
    <cellStyle name="Normal 5 2 4 6 2 2" xfId="8190" xr:uid="{00000000-0005-0000-0000-000019190000}"/>
    <cellStyle name="Normal 5 2 4 6 2 2 2" xfId="16632" xr:uid="{FCAEC963-E07C-4768-93F6-35B293D03C61}"/>
    <cellStyle name="Normal 5 2 4 6 2 3" xfId="12414" xr:uid="{02C78B41-5EFD-4165-B4A1-90B885A6D7B9}"/>
    <cellStyle name="Normal 5 2 4 6 3" xfId="6045" xr:uid="{00000000-0005-0000-0000-00001A190000}"/>
    <cellStyle name="Normal 5 2 4 6 3 2" xfId="14487" xr:uid="{FCE3B721-DB9F-4F41-B279-2FD4E38BC8A1}"/>
    <cellStyle name="Normal 5 2 4 6 4" xfId="10269" xr:uid="{DAA9BF45-038A-4495-9575-A3DAEA052A0B}"/>
    <cellStyle name="Normal 5 2 4 7" xfId="2151" xr:uid="{00000000-0005-0000-0000-00001B190000}"/>
    <cellStyle name="Normal 5 2 4 7 2" xfId="4380" xr:uid="{00000000-0005-0000-0000-00001C190000}"/>
    <cellStyle name="Normal 5 2 4 7 2 2" xfId="8603" xr:uid="{00000000-0005-0000-0000-00001D190000}"/>
    <cellStyle name="Normal 5 2 4 7 2 2 2" xfId="17045" xr:uid="{AB563DF2-D656-4E9E-A9A9-45180F85178B}"/>
    <cellStyle name="Normal 5 2 4 7 2 3" xfId="12827" xr:uid="{477BC18F-A296-4D3F-B9EF-71E920A56E2E}"/>
    <cellStyle name="Normal 5 2 4 7 3" xfId="6458" xr:uid="{00000000-0005-0000-0000-00001E190000}"/>
    <cellStyle name="Normal 5 2 4 7 3 2" xfId="14900" xr:uid="{5FDDEB4E-B9F6-4E2C-9482-566D47CD8A6F}"/>
    <cellStyle name="Normal 5 2 4 7 4" xfId="10682" xr:uid="{E3BEF73F-62AD-4754-94BD-BF414D15C6D9}"/>
    <cellStyle name="Normal 5 2 4 8" xfId="2587" xr:uid="{00000000-0005-0000-0000-00001F190000}"/>
    <cellStyle name="Normal 5 2 4 8 2" xfId="6871" xr:uid="{00000000-0005-0000-0000-000020190000}"/>
    <cellStyle name="Normal 5 2 4 8 2 2" xfId="15313" xr:uid="{CD07239B-B14B-4629-B79F-EE2D0BAA206F}"/>
    <cellStyle name="Normal 5 2 4 8 3" xfId="11095" xr:uid="{FCC1F597-82B2-4C6C-8E5A-789CF82D025A}"/>
    <cellStyle name="Normal 5 2 4 9" xfId="4806" xr:uid="{00000000-0005-0000-0000-000021190000}"/>
    <cellStyle name="Normal 5 2 4 9 2" xfId="13248" xr:uid="{E21A56F9-F904-4A3F-BED1-672B460015D9}"/>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2 2 2" xfId="15811" xr:uid="{D17F9C4F-D4B5-4955-8CBE-83197A0A7B9E}"/>
    <cellStyle name="Normal 5 2 5 2 2 2 3" xfId="11593" xr:uid="{882B216B-02CA-43E0-9F5D-CC900415D1E6}"/>
    <cellStyle name="Normal 5 2 5 2 2 3" xfId="5224" xr:uid="{00000000-0005-0000-0000-000027190000}"/>
    <cellStyle name="Normal 5 2 5 2 2 3 2" xfId="13666" xr:uid="{E87D8BD1-1172-4D40-84D1-AE7C1AF86637}"/>
    <cellStyle name="Normal 5 2 5 2 2 4" xfId="9448" xr:uid="{3E4399C0-7B80-4F50-9ADD-797B8B5DC191}"/>
    <cellStyle name="Normal 5 2 5 2 3" xfId="1329" xr:uid="{00000000-0005-0000-0000-000028190000}"/>
    <cellStyle name="Normal 5 2 5 2 3 2" xfId="3559" xr:uid="{00000000-0005-0000-0000-000029190000}"/>
    <cellStyle name="Normal 5 2 5 2 3 2 2" xfId="7782" xr:uid="{00000000-0005-0000-0000-00002A190000}"/>
    <cellStyle name="Normal 5 2 5 2 3 2 2 2" xfId="16224" xr:uid="{640924F2-7EE2-4FB6-AA4B-803EABC0C742}"/>
    <cellStyle name="Normal 5 2 5 2 3 2 3" xfId="12006" xr:uid="{E1D9E40D-4B9B-4B7D-92CC-ED6F93DE8E5E}"/>
    <cellStyle name="Normal 5 2 5 2 3 3" xfId="5637" xr:uid="{00000000-0005-0000-0000-00002B190000}"/>
    <cellStyle name="Normal 5 2 5 2 3 3 2" xfId="14079" xr:uid="{74A330ED-334A-40BD-92AD-31D8206B44C6}"/>
    <cellStyle name="Normal 5 2 5 2 3 4" xfId="9861" xr:uid="{02A8310E-FB79-4D47-8331-440A95B10578}"/>
    <cellStyle name="Normal 5 2 5 2 4" xfId="1742" xr:uid="{00000000-0005-0000-0000-00002C190000}"/>
    <cellStyle name="Normal 5 2 5 2 4 2" xfId="3972" xr:uid="{00000000-0005-0000-0000-00002D190000}"/>
    <cellStyle name="Normal 5 2 5 2 4 2 2" xfId="8195" xr:uid="{00000000-0005-0000-0000-00002E190000}"/>
    <cellStyle name="Normal 5 2 5 2 4 2 2 2" xfId="16637" xr:uid="{22EB14CC-7E84-45AA-A0BB-EC3534C0A5F7}"/>
    <cellStyle name="Normal 5 2 5 2 4 2 3" xfId="12419" xr:uid="{F2A03F9A-413A-40FC-81A4-3DCBD72EBC86}"/>
    <cellStyle name="Normal 5 2 5 2 4 3" xfId="6050" xr:uid="{00000000-0005-0000-0000-00002F190000}"/>
    <cellStyle name="Normal 5 2 5 2 4 3 2" xfId="14492" xr:uid="{52B2CBF0-297B-4C19-8ECA-48B2111567C0}"/>
    <cellStyle name="Normal 5 2 5 2 4 4" xfId="10274" xr:uid="{BBB98CB1-A82E-4FAC-91E4-ECD61A2E6F54}"/>
    <cellStyle name="Normal 5 2 5 2 5" xfId="2156" xr:uid="{00000000-0005-0000-0000-000030190000}"/>
    <cellStyle name="Normal 5 2 5 2 5 2" xfId="4385" xr:uid="{00000000-0005-0000-0000-000031190000}"/>
    <cellStyle name="Normal 5 2 5 2 5 2 2" xfId="8608" xr:uid="{00000000-0005-0000-0000-000032190000}"/>
    <cellStyle name="Normal 5 2 5 2 5 2 2 2" xfId="17050" xr:uid="{AAE31C9F-956C-4A56-ACCD-D9C26F8BEE92}"/>
    <cellStyle name="Normal 5 2 5 2 5 2 3" xfId="12832" xr:uid="{3063B62F-F8A4-4F70-9486-83FBBE81DF75}"/>
    <cellStyle name="Normal 5 2 5 2 5 3" xfId="6463" xr:uid="{00000000-0005-0000-0000-000033190000}"/>
    <cellStyle name="Normal 5 2 5 2 5 3 2" xfId="14905" xr:uid="{AA58E818-170C-46ED-AB9A-11A9E38C8341}"/>
    <cellStyle name="Normal 5 2 5 2 5 4" xfId="10687" xr:uid="{84FB3411-6BD8-4E5B-B183-63D01799E8DD}"/>
    <cellStyle name="Normal 5 2 5 2 6" xfId="2592" xr:uid="{00000000-0005-0000-0000-000034190000}"/>
    <cellStyle name="Normal 5 2 5 2 6 2" xfId="6876" xr:uid="{00000000-0005-0000-0000-000035190000}"/>
    <cellStyle name="Normal 5 2 5 2 6 2 2" xfId="15318" xr:uid="{8F8B61A0-EC18-4AD1-AB3E-DDF6511389B2}"/>
    <cellStyle name="Normal 5 2 5 2 6 3" xfId="11100" xr:uid="{397AACB2-6C4A-4DA5-87AB-F1A8222D05C8}"/>
    <cellStyle name="Normal 5 2 5 2 7" xfId="4811" xr:uid="{00000000-0005-0000-0000-000036190000}"/>
    <cellStyle name="Normal 5 2 5 2 7 2" xfId="13253" xr:uid="{D62E6AC4-19C1-4108-8AF3-408BE4845357}"/>
    <cellStyle name="Normal 5 2 5 2 8" xfId="9035" xr:uid="{F2E4A057-8426-42B3-96B5-94927A89E823}"/>
    <cellStyle name="Normal 5 2 5 3" xfId="910" xr:uid="{00000000-0005-0000-0000-000037190000}"/>
    <cellStyle name="Normal 5 2 5 3 2" xfId="3145" xr:uid="{00000000-0005-0000-0000-000038190000}"/>
    <cellStyle name="Normal 5 2 5 3 2 2" xfId="7368" xr:uid="{00000000-0005-0000-0000-000039190000}"/>
    <cellStyle name="Normal 5 2 5 3 2 2 2" xfId="15810" xr:uid="{DC381D90-9EDF-437E-A6A4-683DBEF6E363}"/>
    <cellStyle name="Normal 5 2 5 3 2 3" xfId="11592" xr:uid="{9364C038-01E1-4A5B-89AA-E8EC2DBF2638}"/>
    <cellStyle name="Normal 5 2 5 3 3" xfId="5223" xr:uid="{00000000-0005-0000-0000-00003A190000}"/>
    <cellStyle name="Normal 5 2 5 3 3 2" xfId="13665" xr:uid="{30E42DCB-CC8A-4913-A42E-1CF6D9E70BFC}"/>
    <cellStyle name="Normal 5 2 5 3 4" xfId="9447" xr:uid="{CDE04A49-8DC9-4C01-B25B-C41E6430D2B6}"/>
    <cellStyle name="Normal 5 2 5 4" xfId="1328" xr:uid="{00000000-0005-0000-0000-00003B190000}"/>
    <cellStyle name="Normal 5 2 5 4 2" xfId="3558" xr:uid="{00000000-0005-0000-0000-00003C190000}"/>
    <cellStyle name="Normal 5 2 5 4 2 2" xfId="7781" xr:uid="{00000000-0005-0000-0000-00003D190000}"/>
    <cellStyle name="Normal 5 2 5 4 2 2 2" xfId="16223" xr:uid="{B872E9B1-791E-4C1B-B7A4-D576D6BEDEC5}"/>
    <cellStyle name="Normal 5 2 5 4 2 3" xfId="12005" xr:uid="{B702AC6B-8CEB-4830-9D26-9B77CB06AAFC}"/>
    <cellStyle name="Normal 5 2 5 4 3" xfId="5636" xr:uid="{00000000-0005-0000-0000-00003E190000}"/>
    <cellStyle name="Normal 5 2 5 4 3 2" xfId="14078" xr:uid="{824CEBE0-D36F-471F-A3C0-DEE9913EEA30}"/>
    <cellStyle name="Normal 5 2 5 4 4" xfId="9860" xr:uid="{39DEE781-7B77-46C6-9164-1E021A351608}"/>
    <cellStyle name="Normal 5 2 5 5" xfId="1741" xr:uid="{00000000-0005-0000-0000-00003F190000}"/>
    <cellStyle name="Normal 5 2 5 5 2" xfId="3971" xr:uid="{00000000-0005-0000-0000-000040190000}"/>
    <cellStyle name="Normal 5 2 5 5 2 2" xfId="8194" xr:uid="{00000000-0005-0000-0000-000041190000}"/>
    <cellStyle name="Normal 5 2 5 5 2 2 2" xfId="16636" xr:uid="{DC8A3914-95E3-4B4D-A959-C8E336A2A4CB}"/>
    <cellStyle name="Normal 5 2 5 5 2 3" xfId="12418" xr:uid="{C2454FFF-B62E-4EA9-B736-B0236FA8BF4F}"/>
    <cellStyle name="Normal 5 2 5 5 3" xfId="6049" xr:uid="{00000000-0005-0000-0000-000042190000}"/>
    <cellStyle name="Normal 5 2 5 5 3 2" xfId="14491" xr:uid="{46CDDFFE-EA92-485E-A056-A1319A3CB94D}"/>
    <cellStyle name="Normal 5 2 5 5 4" xfId="10273" xr:uid="{DEBC75FE-6F8A-41CF-9B0E-B7C03FBE7C46}"/>
    <cellStyle name="Normal 5 2 5 6" xfId="2155" xr:uid="{00000000-0005-0000-0000-000043190000}"/>
    <cellStyle name="Normal 5 2 5 6 2" xfId="4384" xr:uid="{00000000-0005-0000-0000-000044190000}"/>
    <cellStyle name="Normal 5 2 5 6 2 2" xfId="8607" xr:uid="{00000000-0005-0000-0000-000045190000}"/>
    <cellStyle name="Normal 5 2 5 6 2 2 2" xfId="17049" xr:uid="{E6005C80-6D94-4694-A2FB-28C8DB8CB865}"/>
    <cellStyle name="Normal 5 2 5 6 2 3" xfId="12831" xr:uid="{16248B64-A80A-45D9-82E3-6446EA692E91}"/>
    <cellStyle name="Normal 5 2 5 6 3" xfId="6462" xr:uid="{00000000-0005-0000-0000-000046190000}"/>
    <cellStyle name="Normal 5 2 5 6 3 2" xfId="14904" xr:uid="{F420810C-5726-418F-8D86-60FE7E7EDFC7}"/>
    <cellStyle name="Normal 5 2 5 6 4" xfId="10686" xr:uid="{B9665A2D-EC4E-4B1A-BFCA-D3EE57C791DF}"/>
    <cellStyle name="Normal 5 2 5 7" xfId="2591" xr:uid="{00000000-0005-0000-0000-000047190000}"/>
    <cellStyle name="Normal 5 2 5 7 2" xfId="6875" xr:uid="{00000000-0005-0000-0000-000048190000}"/>
    <cellStyle name="Normal 5 2 5 7 2 2" xfId="15317" xr:uid="{A7501CDA-45C4-4655-8ABE-19EC12B7ADE4}"/>
    <cellStyle name="Normal 5 2 5 7 3" xfId="11099" xr:uid="{08785DF4-CF71-4241-BD25-EA9E6DA5C1BA}"/>
    <cellStyle name="Normal 5 2 5 8" xfId="4810" xr:uid="{00000000-0005-0000-0000-000049190000}"/>
    <cellStyle name="Normal 5 2 5 8 2" xfId="13252" xr:uid="{44FE5BDD-1FA6-4090-93A3-331ADE4D2D4A}"/>
    <cellStyle name="Normal 5 2 5 9" xfId="9034" xr:uid="{9FAFEC73-0650-4C86-9328-260BA2B11509}"/>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2 2 2" xfId="15812" xr:uid="{3312538F-80BD-4C30-BBB7-B3A3F580C36E}"/>
    <cellStyle name="Normal 5 2 6 2 2 3" xfId="11594" xr:uid="{452A4DB2-ADDA-40AE-8BF0-0A7587048A11}"/>
    <cellStyle name="Normal 5 2 6 2 3" xfId="5225" xr:uid="{00000000-0005-0000-0000-00004E190000}"/>
    <cellStyle name="Normal 5 2 6 2 3 2" xfId="13667" xr:uid="{B2BC2E0E-0D3D-4AD4-A29E-316ED321096E}"/>
    <cellStyle name="Normal 5 2 6 2 4" xfId="9449" xr:uid="{C41707EA-ED75-4D90-9E00-17F30687E2D6}"/>
    <cellStyle name="Normal 5 2 6 3" xfId="1330" xr:uid="{00000000-0005-0000-0000-00004F190000}"/>
    <cellStyle name="Normal 5 2 6 3 2" xfId="3560" xr:uid="{00000000-0005-0000-0000-000050190000}"/>
    <cellStyle name="Normal 5 2 6 3 2 2" xfId="7783" xr:uid="{00000000-0005-0000-0000-000051190000}"/>
    <cellStyle name="Normal 5 2 6 3 2 2 2" xfId="16225" xr:uid="{5D450816-EF6A-4A6E-8CF3-A3C37FFC345B}"/>
    <cellStyle name="Normal 5 2 6 3 2 3" xfId="12007" xr:uid="{39C6891F-992C-4857-80F4-AAD1F221B007}"/>
    <cellStyle name="Normal 5 2 6 3 3" xfId="5638" xr:uid="{00000000-0005-0000-0000-000052190000}"/>
    <cellStyle name="Normal 5 2 6 3 3 2" xfId="14080" xr:uid="{2DCFD636-BCC5-4E57-B855-C4200C4CDE34}"/>
    <cellStyle name="Normal 5 2 6 3 4" xfId="9862" xr:uid="{C9025BCD-EE9D-485A-9586-B36FC8075314}"/>
    <cellStyle name="Normal 5 2 6 4" xfId="1743" xr:uid="{00000000-0005-0000-0000-000053190000}"/>
    <cellStyle name="Normal 5 2 6 4 2" xfId="3973" xr:uid="{00000000-0005-0000-0000-000054190000}"/>
    <cellStyle name="Normal 5 2 6 4 2 2" xfId="8196" xr:uid="{00000000-0005-0000-0000-000055190000}"/>
    <cellStyle name="Normal 5 2 6 4 2 2 2" xfId="16638" xr:uid="{12B010BD-EB3B-4C53-9F28-AC22A3D64CF2}"/>
    <cellStyle name="Normal 5 2 6 4 2 3" xfId="12420" xr:uid="{169FAC1D-D644-4A58-ABD1-8C844ACCCE28}"/>
    <cellStyle name="Normal 5 2 6 4 3" xfId="6051" xr:uid="{00000000-0005-0000-0000-000056190000}"/>
    <cellStyle name="Normal 5 2 6 4 3 2" xfId="14493" xr:uid="{D0A9CAA5-BB1E-4784-8D0A-991362330CEF}"/>
    <cellStyle name="Normal 5 2 6 4 4" xfId="10275" xr:uid="{1C4B91A5-F3B4-4B30-A53D-2B63FD709CC3}"/>
    <cellStyle name="Normal 5 2 6 5" xfId="2157" xr:uid="{00000000-0005-0000-0000-000057190000}"/>
    <cellStyle name="Normal 5 2 6 5 2" xfId="4386" xr:uid="{00000000-0005-0000-0000-000058190000}"/>
    <cellStyle name="Normal 5 2 6 5 2 2" xfId="8609" xr:uid="{00000000-0005-0000-0000-000059190000}"/>
    <cellStyle name="Normal 5 2 6 5 2 2 2" xfId="17051" xr:uid="{838EC9E9-F4EF-4F8B-AD98-603310828208}"/>
    <cellStyle name="Normal 5 2 6 5 2 3" xfId="12833" xr:uid="{A38083F3-111D-4221-A77D-2ABAC4D94D22}"/>
    <cellStyle name="Normal 5 2 6 5 3" xfId="6464" xr:uid="{00000000-0005-0000-0000-00005A190000}"/>
    <cellStyle name="Normal 5 2 6 5 3 2" xfId="14906" xr:uid="{37EA5069-8843-4B7E-B5F8-DC835E66FAC8}"/>
    <cellStyle name="Normal 5 2 6 5 4" xfId="10688" xr:uid="{56C9CB8C-875A-4579-BD82-AB5B4A51BE10}"/>
    <cellStyle name="Normal 5 2 6 6" xfId="2593" xr:uid="{00000000-0005-0000-0000-00005B190000}"/>
    <cellStyle name="Normal 5 2 6 6 2" xfId="6877" xr:uid="{00000000-0005-0000-0000-00005C190000}"/>
    <cellStyle name="Normal 5 2 6 6 2 2" xfId="15319" xr:uid="{A1093F45-2D6D-4E01-92C4-A9C9A08BAB03}"/>
    <cellStyle name="Normal 5 2 6 6 3" xfId="11101" xr:uid="{962B3201-D258-48C7-9127-CCFF03478F96}"/>
    <cellStyle name="Normal 5 2 6 7" xfId="4812" xr:uid="{00000000-0005-0000-0000-00005D190000}"/>
    <cellStyle name="Normal 5 2 6 7 2" xfId="13254" xr:uid="{657EB5AF-76B3-432A-8ED5-3A80AAA8FFC2}"/>
    <cellStyle name="Normal 5 2 6 8" xfId="9036" xr:uid="{A904372E-10F7-46A5-BF3A-A74ED7BC7230}"/>
    <cellStyle name="Normal 5 2 7" xfId="881" xr:uid="{00000000-0005-0000-0000-00005E190000}"/>
    <cellStyle name="Normal 5 2 7 2" xfId="3116" xr:uid="{00000000-0005-0000-0000-00005F190000}"/>
    <cellStyle name="Normal 5 2 7 2 2" xfId="7339" xr:uid="{00000000-0005-0000-0000-000060190000}"/>
    <cellStyle name="Normal 5 2 7 2 2 2" xfId="15781" xr:uid="{BF66E4C7-876E-4E4B-8B9A-D59F866AC0CB}"/>
    <cellStyle name="Normal 5 2 7 2 3" xfId="11563" xr:uid="{4A6607BC-A225-4058-B0A0-36A6C2A080BE}"/>
    <cellStyle name="Normal 5 2 7 3" xfId="5194" xr:uid="{00000000-0005-0000-0000-000061190000}"/>
    <cellStyle name="Normal 5 2 7 3 2" xfId="13636" xr:uid="{93D447DA-581D-49D7-ABCC-632C8A34F004}"/>
    <cellStyle name="Normal 5 2 7 4" xfId="9418" xr:uid="{E7CF47A3-AAEA-4DE5-9319-08BAA3F58B36}"/>
    <cellStyle name="Normal 5 2 8" xfId="1299" xr:uid="{00000000-0005-0000-0000-000062190000}"/>
    <cellStyle name="Normal 5 2 8 2" xfId="3529" xr:uid="{00000000-0005-0000-0000-000063190000}"/>
    <cellStyle name="Normal 5 2 8 2 2" xfId="7752" xr:uid="{00000000-0005-0000-0000-000064190000}"/>
    <cellStyle name="Normal 5 2 8 2 2 2" xfId="16194" xr:uid="{C30042F2-6DE6-4F72-978E-9210595CDA76}"/>
    <cellStyle name="Normal 5 2 8 2 3" xfId="11976" xr:uid="{F972FB0B-F20E-4394-92A7-B420D890FE10}"/>
    <cellStyle name="Normal 5 2 8 3" xfId="5607" xr:uid="{00000000-0005-0000-0000-000065190000}"/>
    <cellStyle name="Normal 5 2 8 3 2" xfId="14049" xr:uid="{FA511615-953E-4B47-868A-CEB190A049B9}"/>
    <cellStyle name="Normal 5 2 8 4" xfId="9831" xr:uid="{E528C087-7407-49C3-8294-51EEBFB12D92}"/>
    <cellStyle name="Normal 5 2 9" xfId="1712" xr:uid="{00000000-0005-0000-0000-000066190000}"/>
    <cellStyle name="Normal 5 2 9 2" xfId="3942" xr:uid="{00000000-0005-0000-0000-000067190000}"/>
    <cellStyle name="Normal 5 2 9 2 2" xfId="8165" xr:uid="{00000000-0005-0000-0000-000068190000}"/>
    <cellStyle name="Normal 5 2 9 2 2 2" xfId="16607" xr:uid="{22F1D43F-C111-490F-A2BB-29F1B62550A5}"/>
    <cellStyle name="Normal 5 2 9 2 3" xfId="12389" xr:uid="{EFFBDF2B-B718-4A70-9416-E6F60804C696}"/>
    <cellStyle name="Normal 5 2 9 3" xfId="6020" xr:uid="{00000000-0005-0000-0000-000069190000}"/>
    <cellStyle name="Normal 5 2 9 3 2" xfId="14462" xr:uid="{23A4E42C-88D9-4E07-ADBC-77632579EDAD}"/>
    <cellStyle name="Normal 5 2 9 4" xfId="10244" xr:uid="{6E1837B8-DA82-4763-8F89-F51F6888F6FA}"/>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2 2 2" xfId="17052" xr:uid="{B2B94E9D-B933-47B0-B845-5B358242D7BA}"/>
    <cellStyle name="Normal 5 3 10 2 3" xfId="12834" xr:uid="{E3299877-E188-479B-B7E3-BEDDC76E3EF1}"/>
    <cellStyle name="Normal 5 3 10 3" xfId="6465" xr:uid="{00000000-0005-0000-0000-00006E190000}"/>
    <cellStyle name="Normal 5 3 10 3 2" xfId="14907" xr:uid="{048A608F-814C-4E8D-B856-05BB89DB2CCC}"/>
    <cellStyle name="Normal 5 3 10 4" xfId="10689" xr:uid="{57E59C30-D80D-4073-A952-0C989EA5F95C}"/>
    <cellStyle name="Normal 5 3 11" xfId="2594" xr:uid="{00000000-0005-0000-0000-00006F190000}"/>
    <cellStyle name="Normal 5 3 11 2" xfId="6878" xr:uid="{00000000-0005-0000-0000-000070190000}"/>
    <cellStyle name="Normal 5 3 11 2 2" xfId="15320" xr:uid="{C85BC61B-0266-453E-9C4F-6AA0945E69DD}"/>
    <cellStyle name="Normal 5 3 11 3" xfId="11102" xr:uid="{989D12D2-2CF5-47A6-8A05-AF3E2EB44120}"/>
    <cellStyle name="Normal 5 3 12" xfId="4813" xr:uid="{00000000-0005-0000-0000-000071190000}"/>
    <cellStyle name="Normal 5 3 12 2" xfId="13255" xr:uid="{22E02975-70C2-4C61-87B5-DA5156C693D8}"/>
    <cellStyle name="Normal 5 3 13" xfId="9037" xr:uid="{5EE40E53-E396-478C-8EE7-F382EB1A389D}"/>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10 2" xfId="13256" xr:uid="{EEF57D39-8960-4EA2-90F4-B84923205034}"/>
    <cellStyle name="Normal 5 3 3 11" xfId="9038" xr:uid="{C4141496-E69F-4838-B30E-5D8ECBAC0705}"/>
    <cellStyle name="Normal 5 3 3 2" xfId="442" xr:uid="{00000000-0005-0000-0000-000076190000}"/>
    <cellStyle name="Normal 5 3 3 2 10" xfId="9039" xr:uid="{34CE56DD-E97F-44D8-BD03-16FE61164646}"/>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2 2 2" xfId="15817" xr:uid="{B354797B-0460-4EB3-9EAA-190A2D00C505}"/>
    <cellStyle name="Normal 5 3 3 2 2 2 2 2 3" xfId="11599" xr:uid="{D535E8DE-1764-44AF-9EC6-FCAE41C89E04}"/>
    <cellStyle name="Normal 5 3 3 2 2 2 2 3" xfId="5230" xr:uid="{00000000-0005-0000-0000-00007C190000}"/>
    <cellStyle name="Normal 5 3 3 2 2 2 2 3 2" xfId="13672" xr:uid="{66CDE590-ED62-4D41-AACA-E9DD9C8D87E3}"/>
    <cellStyle name="Normal 5 3 3 2 2 2 2 4" xfId="9454" xr:uid="{9ED894B9-58E9-4634-A70D-9DC8118C210E}"/>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2 2 2" xfId="16230" xr:uid="{4272A6F5-0A22-45E6-8D37-93E007BF6516}"/>
    <cellStyle name="Normal 5 3 3 2 2 2 3 2 3" xfId="12012" xr:uid="{5D44C78B-2CAD-4B97-B4F1-F00A39EC1E3D}"/>
    <cellStyle name="Normal 5 3 3 2 2 2 3 3" xfId="5643" xr:uid="{00000000-0005-0000-0000-000080190000}"/>
    <cellStyle name="Normal 5 3 3 2 2 2 3 3 2" xfId="14085" xr:uid="{028F8EB4-70D3-4576-9F3A-3CD6BED1896F}"/>
    <cellStyle name="Normal 5 3 3 2 2 2 3 4" xfId="9867" xr:uid="{04C8C8F2-8B41-4C43-B543-898E4382F107}"/>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2 2 2" xfId="16643" xr:uid="{09EB006E-1B7E-40EB-8B0A-3A10FAAFE36A}"/>
    <cellStyle name="Normal 5 3 3 2 2 2 4 2 3" xfId="12425" xr:uid="{50242900-ED8C-4DD1-9414-D18EB73989E3}"/>
    <cellStyle name="Normal 5 3 3 2 2 2 4 3" xfId="6056" xr:uid="{00000000-0005-0000-0000-000084190000}"/>
    <cellStyle name="Normal 5 3 3 2 2 2 4 3 2" xfId="14498" xr:uid="{34D04304-29EF-4FC2-8484-2840FF1FCAA2}"/>
    <cellStyle name="Normal 5 3 3 2 2 2 4 4" xfId="10280" xr:uid="{85A294E4-54D8-4ADF-BD0A-1110CC06B8BF}"/>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2 2 2" xfId="17056" xr:uid="{59E52C23-7FF3-4C83-ADE8-98E03D27C253}"/>
    <cellStyle name="Normal 5 3 3 2 2 2 5 2 3" xfId="12838" xr:uid="{70B12F95-B557-40DA-A1C5-76B1BEDD6148}"/>
    <cellStyle name="Normal 5 3 3 2 2 2 5 3" xfId="6469" xr:uid="{00000000-0005-0000-0000-000088190000}"/>
    <cellStyle name="Normal 5 3 3 2 2 2 5 3 2" xfId="14911" xr:uid="{77885E94-3D16-4D51-B91B-79EB35A80596}"/>
    <cellStyle name="Normal 5 3 3 2 2 2 5 4" xfId="10693" xr:uid="{0ACDFAAB-63FB-45E3-8942-7EA77DFAA324}"/>
    <cellStyle name="Normal 5 3 3 2 2 2 6" xfId="2598" xr:uid="{00000000-0005-0000-0000-000089190000}"/>
    <cellStyle name="Normal 5 3 3 2 2 2 6 2" xfId="6882" xr:uid="{00000000-0005-0000-0000-00008A190000}"/>
    <cellStyle name="Normal 5 3 3 2 2 2 6 2 2" xfId="15324" xr:uid="{BF2556FF-490D-4CB3-B030-B8239CC03B0C}"/>
    <cellStyle name="Normal 5 3 3 2 2 2 6 3" xfId="11106" xr:uid="{06EF2F59-C7A4-4F93-9BFE-5A0576FBD696}"/>
    <cellStyle name="Normal 5 3 3 2 2 2 7" xfId="4817" xr:uid="{00000000-0005-0000-0000-00008B190000}"/>
    <cellStyle name="Normal 5 3 3 2 2 2 7 2" xfId="13259" xr:uid="{430DA1CD-804F-4ACA-9561-6644CF8CCDED}"/>
    <cellStyle name="Normal 5 3 3 2 2 2 8" xfId="9041" xr:uid="{ACA993E3-6277-4D7E-A38E-CD22177E98F8}"/>
    <cellStyle name="Normal 5 3 3 2 2 3" xfId="917" xr:uid="{00000000-0005-0000-0000-00008C190000}"/>
    <cellStyle name="Normal 5 3 3 2 2 3 2" xfId="3151" xr:uid="{00000000-0005-0000-0000-00008D190000}"/>
    <cellStyle name="Normal 5 3 3 2 2 3 2 2" xfId="7374" xr:uid="{00000000-0005-0000-0000-00008E190000}"/>
    <cellStyle name="Normal 5 3 3 2 2 3 2 2 2" xfId="15816" xr:uid="{0C98637A-B345-4FEF-89CF-80B322E439A6}"/>
    <cellStyle name="Normal 5 3 3 2 2 3 2 3" xfId="11598" xr:uid="{2D9D59F6-94B7-44E6-8776-B75AA82069DD}"/>
    <cellStyle name="Normal 5 3 3 2 2 3 3" xfId="5229" xr:uid="{00000000-0005-0000-0000-00008F190000}"/>
    <cellStyle name="Normal 5 3 3 2 2 3 3 2" xfId="13671" xr:uid="{BA22364A-CA0B-44DE-8830-5F981440B92C}"/>
    <cellStyle name="Normal 5 3 3 2 2 3 4" xfId="9453" xr:uid="{CEA15BAF-336F-4BF9-99FB-74675C7B1AC9}"/>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2 2 2" xfId="16229" xr:uid="{6E90DCE9-2A89-47E4-AB15-F8C4A0679815}"/>
    <cellStyle name="Normal 5 3 3 2 2 4 2 3" xfId="12011" xr:uid="{94BECEDF-7832-485E-A1E4-48E4A0222A07}"/>
    <cellStyle name="Normal 5 3 3 2 2 4 3" xfId="5642" xr:uid="{00000000-0005-0000-0000-000093190000}"/>
    <cellStyle name="Normal 5 3 3 2 2 4 3 2" xfId="14084" xr:uid="{6DAC3E87-1CDC-404D-BB3F-3064645A59F7}"/>
    <cellStyle name="Normal 5 3 3 2 2 4 4" xfId="9866" xr:uid="{2B9462F4-E679-44E0-B392-B72ECC71693D}"/>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2 2 2" xfId="16642" xr:uid="{74613462-24AA-4FF6-B192-3FA76B0FD44A}"/>
    <cellStyle name="Normal 5 3 3 2 2 5 2 3" xfId="12424" xr:uid="{B18206A0-6189-49CC-8D8B-3C8AF198BE94}"/>
    <cellStyle name="Normal 5 3 3 2 2 5 3" xfId="6055" xr:uid="{00000000-0005-0000-0000-000097190000}"/>
    <cellStyle name="Normal 5 3 3 2 2 5 3 2" xfId="14497" xr:uid="{0BED8783-63F1-43AC-BC76-237A9CBCBE10}"/>
    <cellStyle name="Normal 5 3 3 2 2 5 4" xfId="10279" xr:uid="{1688F60F-3A25-4F14-9424-CFAB28F8AF89}"/>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2 2 2" xfId="17055" xr:uid="{983DDCF2-813B-4903-A1D0-CC6001E4A6F7}"/>
    <cellStyle name="Normal 5 3 3 2 2 6 2 3" xfId="12837" xr:uid="{DE0CD4AB-D101-46F5-89D3-4238586C6438}"/>
    <cellStyle name="Normal 5 3 3 2 2 6 3" xfId="6468" xr:uid="{00000000-0005-0000-0000-00009B190000}"/>
    <cellStyle name="Normal 5 3 3 2 2 6 3 2" xfId="14910" xr:uid="{B6421440-B251-4BCE-A03B-13EDCC289EF5}"/>
    <cellStyle name="Normal 5 3 3 2 2 6 4" xfId="10692" xr:uid="{CCF0E431-3D69-4DE2-8FE4-197E6A7B0810}"/>
    <cellStyle name="Normal 5 3 3 2 2 7" xfId="2597" xr:uid="{00000000-0005-0000-0000-00009C190000}"/>
    <cellStyle name="Normal 5 3 3 2 2 7 2" xfId="6881" xr:uid="{00000000-0005-0000-0000-00009D190000}"/>
    <cellStyle name="Normal 5 3 3 2 2 7 2 2" xfId="15323" xr:uid="{734D2A7B-8EC5-4FAA-92DF-28E6902D0F0B}"/>
    <cellStyle name="Normal 5 3 3 2 2 7 3" xfId="11105" xr:uid="{2D1953EF-D6E5-4B77-9605-FBEB57808467}"/>
    <cellStyle name="Normal 5 3 3 2 2 8" xfId="4816" xr:uid="{00000000-0005-0000-0000-00009E190000}"/>
    <cellStyle name="Normal 5 3 3 2 2 8 2" xfId="13258" xr:uid="{E46B307A-1ED2-4A10-B807-9857537DFD31}"/>
    <cellStyle name="Normal 5 3 3 2 2 9" xfId="9040" xr:uid="{644889FE-1F04-4CFD-AFB1-37E27DDBD33E}"/>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2 2 2" xfId="15818" xr:uid="{75437682-788A-48C7-9936-CF9241DBFDC5}"/>
    <cellStyle name="Normal 5 3 3 2 3 2 2 3" xfId="11600" xr:uid="{01FAB43C-3F2A-42BE-A307-E41EE5123493}"/>
    <cellStyle name="Normal 5 3 3 2 3 2 3" xfId="5231" xr:uid="{00000000-0005-0000-0000-0000A3190000}"/>
    <cellStyle name="Normal 5 3 3 2 3 2 3 2" xfId="13673" xr:uid="{DA7DE443-E6F6-40EE-B0B4-AD255174385E}"/>
    <cellStyle name="Normal 5 3 3 2 3 2 4" xfId="9455" xr:uid="{1BE688E2-048D-4E3C-BD76-CED1F0A2A911}"/>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2 2 2" xfId="16231" xr:uid="{66DACD8B-B853-4E2D-AAFD-6F731E004C99}"/>
    <cellStyle name="Normal 5 3 3 2 3 3 2 3" xfId="12013" xr:uid="{3061E35D-58B6-444D-8EC9-8D6199B0B328}"/>
    <cellStyle name="Normal 5 3 3 2 3 3 3" xfId="5644" xr:uid="{00000000-0005-0000-0000-0000A7190000}"/>
    <cellStyle name="Normal 5 3 3 2 3 3 3 2" xfId="14086" xr:uid="{3BBAD494-523F-4547-82B2-9BA212477421}"/>
    <cellStyle name="Normal 5 3 3 2 3 3 4" xfId="9868" xr:uid="{2AD1B2F1-C4A0-40FD-A1FC-420F9E63C3B5}"/>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2 2 2" xfId="16644" xr:uid="{C4C40475-58AB-4D27-8455-7B0789853088}"/>
    <cellStyle name="Normal 5 3 3 2 3 4 2 3" xfId="12426" xr:uid="{BBE98A91-B824-4559-B56B-973198476B18}"/>
    <cellStyle name="Normal 5 3 3 2 3 4 3" xfId="6057" xr:uid="{00000000-0005-0000-0000-0000AB190000}"/>
    <cellStyle name="Normal 5 3 3 2 3 4 3 2" xfId="14499" xr:uid="{F013D026-1526-49F0-841B-94CFABBA5F87}"/>
    <cellStyle name="Normal 5 3 3 2 3 4 4" xfId="10281" xr:uid="{CB33B0E9-6690-4C0D-AFA5-F9EE8CBE4CBB}"/>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2 2 2" xfId="17057" xr:uid="{05574C58-774E-4073-8BEA-479590787117}"/>
    <cellStyle name="Normal 5 3 3 2 3 5 2 3" xfId="12839" xr:uid="{3E411C94-51C9-4348-8311-D065CEE2F939}"/>
    <cellStyle name="Normal 5 3 3 2 3 5 3" xfId="6470" xr:uid="{00000000-0005-0000-0000-0000AF190000}"/>
    <cellStyle name="Normal 5 3 3 2 3 5 3 2" xfId="14912" xr:uid="{BC537BDA-02CA-4375-A568-10C9BD2F7523}"/>
    <cellStyle name="Normal 5 3 3 2 3 5 4" xfId="10694" xr:uid="{0E30FE4B-A1C4-4EA4-B866-6FE214161863}"/>
    <cellStyle name="Normal 5 3 3 2 3 6" xfId="2599" xr:uid="{00000000-0005-0000-0000-0000B0190000}"/>
    <cellStyle name="Normal 5 3 3 2 3 6 2" xfId="6883" xr:uid="{00000000-0005-0000-0000-0000B1190000}"/>
    <cellStyle name="Normal 5 3 3 2 3 6 2 2" xfId="15325" xr:uid="{9CF06FAC-7060-4D1F-9028-31CF8836DACE}"/>
    <cellStyle name="Normal 5 3 3 2 3 6 3" xfId="11107" xr:uid="{E9B787CF-98B5-4FE9-A483-7C47555FECF9}"/>
    <cellStyle name="Normal 5 3 3 2 3 7" xfId="4818" xr:uid="{00000000-0005-0000-0000-0000B2190000}"/>
    <cellStyle name="Normal 5 3 3 2 3 7 2" xfId="13260" xr:uid="{389E828F-B96A-4B5E-ABB8-93EEAA210DD1}"/>
    <cellStyle name="Normal 5 3 3 2 3 8" xfId="9042" xr:uid="{87C58272-CC7C-44E6-AFBD-D61CEA6726F9}"/>
    <cellStyle name="Normal 5 3 3 2 4" xfId="916" xr:uid="{00000000-0005-0000-0000-0000B3190000}"/>
    <cellStyle name="Normal 5 3 3 2 4 2" xfId="3150" xr:uid="{00000000-0005-0000-0000-0000B4190000}"/>
    <cellStyle name="Normal 5 3 3 2 4 2 2" xfId="7373" xr:uid="{00000000-0005-0000-0000-0000B5190000}"/>
    <cellStyle name="Normal 5 3 3 2 4 2 2 2" xfId="15815" xr:uid="{51F9E96A-9E73-4BFA-B4AB-7E9ECF117410}"/>
    <cellStyle name="Normal 5 3 3 2 4 2 3" xfId="11597" xr:uid="{C74956D5-1408-4396-9250-61F23D64FBBE}"/>
    <cellStyle name="Normal 5 3 3 2 4 3" xfId="5228" xr:uid="{00000000-0005-0000-0000-0000B6190000}"/>
    <cellStyle name="Normal 5 3 3 2 4 3 2" xfId="13670" xr:uid="{55CBE876-CE64-4A90-AC3B-7B2620CBE4B6}"/>
    <cellStyle name="Normal 5 3 3 2 4 4" xfId="9452" xr:uid="{E57C0F1E-10DB-43F6-B6ED-6C962402729E}"/>
    <cellStyle name="Normal 5 3 3 2 5" xfId="1333" xr:uid="{00000000-0005-0000-0000-0000B7190000}"/>
    <cellStyle name="Normal 5 3 3 2 5 2" xfId="3563" xr:uid="{00000000-0005-0000-0000-0000B8190000}"/>
    <cellStyle name="Normal 5 3 3 2 5 2 2" xfId="7786" xr:uid="{00000000-0005-0000-0000-0000B9190000}"/>
    <cellStyle name="Normal 5 3 3 2 5 2 2 2" xfId="16228" xr:uid="{98BB89F2-5F33-496B-B1C4-66724B321948}"/>
    <cellStyle name="Normal 5 3 3 2 5 2 3" xfId="12010" xr:uid="{4582B15E-767C-43B0-9776-37D3E9F7C1A5}"/>
    <cellStyle name="Normal 5 3 3 2 5 3" xfId="5641" xr:uid="{00000000-0005-0000-0000-0000BA190000}"/>
    <cellStyle name="Normal 5 3 3 2 5 3 2" xfId="14083" xr:uid="{842F9DDE-BD97-4AA2-A63D-C03208B12653}"/>
    <cellStyle name="Normal 5 3 3 2 5 4" xfId="9865" xr:uid="{4BA0D1A8-52BB-4744-A30B-EDA7F18AED64}"/>
    <cellStyle name="Normal 5 3 3 2 6" xfId="1746" xr:uid="{00000000-0005-0000-0000-0000BB190000}"/>
    <cellStyle name="Normal 5 3 3 2 6 2" xfId="3976" xr:uid="{00000000-0005-0000-0000-0000BC190000}"/>
    <cellStyle name="Normal 5 3 3 2 6 2 2" xfId="8199" xr:uid="{00000000-0005-0000-0000-0000BD190000}"/>
    <cellStyle name="Normal 5 3 3 2 6 2 2 2" xfId="16641" xr:uid="{08C11A6E-B5F0-458E-A62A-1AF37AF211D6}"/>
    <cellStyle name="Normal 5 3 3 2 6 2 3" xfId="12423" xr:uid="{BE498863-F2DB-4ABE-9C4D-E31D21EFD61F}"/>
    <cellStyle name="Normal 5 3 3 2 6 3" xfId="6054" xr:uid="{00000000-0005-0000-0000-0000BE190000}"/>
    <cellStyle name="Normal 5 3 3 2 6 3 2" xfId="14496" xr:uid="{61904E0A-3423-4D73-B59E-06E8CF9BB06F}"/>
    <cellStyle name="Normal 5 3 3 2 6 4" xfId="10278" xr:uid="{23F1DD2D-CE28-45D1-93C1-629CDF5DC4F1}"/>
    <cellStyle name="Normal 5 3 3 2 7" xfId="2160" xr:uid="{00000000-0005-0000-0000-0000BF190000}"/>
    <cellStyle name="Normal 5 3 3 2 7 2" xfId="4389" xr:uid="{00000000-0005-0000-0000-0000C0190000}"/>
    <cellStyle name="Normal 5 3 3 2 7 2 2" xfId="8612" xr:uid="{00000000-0005-0000-0000-0000C1190000}"/>
    <cellStyle name="Normal 5 3 3 2 7 2 2 2" xfId="17054" xr:uid="{8F8BEFBC-A2F3-44BB-9342-E292B73200CC}"/>
    <cellStyle name="Normal 5 3 3 2 7 2 3" xfId="12836" xr:uid="{9CE2DBED-96E9-4EE9-B5FC-125070ECBCEE}"/>
    <cellStyle name="Normal 5 3 3 2 7 3" xfId="6467" xr:uid="{00000000-0005-0000-0000-0000C2190000}"/>
    <cellStyle name="Normal 5 3 3 2 7 3 2" xfId="14909" xr:uid="{6B022C5A-99D5-442F-A82D-5118D9C20D5D}"/>
    <cellStyle name="Normal 5 3 3 2 7 4" xfId="10691" xr:uid="{D40CD764-4246-4688-8EFE-A9E8A2129757}"/>
    <cellStyle name="Normal 5 3 3 2 8" xfId="2596" xr:uid="{00000000-0005-0000-0000-0000C3190000}"/>
    <cellStyle name="Normal 5 3 3 2 8 2" xfId="6880" xr:uid="{00000000-0005-0000-0000-0000C4190000}"/>
    <cellStyle name="Normal 5 3 3 2 8 2 2" xfId="15322" xr:uid="{445EF3F2-7963-4061-9345-860CFC6F3B79}"/>
    <cellStyle name="Normal 5 3 3 2 8 3" xfId="11104" xr:uid="{7BE68EC1-2D63-41F6-8BDD-B1ECC5ECBCFE}"/>
    <cellStyle name="Normal 5 3 3 2 9" xfId="4815" xr:uid="{00000000-0005-0000-0000-0000C5190000}"/>
    <cellStyle name="Normal 5 3 3 2 9 2" xfId="13257" xr:uid="{3B5A529F-C775-4F90-8A29-6E0BE50B2655}"/>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2 2 2" xfId="15820" xr:uid="{A3A38C45-3986-42BD-A0CF-9F5B5F3EAC57}"/>
    <cellStyle name="Normal 5 3 3 3 2 2 2 3" xfId="11602" xr:uid="{727B3845-0349-45C6-AA46-7B7FC3099D09}"/>
    <cellStyle name="Normal 5 3 3 3 2 2 3" xfId="5233" xr:uid="{00000000-0005-0000-0000-0000CB190000}"/>
    <cellStyle name="Normal 5 3 3 3 2 2 3 2" xfId="13675" xr:uid="{943944B5-AB0B-4397-B4FC-BCFC5FA48A52}"/>
    <cellStyle name="Normal 5 3 3 3 2 2 4" xfId="9457" xr:uid="{08656CFD-FC54-422F-BC93-9ADDE934955E}"/>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2 2 2" xfId="16233" xr:uid="{023AE50E-A13D-44DD-B089-7FB2DC19013E}"/>
    <cellStyle name="Normal 5 3 3 3 2 3 2 3" xfId="12015" xr:uid="{DE08365D-2159-4B56-BEF2-B974CC61F7CF}"/>
    <cellStyle name="Normal 5 3 3 3 2 3 3" xfId="5646" xr:uid="{00000000-0005-0000-0000-0000CF190000}"/>
    <cellStyle name="Normal 5 3 3 3 2 3 3 2" xfId="14088" xr:uid="{20C75451-FF29-47F5-89B1-5BDB5CBC48D1}"/>
    <cellStyle name="Normal 5 3 3 3 2 3 4" xfId="9870" xr:uid="{BAA26BB2-F32F-41DD-A456-786714B175A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2 2 2" xfId="16646" xr:uid="{9A996B36-581C-4F3A-A7B6-6AAD484D7B7A}"/>
    <cellStyle name="Normal 5 3 3 3 2 4 2 3" xfId="12428" xr:uid="{C41367B8-3958-466E-8AEE-F8074B57CEB5}"/>
    <cellStyle name="Normal 5 3 3 3 2 4 3" xfId="6059" xr:uid="{00000000-0005-0000-0000-0000D3190000}"/>
    <cellStyle name="Normal 5 3 3 3 2 4 3 2" xfId="14501" xr:uid="{3D5A75FD-2058-4E54-802E-6070F25ADDB9}"/>
    <cellStyle name="Normal 5 3 3 3 2 4 4" xfId="10283" xr:uid="{205862A7-BE6D-4D46-9B26-D785D10E3EDA}"/>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2 2 2" xfId="17059" xr:uid="{6EE37A6D-DA44-4332-81A2-14E1ADECCC76}"/>
    <cellStyle name="Normal 5 3 3 3 2 5 2 3" xfId="12841" xr:uid="{0BDF5118-C904-410A-999D-40DFE8DE9687}"/>
    <cellStyle name="Normal 5 3 3 3 2 5 3" xfId="6472" xr:uid="{00000000-0005-0000-0000-0000D7190000}"/>
    <cellStyle name="Normal 5 3 3 3 2 5 3 2" xfId="14914" xr:uid="{B4902201-8EF6-4857-BF0D-89CEE399CD75}"/>
    <cellStyle name="Normal 5 3 3 3 2 5 4" xfId="10696" xr:uid="{40DB28AD-DA5A-4588-8484-BFFB4266E783}"/>
    <cellStyle name="Normal 5 3 3 3 2 6" xfId="2601" xr:uid="{00000000-0005-0000-0000-0000D8190000}"/>
    <cellStyle name="Normal 5 3 3 3 2 6 2" xfId="6885" xr:uid="{00000000-0005-0000-0000-0000D9190000}"/>
    <cellStyle name="Normal 5 3 3 3 2 6 2 2" xfId="15327" xr:uid="{7FC89C02-9F6C-4381-ACE8-4D1F5E46590E}"/>
    <cellStyle name="Normal 5 3 3 3 2 6 3" xfId="11109" xr:uid="{49E8E5D6-D590-4E7C-8B7D-E2C06D6958A1}"/>
    <cellStyle name="Normal 5 3 3 3 2 7" xfId="4820" xr:uid="{00000000-0005-0000-0000-0000DA190000}"/>
    <cellStyle name="Normal 5 3 3 3 2 7 2" xfId="13262" xr:uid="{A2D36F04-9019-41AE-9D6E-C7EFA24F4864}"/>
    <cellStyle name="Normal 5 3 3 3 2 8" xfId="9044" xr:uid="{EC0FF81D-E1E0-4C30-AA05-37AC682069AD}"/>
    <cellStyle name="Normal 5 3 3 3 3" xfId="920" xr:uid="{00000000-0005-0000-0000-0000DB190000}"/>
    <cellStyle name="Normal 5 3 3 3 3 2" xfId="3154" xr:uid="{00000000-0005-0000-0000-0000DC190000}"/>
    <cellStyle name="Normal 5 3 3 3 3 2 2" xfId="7377" xr:uid="{00000000-0005-0000-0000-0000DD190000}"/>
    <cellStyle name="Normal 5 3 3 3 3 2 2 2" xfId="15819" xr:uid="{F995B949-24D2-4449-87C2-AF1F9D17957D}"/>
    <cellStyle name="Normal 5 3 3 3 3 2 3" xfId="11601" xr:uid="{7ACE80B0-32D8-4C5E-8969-633E4C1DA26A}"/>
    <cellStyle name="Normal 5 3 3 3 3 3" xfId="5232" xr:uid="{00000000-0005-0000-0000-0000DE190000}"/>
    <cellStyle name="Normal 5 3 3 3 3 3 2" xfId="13674" xr:uid="{EADF8FBB-47FF-45FC-8008-0B5F908751BF}"/>
    <cellStyle name="Normal 5 3 3 3 3 4" xfId="9456" xr:uid="{E23B44E9-8E3F-43D0-B59C-711EA2E9B222}"/>
    <cellStyle name="Normal 5 3 3 3 4" xfId="1337" xr:uid="{00000000-0005-0000-0000-0000DF190000}"/>
    <cellStyle name="Normal 5 3 3 3 4 2" xfId="3567" xr:uid="{00000000-0005-0000-0000-0000E0190000}"/>
    <cellStyle name="Normal 5 3 3 3 4 2 2" xfId="7790" xr:uid="{00000000-0005-0000-0000-0000E1190000}"/>
    <cellStyle name="Normal 5 3 3 3 4 2 2 2" xfId="16232" xr:uid="{451D698B-0E07-41B8-9B7E-5388D03A6A78}"/>
    <cellStyle name="Normal 5 3 3 3 4 2 3" xfId="12014" xr:uid="{F7F0F464-0583-4D52-9D2D-329D83AC2D3D}"/>
    <cellStyle name="Normal 5 3 3 3 4 3" xfId="5645" xr:uid="{00000000-0005-0000-0000-0000E2190000}"/>
    <cellStyle name="Normal 5 3 3 3 4 3 2" xfId="14087" xr:uid="{29A5C5FD-2B7D-4403-BE13-0CF0C8A187F8}"/>
    <cellStyle name="Normal 5 3 3 3 4 4" xfId="9869" xr:uid="{B7BFB99D-C6BA-495F-BC00-279F58A1E2AF}"/>
    <cellStyle name="Normal 5 3 3 3 5" xfId="1750" xr:uid="{00000000-0005-0000-0000-0000E3190000}"/>
    <cellStyle name="Normal 5 3 3 3 5 2" xfId="3980" xr:uid="{00000000-0005-0000-0000-0000E4190000}"/>
    <cellStyle name="Normal 5 3 3 3 5 2 2" xfId="8203" xr:uid="{00000000-0005-0000-0000-0000E5190000}"/>
    <cellStyle name="Normal 5 3 3 3 5 2 2 2" xfId="16645" xr:uid="{D80DFF4F-A24E-427C-A249-6384FA0B8BAB}"/>
    <cellStyle name="Normal 5 3 3 3 5 2 3" xfId="12427" xr:uid="{2E79C788-8192-4BC4-9E34-ED09409B630B}"/>
    <cellStyle name="Normal 5 3 3 3 5 3" xfId="6058" xr:uid="{00000000-0005-0000-0000-0000E6190000}"/>
    <cellStyle name="Normal 5 3 3 3 5 3 2" xfId="14500" xr:uid="{6D08F793-9F11-4B49-8133-CB48403E82EC}"/>
    <cellStyle name="Normal 5 3 3 3 5 4" xfId="10282" xr:uid="{1FA28B84-D74D-48B7-A1CC-CFE6EFD6BAC2}"/>
    <cellStyle name="Normal 5 3 3 3 6" xfId="2164" xr:uid="{00000000-0005-0000-0000-0000E7190000}"/>
    <cellStyle name="Normal 5 3 3 3 6 2" xfId="4393" xr:uid="{00000000-0005-0000-0000-0000E8190000}"/>
    <cellStyle name="Normal 5 3 3 3 6 2 2" xfId="8616" xr:uid="{00000000-0005-0000-0000-0000E9190000}"/>
    <cellStyle name="Normal 5 3 3 3 6 2 2 2" xfId="17058" xr:uid="{87B1CF1D-D792-48E5-81C1-3A0DE4E83CA8}"/>
    <cellStyle name="Normal 5 3 3 3 6 2 3" xfId="12840" xr:uid="{472FF84A-C541-4C20-BCFE-AAF21B3522FA}"/>
    <cellStyle name="Normal 5 3 3 3 6 3" xfId="6471" xr:uid="{00000000-0005-0000-0000-0000EA190000}"/>
    <cellStyle name="Normal 5 3 3 3 6 3 2" xfId="14913" xr:uid="{0D0182BB-F88F-4271-B511-0EE79AD11645}"/>
    <cellStyle name="Normal 5 3 3 3 6 4" xfId="10695" xr:uid="{473F347C-1201-45DF-A556-3E4AD6128966}"/>
    <cellStyle name="Normal 5 3 3 3 7" xfId="2600" xr:uid="{00000000-0005-0000-0000-0000EB190000}"/>
    <cellStyle name="Normal 5 3 3 3 7 2" xfId="6884" xr:uid="{00000000-0005-0000-0000-0000EC190000}"/>
    <cellStyle name="Normal 5 3 3 3 7 2 2" xfId="15326" xr:uid="{7BCC4755-E494-4D39-9400-C788741F102C}"/>
    <cellStyle name="Normal 5 3 3 3 7 3" xfId="11108" xr:uid="{8019CE1E-6E83-4501-A7B1-30C0EEE94C8C}"/>
    <cellStyle name="Normal 5 3 3 3 8" xfId="4819" xr:uid="{00000000-0005-0000-0000-0000ED190000}"/>
    <cellStyle name="Normal 5 3 3 3 8 2" xfId="13261" xr:uid="{9B5BBE21-7B20-4203-A7C8-1BBF0070F359}"/>
    <cellStyle name="Normal 5 3 3 3 9" xfId="9043" xr:uid="{63C23F16-ACFB-469D-AC52-5273499980C4}"/>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2 2 2" xfId="15821" xr:uid="{D4CABAF9-007F-4728-A3A0-4C278501CADD}"/>
    <cellStyle name="Normal 5 3 3 4 2 2 3" xfId="11603" xr:uid="{68665D21-5EDB-43E4-A960-E4A81F2C1E79}"/>
    <cellStyle name="Normal 5 3 3 4 2 3" xfId="5234" xr:uid="{00000000-0005-0000-0000-0000F2190000}"/>
    <cellStyle name="Normal 5 3 3 4 2 3 2" xfId="13676" xr:uid="{E81158BF-CBA7-467F-A71A-092FBFABD10A}"/>
    <cellStyle name="Normal 5 3 3 4 2 4" xfId="9458" xr:uid="{A902CF31-3D06-4AAF-9854-CB4EAF485255}"/>
    <cellStyle name="Normal 5 3 3 4 3" xfId="1339" xr:uid="{00000000-0005-0000-0000-0000F3190000}"/>
    <cellStyle name="Normal 5 3 3 4 3 2" xfId="3569" xr:uid="{00000000-0005-0000-0000-0000F4190000}"/>
    <cellStyle name="Normal 5 3 3 4 3 2 2" xfId="7792" xr:uid="{00000000-0005-0000-0000-0000F5190000}"/>
    <cellStyle name="Normal 5 3 3 4 3 2 2 2" xfId="16234" xr:uid="{91A38A2E-6CFE-4265-A929-2C68ED2D7683}"/>
    <cellStyle name="Normal 5 3 3 4 3 2 3" xfId="12016" xr:uid="{D4AD5CD2-9130-4FB9-8496-5D52DAE10F61}"/>
    <cellStyle name="Normal 5 3 3 4 3 3" xfId="5647" xr:uid="{00000000-0005-0000-0000-0000F6190000}"/>
    <cellStyle name="Normal 5 3 3 4 3 3 2" xfId="14089" xr:uid="{3BA3CA20-463E-477A-9DE7-1C092D97BBCE}"/>
    <cellStyle name="Normal 5 3 3 4 3 4" xfId="9871" xr:uid="{BB7D23DD-B124-4102-97C4-BB7B6FE0B473}"/>
    <cellStyle name="Normal 5 3 3 4 4" xfId="1752" xr:uid="{00000000-0005-0000-0000-0000F7190000}"/>
    <cellStyle name="Normal 5 3 3 4 4 2" xfId="3982" xr:uid="{00000000-0005-0000-0000-0000F8190000}"/>
    <cellStyle name="Normal 5 3 3 4 4 2 2" xfId="8205" xr:uid="{00000000-0005-0000-0000-0000F9190000}"/>
    <cellStyle name="Normal 5 3 3 4 4 2 2 2" xfId="16647" xr:uid="{46C7D1D9-5E0F-4959-BCBD-AF3663567C09}"/>
    <cellStyle name="Normal 5 3 3 4 4 2 3" xfId="12429" xr:uid="{7D9C9FCF-792C-4D96-9283-5532F04C1452}"/>
    <cellStyle name="Normal 5 3 3 4 4 3" xfId="6060" xr:uid="{00000000-0005-0000-0000-0000FA190000}"/>
    <cellStyle name="Normal 5 3 3 4 4 3 2" xfId="14502" xr:uid="{F3ABA7EE-5C22-4F56-8F80-D11B34E6D397}"/>
    <cellStyle name="Normal 5 3 3 4 4 4" xfId="10284" xr:uid="{3317EBD3-0673-4121-8229-9B14CD0F1378}"/>
    <cellStyle name="Normal 5 3 3 4 5" xfId="2166" xr:uid="{00000000-0005-0000-0000-0000FB190000}"/>
    <cellStyle name="Normal 5 3 3 4 5 2" xfId="4395" xr:uid="{00000000-0005-0000-0000-0000FC190000}"/>
    <cellStyle name="Normal 5 3 3 4 5 2 2" xfId="8618" xr:uid="{00000000-0005-0000-0000-0000FD190000}"/>
    <cellStyle name="Normal 5 3 3 4 5 2 2 2" xfId="17060" xr:uid="{9DA767CD-149E-403B-9EF6-F4946C916F7F}"/>
    <cellStyle name="Normal 5 3 3 4 5 2 3" xfId="12842" xr:uid="{142BC244-3330-4BB1-8CC8-2F4074E26421}"/>
    <cellStyle name="Normal 5 3 3 4 5 3" xfId="6473" xr:uid="{00000000-0005-0000-0000-0000FE190000}"/>
    <cellStyle name="Normal 5 3 3 4 5 3 2" xfId="14915" xr:uid="{8AA26275-790D-48A3-A912-3E449D4A8DFF}"/>
    <cellStyle name="Normal 5 3 3 4 5 4" xfId="10697" xr:uid="{B10DE76C-D15A-4DE9-A696-7AB07B078817}"/>
    <cellStyle name="Normal 5 3 3 4 6" xfId="2602" xr:uid="{00000000-0005-0000-0000-0000FF190000}"/>
    <cellStyle name="Normal 5 3 3 4 6 2" xfId="6886" xr:uid="{00000000-0005-0000-0000-0000001A0000}"/>
    <cellStyle name="Normal 5 3 3 4 6 2 2" xfId="15328" xr:uid="{797A4992-8AF7-442C-8E19-F76BE683D516}"/>
    <cellStyle name="Normal 5 3 3 4 6 3" xfId="11110" xr:uid="{A644589C-3784-4F35-8BAD-C5DB9093EC1C}"/>
    <cellStyle name="Normal 5 3 3 4 7" xfId="4821" xr:uid="{00000000-0005-0000-0000-0000011A0000}"/>
    <cellStyle name="Normal 5 3 3 4 7 2" xfId="13263" xr:uid="{80750F83-77A6-4E56-8728-2B4E7D41B507}"/>
    <cellStyle name="Normal 5 3 3 4 8" xfId="9045" xr:uid="{E000F49B-67A1-45DD-9417-42E371674F65}"/>
    <cellStyle name="Normal 5 3 3 5" xfId="915" xr:uid="{00000000-0005-0000-0000-0000021A0000}"/>
    <cellStyle name="Normal 5 3 3 5 2" xfId="3149" xr:uid="{00000000-0005-0000-0000-0000031A0000}"/>
    <cellStyle name="Normal 5 3 3 5 2 2" xfId="7372" xr:uid="{00000000-0005-0000-0000-0000041A0000}"/>
    <cellStyle name="Normal 5 3 3 5 2 2 2" xfId="15814" xr:uid="{C010888F-386D-425E-AF94-BD989D3B4C6A}"/>
    <cellStyle name="Normal 5 3 3 5 2 3" xfId="11596" xr:uid="{991EF827-DFD0-4606-B521-5D40778C0B44}"/>
    <cellStyle name="Normal 5 3 3 5 3" xfId="5227" xr:uid="{00000000-0005-0000-0000-0000051A0000}"/>
    <cellStyle name="Normal 5 3 3 5 3 2" xfId="13669" xr:uid="{3D4FDC8A-1502-47F7-B212-37FD970263C1}"/>
    <cellStyle name="Normal 5 3 3 5 4" xfId="9451" xr:uid="{1CDF32EA-9F44-4242-B579-285D822F12A7}"/>
    <cellStyle name="Normal 5 3 3 6" xfId="1332" xr:uid="{00000000-0005-0000-0000-0000061A0000}"/>
    <cellStyle name="Normal 5 3 3 6 2" xfId="3562" xr:uid="{00000000-0005-0000-0000-0000071A0000}"/>
    <cellStyle name="Normal 5 3 3 6 2 2" xfId="7785" xr:uid="{00000000-0005-0000-0000-0000081A0000}"/>
    <cellStyle name="Normal 5 3 3 6 2 2 2" xfId="16227" xr:uid="{0A6F178D-392A-4DA9-AD87-2BAA19289237}"/>
    <cellStyle name="Normal 5 3 3 6 2 3" xfId="12009" xr:uid="{CFF0236B-E19E-49FA-AF79-B750C70575F2}"/>
    <cellStyle name="Normal 5 3 3 6 3" xfId="5640" xr:uid="{00000000-0005-0000-0000-0000091A0000}"/>
    <cellStyle name="Normal 5 3 3 6 3 2" xfId="14082" xr:uid="{DF1C17EA-B5AE-4146-8D47-D7C88FBBDD0A}"/>
    <cellStyle name="Normal 5 3 3 6 4" xfId="9864" xr:uid="{5F0DB36C-907B-41D8-ACBE-C2AA2B932CC1}"/>
    <cellStyle name="Normal 5 3 3 7" xfId="1745" xr:uid="{00000000-0005-0000-0000-00000A1A0000}"/>
    <cellStyle name="Normal 5 3 3 7 2" xfId="3975" xr:uid="{00000000-0005-0000-0000-00000B1A0000}"/>
    <cellStyle name="Normal 5 3 3 7 2 2" xfId="8198" xr:uid="{00000000-0005-0000-0000-00000C1A0000}"/>
    <cellStyle name="Normal 5 3 3 7 2 2 2" xfId="16640" xr:uid="{AC0B01D9-3D82-4EFD-A7CD-78A91C5A7DBD}"/>
    <cellStyle name="Normal 5 3 3 7 2 3" xfId="12422" xr:uid="{29A2026C-1804-4F0D-A7EA-D8FEB9AAA4C2}"/>
    <cellStyle name="Normal 5 3 3 7 3" xfId="6053" xr:uid="{00000000-0005-0000-0000-00000D1A0000}"/>
    <cellStyle name="Normal 5 3 3 7 3 2" xfId="14495" xr:uid="{621FBB37-903A-41F6-8D37-709BA137516F}"/>
    <cellStyle name="Normal 5 3 3 7 4" xfId="10277" xr:uid="{A47D4331-0E60-4A63-A234-C0E75E06D50A}"/>
    <cellStyle name="Normal 5 3 3 8" xfId="2159" xr:uid="{00000000-0005-0000-0000-00000E1A0000}"/>
    <cellStyle name="Normal 5 3 3 8 2" xfId="4388" xr:uid="{00000000-0005-0000-0000-00000F1A0000}"/>
    <cellStyle name="Normal 5 3 3 8 2 2" xfId="8611" xr:uid="{00000000-0005-0000-0000-0000101A0000}"/>
    <cellStyle name="Normal 5 3 3 8 2 2 2" xfId="17053" xr:uid="{FED457AD-1734-4032-BF03-C7CBE5D0522B}"/>
    <cellStyle name="Normal 5 3 3 8 2 3" xfId="12835" xr:uid="{C3425210-5E4E-406B-9B5F-83001D796398}"/>
    <cellStyle name="Normal 5 3 3 8 3" xfId="6466" xr:uid="{00000000-0005-0000-0000-0000111A0000}"/>
    <cellStyle name="Normal 5 3 3 8 3 2" xfId="14908" xr:uid="{AAF3D220-FFA2-4AD2-8931-83E83849135D}"/>
    <cellStyle name="Normal 5 3 3 8 4" xfId="10690" xr:uid="{2DC0C94E-757D-44D8-8F67-AB3873B45BC9}"/>
    <cellStyle name="Normal 5 3 3 9" xfId="2595" xr:uid="{00000000-0005-0000-0000-0000121A0000}"/>
    <cellStyle name="Normal 5 3 3 9 2" xfId="6879" xr:uid="{00000000-0005-0000-0000-0000131A0000}"/>
    <cellStyle name="Normal 5 3 3 9 2 2" xfId="15321" xr:uid="{03E2E541-ED6D-4A47-A20E-8C50FBF352B6}"/>
    <cellStyle name="Normal 5 3 3 9 3" xfId="11103" xr:uid="{95975763-C579-43DE-9B85-4E963F20104D}"/>
    <cellStyle name="Normal 5 3 4" xfId="449" xr:uid="{00000000-0005-0000-0000-0000141A0000}"/>
    <cellStyle name="Normal 5 3 4 10" xfId="9046" xr:uid="{2CB86C92-58A1-49C8-9269-E673A38C56F5}"/>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2 2 2" xfId="15824" xr:uid="{2A9488BD-9DEC-472B-86F2-9CCE710004EC}"/>
    <cellStyle name="Normal 5 3 4 2 2 2 2 3" xfId="11606" xr:uid="{3CF61C22-5776-4069-96FA-CCC1185E0C67}"/>
    <cellStyle name="Normal 5 3 4 2 2 2 3" xfId="5237" xr:uid="{00000000-0005-0000-0000-00001A1A0000}"/>
    <cellStyle name="Normal 5 3 4 2 2 2 3 2" xfId="13679" xr:uid="{2FA560AC-6403-423E-AEC0-5896C005FD66}"/>
    <cellStyle name="Normal 5 3 4 2 2 2 4" xfId="9461" xr:uid="{02E262C8-C7BB-4D46-AECD-70A720E704EB}"/>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2 2 2" xfId="16237" xr:uid="{D8EB9304-62D8-4127-9515-64D45C35FB8B}"/>
    <cellStyle name="Normal 5 3 4 2 2 3 2 3" xfId="12019" xr:uid="{146AC33C-580D-4497-A2F6-F916FB34B805}"/>
    <cellStyle name="Normal 5 3 4 2 2 3 3" xfId="5650" xr:uid="{00000000-0005-0000-0000-00001E1A0000}"/>
    <cellStyle name="Normal 5 3 4 2 2 3 3 2" xfId="14092" xr:uid="{76553760-346B-4B37-9737-D46CB896CEB6}"/>
    <cellStyle name="Normal 5 3 4 2 2 3 4" xfId="9874" xr:uid="{8CEAAEFD-1DF8-4D46-927C-679E9FFAD90E}"/>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2 2 2" xfId="16650" xr:uid="{C34B5063-F35E-4B9C-A774-533BB9AD7AC5}"/>
    <cellStyle name="Normal 5 3 4 2 2 4 2 3" xfId="12432" xr:uid="{C276A340-113B-468D-BCF0-E7387E9AF8F4}"/>
    <cellStyle name="Normal 5 3 4 2 2 4 3" xfId="6063" xr:uid="{00000000-0005-0000-0000-0000221A0000}"/>
    <cellStyle name="Normal 5 3 4 2 2 4 3 2" xfId="14505" xr:uid="{FC418489-295A-40FB-BE87-EFD04A7F2AA2}"/>
    <cellStyle name="Normal 5 3 4 2 2 4 4" xfId="10287" xr:uid="{486D75DB-CA4A-4912-94FA-C23E0B04BDD2}"/>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2 2 2" xfId="17063" xr:uid="{2A288118-5CE1-4966-B67B-2DCE1A6FB73A}"/>
    <cellStyle name="Normal 5 3 4 2 2 5 2 3" xfId="12845" xr:uid="{84228E2C-2BFD-4BAB-9556-10833D47582C}"/>
    <cellStyle name="Normal 5 3 4 2 2 5 3" xfId="6476" xr:uid="{00000000-0005-0000-0000-0000261A0000}"/>
    <cellStyle name="Normal 5 3 4 2 2 5 3 2" xfId="14918" xr:uid="{4741E06D-16B8-497F-AB19-9937FA05E902}"/>
    <cellStyle name="Normal 5 3 4 2 2 5 4" xfId="10700" xr:uid="{1948D9E4-07A9-4C28-BEE0-2BD4A7DC8306}"/>
    <cellStyle name="Normal 5 3 4 2 2 6" xfId="2605" xr:uid="{00000000-0005-0000-0000-0000271A0000}"/>
    <cellStyle name="Normal 5 3 4 2 2 6 2" xfId="6889" xr:uid="{00000000-0005-0000-0000-0000281A0000}"/>
    <cellStyle name="Normal 5 3 4 2 2 6 2 2" xfId="15331" xr:uid="{23ABD6C9-6914-4EFB-B072-0DE80CE08671}"/>
    <cellStyle name="Normal 5 3 4 2 2 6 3" xfId="11113" xr:uid="{7A02C283-7288-4304-863C-FDDA29A48CC9}"/>
    <cellStyle name="Normal 5 3 4 2 2 7" xfId="4824" xr:uid="{00000000-0005-0000-0000-0000291A0000}"/>
    <cellStyle name="Normal 5 3 4 2 2 7 2" xfId="13266" xr:uid="{354B7E9D-9BF3-44E4-9EDD-D39D5BD8DC49}"/>
    <cellStyle name="Normal 5 3 4 2 2 8" xfId="9048" xr:uid="{6789CA14-1937-46C5-AC4D-081BF5BC97E3}"/>
    <cellStyle name="Normal 5 3 4 2 3" xfId="924" xr:uid="{00000000-0005-0000-0000-00002A1A0000}"/>
    <cellStyle name="Normal 5 3 4 2 3 2" xfId="3158" xr:uid="{00000000-0005-0000-0000-00002B1A0000}"/>
    <cellStyle name="Normal 5 3 4 2 3 2 2" xfId="7381" xr:uid="{00000000-0005-0000-0000-00002C1A0000}"/>
    <cellStyle name="Normal 5 3 4 2 3 2 2 2" xfId="15823" xr:uid="{A06C8C83-889C-42EC-8210-20B03C768151}"/>
    <cellStyle name="Normal 5 3 4 2 3 2 3" xfId="11605" xr:uid="{D125F478-D79C-4CB4-8447-077EBF70C4A0}"/>
    <cellStyle name="Normal 5 3 4 2 3 3" xfId="5236" xr:uid="{00000000-0005-0000-0000-00002D1A0000}"/>
    <cellStyle name="Normal 5 3 4 2 3 3 2" xfId="13678" xr:uid="{5B939C33-FFDF-4F1D-B522-25470AE5221B}"/>
    <cellStyle name="Normal 5 3 4 2 3 4" xfId="9460" xr:uid="{9BA5CE85-BBED-439E-905C-0B07B75D6177}"/>
    <cellStyle name="Normal 5 3 4 2 4" xfId="1341" xr:uid="{00000000-0005-0000-0000-00002E1A0000}"/>
    <cellStyle name="Normal 5 3 4 2 4 2" xfId="3571" xr:uid="{00000000-0005-0000-0000-00002F1A0000}"/>
    <cellStyle name="Normal 5 3 4 2 4 2 2" xfId="7794" xr:uid="{00000000-0005-0000-0000-0000301A0000}"/>
    <cellStyle name="Normal 5 3 4 2 4 2 2 2" xfId="16236" xr:uid="{2290AEE6-DCBA-4AD4-B4BC-7114A90725C8}"/>
    <cellStyle name="Normal 5 3 4 2 4 2 3" xfId="12018" xr:uid="{BFD1930E-186F-42E4-A8F7-A13D2D59B26D}"/>
    <cellStyle name="Normal 5 3 4 2 4 3" xfId="5649" xr:uid="{00000000-0005-0000-0000-0000311A0000}"/>
    <cellStyle name="Normal 5 3 4 2 4 3 2" xfId="14091" xr:uid="{2229A764-3724-489B-8558-98FAF4A0C5D6}"/>
    <cellStyle name="Normal 5 3 4 2 4 4" xfId="9873" xr:uid="{588F875F-731A-4B0A-B394-05C56C04CFAD}"/>
    <cellStyle name="Normal 5 3 4 2 5" xfId="1754" xr:uid="{00000000-0005-0000-0000-0000321A0000}"/>
    <cellStyle name="Normal 5 3 4 2 5 2" xfId="3984" xr:uid="{00000000-0005-0000-0000-0000331A0000}"/>
    <cellStyle name="Normal 5 3 4 2 5 2 2" xfId="8207" xr:uid="{00000000-0005-0000-0000-0000341A0000}"/>
    <cellStyle name="Normal 5 3 4 2 5 2 2 2" xfId="16649" xr:uid="{053C0652-8A95-4993-AE8E-244528204CBC}"/>
    <cellStyle name="Normal 5 3 4 2 5 2 3" xfId="12431" xr:uid="{B7E5A912-4EDA-4417-89DE-37778472A150}"/>
    <cellStyle name="Normal 5 3 4 2 5 3" xfId="6062" xr:uid="{00000000-0005-0000-0000-0000351A0000}"/>
    <cellStyle name="Normal 5 3 4 2 5 3 2" xfId="14504" xr:uid="{AC3F30BD-C151-4D10-A9C2-CC5E8981214E}"/>
    <cellStyle name="Normal 5 3 4 2 5 4" xfId="10286" xr:uid="{C7987300-EBA0-4641-B671-08A33CD68CEB}"/>
    <cellStyle name="Normal 5 3 4 2 6" xfId="2168" xr:uid="{00000000-0005-0000-0000-0000361A0000}"/>
    <cellStyle name="Normal 5 3 4 2 6 2" xfId="4397" xr:uid="{00000000-0005-0000-0000-0000371A0000}"/>
    <cellStyle name="Normal 5 3 4 2 6 2 2" xfId="8620" xr:uid="{00000000-0005-0000-0000-0000381A0000}"/>
    <cellStyle name="Normal 5 3 4 2 6 2 2 2" xfId="17062" xr:uid="{0B470AC2-0B18-407D-820B-EB9A365A8AA9}"/>
    <cellStyle name="Normal 5 3 4 2 6 2 3" xfId="12844" xr:uid="{FF6DD4A8-BEAB-4B4A-9E9E-1AC5A5F3BA3E}"/>
    <cellStyle name="Normal 5 3 4 2 6 3" xfId="6475" xr:uid="{00000000-0005-0000-0000-0000391A0000}"/>
    <cellStyle name="Normal 5 3 4 2 6 3 2" xfId="14917" xr:uid="{F54A4398-B9CB-4AB1-A65D-7FE96EB7122A}"/>
    <cellStyle name="Normal 5 3 4 2 6 4" xfId="10699" xr:uid="{517F7469-A394-4DFE-ABED-C9B4002E3363}"/>
    <cellStyle name="Normal 5 3 4 2 7" xfId="2604" xr:uid="{00000000-0005-0000-0000-00003A1A0000}"/>
    <cellStyle name="Normal 5 3 4 2 7 2" xfId="6888" xr:uid="{00000000-0005-0000-0000-00003B1A0000}"/>
    <cellStyle name="Normal 5 3 4 2 7 2 2" xfId="15330" xr:uid="{E8731ACD-3922-4AF2-8773-41D713941680}"/>
    <cellStyle name="Normal 5 3 4 2 7 3" xfId="11112" xr:uid="{99AB87B8-63E2-4531-A4D8-C9D26177408B}"/>
    <cellStyle name="Normal 5 3 4 2 8" xfId="4823" xr:uid="{00000000-0005-0000-0000-00003C1A0000}"/>
    <cellStyle name="Normal 5 3 4 2 8 2" xfId="13265" xr:uid="{30A7D975-D9EE-4D13-971A-A6CEB10D7E08}"/>
    <cellStyle name="Normal 5 3 4 2 9" xfId="9047" xr:uid="{57FE83D5-F0EE-4E4B-BB2A-212E353A0C84}"/>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2 2 2" xfId="15825" xr:uid="{E6CE3557-3925-4A71-9A63-C88916618DDC}"/>
    <cellStyle name="Normal 5 3 4 3 2 2 3" xfId="11607" xr:uid="{4F74B6B1-2FC1-4793-8EF7-16D87402E564}"/>
    <cellStyle name="Normal 5 3 4 3 2 3" xfId="5238" xr:uid="{00000000-0005-0000-0000-0000411A0000}"/>
    <cellStyle name="Normal 5 3 4 3 2 3 2" xfId="13680" xr:uid="{166C628C-5852-444D-A307-94D66D67D122}"/>
    <cellStyle name="Normal 5 3 4 3 2 4" xfId="9462" xr:uid="{44B157B6-DDEE-4C63-B0C9-444D20B186A2}"/>
    <cellStyle name="Normal 5 3 4 3 3" xfId="1343" xr:uid="{00000000-0005-0000-0000-0000421A0000}"/>
    <cellStyle name="Normal 5 3 4 3 3 2" xfId="3573" xr:uid="{00000000-0005-0000-0000-0000431A0000}"/>
    <cellStyle name="Normal 5 3 4 3 3 2 2" xfId="7796" xr:uid="{00000000-0005-0000-0000-0000441A0000}"/>
    <cellStyle name="Normal 5 3 4 3 3 2 2 2" xfId="16238" xr:uid="{645815E2-CDF7-4557-BE42-C7F112E5AE17}"/>
    <cellStyle name="Normal 5 3 4 3 3 2 3" xfId="12020" xr:uid="{64EAD4BB-D01F-4131-8D7A-7F5D8217BD15}"/>
    <cellStyle name="Normal 5 3 4 3 3 3" xfId="5651" xr:uid="{00000000-0005-0000-0000-0000451A0000}"/>
    <cellStyle name="Normal 5 3 4 3 3 3 2" xfId="14093" xr:uid="{F5CD9003-EDB1-4656-BA6F-CA5C0FC04FF1}"/>
    <cellStyle name="Normal 5 3 4 3 3 4" xfId="9875" xr:uid="{3C38E39C-0219-49C7-B09E-FCA428C56432}"/>
    <cellStyle name="Normal 5 3 4 3 4" xfId="1756" xr:uid="{00000000-0005-0000-0000-0000461A0000}"/>
    <cellStyle name="Normal 5 3 4 3 4 2" xfId="3986" xr:uid="{00000000-0005-0000-0000-0000471A0000}"/>
    <cellStyle name="Normal 5 3 4 3 4 2 2" xfId="8209" xr:uid="{00000000-0005-0000-0000-0000481A0000}"/>
    <cellStyle name="Normal 5 3 4 3 4 2 2 2" xfId="16651" xr:uid="{DAE5F538-96A3-4E4D-9A59-F46B1723B7CE}"/>
    <cellStyle name="Normal 5 3 4 3 4 2 3" xfId="12433" xr:uid="{4EED649E-DAEE-48C4-9CA0-9375166FD40B}"/>
    <cellStyle name="Normal 5 3 4 3 4 3" xfId="6064" xr:uid="{00000000-0005-0000-0000-0000491A0000}"/>
    <cellStyle name="Normal 5 3 4 3 4 3 2" xfId="14506" xr:uid="{80486E20-237E-4287-92ED-265329B76197}"/>
    <cellStyle name="Normal 5 3 4 3 4 4" xfId="10288" xr:uid="{BF1B4F1E-0E24-4802-B7F1-A5DCB04D4706}"/>
    <cellStyle name="Normal 5 3 4 3 5" xfId="2170" xr:uid="{00000000-0005-0000-0000-00004A1A0000}"/>
    <cellStyle name="Normal 5 3 4 3 5 2" xfId="4399" xr:uid="{00000000-0005-0000-0000-00004B1A0000}"/>
    <cellStyle name="Normal 5 3 4 3 5 2 2" xfId="8622" xr:uid="{00000000-0005-0000-0000-00004C1A0000}"/>
    <cellStyle name="Normal 5 3 4 3 5 2 2 2" xfId="17064" xr:uid="{76EC8BCA-C2A7-4ADC-878A-65F901FED198}"/>
    <cellStyle name="Normal 5 3 4 3 5 2 3" xfId="12846" xr:uid="{A2074B70-E3BC-47E0-8E05-8688C894AA3E}"/>
    <cellStyle name="Normal 5 3 4 3 5 3" xfId="6477" xr:uid="{00000000-0005-0000-0000-00004D1A0000}"/>
    <cellStyle name="Normal 5 3 4 3 5 3 2" xfId="14919" xr:uid="{56F7467B-49E3-416E-A94B-8CA98EF98657}"/>
    <cellStyle name="Normal 5 3 4 3 5 4" xfId="10701" xr:uid="{98E95871-6FDA-4113-AC17-19562F327167}"/>
    <cellStyle name="Normal 5 3 4 3 6" xfId="2606" xr:uid="{00000000-0005-0000-0000-00004E1A0000}"/>
    <cellStyle name="Normal 5 3 4 3 6 2" xfId="6890" xr:uid="{00000000-0005-0000-0000-00004F1A0000}"/>
    <cellStyle name="Normal 5 3 4 3 6 2 2" xfId="15332" xr:uid="{0E853624-29CB-48B1-A7BE-1ECC020B5BFB}"/>
    <cellStyle name="Normal 5 3 4 3 6 3" xfId="11114" xr:uid="{1E755B7D-1D6D-4965-8022-46E5E106AD50}"/>
    <cellStyle name="Normal 5 3 4 3 7" xfId="4825" xr:uid="{00000000-0005-0000-0000-0000501A0000}"/>
    <cellStyle name="Normal 5 3 4 3 7 2" xfId="13267" xr:uid="{1EB89D70-1B9C-49DC-AFBB-30B3B39DCED0}"/>
    <cellStyle name="Normal 5 3 4 3 8" xfId="9049" xr:uid="{861442C9-0893-4017-A095-7643859F8C5A}"/>
    <cellStyle name="Normal 5 3 4 4" xfId="923" xr:uid="{00000000-0005-0000-0000-0000511A0000}"/>
    <cellStyle name="Normal 5 3 4 4 2" xfId="3157" xr:uid="{00000000-0005-0000-0000-0000521A0000}"/>
    <cellStyle name="Normal 5 3 4 4 2 2" xfId="7380" xr:uid="{00000000-0005-0000-0000-0000531A0000}"/>
    <cellStyle name="Normal 5 3 4 4 2 2 2" xfId="15822" xr:uid="{686030C4-80FC-495B-86BB-3C40E54D86A3}"/>
    <cellStyle name="Normal 5 3 4 4 2 3" xfId="11604" xr:uid="{E633CF22-89C3-4B02-8A15-86DE4BB25C75}"/>
    <cellStyle name="Normal 5 3 4 4 3" xfId="5235" xr:uid="{00000000-0005-0000-0000-0000541A0000}"/>
    <cellStyle name="Normal 5 3 4 4 3 2" xfId="13677" xr:uid="{70BAC172-8E60-4209-AFD4-CFF95E3A2274}"/>
    <cellStyle name="Normal 5 3 4 4 4" xfId="9459" xr:uid="{2E2DA1C2-15C8-46C5-9D6E-1EF291E27A58}"/>
    <cellStyle name="Normal 5 3 4 5" xfId="1340" xr:uid="{00000000-0005-0000-0000-0000551A0000}"/>
    <cellStyle name="Normal 5 3 4 5 2" xfId="3570" xr:uid="{00000000-0005-0000-0000-0000561A0000}"/>
    <cellStyle name="Normal 5 3 4 5 2 2" xfId="7793" xr:uid="{00000000-0005-0000-0000-0000571A0000}"/>
    <cellStyle name="Normal 5 3 4 5 2 2 2" xfId="16235" xr:uid="{6D9D813A-D6AB-4201-9974-63FECD56313A}"/>
    <cellStyle name="Normal 5 3 4 5 2 3" xfId="12017" xr:uid="{02A7828C-E91E-4472-99DB-9DBF7337DC97}"/>
    <cellStyle name="Normal 5 3 4 5 3" xfId="5648" xr:uid="{00000000-0005-0000-0000-0000581A0000}"/>
    <cellStyle name="Normal 5 3 4 5 3 2" xfId="14090" xr:uid="{94729414-5358-4020-9C37-EEB4CCEF1CE4}"/>
    <cellStyle name="Normal 5 3 4 5 4" xfId="9872" xr:uid="{0906711B-A4A4-4F77-8178-F0B61EC3F184}"/>
    <cellStyle name="Normal 5 3 4 6" xfId="1753" xr:uid="{00000000-0005-0000-0000-0000591A0000}"/>
    <cellStyle name="Normal 5 3 4 6 2" xfId="3983" xr:uid="{00000000-0005-0000-0000-00005A1A0000}"/>
    <cellStyle name="Normal 5 3 4 6 2 2" xfId="8206" xr:uid="{00000000-0005-0000-0000-00005B1A0000}"/>
    <cellStyle name="Normal 5 3 4 6 2 2 2" xfId="16648" xr:uid="{487EF53C-5BB3-4494-9FC0-70353F1FC3AD}"/>
    <cellStyle name="Normal 5 3 4 6 2 3" xfId="12430" xr:uid="{B16354D6-ACE6-448C-B1B8-E71BB8E73826}"/>
    <cellStyle name="Normal 5 3 4 6 3" xfId="6061" xr:uid="{00000000-0005-0000-0000-00005C1A0000}"/>
    <cellStyle name="Normal 5 3 4 6 3 2" xfId="14503" xr:uid="{8568025A-06E9-4ECB-BA1D-7C48EEA2053F}"/>
    <cellStyle name="Normal 5 3 4 6 4" xfId="10285" xr:uid="{36E11332-F7B8-46FD-B95B-C7936CC8EB26}"/>
    <cellStyle name="Normal 5 3 4 7" xfId="2167" xr:uid="{00000000-0005-0000-0000-00005D1A0000}"/>
    <cellStyle name="Normal 5 3 4 7 2" xfId="4396" xr:uid="{00000000-0005-0000-0000-00005E1A0000}"/>
    <cellStyle name="Normal 5 3 4 7 2 2" xfId="8619" xr:uid="{00000000-0005-0000-0000-00005F1A0000}"/>
    <cellStyle name="Normal 5 3 4 7 2 2 2" xfId="17061" xr:uid="{07A32B53-EF5C-4D2D-88C3-FD2CF0B4FE41}"/>
    <cellStyle name="Normal 5 3 4 7 2 3" xfId="12843" xr:uid="{C7003311-4D54-4C56-B17D-DCE306B58996}"/>
    <cellStyle name="Normal 5 3 4 7 3" xfId="6474" xr:uid="{00000000-0005-0000-0000-0000601A0000}"/>
    <cellStyle name="Normal 5 3 4 7 3 2" xfId="14916" xr:uid="{02D76503-95B5-42F5-A502-0E25A7045880}"/>
    <cellStyle name="Normal 5 3 4 7 4" xfId="10698" xr:uid="{8E84E4F7-6531-4C1A-B8F9-511BCA31066F}"/>
    <cellStyle name="Normal 5 3 4 8" xfId="2603" xr:uid="{00000000-0005-0000-0000-0000611A0000}"/>
    <cellStyle name="Normal 5 3 4 8 2" xfId="6887" xr:uid="{00000000-0005-0000-0000-0000621A0000}"/>
    <cellStyle name="Normal 5 3 4 8 2 2" xfId="15329" xr:uid="{F340F39A-28FD-416C-9ABE-C77B18B6AFDF}"/>
    <cellStyle name="Normal 5 3 4 8 3" xfId="11111" xr:uid="{B675B2C6-9315-4437-88AD-3CA1C2C908A4}"/>
    <cellStyle name="Normal 5 3 4 9" xfId="4822" xr:uid="{00000000-0005-0000-0000-0000631A0000}"/>
    <cellStyle name="Normal 5 3 4 9 2" xfId="13264" xr:uid="{890D52BD-B9A7-4D74-9E77-64F7FD23D1DF}"/>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2 2 2" xfId="15827" xr:uid="{29493C85-747D-48F1-BDA2-7D4E3712D35B}"/>
    <cellStyle name="Normal 5 3 5 2 2 2 3" xfId="11609" xr:uid="{4778CB0E-268E-4D04-B07D-6DE14C522536}"/>
    <cellStyle name="Normal 5 3 5 2 2 3" xfId="5240" xr:uid="{00000000-0005-0000-0000-0000691A0000}"/>
    <cellStyle name="Normal 5 3 5 2 2 3 2" xfId="13682" xr:uid="{594E27F8-932B-47B4-A6B1-0E90152391E1}"/>
    <cellStyle name="Normal 5 3 5 2 2 4" xfId="9464" xr:uid="{1EE789F1-29D3-46F4-A040-D5AE8337C084}"/>
    <cellStyle name="Normal 5 3 5 2 3" xfId="1345" xr:uid="{00000000-0005-0000-0000-00006A1A0000}"/>
    <cellStyle name="Normal 5 3 5 2 3 2" xfId="3575" xr:uid="{00000000-0005-0000-0000-00006B1A0000}"/>
    <cellStyle name="Normal 5 3 5 2 3 2 2" xfId="7798" xr:uid="{00000000-0005-0000-0000-00006C1A0000}"/>
    <cellStyle name="Normal 5 3 5 2 3 2 2 2" xfId="16240" xr:uid="{A57AFB12-AA98-443A-B055-8AA199677C2F}"/>
    <cellStyle name="Normal 5 3 5 2 3 2 3" xfId="12022" xr:uid="{EED6F5E4-4E39-4230-89FF-CE0777A39003}"/>
    <cellStyle name="Normal 5 3 5 2 3 3" xfId="5653" xr:uid="{00000000-0005-0000-0000-00006D1A0000}"/>
    <cellStyle name="Normal 5 3 5 2 3 3 2" xfId="14095" xr:uid="{D742F5CE-9B15-4972-9C57-98D7D78AB376}"/>
    <cellStyle name="Normal 5 3 5 2 3 4" xfId="9877" xr:uid="{B57EC0F1-52F9-47AE-9E3C-C80E3049B53A}"/>
    <cellStyle name="Normal 5 3 5 2 4" xfId="1758" xr:uid="{00000000-0005-0000-0000-00006E1A0000}"/>
    <cellStyle name="Normal 5 3 5 2 4 2" xfId="3988" xr:uid="{00000000-0005-0000-0000-00006F1A0000}"/>
    <cellStyle name="Normal 5 3 5 2 4 2 2" xfId="8211" xr:uid="{00000000-0005-0000-0000-0000701A0000}"/>
    <cellStyle name="Normal 5 3 5 2 4 2 2 2" xfId="16653" xr:uid="{4F829FA4-B43F-4396-B4EF-2C0F02469F22}"/>
    <cellStyle name="Normal 5 3 5 2 4 2 3" xfId="12435" xr:uid="{EC1C109E-AE71-4E5C-826D-BE2D1576DDC4}"/>
    <cellStyle name="Normal 5 3 5 2 4 3" xfId="6066" xr:uid="{00000000-0005-0000-0000-0000711A0000}"/>
    <cellStyle name="Normal 5 3 5 2 4 3 2" xfId="14508" xr:uid="{9DCB1E61-9006-443A-80BB-DDC3E6324C9B}"/>
    <cellStyle name="Normal 5 3 5 2 4 4" xfId="10290" xr:uid="{416FFE33-6789-496A-BD16-F6F5B240F01E}"/>
    <cellStyle name="Normal 5 3 5 2 5" xfId="2172" xr:uid="{00000000-0005-0000-0000-0000721A0000}"/>
    <cellStyle name="Normal 5 3 5 2 5 2" xfId="4401" xr:uid="{00000000-0005-0000-0000-0000731A0000}"/>
    <cellStyle name="Normal 5 3 5 2 5 2 2" xfId="8624" xr:uid="{00000000-0005-0000-0000-0000741A0000}"/>
    <cellStyle name="Normal 5 3 5 2 5 2 2 2" xfId="17066" xr:uid="{280A8885-6FB0-456F-A584-87777822BD28}"/>
    <cellStyle name="Normal 5 3 5 2 5 2 3" xfId="12848" xr:uid="{B3E228B3-9D4C-4F45-B0F1-83EB0B965A35}"/>
    <cellStyle name="Normal 5 3 5 2 5 3" xfId="6479" xr:uid="{00000000-0005-0000-0000-0000751A0000}"/>
    <cellStyle name="Normal 5 3 5 2 5 3 2" xfId="14921" xr:uid="{D69F1B93-2753-4BEF-915F-96FBFEE16BCC}"/>
    <cellStyle name="Normal 5 3 5 2 5 4" xfId="10703" xr:uid="{012143BD-EF11-4DFB-8247-DB74B2C08791}"/>
    <cellStyle name="Normal 5 3 5 2 6" xfId="2608" xr:uid="{00000000-0005-0000-0000-0000761A0000}"/>
    <cellStyle name="Normal 5 3 5 2 6 2" xfId="6892" xr:uid="{00000000-0005-0000-0000-0000771A0000}"/>
    <cellStyle name="Normal 5 3 5 2 6 2 2" xfId="15334" xr:uid="{796AF9C8-CF86-4E75-A7DF-526DDBC0757A}"/>
    <cellStyle name="Normal 5 3 5 2 6 3" xfId="11116" xr:uid="{E7FF5C02-EE6C-4F7F-A472-AF5E79F46383}"/>
    <cellStyle name="Normal 5 3 5 2 7" xfId="4827" xr:uid="{00000000-0005-0000-0000-0000781A0000}"/>
    <cellStyle name="Normal 5 3 5 2 7 2" xfId="13269" xr:uid="{9C0F0D8F-6C94-476E-B384-A435CE9745DC}"/>
    <cellStyle name="Normal 5 3 5 2 8" xfId="9051" xr:uid="{C3E23139-C233-4AF6-AE7B-76946BDC86B1}"/>
    <cellStyle name="Normal 5 3 5 3" xfId="927" xr:uid="{00000000-0005-0000-0000-0000791A0000}"/>
    <cellStyle name="Normal 5 3 5 3 2" xfId="3161" xr:uid="{00000000-0005-0000-0000-00007A1A0000}"/>
    <cellStyle name="Normal 5 3 5 3 2 2" xfId="7384" xr:uid="{00000000-0005-0000-0000-00007B1A0000}"/>
    <cellStyle name="Normal 5 3 5 3 2 2 2" xfId="15826" xr:uid="{01D50737-8C25-4BCA-B46B-AAD81C3E11C4}"/>
    <cellStyle name="Normal 5 3 5 3 2 3" xfId="11608" xr:uid="{C6B4CF41-5DC2-4926-8352-C60868ECDA5D}"/>
    <cellStyle name="Normal 5 3 5 3 3" xfId="5239" xr:uid="{00000000-0005-0000-0000-00007C1A0000}"/>
    <cellStyle name="Normal 5 3 5 3 3 2" xfId="13681" xr:uid="{BF2A9854-6DA7-4322-81ED-DFDC53999560}"/>
    <cellStyle name="Normal 5 3 5 3 4" xfId="9463" xr:uid="{3B18F135-7385-4915-BF51-AA7507D8AD4A}"/>
    <cellStyle name="Normal 5 3 5 4" xfId="1344" xr:uid="{00000000-0005-0000-0000-00007D1A0000}"/>
    <cellStyle name="Normal 5 3 5 4 2" xfId="3574" xr:uid="{00000000-0005-0000-0000-00007E1A0000}"/>
    <cellStyle name="Normal 5 3 5 4 2 2" xfId="7797" xr:uid="{00000000-0005-0000-0000-00007F1A0000}"/>
    <cellStyle name="Normal 5 3 5 4 2 2 2" xfId="16239" xr:uid="{8E369192-A004-4920-B43C-6B1F649AEE83}"/>
    <cellStyle name="Normal 5 3 5 4 2 3" xfId="12021" xr:uid="{E0C337C7-12AC-4F37-BEF0-457CBF60E5DC}"/>
    <cellStyle name="Normal 5 3 5 4 3" xfId="5652" xr:uid="{00000000-0005-0000-0000-0000801A0000}"/>
    <cellStyle name="Normal 5 3 5 4 3 2" xfId="14094" xr:uid="{4CA26EB2-744C-4098-8557-3BC89DF752FA}"/>
    <cellStyle name="Normal 5 3 5 4 4" xfId="9876" xr:uid="{8F07CA01-550B-46D3-88EE-AC0574764B6A}"/>
    <cellStyle name="Normal 5 3 5 5" xfId="1757" xr:uid="{00000000-0005-0000-0000-0000811A0000}"/>
    <cellStyle name="Normal 5 3 5 5 2" xfId="3987" xr:uid="{00000000-0005-0000-0000-0000821A0000}"/>
    <cellStyle name="Normal 5 3 5 5 2 2" xfId="8210" xr:uid="{00000000-0005-0000-0000-0000831A0000}"/>
    <cellStyle name="Normal 5 3 5 5 2 2 2" xfId="16652" xr:uid="{CDEB878F-7630-423D-A190-3A37C6004AD2}"/>
    <cellStyle name="Normal 5 3 5 5 2 3" xfId="12434" xr:uid="{073B71D7-E1FA-4B58-8887-A0D16E69BE7B}"/>
    <cellStyle name="Normal 5 3 5 5 3" xfId="6065" xr:uid="{00000000-0005-0000-0000-0000841A0000}"/>
    <cellStyle name="Normal 5 3 5 5 3 2" xfId="14507" xr:uid="{FFDAA41C-40B3-4223-9097-1EE07CE34142}"/>
    <cellStyle name="Normal 5 3 5 5 4" xfId="10289" xr:uid="{21F27B11-2C74-4090-ACEE-F2D9E9159D82}"/>
    <cellStyle name="Normal 5 3 5 6" xfId="2171" xr:uid="{00000000-0005-0000-0000-0000851A0000}"/>
    <cellStyle name="Normal 5 3 5 6 2" xfId="4400" xr:uid="{00000000-0005-0000-0000-0000861A0000}"/>
    <cellStyle name="Normal 5 3 5 6 2 2" xfId="8623" xr:uid="{00000000-0005-0000-0000-0000871A0000}"/>
    <cellStyle name="Normal 5 3 5 6 2 2 2" xfId="17065" xr:uid="{EB3E74E6-7956-4FA7-9C49-12D532F44A7A}"/>
    <cellStyle name="Normal 5 3 5 6 2 3" xfId="12847" xr:uid="{578F3A7C-35D3-4C18-B254-C20C639886E0}"/>
    <cellStyle name="Normal 5 3 5 6 3" xfId="6478" xr:uid="{00000000-0005-0000-0000-0000881A0000}"/>
    <cellStyle name="Normal 5 3 5 6 3 2" xfId="14920" xr:uid="{B292206F-6FEB-41A5-830B-5330CF16E480}"/>
    <cellStyle name="Normal 5 3 5 6 4" xfId="10702" xr:uid="{83FFF5AA-74C5-4786-A17A-9794392B47A8}"/>
    <cellStyle name="Normal 5 3 5 7" xfId="2607" xr:uid="{00000000-0005-0000-0000-0000891A0000}"/>
    <cellStyle name="Normal 5 3 5 7 2" xfId="6891" xr:uid="{00000000-0005-0000-0000-00008A1A0000}"/>
    <cellStyle name="Normal 5 3 5 7 2 2" xfId="15333" xr:uid="{7420BAF7-933D-4E6C-BAF7-57A9FB89F00B}"/>
    <cellStyle name="Normal 5 3 5 7 3" xfId="11115" xr:uid="{82BA5652-C365-44B9-903B-26201C88B475}"/>
    <cellStyle name="Normal 5 3 5 8" xfId="4826" xr:uid="{00000000-0005-0000-0000-00008B1A0000}"/>
    <cellStyle name="Normal 5 3 5 8 2" xfId="13268" xr:uid="{02D93BE3-CDC5-4A62-87B6-3B5330D11CED}"/>
    <cellStyle name="Normal 5 3 5 9" xfId="9050" xr:uid="{3704873F-2C59-4C80-9273-5EA3B2A3B926}"/>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2 2 2" xfId="15828" xr:uid="{852F3195-7386-4AAE-8783-D19264287743}"/>
    <cellStyle name="Normal 5 3 6 2 2 3" xfId="11610" xr:uid="{867ED621-348A-4EC4-A1BF-C1569E7A20DE}"/>
    <cellStyle name="Normal 5 3 6 2 3" xfId="5241" xr:uid="{00000000-0005-0000-0000-0000901A0000}"/>
    <cellStyle name="Normal 5 3 6 2 3 2" xfId="13683" xr:uid="{99F5ACDB-F280-445D-B7D0-A241D5547B72}"/>
    <cellStyle name="Normal 5 3 6 2 4" xfId="9465" xr:uid="{FA31098C-45AE-460D-A112-81B6D3CE5189}"/>
    <cellStyle name="Normal 5 3 6 3" xfId="1346" xr:uid="{00000000-0005-0000-0000-0000911A0000}"/>
    <cellStyle name="Normal 5 3 6 3 2" xfId="3576" xr:uid="{00000000-0005-0000-0000-0000921A0000}"/>
    <cellStyle name="Normal 5 3 6 3 2 2" xfId="7799" xr:uid="{00000000-0005-0000-0000-0000931A0000}"/>
    <cellStyle name="Normal 5 3 6 3 2 2 2" xfId="16241" xr:uid="{AD551DBE-7EE3-4059-8B1F-77A418FB61FC}"/>
    <cellStyle name="Normal 5 3 6 3 2 3" xfId="12023" xr:uid="{CF2F1ED8-2173-4356-BACF-24631FBFDA42}"/>
    <cellStyle name="Normal 5 3 6 3 3" xfId="5654" xr:uid="{00000000-0005-0000-0000-0000941A0000}"/>
    <cellStyle name="Normal 5 3 6 3 3 2" xfId="14096" xr:uid="{AF820160-7EC9-4A32-BECA-6F3A5355AA53}"/>
    <cellStyle name="Normal 5 3 6 3 4" xfId="9878" xr:uid="{A9018D7A-2229-468C-AE75-B6AE3623E1B9}"/>
    <cellStyle name="Normal 5 3 6 4" xfId="1759" xr:uid="{00000000-0005-0000-0000-0000951A0000}"/>
    <cellStyle name="Normal 5 3 6 4 2" xfId="3989" xr:uid="{00000000-0005-0000-0000-0000961A0000}"/>
    <cellStyle name="Normal 5 3 6 4 2 2" xfId="8212" xr:uid="{00000000-0005-0000-0000-0000971A0000}"/>
    <cellStyle name="Normal 5 3 6 4 2 2 2" xfId="16654" xr:uid="{1DC91B23-BC70-4DEE-BD32-2B15B7A6ECE7}"/>
    <cellStyle name="Normal 5 3 6 4 2 3" xfId="12436" xr:uid="{42B9CD79-69AF-4487-8211-9245C9FDAD3D}"/>
    <cellStyle name="Normal 5 3 6 4 3" xfId="6067" xr:uid="{00000000-0005-0000-0000-0000981A0000}"/>
    <cellStyle name="Normal 5 3 6 4 3 2" xfId="14509" xr:uid="{B063428A-DE51-42FE-B66C-01EABF342001}"/>
    <cellStyle name="Normal 5 3 6 4 4" xfId="10291" xr:uid="{EB292558-6A13-47DE-AE88-C2ED84C55D06}"/>
    <cellStyle name="Normal 5 3 6 5" xfId="2173" xr:uid="{00000000-0005-0000-0000-0000991A0000}"/>
    <cellStyle name="Normal 5 3 6 5 2" xfId="4402" xr:uid="{00000000-0005-0000-0000-00009A1A0000}"/>
    <cellStyle name="Normal 5 3 6 5 2 2" xfId="8625" xr:uid="{00000000-0005-0000-0000-00009B1A0000}"/>
    <cellStyle name="Normal 5 3 6 5 2 2 2" xfId="17067" xr:uid="{E132884F-413A-4CC3-BD29-3F8F7473781F}"/>
    <cellStyle name="Normal 5 3 6 5 2 3" xfId="12849" xr:uid="{FB4592A3-D31F-4B36-A005-3608366DB721}"/>
    <cellStyle name="Normal 5 3 6 5 3" xfId="6480" xr:uid="{00000000-0005-0000-0000-00009C1A0000}"/>
    <cellStyle name="Normal 5 3 6 5 3 2" xfId="14922" xr:uid="{9DD3978B-F319-4941-B3EF-F10D99982AFE}"/>
    <cellStyle name="Normal 5 3 6 5 4" xfId="10704" xr:uid="{B1C70D50-E315-448A-A797-7324C7DDF576}"/>
    <cellStyle name="Normal 5 3 6 6" xfId="2609" xr:uid="{00000000-0005-0000-0000-00009D1A0000}"/>
    <cellStyle name="Normal 5 3 6 6 2" xfId="6893" xr:uid="{00000000-0005-0000-0000-00009E1A0000}"/>
    <cellStyle name="Normal 5 3 6 6 2 2" xfId="15335" xr:uid="{432D5EF8-6089-489C-A75F-EAED41A9D7A6}"/>
    <cellStyle name="Normal 5 3 6 6 3" xfId="11117" xr:uid="{07094A51-066B-419A-AFEF-2F063D56A59D}"/>
    <cellStyle name="Normal 5 3 6 7" xfId="4828" xr:uid="{00000000-0005-0000-0000-00009F1A0000}"/>
    <cellStyle name="Normal 5 3 6 7 2" xfId="13270" xr:uid="{6ED65F16-E0FD-49D8-86E2-83791FBD43A9}"/>
    <cellStyle name="Normal 5 3 6 8" xfId="9052" xr:uid="{9EF92A29-22DE-47B7-AD62-E52E8DBD3BF6}"/>
    <cellStyle name="Normal 5 3 7" xfId="913" xr:uid="{00000000-0005-0000-0000-0000A01A0000}"/>
    <cellStyle name="Normal 5 3 7 2" xfId="3148" xr:uid="{00000000-0005-0000-0000-0000A11A0000}"/>
    <cellStyle name="Normal 5 3 7 2 2" xfId="7371" xr:uid="{00000000-0005-0000-0000-0000A21A0000}"/>
    <cellStyle name="Normal 5 3 7 2 2 2" xfId="15813" xr:uid="{70D353AD-CE82-4477-A6E9-30226A3DB589}"/>
    <cellStyle name="Normal 5 3 7 2 3" xfId="11595" xr:uid="{216EFF89-483A-404D-B0F7-572ADA97458E}"/>
    <cellStyle name="Normal 5 3 7 3" xfId="5226" xr:uid="{00000000-0005-0000-0000-0000A31A0000}"/>
    <cellStyle name="Normal 5 3 7 3 2" xfId="13668" xr:uid="{A7F3D1F8-CA5B-4EEA-ABC2-1A861DE91502}"/>
    <cellStyle name="Normal 5 3 7 4" xfId="9450" xr:uid="{BF4F2984-E9C5-47A0-B331-CDF7C04EE7B8}"/>
    <cellStyle name="Normal 5 3 8" xfId="1331" xr:uid="{00000000-0005-0000-0000-0000A41A0000}"/>
    <cellStyle name="Normal 5 3 8 2" xfId="3561" xr:uid="{00000000-0005-0000-0000-0000A51A0000}"/>
    <cellStyle name="Normal 5 3 8 2 2" xfId="7784" xr:uid="{00000000-0005-0000-0000-0000A61A0000}"/>
    <cellStyle name="Normal 5 3 8 2 2 2" xfId="16226" xr:uid="{2F4B5B9C-4C54-40AC-84CD-5CE509D1D844}"/>
    <cellStyle name="Normal 5 3 8 2 3" xfId="12008" xr:uid="{746EF793-C084-4B67-96CE-1ACECDD0D968}"/>
    <cellStyle name="Normal 5 3 8 3" xfId="5639" xr:uid="{00000000-0005-0000-0000-0000A71A0000}"/>
    <cellStyle name="Normal 5 3 8 3 2" xfId="14081" xr:uid="{40C0A7BB-759E-4BFE-A12E-3BACA48BA3F7}"/>
    <cellStyle name="Normal 5 3 8 4" xfId="9863" xr:uid="{2AA9E23F-17FF-4111-B049-2EA8381FAC3C}"/>
    <cellStyle name="Normal 5 3 9" xfId="1744" xr:uid="{00000000-0005-0000-0000-0000A81A0000}"/>
    <cellStyle name="Normal 5 3 9 2" xfId="3974" xr:uid="{00000000-0005-0000-0000-0000A91A0000}"/>
    <cellStyle name="Normal 5 3 9 2 2" xfId="8197" xr:uid="{00000000-0005-0000-0000-0000AA1A0000}"/>
    <cellStyle name="Normal 5 3 9 2 2 2" xfId="16639" xr:uid="{BAB92CD2-903A-449E-ADA3-CEB65FA477D7}"/>
    <cellStyle name="Normal 5 3 9 2 3" xfId="12421" xr:uid="{A4163606-10FF-4897-A65B-670F0954F3E6}"/>
    <cellStyle name="Normal 5 3 9 3" xfId="6052" xr:uid="{00000000-0005-0000-0000-0000AB1A0000}"/>
    <cellStyle name="Normal 5 3 9 3 2" xfId="14494" xr:uid="{93719D8B-42E6-4600-8545-E7E0881E6C95}"/>
    <cellStyle name="Normal 5 3 9 4" xfId="10276" xr:uid="{2BC1DE5C-6741-40D7-A089-8327E132134B}"/>
    <cellStyle name="Normal 5 4" xfId="456" xr:uid="{00000000-0005-0000-0000-0000AC1A0000}"/>
    <cellStyle name="Normal 5 4 10" xfId="4829" xr:uid="{00000000-0005-0000-0000-0000AD1A0000}"/>
    <cellStyle name="Normal 5 4 10 2" xfId="13271" xr:uid="{AA597BB8-0AC0-44BA-8B4F-8C576E41E7AC}"/>
    <cellStyle name="Normal 5 4 11" xfId="9053" xr:uid="{7AFCCB39-D419-480C-99CF-F22B118F69E1}"/>
    <cellStyle name="Normal 5 4 2" xfId="457" xr:uid="{00000000-0005-0000-0000-0000AE1A0000}"/>
    <cellStyle name="Normal 5 4 2 10" xfId="9054" xr:uid="{3530CF79-2A5B-4E8E-A07F-AA7985B466AE}"/>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2 2 2" xfId="15832" xr:uid="{8CC2D452-313B-4D1F-A5FE-B012FFBE2C44}"/>
    <cellStyle name="Normal 5 4 2 2 2 2 2 3" xfId="11614" xr:uid="{239E9407-F87C-40E0-B07D-E5B759FF022F}"/>
    <cellStyle name="Normal 5 4 2 2 2 2 3" xfId="5245" xr:uid="{00000000-0005-0000-0000-0000B41A0000}"/>
    <cellStyle name="Normal 5 4 2 2 2 2 3 2" xfId="13687" xr:uid="{C482B65C-40F5-472C-B05B-F9596ACC43A4}"/>
    <cellStyle name="Normal 5 4 2 2 2 2 4" xfId="9469" xr:uid="{8E6FE826-9D00-4D97-817C-67E2C8385545}"/>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2 2 2" xfId="16245" xr:uid="{3EA073BB-C570-4465-9EE2-06A609446052}"/>
    <cellStyle name="Normal 5 4 2 2 2 3 2 3" xfId="12027" xr:uid="{A8009955-FC4E-4DFF-838A-D5D6DBB4EA6B}"/>
    <cellStyle name="Normal 5 4 2 2 2 3 3" xfId="5658" xr:uid="{00000000-0005-0000-0000-0000B81A0000}"/>
    <cellStyle name="Normal 5 4 2 2 2 3 3 2" xfId="14100" xr:uid="{23993DB3-3F24-4BC3-A11F-49A677BB563D}"/>
    <cellStyle name="Normal 5 4 2 2 2 3 4" xfId="9882" xr:uid="{4A428AFD-939E-40A3-9718-1AB432D5F19A}"/>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2 2 2" xfId="16658" xr:uid="{9A80A4CF-2B8F-479F-8ACB-CC464DC38FA6}"/>
    <cellStyle name="Normal 5 4 2 2 2 4 2 3" xfId="12440" xr:uid="{B78878EE-33BC-4767-A927-F02AAC5A7C18}"/>
    <cellStyle name="Normal 5 4 2 2 2 4 3" xfId="6071" xr:uid="{00000000-0005-0000-0000-0000BC1A0000}"/>
    <cellStyle name="Normal 5 4 2 2 2 4 3 2" xfId="14513" xr:uid="{87EF05CA-82EF-427F-B995-3F78CB323FFA}"/>
    <cellStyle name="Normal 5 4 2 2 2 4 4" xfId="10295" xr:uid="{7733C17C-BCBE-43F5-8273-E37C021FED68}"/>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2 2 2" xfId="17071" xr:uid="{54114594-8C5E-4810-9D6E-016433D39261}"/>
    <cellStyle name="Normal 5 4 2 2 2 5 2 3" xfId="12853" xr:uid="{76222FE6-DEE0-439C-A811-5A64704F228D}"/>
    <cellStyle name="Normal 5 4 2 2 2 5 3" xfId="6484" xr:uid="{00000000-0005-0000-0000-0000C01A0000}"/>
    <cellStyle name="Normal 5 4 2 2 2 5 3 2" xfId="14926" xr:uid="{67C1E25B-D430-4AAE-BE9F-BA1CC43917B7}"/>
    <cellStyle name="Normal 5 4 2 2 2 5 4" xfId="10708" xr:uid="{D135326E-467C-4C3F-8098-59D02C97A06F}"/>
    <cellStyle name="Normal 5 4 2 2 2 6" xfId="2613" xr:uid="{00000000-0005-0000-0000-0000C11A0000}"/>
    <cellStyle name="Normal 5 4 2 2 2 6 2" xfId="6897" xr:uid="{00000000-0005-0000-0000-0000C21A0000}"/>
    <cellStyle name="Normal 5 4 2 2 2 6 2 2" xfId="15339" xr:uid="{76AFBDCB-1A12-4A68-B3E3-BD57FEBD901B}"/>
    <cellStyle name="Normal 5 4 2 2 2 6 3" xfId="11121" xr:uid="{A7C78949-C2DE-4802-8455-9E60F4F6CA9D}"/>
    <cellStyle name="Normal 5 4 2 2 2 7" xfId="4832" xr:uid="{00000000-0005-0000-0000-0000C31A0000}"/>
    <cellStyle name="Normal 5 4 2 2 2 7 2" xfId="13274" xr:uid="{74AF7CE1-DEE9-40C8-B093-3AFFCF6751EE}"/>
    <cellStyle name="Normal 5 4 2 2 2 8" xfId="9056" xr:uid="{111E2EBF-31B1-45CC-931B-AB9FE33D6728}"/>
    <cellStyle name="Normal 5 4 2 2 3" xfId="932" xr:uid="{00000000-0005-0000-0000-0000C41A0000}"/>
    <cellStyle name="Normal 5 4 2 2 3 2" xfId="3166" xr:uid="{00000000-0005-0000-0000-0000C51A0000}"/>
    <cellStyle name="Normal 5 4 2 2 3 2 2" xfId="7389" xr:uid="{00000000-0005-0000-0000-0000C61A0000}"/>
    <cellStyle name="Normal 5 4 2 2 3 2 2 2" xfId="15831" xr:uid="{326D81A9-833D-4278-AC83-41D2E1715895}"/>
    <cellStyle name="Normal 5 4 2 2 3 2 3" xfId="11613" xr:uid="{8EA3304D-3BB9-4BE9-AC70-4244E56880AA}"/>
    <cellStyle name="Normal 5 4 2 2 3 3" xfId="5244" xr:uid="{00000000-0005-0000-0000-0000C71A0000}"/>
    <cellStyle name="Normal 5 4 2 2 3 3 2" xfId="13686" xr:uid="{36502087-5999-4267-A705-A27C9801E35C}"/>
    <cellStyle name="Normal 5 4 2 2 3 4" xfId="9468" xr:uid="{2FAA1DDC-F42E-42EF-893A-BC0140903369}"/>
    <cellStyle name="Normal 5 4 2 2 4" xfId="1349" xr:uid="{00000000-0005-0000-0000-0000C81A0000}"/>
    <cellStyle name="Normal 5 4 2 2 4 2" xfId="3579" xr:uid="{00000000-0005-0000-0000-0000C91A0000}"/>
    <cellStyle name="Normal 5 4 2 2 4 2 2" xfId="7802" xr:uid="{00000000-0005-0000-0000-0000CA1A0000}"/>
    <cellStyle name="Normal 5 4 2 2 4 2 2 2" xfId="16244" xr:uid="{DC88EDF0-3701-49C5-91C3-62AE641424FF}"/>
    <cellStyle name="Normal 5 4 2 2 4 2 3" xfId="12026" xr:uid="{1ED7A44F-A202-4090-AC89-3398BBB4ECFA}"/>
    <cellStyle name="Normal 5 4 2 2 4 3" xfId="5657" xr:uid="{00000000-0005-0000-0000-0000CB1A0000}"/>
    <cellStyle name="Normal 5 4 2 2 4 3 2" xfId="14099" xr:uid="{85934962-A9AC-42F5-9D54-CC51DD008BB0}"/>
    <cellStyle name="Normal 5 4 2 2 4 4" xfId="9881" xr:uid="{C584C2CA-9CC4-42EF-AC15-EB7D6F6F0375}"/>
    <cellStyle name="Normal 5 4 2 2 5" xfId="1762" xr:uid="{00000000-0005-0000-0000-0000CC1A0000}"/>
    <cellStyle name="Normal 5 4 2 2 5 2" xfId="3992" xr:uid="{00000000-0005-0000-0000-0000CD1A0000}"/>
    <cellStyle name="Normal 5 4 2 2 5 2 2" xfId="8215" xr:uid="{00000000-0005-0000-0000-0000CE1A0000}"/>
    <cellStyle name="Normal 5 4 2 2 5 2 2 2" xfId="16657" xr:uid="{73F6B1D4-ADF3-4C8A-9F2B-25A4249C10DE}"/>
    <cellStyle name="Normal 5 4 2 2 5 2 3" xfId="12439" xr:uid="{A666162E-D5A8-4A13-93C4-3852CFE724B0}"/>
    <cellStyle name="Normal 5 4 2 2 5 3" xfId="6070" xr:uid="{00000000-0005-0000-0000-0000CF1A0000}"/>
    <cellStyle name="Normal 5 4 2 2 5 3 2" xfId="14512" xr:uid="{19EA928C-AE48-4E23-976A-5D4B593C26E2}"/>
    <cellStyle name="Normal 5 4 2 2 5 4" xfId="10294" xr:uid="{7A10BB61-F685-4661-873C-C41D5E31A3CB}"/>
    <cellStyle name="Normal 5 4 2 2 6" xfId="2176" xr:uid="{00000000-0005-0000-0000-0000D01A0000}"/>
    <cellStyle name="Normal 5 4 2 2 6 2" xfId="4405" xr:uid="{00000000-0005-0000-0000-0000D11A0000}"/>
    <cellStyle name="Normal 5 4 2 2 6 2 2" xfId="8628" xr:uid="{00000000-0005-0000-0000-0000D21A0000}"/>
    <cellStyle name="Normal 5 4 2 2 6 2 2 2" xfId="17070" xr:uid="{72B113BD-BF1A-4FA9-9311-C020457BA7E9}"/>
    <cellStyle name="Normal 5 4 2 2 6 2 3" xfId="12852" xr:uid="{F7618746-42D7-4B12-B87F-014C293E94C9}"/>
    <cellStyle name="Normal 5 4 2 2 6 3" xfId="6483" xr:uid="{00000000-0005-0000-0000-0000D31A0000}"/>
    <cellStyle name="Normal 5 4 2 2 6 3 2" xfId="14925" xr:uid="{9F304035-5629-4561-8C36-0756230159B4}"/>
    <cellStyle name="Normal 5 4 2 2 6 4" xfId="10707" xr:uid="{E5FB94ED-3E44-4F19-B51D-DB2C1AB44932}"/>
    <cellStyle name="Normal 5 4 2 2 7" xfId="2612" xr:uid="{00000000-0005-0000-0000-0000D41A0000}"/>
    <cellStyle name="Normal 5 4 2 2 7 2" xfId="6896" xr:uid="{00000000-0005-0000-0000-0000D51A0000}"/>
    <cellStyle name="Normal 5 4 2 2 7 2 2" xfId="15338" xr:uid="{4A1F7803-0EC1-4D76-B41D-7AAA9699637F}"/>
    <cellStyle name="Normal 5 4 2 2 7 3" xfId="11120" xr:uid="{7EF36866-68FD-4CFD-B313-A130F6D9D9E0}"/>
    <cellStyle name="Normal 5 4 2 2 8" xfId="4831" xr:uid="{00000000-0005-0000-0000-0000D61A0000}"/>
    <cellStyle name="Normal 5 4 2 2 8 2" xfId="13273" xr:uid="{8132DD99-98E2-43EA-A44A-6D2D8931AC30}"/>
    <cellStyle name="Normal 5 4 2 2 9" xfId="9055" xr:uid="{5B998715-F828-4654-8A08-0B8772761035}"/>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2 2 2" xfId="15833" xr:uid="{38B79081-4BBF-4A47-95F8-66FCFFE30C39}"/>
    <cellStyle name="Normal 5 4 2 3 2 2 3" xfId="11615" xr:uid="{7501198A-70D0-4CDC-92C8-186EA934CF27}"/>
    <cellStyle name="Normal 5 4 2 3 2 3" xfId="5246" xr:uid="{00000000-0005-0000-0000-0000DB1A0000}"/>
    <cellStyle name="Normal 5 4 2 3 2 3 2" xfId="13688" xr:uid="{7942363D-0A9F-4B38-AFC5-633085F4099E}"/>
    <cellStyle name="Normal 5 4 2 3 2 4" xfId="9470" xr:uid="{09FBF507-5ADB-4069-BBEC-2EFFE82B530B}"/>
    <cellStyle name="Normal 5 4 2 3 3" xfId="1351" xr:uid="{00000000-0005-0000-0000-0000DC1A0000}"/>
    <cellStyle name="Normal 5 4 2 3 3 2" xfId="3581" xr:uid="{00000000-0005-0000-0000-0000DD1A0000}"/>
    <cellStyle name="Normal 5 4 2 3 3 2 2" xfId="7804" xr:uid="{00000000-0005-0000-0000-0000DE1A0000}"/>
    <cellStyle name="Normal 5 4 2 3 3 2 2 2" xfId="16246" xr:uid="{DE8BB211-5311-4774-9B69-6F91014BCA8C}"/>
    <cellStyle name="Normal 5 4 2 3 3 2 3" xfId="12028" xr:uid="{5CBA4003-FE99-4368-9BAD-7F9924D85C86}"/>
    <cellStyle name="Normal 5 4 2 3 3 3" xfId="5659" xr:uid="{00000000-0005-0000-0000-0000DF1A0000}"/>
    <cellStyle name="Normal 5 4 2 3 3 3 2" xfId="14101" xr:uid="{D242F661-39C3-48D5-A13B-F38C81C220C7}"/>
    <cellStyle name="Normal 5 4 2 3 3 4" xfId="9883" xr:uid="{65EB0907-0BD7-495A-A399-9C5BDFB14992}"/>
    <cellStyle name="Normal 5 4 2 3 4" xfId="1764" xr:uid="{00000000-0005-0000-0000-0000E01A0000}"/>
    <cellStyle name="Normal 5 4 2 3 4 2" xfId="3994" xr:uid="{00000000-0005-0000-0000-0000E11A0000}"/>
    <cellStyle name="Normal 5 4 2 3 4 2 2" xfId="8217" xr:uid="{00000000-0005-0000-0000-0000E21A0000}"/>
    <cellStyle name="Normal 5 4 2 3 4 2 2 2" xfId="16659" xr:uid="{BD9FE6F9-7D75-427E-858A-8833BEB01B0E}"/>
    <cellStyle name="Normal 5 4 2 3 4 2 3" xfId="12441" xr:uid="{1D906AFD-E2C3-435D-903B-142070FA9F05}"/>
    <cellStyle name="Normal 5 4 2 3 4 3" xfId="6072" xr:uid="{00000000-0005-0000-0000-0000E31A0000}"/>
    <cellStyle name="Normal 5 4 2 3 4 3 2" xfId="14514" xr:uid="{5D94CF4E-05DA-456B-BC19-C779308DEF65}"/>
    <cellStyle name="Normal 5 4 2 3 4 4" xfId="10296" xr:uid="{D35587E3-E2FC-46FB-A0D9-C05E7612E0D2}"/>
    <cellStyle name="Normal 5 4 2 3 5" xfId="2178" xr:uid="{00000000-0005-0000-0000-0000E41A0000}"/>
    <cellStyle name="Normal 5 4 2 3 5 2" xfId="4407" xr:uid="{00000000-0005-0000-0000-0000E51A0000}"/>
    <cellStyle name="Normal 5 4 2 3 5 2 2" xfId="8630" xr:uid="{00000000-0005-0000-0000-0000E61A0000}"/>
    <cellStyle name="Normal 5 4 2 3 5 2 2 2" xfId="17072" xr:uid="{A9BB661F-D31D-4D95-818B-025CFA1CA659}"/>
    <cellStyle name="Normal 5 4 2 3 5 2 3" xfId="12854" xr:uid="{87767CAD-4EE9-412D-A3A1-B12D895B60FE}"/>
    <cellStyle name="Normal 5 4 2 3 5 3" xfId="6485" xr:uid="{00000000-0005-0000-0000-0000E71A0000}"/>
    <cellStyle name="Normal 5 4 2 3 5 3 2" xfId="14927" xr:uid="{CA9C266E-273B-458A-B003-5EEAC060F61C}"/>
    <cellStyle name="Normal 5 4 2 3 5 4" xfId="10709" xr:uid="{CE309568-9B03-414C-B9FF-91D6C9D1398E}"/>
    <cellStyle name="Normal 5 4 2 3 6" xfId="2614" xr:uid="{00000000-0005-0000-0000-0000E81A0000}"/>
    <cellStyle name="Normal 5 4 2 3 6 2" xfId="6898" xr:uid="{00000000-0005-0000-0000-0000E91A0000}"/>
    <cellStyle name="Normal 5 4 2 3 6 2 2" xfId="15340" xr:uid="{AFFD8710-C2A3-4CF0-AA8D-F3BCD74D64C7}"/>
    <cellStyle name="Normal 5 4 2 3 6 3" xfId="11122" xr:uid="{77A0A808-0E24-4D27-870F-ABB1D11BCA75}"/>
    <cellStyle name="Normal 5 4 2 3 7" xfId="4833" xr:uid="{00000000-0005-0000-0000-0000EA1A0000}"/>
    <cellStyle name="Normal 5 4 2 3 7 2" xfId="13275" xr:uid="{8CE52538-309C-4EE8-AA1A-13F817B918A9}"/>
    <cellStyle name="Normal 5 4 2 3 8" xfId="9057" xr:uid="{794FEB4B-F46B-491A-AB89-2AC01E30DBE8}"/>
    <cellStyle name="Normal 5 4 2 4" xfId="931" xr:uid="{00000000-0005-0000-0000-0000EB1A0000}"/>
    <cellStyle name="Normal 5 4 2 4 2" xfId="3165" xr:uid="{00000000-0005-0000-0000-0000EC1A0000}"/>
    <cellStyle name="Normal 5 4 2 4 2 2" xfId="7388" xr:uid="{00000000-0005-0000-0000-0000ED1A0000}"/>
    <cellStyle name="Normal 5 4 2 4 2 2 2" xfId="15830" xr:uid="{D307EC2D-E200-41BA-BF53-E4EDA9CC8991}"/>
    <cellStyle name="Normal 5 4 2 4 2 3" xfId="11612" xr:uid="{F98BDDC3-BF9E-4CEF-A28D-EC2C5125CCC9}"/>
    <cellStyle name="Normal 5 4 2 4 3" xfId="5243" xr:uid="{00000000-0005-0000-0000-0000EE1A0000}"/>
    <cellStyle name="Normal 5 4 2 4 3 2" xfId="13685" xr:uid="{C387C087-F730-4CC4-A796-AFF4D71EC5E7}"/>
    <cellStyle name="Normal 5 4 2 4 4" xfId="9467" xr:uid="{0D4EA5E6-5C3B-47B6-9954-113303430AAD}"/>
    <cellStyle name="Normal 5 4 2 5" xfId="1348" xr:uid="{00000000-0005-0000-0000-0000EF1A0000}"/>
    <cellStyle name="Normal 5 4 2 5 2" xfId="3578" xr:uid="{00000000-0005-0000-0000-0000F01A0000}"/>
    <cellStyle name="Normal 5 4 2 5 2 2" xfId="7801" xr:uid="{00000000-0005-0000-0000-0000F11A0000}"/>
    <cellStyle name="Normal 5 4 2 5 2 2 2" xfId="16243" xr:uid="{475ACD28-AAD9-4849-8731-852C51728D47}"/>
    <cellStyle name="Normal 5 4 2 5 2 3" xfId="12025" xr:uid="{BF50DEB7-78B3-45D3-ADE9-DE3187DF382E}"/>
    <cellStyle name="Normal 5 4 2 5 3" xfId="5656" xr:uid="{00000000-0005-0000-0000-0000F21A0000}"/>
    <cellStyle name="Normal 5 4 2 5 3 2" xfId="14098" xr:uid="{FF5E6B29-EE6E-45A4-A86D-165240D41CC0}"/>
    <cellStyle name="Normal 5 4 2 5 4" xfId="9880" xr:uid="{208BB27B-A86D-419B-BB71-E72E42D10572}"/>
    <cellStyle name="Normal 5 4 2 6" xfId="1761" xr:uid="{00000000-0005-0000-0000-0000F31A0000}"/>
    <cellStyle name="Normal 5 4 2 6 2" xfId="3991" xr:uid="{00000000-0005-0000-0000-0000F41A0000}"/>
    <cellStyle name="Normal 5 4 2 6 2 2" xfId="8214" xr:uid="{00000000-0005-0000-0000-0000F51A0000}"/>
    <cellStyle name="Normal 5 4 2 6 2 2 2" xfId="16656" xr:uid="{8E5028FD-82BF-4604-9CAC-45D9A9E2FC4D}"/>
    <cellStyle name="Normal 5 4 2 6 2 3" xfId="12438" xr:uid="{2862A8F5-7E1A-4445-A77D-EEAA26245593}"/>
    <cellStyle name="Normal 5 4 2 6 3" xfId="6069" xr:uid="{00000000-0005-0000-0000-0000F61A0000}"/>
    <cellStyle name="Normal 5 4 2 6 3 2" xfId="14511" xr:uid="{574FE35D-22F0-49C7-9114-CBA675294A26}"/>
    <cellStyle name="Normal 5 4 2 6 4" xfId="10293" xr:uid="{1FE38FB4-B7A1-431B-B29C-6E0636DD444D}"/>
    <cellStyle name="Normal 5 4 2 7" xfId="2175" xr:uid="{00000000-0005-0000-0000-0000F71A0000}"/>
    <cellStyle name="Normal 5 4 2 7 2" xfId="4404" xr:uid="{00000000-0005-0000-0000-0000F81A0000}"/>
    <cellStyle name="Normal 5 4 2 7 2 2" xfId="8627" xr:uid="{00000000-0005-0000-0000-0000F91A0000}"/>
    <cellStyle name="Normal 5 4 2 7 2 2 2" xfId="17069" xr:uid="{2EDDD9FB-FD3E-45FF-9465-3FC98E0B8562}"/>
    <cellStyle name="Normal 5 4 2 7 2 3" xfId="12851" xr:uid="{49BC5813-4851-4A72-9FB1-3F4ED4B55F98}"/>
    <cellStyle name="Normal 5 4 2 7 3" xfId="6482" xr:uid="{00000000-0005-0000-0000-0000FA1A0000}"/>
    <cellStyle name="Normal 5 4 2 7 3 2" xfId="14924" xr:uid="{6A98912B-7A0C-447E-8F6D-ADD656462B65}"/>
    <cellStyle name="Normal 5 4 2 7 4" xfId="10706" xr:uid="{9E6E6EB2-1620-49C4-A285-FA34EAB89A42}"/>
    <cellStyle name="Normal 5 4 2 8" xfId="2611" xr:uid="{00000000-0005-0000-0000-0000FB1A0000}"/>
    <cellStyle name="Normal 5 4 2 8 2" xfId="6895" xr:uid="{00000000-0005-0000-0000-0000FC1A0000}"/>
    <cellStyle name="Normal 5 4 2 8 2 2" xfId="15337" xr:uid="{46DC4D37-322A-46CC-A932-5A4E576EAA67}"/>
    <cellStyle name="Normal 5 4 2 8 3" xfId="11119" xr:uid="{DA76836E-ACF0-4E2D-9F86-EB2E2624F18B}"/>
    <cellStyle name="Normal 5 4 2 9" xfId="4830" xr:uid="{00000000-0005-0000-0000-0000FD1A0000}"/>
    <cellStyle name="Normal 5 4 2 9 2" xfId="13272" xr:uid="{0A12350D-B475-493B-B84A-FFF45888F8DD}"/>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2 2 2" xfId="15835" xr:uid="{75FEEC45-EF09-46DF-A7B0-8A7A69579B1D}"/>
    <cellStyle name="Normal 5 4 3 2 2 2 3" xfId="11617" xr:uid="{0989FFAF-4AF0-41CC-826F-7F43118FCE47}"/>
    <cellStyle name="Normal 5 4 3 2 2 3" xfId="5248" xr:uid="{00000000-0005-0000-0000-0000031B0000}"/>
    <cellStyle name="Normal 5 4 3 2 2 3 2" xfId="13690" xr:uid="{5D8F5359-8DEE-401F-A16D-9107AF469603}"/>
    <cellStyle name="Normal 5 4 3 2 2 4" xfId="9472" xr:uid="{AF73D7A8-BB0D-4D81-87B1-78891DF3F81C}"/>
    <cellStyle name="Normal 5 4 3 2 3" xfId="1353" xr:uid="{00000000-0005-0000-0000-0000041B0000}"/>
    <cellStyle name="Normal 5 4 3 2 3 2" xfId="3583" xr:uid="{00000000-0005-0000-0000-0000051B0000}"/>
    <cellStyle name="Normal 5 4 3 2 3 2 2" xfId="7806" xr:uid="{00000000-0005-0000-0000-0000061B0000}"/>
    <cellStyle name="Normal 5 4 3 2 3 2 2 2" xfId="16248" xr:uid="{D039B78F-02B0-422F-8148-02A1014D1596}"/>
    <cellStyle name="Normal 5 4 3 2 3 2 3" xfId="12030" xr:uid="{D97D09C4-3BF1-474F-84A2-EAFEEFCAC464}"/>
    <cellStyle name="Normal 5 4 3 2 3 3" xfId="5661" xr:uid="{00000000-0005-0000-0000-0000071B0000}"/>
    <cellStyle name="Normal 5 4 3 2 3 3 2" xfId="14103" xr:uid="{B96EE6A7-7654-4312-B1E0-30854DAFBABA}"/>
    <cellStyle name="Normal 5 4 3 2 3 4" xfId="9885" xr:uid="{D35D9058-A761-4A7A-94F1-A85284248B30}"/>
    <cellStyle name="Normal 5 4 3 2 4" xfId="1766" xr:uid="{00000000-0005-0000-0000-0000081B0000}"/>
    <cellStyle name="Normal 5 4 3 2 4 2" xfId="3996" xr:uid="{00000000-0005-0000-0000-0000091B0000}"/>
    <cellStyle name="Normal 5 4 3 2 4 2 2" xfId="8219" xr:uid="{00000000-0005-0000-0000-00000A1B0000}"/>
    <cellStyle name="Normal 5 4 3 2 4 2 2 2" xfId="16661" xr:uid="{667B6DAB-F613-48D6-A7ED-F26DBD69B57A}"/>
    <cellStyle name="Normal 5 4 3 2 4 2 3" xfId="12443" xr:uid="{7AAC061B-AF53-4331-AC73-AF89775D9BE6}"/>
    <cellStyle name="Normal 5 4 3 2 4 3" xfId="6074" xr:uid="{00000000-0005-0000-0000-00000B1B0000}"/>
    <cellStyle name="Normal 5 4 3 2 4 3 2" xfId="14516" xr:uid="{F9554C62-0083-4424-972C-A78BC48AB1B5}"/>
    <cellStyle name="Normal 5 4 3 2 4 4" xfId="10298" xr:uid="{DB44260A-7016-4528-AA55-BD74B54C3B17}"/>
    <cellStyle name="Normal 5 4 3 2 5" xfId="2180" xr:uid="{00000000-0005-0000-0000-00000C1B0000}"/>
    <cellStyle name="Normal 5 4 3 2 5 2" xfId="4409" xr:uid="{00000000-0005-0000-0000-00000D1B0000}"/>
    <cellStyle name="Normal 5 4 3 2 5 2 2" xfId="8632" xr:uid="{00000000-0005-0000-0000-00000E1B0000}"/>
    <cellStyle name="Normal 5 4 3 2 5 2 2 2" xfId="17074" xr:uid="{ED8793F1-5CC9-4C5A-B93E-BBE4B89A55D7}"/>
    <cellStyle name="Normal 5 4 3 2 5 2 3" xfId="12856" xr:uid="{C0FFC708-C631-420A-A692-4CDFDA3A8EC8}"/>
    <cellStyle name="Normal 5 4 3 2 5 3" xfId="6487" xr:uid="{00000000-0005-0000-0000-00000F1B0000}"/>
    <cellStyle name="Normal 5 4 3 2 5 3 2" xfId="14929" xr:uid="{94BB9866-4B80-4869-A757-06AB02ABC3DF}"/>
    <cellStyle name="Normal 5 4 3 2 5 4" xfId="10711" xr:uid="{C37DD5E7-C5A4-424F-BBC1-42E21B495F25}"/>
    <cellStyle name="Normal 5 4 3 2 6" xfId="2616" xr:uid="{00000000-0005-0000-0000-0000101B0000}"/>
    <cellStyle name="Normal 5 4 3 2 6 2" xfId="6900" xr:uid="{00000000-0005-0000-0000-0000111B0000}"/>
    <cellStyle name="Normal 5 4 3 2 6 2 2" xfId="15342" xr:uid="{B8D46452-1077-4EEC-81EB-684A9F21F60F}"/>
    <cellStyle name="Normal 5 4 3 2 6 3" xfId="11124" xr:uid="{17A99E04-2B22-40BF-BD91-2552F06A73FC}"/>
    <cellStyle name="Normal 5 4 3 2 7" xfId="4835" xr:uid="{00000000-0005-0000-0000-0000121B0000}"/>
    <cellStyle name="Normal 5 4 3 2 7 2" xfId="13277" xr:uid="{9F82BDCA-7F6C-4F90-8810-EFF45C0E4BFA}"/>
    <cellStyle name="Normal 5 4 3 2 8" xfId="9059" xr:uid="{AC08B17F-AB4C-4A7E-9EB3-59BB53028D19}"/>
    <cellStyle name="Normal 5 4 3 3" xfId="935" xr:uid="{00000000-0005-0000-0000-0000131B0000}"/>
    <cellStyle name="Normal 5 4 3 3 2" xfId="3169" xr:uid="{00000000-0005-0000-0000-0000141B0000}"/>
    <cellStyle name="Normal 5 4 3 3 2 2" xfId="7392" xr:uid="{00000000-0005-0000-0000-0000151B0000}"/>
    <cellStyle name="Normal 5 4 3 3 2 2 2" xfId="15834" xr:uid="{3C2FEAF6-862F-4E7C-841E-B945B11990C6}"/>
    <cellStyle name="Normal 5 4 3 3 2 3" xfId="11616" xr:uid="{A242B327-7D8C-4C66-AD80-097C312BD74F}"/>
    <cellStyle name="Normal 5 4 3 3 3" xfId="5247" xr:uid="{00000000-0005-0000-0000-0000161B0000}"/>
    <cellStyle name="Normal 5 4 3 3 3 2" xfId="13689" xr:uid="{9BFEB5D4-2F13-4768-B240-BCCF7F74A004}"/>
    <cellStyle name="Normal 5 4 3 3 4" xfId="9471" xr:uid="{23CC6FCE-3379-4EE5-83D6-BC4D2B844D41}"/>
    <cellStyle name="Normal 5 4 3 4" xfId="1352" xr:uid="{00000000-0005-0000-0000-0000171B0000}"/>
    <cellStyle name="Normal 5 4 3 4 2" xfId="3582" xr:uid="{00000000-0005-0000-0000-0000181B0000}"/>
    <cellStyle name="Normal 5 4 3 4 2 2" xfId="7805" xr:uid="{00000000-0005-0000-0000-0000191B0000}"/>
    <cellStyle name="Normal 5 4 3 4 2 2 2" xfId="16247" xr:uid="{B00E52C1-4FAD-4223-A984-113F29EE6C2A}"/>
    <cellStyle name="Normal 5 4 3 4 2 3" xfId="12029" xr:uid="{BD5C67EB-E46B-4CA9-8A43-EA88F0C2CF55}"/>
    <cellStyle name="Normal 5 4 3 4 3" xfId="5660" xr:uid="{00000000-0005-0000-0000-00001A1B0000}"/>
    <cellStyle name="Normal 5 4 3 4 3 2" xfId="14102" xr:uid="{2C0A9D06-0349-4E54-822C-63B419775A55}"/>
    <cellStyle name="Normal 5 4 3 4 4" xfId="9884" xr:uid="{74D413A2-E680-4D2C-93F0-D3D71625830B}"/>
    <cellStyle name="Normal 5 4 3 5" xfId="1765" xr:uid="{00000000-0005-0000-0000-00001B1B0000}"/>
    <cellStyle name="Normal 5 4 3 5 2" xfId="3995" xr:uid="{00000000-0005-0000-0000-00001C1B0000}"/>
    <cellStyle name="Normal 5 4 3 5 2 2" xfId="8218" xr:uid="{00000000-0005-0000-0000-00001D1B0000}"/>
    <cellStyle name="Normal 5 4 3 5 2 2 2" xfId="16660" xr:uid="{AB77F5A4-7F9B-42DC-9D40-51B650991929}"/>
    <cellStyle name="Normal 5 4 3 5 2 3" xfId="12442" xr:uid="{193E251C-93AB-47A3-996C-E8A5928ACF6D}"/>
    <cellStyle name="Normal 5 4 3 5 3" xfId="6073" xr:uid="{00000000-0005-0000-0000-00001E1B0000}"/>
    <cellStyle name="Normal 5 4 3 5 3 2" xfId="14515" xr:uid="{F3C2C700-813C-451F-963F-597893721FEE}"/>
    <cellStyle name="Normal 5 4 3 5 4" xfId="10297" xr:uid="{98F77687-685C-4703-A34D-84D0650FACED}"/>
    <cellStyle name="Normal 5 4 3 6" xfId="2179" xr:uid="{00000000-0005-0000-0000-00001F1B0000}"/>
    <cellStyle name="Normal 5 4 3 6 2" xfId="4408" xr:uid="{00000000-0005-0000-0000-0000201B0000}"/>
    <cellStyle name="Normal 5 4 3 6 2 2" xfId="8631" xr:uid="{00000000-0005-0000-0000-0000211B0000}"/>
    <cellStyle name="Normal 5 4 3 6 2 2 2" xfId="17073" xr:uid="{D0118E46-07CE-45EC-A836-B102A7308EFE}"/>
    <cellStyle name="Normal 5 4 3 6 2 3" xfId="12855" xr:uid="{6CBFA113-B0AB-458C-B8CE-6ADFC2AFEDDA}"/>
    <cellStyle name="Normal 5 4 3 6 3" xfId="6486" xr:uid="{00000000-0005-0000-0000-0000221B0000}"/>
    <cellStyle name="Normal 5 4 3 6 3 2" xfId="14928" xr:uid="{751212EA-227E-4967-A031-D02DD96B35C0}"/>
    <cellStyle name="Normal 5 4 3 6 4" xfId="10710" xr:uid="{6D57BE0B-7BA8-4248-85AD-3F0ACD21FDB6}"/>
    <cellStyle name="Normal 5 4 3 7" xfId="2615" xr:uid="{00000000-0005-0000-0000-0000231B0000}"/>
    <cellStyle name="Normal 5 4 3 7 2" xfId="6899" xr:uid="{00000000-0005-0000-0000-0000241B0000}"/>
    <cellStyle name="Normal 5 4 3 7 2 2" xfId="15341" xr:uid="{1F6347D0-887C-405D-9932-85F1DE3835DA}"/>
    <cellStyle name="Normal 5 4 3 7 3" xfId="11123" xr:uid="{816A86EA-134F-462E-BFB3-E43A4F8E4951}"/>
    <cellStyle name="Normal 5 4 3 8" xfId="4834" xr:uid="{00000000-0005-0000-0000-0000251B0000}"/>
    <cellStyle name="Normal 5 4 3 8 2" xfId="13276" xr:uid="{6990E1A6-5412-4169-AF3B-719B9172F674}"/>
    <cellStyle name="Normal 5 4 3 9" xfId="9058" xr:uid="{5EEE18BA-E921-438D-B17A-F3E00EAB72B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2 2 2" xfId="15836" xr:uid="{BABA4D55-A753-4FC3-80ED-72F25D4EE028}"/>
    <cellStyle name="Normal 5 4 4 2 2 3" xfId="11618" xr:uid="{59F0A497-E77D-41B1-8424-2A836F41A238}"/>
    <cellStyle name="Normal 5 4 4 2 3" xfId="5249" xr:uid="{00000000-0005-0000-0000-00002A1B0000}"/>
    <cellStyle name="Normal 5 4 4 2 3 2" xfId="13691" xr:uid="{59056497-840B-4A33-BC25-3826D0653EE7}"/>
    <cellStyle name="Normal 5 4 4 2 4" xfId="9473" xr:uid="{3B11B3C6-513D-4B9E-B44E-DF274C52859D}"/>
    <cellStyle name="Normal 5 4 4 3" xfId="1354" xr:uid="{00000000-0005-0000-0000-00002B1B0000}"/>
    <cellStyle name="Normal 5 4 4 3 2" xfId="3584" xr:uid="{00000000-0005-0000-0000-00002C1B0000}"/>
    <cellStyle name="Normal 5 4 4 3 2 2" xfId="7807" xr:uid="{00000000-0005-0000-0000-00002D1B0000}"/>
    <cellStyle name="Normal 5 4 4 3 2 2 2" xfId="16249" xr:uid="{2BE7BC59-98AA-4BF8-B98D-4B4E034A3C95}"/>
    <cellStyle name="Normal 5 4 4 3 2 3" xfId="12031" xr:uid="{0F8849A4-C75E-44AC-BFD4-617F7A69E460}"/>
    <cellStyle name="Normal 5 4 4 3 3" xfId="5662" xr:uid="{00000000-0005-0000-0000-00002E1B0000}"/>
    <cellStyle name="Normal 5 4 4 3 3 2" xfId="14104" xr:uid="{866DA816-1763-4D08-91C4-3090586AB5E7}"/>
    <cellStyle name="Normal 5 4 4 3 4" xfId="9886" xr:uid="{18408D0C-343B-478E-AEF9-52A05FE15DA1}"/>
    <cellStyle name="Normal 5 4 4 4" xfId="1767" xr:uid="{00000000-0005-0000-0000-00002F1B0000}"/>
    <cellStyle name="Normal 5 4 4 4 2" xfId="3997" xr:uid="{00000000-0005-0000-0000-0000301B0000}"/>
    <cellStyle name="Normal 5 4 4 4 2 2" xfId="8220" xr:uid="{00000000-0005-0000-0000-0000311B0000}"/>
    <cellStyle name="Normal 5 4 4 4 2 2 2" xfId="16662" xr:uid="{4BD0AF02-8CE6-46AD-A619-80BDB5D2B56D}"/>
    <cellStyle name="Normal 5 4 4 4 2 3" xfId="12444" xr:uid="{692F4775-8445-43FA-A48A-6B2BD4E09133}"/>
    <cellStyle name="Normal 5 4 4 4 3" xfId="6075" xr:uid="{00000000-0005-0000-0000-0000321B0000}"/>
    <cellStyle name="Normal 5 4 4 4 3 2" xfId="14517" xr:uid="{E01965CB-8D0C-44B9-9E55-B3C2C620EF8C}"/>
    <cellStyle name="Normal 5 4 4 4 4" xfId="10299" xr:uid="{C5E119D0-C687-4133-B0D2-E3DCFE40CC82}"/>
    <cellStyle name="Normal 5 4 4 5" xfId="2181" xr:uid="{00000000-0005-0000-0000-0000331B0000}"/>
    <cellStyle name="Normal 5 4 4 5 2" xfId="4410" xr:uid="{00000000-0005-0000-0000-0000341B0000}"/>
    <cellStyle name="Normal 5 4 4 5 2 2" xfId="8633" xr:uid="{00000000-0005-0000-0000-0000351B0000}"/>
    <cellStyle name="Normal 5 4 4 5 2 2 2" xfId="17075" xr:uid="{986C28CF-9367-4BDD-8A5D-42B5DC58F9C8}"/>
    <cellStyle name="Normal 5 4 4 5 2 3" xfId="12857" xr:uid="{19E2CFF6-D173-4CFC-8F89-D2677B7FA708}"/>
    <cellStyle name="Normal 5 4 4 5 3" xfId="6488" xr:uid="{00000000-0005-0000-0000-0000361B0000}"/>
    <cellStyle name="Normal 5 4 4 5 3 2" xfId="14930" xr:uid="{3E0B7006-4FE1-452B-BD23-FC705C688B3F}"/>
    <cellStyle name="Normal 5 4 4 5 4" xfId="10712" xr:uid="{09C76503-D675-404B-8A5C-4159FA0EB9E8}"/>
    <cellStyle name="Normal 5 4 4 6" xfId="2617" xr:uid="{00000000-0005-0000-0000-0000371B0000}"/>
    <cellStyle name="Normal 5 4 4 6 2" xfId="6901" xr:uid="{00000000-0005-0000-0000-0000381B0000}"/>
    <cellStyle name="Normal 5 4 4 6 2 2" xfId="15343" xr:uid="{241C9B06-24A3-4CD3-8857-A6864EEDC298}"/>
    <cellStyle name="Normal 5 4 4 6 3" xfId="11125" xr:uid="{4F34950A-5C5E-45F6-B37B-ADA45EF85136}"/>
    <cellStyle name="Normal 5 4 4 7" xfId="4836" xr:uid="{00000000-0005-0000-0000-0000391B0000}"/>
    <cellStyle name="Normal 5 4 4 7 2" xfId="13278" xr:uid="{93015AA2-128E-4D16-B0F9-B638EDC16243}"/>
    <cellStyle name="Normal 5 4 4 8" xfId="9060" xr:uid="{ADB1E3D1-C145-42F7-B8B8-67165B0DF3E2}"/>
    <cellStyle name="Normal 5 4 5" xfId="930" xr:uid="{00000000-0005-0000-0000-00003A1B0000}"/>
    <cellStyle name="Normal 5 4 5 2" xfId="3164" xr:uid="{00000000-0005-0000-0000-00003B1B0000}"/>
    <cellStyle name="Normal 5 4 5 2 2" xfId="7387" xr:uid="{00000000-0005-0000-0000-00003C1B0000}"/>
    <cellStyle name="Normal 5 4 5 2 2 2" xfId="15829" xr:uid="{9E6BD666-A5D4-4BB2-A48E-7FA97FB88169}"/>
    <cellStyle name="Normal 5 4 5 2 3" xfId="11611" xr:uid="{2272FD0D-0FB3-4AF2-B0EA-50D7FC482657}"/>
    <cellStyle name="Normal 5 4 5 3" xfId="5242" xr:uid="{00000000-0005-0000-0000-00003D1B0000}"/>
    <cellStyle name="Normal 5 4 5 3 2" xfId="13684" xr:uid="{C3FDD575-39AC-4B3E-AD8E-2B7D86603909}"/>
    <cellStyle name="Normal 5 4 5 4" xfId="9466" xr:uid="{B01E17F2-8CD3-4B77-8693-2EC35DF2D801}"/>
    <cellStyle name="Normal 5 4 6" xfId="1347" xr:uid="{00000000-0005-0000-0000-00003E1B0000}"/>
    <cellStyle name="Normal 5 4 6 2" xfId="3577" xr:uid="{00000000-0005-0000-0000-00003F1B0000}"/>
    <cellStyle name="Normal 5 4 6 2 2" xfId="7800" xr:uid="{00000000-0005-0000-0000-0000401B0000}"/>
    <cellStyle name="Normal 5 4 6 2 2 2" xfId="16242" xr:uid="{2A748B19-DB16-4949-BB8E-E4CAB2F2F837}"/>
    <cellStyle name="Normal 5 4 6 2 3" xfId="12024" xr:uid="{FFFD9FCE-E042-4D8F-9E3F-8FEA732CB2AD}"/>
    <cellStyle name="Normal 5 4 6 3" xfId="5655" xr:uid="{00000000-0005-0000-0000-0000411B0000}"/>
    <cellStyle name="Normal 5 4 6 3 2" xfId="14097" xr:uid="{06CCF399-894C-4B05-A0FC-3ED488A37E39}"/>
    <cellStyle name="Normal 5 4 6 4" xfId="9879" xr:uid="{6DF2FDC1-69F8-452B-AD93-D357DD0FC943}"/>
    <cellStyle name="Normal 5 4 7" xfId="1760" xr:uid="{00000000-0005-0000-0000-0000421B0000}"/>
    <cellStyle name="Normal 5 4 7 2" xfId="3990" xr:uid="{00000000-0005-0000-0000-0000431B0000}"/>
    <cellStyle name="Normal 5 4 7 2 2" xfId="8213" xr:uid="{00000000-0005-0000-0000-0000441B0000}"/>
    <cellStyle name="Normal 5 4 7 2 2 2" xfId="16655" xr:uid="{455293B3-DC1F-483F-92D4-842AB83B8333}"/>
    <cellStyle name="Normal 5 4 7 2 3" xfId="12437" xr:uid="{13E61B77-C865-477C-862B-8BD63F14EBAE}"/>
    <cellStyle name="Normal 5 4 7 3" xfId="6068" xr:uid="{00000000-0005-0000-0000-0000451B0000}"/>
    <cellStyle name="Normal 5 4 7 3 2" xfId="14510" xr:uid="{A793D994-BB37-4A34-ADCF-14ACF073850A}"/>
    <cellStyle name="Normal 5 4 7 4" xfId="10292" xr:uid="{5A5574A8-70CA-4B21-9186-CB6A7B7D975A}"/>
    <cellStyle name="Normal 5 4 8" xfId="2174" xr:uid="{00000000-0005-0000-0000-0000461B0000}"/>
    <cellStyle name="Normal 5 4 8 2" xfId="4403" xr:uid="{00000000-0005-0000-0000-0000471B0000}"/>
    <cellStyle name="Normal 5 4 8 2 2" xfId="8626" xr:uid="{00000000-0005-0000-0000-0000481B0000}"/>
    <cellStyle name="Normal 5 4 8 2 2 2" xfId="17068" xr:uid="{F4D17A14-0A76-4F37-869E-A2E2C73B7092}"/>
    <cellStyle name="Normal 5 4 8 2 3" xfId="12850" xr:uid="{9625B259-8738-4E0E-A7AF-67637E21E9A7}"/>
    <cellStyle name="Normal 5 4 8 3" xfId="6481" xr:uid="{00000000-0005-0000-0000-0000491B0000}"/>
    <cellStyle name="Normal 5 4 8 3 2" xfId="14923" xr:uid="{8EDB9D53-5C90-42BF-8561-C27011B93190}"/>
    <cellStyle name="Normal 5 4 8 4" xfId="10705" xr:uid="{EB89EC63-6757-4E9C-9768-1C454EFE5405}"/>
    <cellStyle name="Normal 5 4 9" xfId="2610" xr:uid="{00000000-0005-0000-0000-00004A1B0000}"/>
    <cellStyle name="Normal 5 4 9 2" xfId="6894" xr:uid="{00000000-0005-0000-0000-00004B1B0000}"/>
    <cellStyle name="Normal 5 4 9 2 2" xfId="15336" xr:uid="{674AF3F1-D527-4F92-B09B-BD6757EA3CBE}"/>
    <cellStyle name="Normal 5 4 9 3" xfId="11118" xr:uid="{6BC586EE-BEA9-4949-B39C-6CBAAA43247E}"/>
    <cellStyle name="Normal 5 5" xfId="464" xr:uid="{00000000-0005-0000-0000-00004C1B0000}"/>
    <cellStyle name="Normal 5 5 10" xfId="9061" xr:uid="{4E77BE38-BCB7-4440-8E39-985B6B38EC85}"/>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2 2 2" xfId="15839" xr:uid="{116AC7BB-DE08-4EB7-B6DD-F0A6D6A9A10A}"/>
    <cellStyle name="Normal 5 5 2 2 2 2 3" xfId="11621" xr:uid="{34CEEA53-72EC-45FA-8F38-D24040DAA4FB}"/>
    <cellStyle name="Normal 5 5 2 2 2 3" xfId="5252" xr:uid="{00000000-0005-0000-0000-0000521B0000}"/>
    <cellStyle name="Normal 5 5 2 2 2 3 2" xfId="13694" xr:uid="{33FF5C73-566D-4AC9-B086-4CFB009EA53C}"/>
    <cellStyle name="Normal 5 5 2 2 2 4" xfId="9476" xr:uid="{E1C83C26-83A4-4B2A-8118-C5D0DD2D18FD}"/>
    <cellStyle name="Normal 5 5 2 2 3" xfId="1357" xr:uid="{00000000-0005-0000-0000-0000531B0000}"/>
    <cellStyle name="Normal 5 5 2 2 3 2" xfId="3587" xr:uid="{00000000-0005-0000-0000-0000541B0000}"/>
    <cellStyle name="Normal 5 5 2 2 3 2 2" xfId="7810" xr:uid="{00000000-0005-0000-0000-0000551B0000}"/>
    <cellStyle name="Normal 5 5 2 2 3 2 2 2" xfId="16252" xr:uid="{710B383F-E762-44ED-BC65-8F637D1E3986}"/>
    <cellStyle name="Normal 5 5 2 2 3 2 3" xfId="12034" xr:uid="{DEB15D65-5ED4-4404-A632-21ED51A2C007}"/>
    <cellStyle name="Normal 5 5 2 2 3 3" xfId="5665" xr:uid="{00000000-0005-0000-0000-0000561B0000}"/>
    <cellStyle name="Normal 5 5 2 2 3 3 2" xfId="14107" xr:uid="{9B4E344B-6682-4424-8E08-8451E4BBF178}"/>
    <cellStyle name="Normal 5 5 2 2 3 4" xfId="9889" xr:uid="{81F36085-FD26-4B77-A96B-9F6B32823357}"/>
    <cellStyle name="Normal 5 5 2 2 4" xfId="1770" xr:uid="{00000000-0005-0000-0000-0000571B0000}"/>
    <cellStyle name="Normal 5 5 2 2 4 2" xfId="4000" xr:uid="{00000000-0005-0000-0000-0000581B0000}"/>
    <cellStyle name="Normal 5 5 2 2 4 2 2" xfId="8223" xr:uid="{00000000-0005-0000-0000-0000591B0000}"/>
    <cellStyle name="Normal 5 5 2 2 4 2 2 2" xfId="16665" xr:uid="{66DA3103-FBE6-4674-9DE6-26842759BDEE}"/>
    <cellStyle name="Normal 5 5 2 2 4 2 3" xfId="12447" xr:uid="{979CD91B-C958-4146-BD75-DFA33FBBCC35}"/>
    <cellStyle name="Normal 5 5 2 2 4 3" xfId="6078" xr:uid="{00000000-0005-0000-0000-00005A1B0000}"/>
    <cellStyle name="Normal 5 5 2 2 4 3 2" xfId="14520" xr:uid="{6BACD0BF-772A-43D4-8430-510D04C583C2}"/>
    <cellStyle name="Normal 5 5 2 2 4 4" xfId="10302" xr:uid="{7E1842AA-40F2-48CB-B89A-0E1C06344722}"/>
    <cellStyle name="Normal 5 5 2 2 5" xfId="2184" xr:uid="{00000000-0005-0000-0000-00005B1B0000}"/>
    <cellStyle name="Normal 5 5 2 2 5 2" xfId="4413" xr:uid="{00000000-0005-0000-0000-00005C1B0000}"/>
    <cellStyle name="Normal 5 5 2 2 5 2 2" xfId="8636" xr:uid="{00000000-0005-0000-0000-00005D1B0000}"/>
    <cellStyle name="Normal 5 5 2 2 5 2 2 2" xfId="17078" xr:uid="{99EDB7D8-57DB-49D8-BDFA-8BD873DF2756}"/>
    <cellStyle name="Normal 5 5 2 2 5 2 3" xfId="12860" xr:uid="{2D3CB0D5-71A1-4DF6-844F-ED7BEF95075D}"/>
    <cellStyle name="Normal 5 5 2 2 5 3" xfId="6491" xr:uid="{00000000-0005-0000-0000-00005E1B0000}"/>
    <cellStyle name="Normal 5 5 2 2 5 3 2" xfId="14933" xr:uid="{0380FCD4-C414-4ACB-B14E-13A41925939C}"/>
    <cellStyle name="Normal 5 5 2 2 5 4" xfId="10715" xr:uid="{C4CE0776-00F1-4AB9-BD48-FBEE34FF072A}"/>
    <cellStyle name="Normal 5 5 2 2 6" xfId="2620" xr:uid="{00000000-0005-0000-0000-00005F1B0000}"/>
    <cellStyle name="Normal 5 5 2 2 6 2" xfId="6904" xr:uid="{00000000-0005-0000-0000-0000601B0000}"/>
    <cellStyle name="Normal 5 5 2 2 6 2 2" xfId="15346" xr:uid="{881044FB-A1CC-4D22-AB72-FB5FE8998C81}"/>
    <cellStyle name="Normal 5 5 2 2 6 3" xfId="11128" xr:uid="{9FD3D09B-EE9B-413F-B883-76746B11FB97}"/>
    <cellStyle name="Normal 5 5 2 2 7" xfId="4839" xr:uid="{00000000-0005-0000-0000-0000611B0000}"/>
    <cellStyle name="Normal 5 5 2 2 7 2" xfId="13281" xr:uid="{1B1C5978-638A-4CFD-9D32-5E5CD88EE582}"/>
    <cellStyle name="Normal 5 5 2 2 8" xfId="9063" xr:uid="{6EC35C5D-ED02-4278-B2D5-4A206A73C11E}"/>
    <cellStyle name="Normal 5 5 2 3" xfId="939" xr:uid="{00000000-0005-0000-0000-0000621B0000}"/>
    <cellStyle name="Normal 5 5 2 3 2" xfId="3173" xr:uid="{00000000-0005-0000-0000-0000631B0000}"/>
    <cellStyle name="Normal 5 5 2 3 2 2" xfId="7396" xr:uid="{00000000-0005-0000-0000-0000641B0000}"/>
    <cellStyle name="Normal 5 5 2 3 2 2 2" xfId="15838" xr:uid="{06D3B073-D940-4839-A1A8-08A72AF2FE28}"/>
    <cellStyle name="Normal 5 5 2 3 2 3" xfId="11620" xr:uid="{1B9F3A73-8639-40C4-BEA8-F03762A5C792}"/>
    <cellStyle name="Normal 5 5 2 3 3" xfId="5251" xr:uid="{00000000-0005-0000-0000-0000651B0000}"/>
    <cellStyle name="Normal 5 5 2 3 3 2" xfId="13693" xr:uid="{79A52D29-5EC3-4B7B-AFCC-B1BC0D220E21}"/>
    <cellStyle name="Normal 5 5 2 3 4" xfId="9475" xr:uid="{A4D99245-1BF1-4368-B756-B26C40DFE8E3}"/>
    <cellStyle name="Normal 5 5 2 4" xfId="1356" xr:uid="{00000000-0005-0000-0000-0000661B0000}"/>
    <cellStyle name="Normal 5 5 2 4 2" xfId="3586" xr:uid="{00000000-0005-0000-0000-0000671B0000}"/>
    <cellStyle name="Normal 5 5 2 4 2 2" xfId="7809" xr:uid="{00000000-0005-0000-0000-0000681B0000}"/>
    <cellStyle name="Normal 5 5 2 4 2 2 2" xfId="16251" xr:uid="{4F4D1FA4-99C4-41C5-A6ED-4FC90FE0B1EC}"/>
    <cellStyle name="Normal 5 5 2 4 2 3" xfId="12033" xr:uid="{8E7B4423-F415-461A-AC4B-E8D705C7ACC0}"/>
    <cellStyle name="Normal 5 5 2 4 3" xfId="5664" xr:uid="{00000000-0005-0000-0000-0000691B0000}"/>
    <cellStyle name="Normal 5 5 2 4 3 2" xfId="14106" xr:uid="{699FBBA9-DA54-4B81-820A-8DF71B7BF3F3}"/>
    <cellStyle name="Normal 5 5 2 4 4" xfId="9888" xr:uid="{8DDFA462-AC17-4C8A-A450-B2C4FB8F4DBE}"/>
    <cellStyle name="Normal 5 5 2 5" xfId="1769" xr:uid="{00000000-0005-0000-0000-00006A1B0000}"/>
    <cellStyle name="Normal 5 5 2 5 2" xfId="3999" xr:uid="{00000000-0005-0000-0000-00006B1B0000}"/>
    <cellStyle name="Normal 5 5 2 5 2 2" xfId="8222" xr:uid="{00000000-0005-0000-0000-00006C1B0000}"/>
    <cellStyle name="Normal 5 5 2 5 2 2 2" xfId="16664" xr:uid="{791FF17B-9994-4E53-B7A8-BCC7D9C9ACC0}"/>
    <cellStyle name="Normal 5 5 2 5 2 3" xfId="12446" xr:uid="{1021DC77-26CD-49DC-B077-B6D1920F6804}"/>
    <cellStyle name="Normal 5 5 2 5 3" xfId="6077" xr:uid="{00000000-0005-0000-0000-00006D1B0000}"/>
    <cellStyle name="Normal 5 5 2 5 3 2" xfId="14519" xr:uid="{2C3C972E-8EA6-4F4B-AB3B-B5DD02539744}"/>
    <cellStyle name="Normal 5 5 2 5 4" xfId="10301" xr:uid="{85E642DE-2B77-4959-8DE0-4253D7BDAAE2}"/>
    <cellStyle name="Normal 5 5 2 6" xfId="2183" xr:uid="{00000000-0005-0000-0000-00006E1B0000}"/>
    <cellStyle name="Normal 5 5 2 6 2" xfId="4412" xr:uid="{00000000-0005-0000-0000-00006F1B0000}"/>
    <cellStyle name="Normal 5 5 2 6 2 2" xfId="8635" xr:uid="{00000000-0005-0000-0000-0000701B0000}"/>
    <cellStyle name="Normal 5 5 2 6 2 2 2" xfId="17077" xr:uid="{C40DC0C1-DF31-4958-8278-02F6AA860AE6}"/>
    <cellStyle name="Normal 5 5 2 6 2 3" xfId="12859" xr:uid="{907920A9-5B1D-4BF1-A69B-9462E2947C50}"/>
    <cellStyle name="Normal 5 5 2 6 3" xfId="6490" xr:uid="{00000000-0005-0000-0000-0000711B0000}"/>
    <cellStyle name="Normal 5 5 2 6 3 2" xfId="14932" xr:uid="{47BFE425-FC1F-4C2B-A49D-A35B56463920}"/>
    <cellStyle name="Normal 5 5 2 6 4" xfId="10714" xr:uid="{38BCFE1D-7316-4524-B8C2-58FA5D282ED8}"/>
    <cellStyle name="Normal 5 5 2 7" xfId="2619" xr:uid="{00000000-0005-0000-0000-0000721B0000}"/>
    <cellStyle name="Normal 5 5 2 7 2" xfId="6903" xr:uid="{00000000-0005-0000-0000-0000731B0000}"/>
    <cellStyle name="Normal 5 5 2 7 2 2" xfId="15345" xr:uid="{160E6065-403C-4B89-9986-03DC96FE485D}"/>
    <cellStyle name="Normal 5 5 2 7 3" xfId="11127" xr:uid="{AA829DFE-21A5-48FA-BE40-F634E45EC2BE}"/>
    <cellStyle name="Normal 5 5 2 8" xfId="4838" xr:uid="{00000000-0005-0000-0000-0000741B0000}"/>
    <cellStyle name="Normal 5 5 2 8 2" xfId="13280" xr:uid="{140E6BBD-C376-44E1-9FC7-32808E676D00}"/>
    <cellStyle name="Normal 5 5 2 9" xfId="9062" xr:uid="{E365A0E8-3A12-4CF5-9DE4-13D8A6E274DF}"/>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2 2 2" xfId="15840" xr:uid="{FCC5D622-F864-449B-BECD-A2E5F051D01D}"/>
    <cellStyle name="Normal 5 5 3 2 2 3" xfId="11622" xr:uid="{08F57624-4025-4BCA-9AC6-1E27E4FD3A62}"/>
    <cellStyle name="Normal 5 5 3 2 3" xfId="5253" xr:uid="{00000000-0005-0000-0000-0000791B0000}"/>
    <cellStyle name="Normal 5 5 3 2 3 2" xfId="13695" xr:uid="{30C47FF1-44D8-452F-B061-1DE6D441469F}"/>
    <cellStyle name="Normal 5 5 3 2 4" xfId="9477" xr:uid="{E49150D1-F1A1-42A5-B14A-631487A50E87}"/>
    <cellStyle name="Normal 5 5 3 3" xfId="1358" xr:uid="{00000000-0005-0000-0000-00007A1B0000}"/>
    <cellStyle name="Normal 5 5 3 3 2" xfId="3588" xr:uid="{00000000-0005-0000-0000-00007B1B0000}"/>
    <cellStyle name="Normal 5 5 3 3 2 2" xfId="7811" xr:uid="{00000000-0005-0000-0000-00007C1B0000}"/>
    <cellStyle name="Normal 5 5 3 3 2 2 2" xfId="16253" xr:uid="{9E051A95-98FD-457A-A12B-C1B6DC139BEC}"/>
    <cellStyle name="Normal 5 5 3 3 2 3" xfId="12035" xr:uid="{86F0705F-24FF-4E55-8293-B82E44E7268B}"/>
    <cellStyle name="Normal 5 5 3 3 3" xfId="5666" xr:uid="{00000000-0005-0000-0000-00007D1B0000}"/>
    <cellStyle name="Normal 5 5 3 3 3 2" xfId="14108" xr:uid="{AB193A98-AD0F-46C2-B838-F5A0C141AC65}"/>
    <cellStyle name="Normal 5 5 3 3 4" xfId="9890" xr:uid="{EBD7D06F-7D80-44DD-9704-F06A0A416CC5}"/>
    <cellStyle name="Normal 5 5 3 4" xfId="1771" xr:uid="{00000000-0005-0000-0000-00007E1B0000}"/>
    <cellStyle name="Normal 5 5 3 4 2" xfId="4001" xr:uid="{00000000-0005-0000-0000-00007F1B0000}"/>
    <cellStyle name="Normal 5 5 3 4 2 2" xfId="8224" xr:uid="{00000000-0005-0000-0000-0000801B0000}"/>
    <cellStyle name="Normal 5 5 3 4 2 2 2" xfId="16666" xr:uid="{CB8EF697-A773-4CFF-95CB-B040F2EFED91}"/>
    <cellStyle name="Normal 5 5 3 4 2 3" xfId="12448" xr:uid="{394579BA-1C6A-4532-BD6F-2DBEF70DD502}"/>
    <cellStyle name="Normal 5 5 3 4 3" xfId="6079" xr:uid="{00000000-0005-0000-0000-0000811B0000}"/>
    <cellStyle name="Normal 5 5 3 4 3 2" xfId="14521" xr:uid="{8BC394FE-28B1-49CC-95E1-64105EB678C3}"/>
    <cellStyle name="Normal 5 5 3 4 4" xfId="10303" xr:uid="{35AF9260-B3D0-4586-8475-C15B44FAB8C5}"/>
    <cellStyle name="Normal 5 5 3 5" xfId="2185" xr:uid="{00000000-0005-0000-0000-0000821B0000}"/>
    <cellStyle name="Normal 5 5 3 5 2" xfId="4414" xr:uid="{00000000-0005-0000-0000-0000831B0000}"/>
    <cellStyle name="Normal 5 5 3 5 2 2" xfId="8637" xr:uid="{00000000-0005-0000-0000-0000841B0000}"/>
    <cellStyle name="Normal 5 5 3 5 2 2 2" xfId="17079" xr:uid="{06B643E8-6426-476B-BA27-DE157EF2F5AA}"/>
    <cellStyle name="Normal 5 5 3 5 2 3" xfId="12861" xr:uid="{3FFA6588-7ECE-4568-8589-F90A8328E4DC}"/>
    <cellStyle name="Normal 5 5 3 5 3" xfId="6492" xr:uid="{00000000-0005-0000-0000-0000851B0000}"/>
    <cellStyle name="Normal 5 5 3 5 3 2" xfId="14934" xr:uid="{F6F38F95-073D-4F1A-B461-DDAB796A6912}"/>
    <cellStyle name="Normal 5 5 3 5 4" xfId="10716" xr:uid="{43A59C7D-BE02-400C-A36E-AD5D083698C5}"/>
    <cellStyle name="Normal 5 5 3 6" xfId="2621" xr:uid="{00000000-0005-0000-0000-0000861B0000}"/>
    <cellStyle name="Normal 5 5 3 6 2" xfId="6905" xr:uid="{00000000-0005-0000-0000-0000871B0000}"/>
    <cellStyle name="Normal 5 5 3 6 2 2" xfId="15347" xr:uid="{5535073E-B176-41C9-BBDD-2CD14996871D}"/>
    <cellStyle name="Normal 5 5 3 6 3" xfId="11129" xr:uid="{6636A8CD-8D63-4561-9A7B-90CC3D4AC4F7}"/>
    <cellStyle name="Normal 5 5 3 7" xfId="4840" xr:uid="{00000000-0005-0000-0000-0000881B0000}"/>
    <cellStyle name="Normal 5 5 3 7 2" xfId="13282" xr:uid="{6D2A0E5C-9616-48AF-86AA-1290ACFCCF2A}"/>
    <cellStyle name="Normal 5 5 3 8" xfId="9064" xr:uid="{B41EA256-8664-47A5-9377-4765AD34372A}"/>
    <cellStyle name="Normal 5 5 4" xfId="938" xr:uid="{00000000-0005-0000-0000-0000891B0000}"/>
    <cellStyle name="Normal 5 5 4 2" xfId="3172" xr:uid="{00000000-0005-0000-0000-00008A1B0000}"/>
    <cellStyle name="Normal 5 5 4 2 2" xfId="7395" xr:uid="{00000000-0005-0000-0000-00008B1B0000}"/>
    <cellStyle name="Normal 5 5 4 2 2 2" xfId="15837" xr:uid="{F43C7B1F-E394-4657-B70B-1A33A2D6C0F4}"/>
    <cellStyle name="Normal 5 5 4 2 3" xfId="11619" xr:uid="{D86C5B17-CD42-4376-8ECE-F6B2ACAC3926}"/>
    <cellStyle name="Normal 5 5 4 3" xfId="5250" xr:uid="{00000000-0005-0000-0000-00008C1B0000}"/>
    <cellStyle name="Normal 5 5 4 3 2" xfId="13692" xr:uid="{9C65D3F2-BAC7-4E02-BE99-EA29009A8ED5}"/>
    <cellStyle name="Normal 5 5 4 4" xfId="9474" xr:uid="{9CBC43B7-D368-4F97-8033-D92B74487A3F}"/>
    <cellStyle name="Normal 5 5 5" xfId="1355" xr:uid="{00000000-0005-0000-0000-00008D1B0000}"/>
    <cellStyle name="Normal 5 5 5 2" xfId="3585" xr:uid="{00000000-0005-0000-0000-00008E1B0000}"/>
    <cellStyle name="Normal 5 5 5 2 2" xfId="7808" xr:uid="{00000000-0005-0000-0000-00008F1B0000}"/>
    <cellStyle name="Normal 5 5 5 2 2 2" xfId="16250" xr:uid="{55FA68EB-FC0A-4D16-94AC-1BC95E5708EE}"/>
    <cellStyle name="Normal 5 5 5 2 3" xfId="12032" xr:uid="{FCF04367-55DE-48F0-9AF3-9FC750902A47}"/>
    <cellStyle name="Normal 5 5 5 3" xfId="5663" xr:uid="{00000000-0005-0000-0000-0000901B0000}"/>
    <cellStyle name="Normal 5 5 5 3 2" xfId="14105" xr:uid="{E19DC443-D49C-4847-8C62-5E8042560B40}"/>
    <cellStyle name="Normal 5 5 5 4" xfId="9887" xr:uid="{CBD5F630-1E7B-4E84-8150-DB54797ABEC3}"/>
    <cellStyle name="Normal 5 5 6" xfId="1768" xr:uid="{00000000-0005-0000-0000-0000911B0000}"/>
    <cellStyle name="Normal 5 5 6 2" xfId="3998" xr:uid="{00000000-0005-0000-0000-0000921B0000}"/>
    <cellStyle name="Normal 5 5 6 2 2" xfId="8221" xr:uid="{00000000-0005-0000-0000-0000931B0000}"/>
    <cellStyle name="Normal 5 5 6 2 2 2" xfId="16663" xr:uid="{3C70788E-C5C7-4CEB-8E59-869BDC654958}"/>
    <cellStyle name="Normal 5 5 6 2 3" xfId="12445" xr:uid="{0C17D6E2-2904-46BB-AA57-834DB95AE389}"/>
    <cellStyle name="Normal 5 5 6 3" xfId="6076" xr:uid="{00000000-0005-0000-0000-0000941B0000}"/>
    <cellStyle name="Normal 5 5 6 3 2" xfId="14518" xr:uid="{E6E30B19-FF84-4D01-A232-8C52F823F474}"/>
    <cellStyle name="Normal 5 5 6 4" xfId="10300" xr:uid="{FB15B541-ED3A-405F-A303-54DD00320977}"/>
    <cellStyle name="Normal 5 5 7" xfId="2182" xr:uid="{00000000-0005-0000-0000-0000951B0000}"/>
    <cellStyle name="Normal 5 5 7 2" xfId="4411" xr:uid="{00000000-0005-0000-0000-0000961B0000}"/>
    <cellStyle name="Normal 5 5 7 2 2" xfId="8634" xr:uid="{00000000-0005-0000-0000-0000971B0000}"/>
    <cellStyle name="Normal 5 5 7 2 2 2" xfId="17076" xr:uid="{7A69535E-1835-4A73-A96E-947170233EBE}"/>
    <cellStyle name="Normal 5 5 7 2 3" xfId="12858" xr:uid="{49D15495-35F0-47EA-8969-EB25C6082C95}"/>
    <cellStyle name="Normal 5 5 7 3" xfId="6489" xr:uid="{00000000-0005-0000-0000-0000981B0000}"/>
    <cellStyle name="Normal 5 5 7 3 2" xfId="14931" xr:uid="{FB8705D1-68D5-413A-9337-B3AAB69CEE62}"/>
    <cellStyle name="Normal 5 5 7 4" xfId="10713" xr:uid="{EAB23A47-4740-4A4F-B601-96006D358CFE}"/>
    <cellStyle name="Normal 5 5 8" xfId="2618" xr:uid="{00000000-0005-0000-0000-0000991B0000}"/>
    <cellStyle name="Normal 5 5 8 2" xfId="6902" xr:uid="{00000000-0005-0000-0000-00009A1B0000}"/>
    <cellStyle name="Normal 5 5 8 2 2" xfId="15344" xr:uid="{48333AF6-0F27-40C3-8282-C75887EC090D}"/>
    <cellStyle name="Normal 5 5 8 3" xfId="11126" xr:uid="{6FA38EDD-DFB5-4ECB-BA96-3BB7DA3AB6F3}"/>
    <cellStyle name="Normal 5 5 9" xfId="4837" xr:uid="{00000000-0005-0000-0000-00009B1B0000}"/>
    <cellStyle name="Normal 5 5 9 2" xfId="13279" xr:uid="{72032C57-D3D2-41AB-B4DD-5134C9A37E01}"/>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2 2 2" xfId="15842" xr:uid="{0928F352-5BA9-4304-BD53-D6AA6C45F8E3}"/>
    <cellStyle name="Normal 5 6 2 2 2 3" xfId="11624" xr:uid="{A545ABA4-2416-4B1C-A1FA-78525937B57E}"/>
    <cellStyle name="Normal 5 6 2 2 3" xfId="5255" xr:uid="{00000000-0005-0000-0000-0000A11B0000}"/>
    <cellStyle name="Normal 5 6 2 2 3 2" xfId="13697" xr:uid="{07780FD7-AEE8-4418-B89C-15B6EB26E29A}"/>
    <cellStyle name="Normal 5 6 2 2 4" xfId="9479" xr:uid="{C2D277AA-F674-4959-BB93-0635C689636E}"/>
    <cellStyle name="Normal 5 6 2 3" xfId="1360" xr:uid="{00000000-0005-0000-0000-0000A21B0000}"/>
    <cellStyle name="Normal 5 6 2 3 2" xfId="3590" xr:uid="{00000000-0005-0000-0000-0000A31B0000}"/>
    <cellStyle name="Normal 5 6 2 3 2 2" xfId="7813" xr:uid="{00000000-0005-0000-0000-0000A41B0000}"/>
    <cellStyle name="Normal 5 6 2 3 2 2 2" xfId="16255" xr:uid="{878B8530-2BE1-4604-97E2-E4C92117276D}"/>
    <cellStyle name="Normal 5 6 2 3 2 3" xfId="12037" xr:uid="{10DE4CAB-EEBE-4D46-ADC7-C26A2CAE64F0}"/>
    <cellStyle name="Normal 5 6 2 3 3" xfId="5668" xr:uid="{00000000-0005-0000-0000-0000A51B0000}"/>
    <cellStyle name="Normal 5 6 2 3 3 2" xfId="14110" xr:uid="{9805DE83-9609-419F-AF27-2978CCBAE71F}"/>
    <cellStyle name="Normal 5 6 2 3 4" xfId="9892" xr:uid="{85D868F7-C75F-4032-8AC6-227019F1CA9B}"/>
    <cellStyle name="Normal 5 6 2 4" xfId="1773" xr:uid="{00000000-0005-0000-0000-0000A61B0000}"/>
    <cellStyle name="Normal 5 6 2 4 2" xfId="4003" xr:uid="{00000000-0005-0000-0000-0000A71B0000}"/>
    <cellStyle name="Normal 5 6 2 4 2 2" xfId="8226" xr:uid="{00000000-0005-0000-0000-0000A81B0000}"/>
    <cellStyle name="Normal 5 6 2 4 2 2 2" xfId="16668" xr:uid="{02A27A8F-27AA-4783-AC7A-F55DEA32E7C0}"/>
    <cellStyle name="Normal 5 6 2 4 2 3" xfId="12450" xr:uid="{5D97F336-5DBC-41C2-BDF1-D498691A147B}"/>
    <cellStyle name="Normal 5 6 2 4 3" xfId="6081" xr:uid="{00000000-0005-0000-0000-0000A91B0000}"/>
    <cellStyle name="Normal 5 6 2 4 3 2" xfId="14523" xr:uid="{E44CE5A0-D561-484D-A498-CB5569A14407}"/>
    <cellStyle name="Normal 5 6 2 4 4" xfId="10305" xr:uid="{68B9ACEA-1AE0-437D-91EC-DB59FE94E24F}"/>
    <cellStyle name="Normal 5 6 2 5" xfId="2187" xr:uid="{00000000-0005-0000-0000-0000AA1B0000}"/>
    <cellStyle name="Normal 5 6 2 5 2" xfId="4416" xr:uid="{00000000-0005-0000-0000-0000AB1B0000}"/>
    <cellStyle name="Normal 5 6 2 5 2 2" xfId="8639" xr:uid="{00000000-0005-0000-0000-0000AC1B0000}"/>
    <cellStyle name="Normal 5 6 2 5 2 2 2" xfId="17081" xr:uid="{36717466-27E7-44A7-8FBA-E714DF370048}"/>
    <cellStyle name="Normal 5 6 2 5 2 3" xfId="12863" xr:uid="{0546C116-0832-44E1-937C-CA702B37CCCB}"/>
    <cellStyle name="Normal 5 6 2 5 3" xfId="6494" xr:uid="{00000000-0005-0000-0000-0000AD1B0000}"/>
    <cellStyle name="Normal 5 6 2 5 3 2" xfId="14936" xr:uid="{196D147E-1D82-4256-8083-0A31E15A05DF}"/>
    <cellStyle name="Normal 5 6 2 5 4" xfId="10718" xr:uid="{3C263435-84CB-437A-B643-8658C1453F26}"/>
    <cellStyle name="Normal 5 6 2 6" xfId="2623" xr:uid="{00000000-0005-0000-0000-0000AE1B0000}"/>
    <cellStyle name="Normal 5 6 2 6 2" xfId="6907" xr:uid="{00000000-0005-0000-0000-0000AF1B0000}"/>
    <cellStyle name="Normal 5 6 2 6 2 2" xfId="15349" xr:uid="{91970B06-F3BE-4FE6-ABA2-D4F72279340A}"/>
    <cellStyle name="Normal 5 6 2 6 3" xfId="11131" xr:uid="{C0690818-4CEB-4F45-9A88-E413BB741FC4}"/>
    <cellStyle name="Normal 5 6 2 7" xfId="4842" xr:uid="{00000000-0005-0000-0000-0000B01B0000}"/>
    <cellStyle name="Normal 5 6 2 7 2" xfId="13284" xr:uid="{E17F057D-8D02-4061-84DC-6043FA11A266}"/>
    <cellStyle name="Normal 5 6 2 8" xfId="9066" xr:uid="{9DA71F56-F965-46DC-A0C8-2DA95A62B54B}"/>
    <cellStyle name="Normal 5 6 3" xfId="942" xr:uid="{00000000-0005-0000-0000-0000B11B0000}"/>
    <cellStyle name="Normal 5 6 3 2" xfId="3176" xr:uid="{00000000-0005-0000-0000-0000B21B0000}"/>
    <cellStyle name="Normal 5 6 3 2 2" xfId="7399" xr:uid="{00000000-0005-0000-0000-0000B31B0000}"/>
    <cellStyle name="Normal 5 6 3 2 2 2" xfId="15841" xr:uid="{61B11BAE-9376-4927-AE39-186FAC1CB8B0}"/>
    <cellStyle name="Normal 5 6 3 2 3" xfId="11623" xr:uid="{ABBDBF92-C4E8-4451-B516-4B24B5BC87E8}"/>
    <cellStyle name="Normal 5 6 3 3" xfId="5254" xr:uid="{00000000-0005-0000-0000-0000B41B0000}"/>
    <cellStyle name="Normal 5 6 3 3 2" xfId="13696" xr:uid="{3AFBF3E4-F0FA-4D04-AE6A-69ECC476E22B}"/>
    <cellStyle name="Normal 5 6 3 4" xfId="9478" xr:uid="{BBA4ECAA-C88B-4C62-A4F7-8E53460BF56E}"/>
    <cellStyle name="Normal 5 6 4" xfId="1359" xr:uid="{00000000-0005-0000-0000-0000B51B0000}"/>
    <cellStyle name="Normal 5 6 4 2" xfId="3589" xr:uid="{00000000-0005-0000-0000-0000B61B0000}"/>
    <cellStyle name="Normal 5 6 4 2 2" xfId="7812" xr:uid="{00000000-0005-0000-0000-0000B71B0000}"/>
    <cellStyle name="Normal 5 6 4 2 2 2" xfId="16254" xr:uid="{CD70A96E-A9D3-4CA3-922D-7C1A7E89EC89}"/>
    <cellStyle name="Normal 5 6 4 2 3" xfId="12036" xr:uid="{59A43E93-428A-42EA-A537-36CDB87E2309}"/>
    <cellStyle name="Normal 5 6 4 3" xfId="5667" xr:uid="{00000000-0005-0000-0000-0000B81B0000}"/>
    <cellStyle name="Normal 5 6 4 3 2" xfId="14109" xr:uid="{7C148110-F6BD-4FF9-94CA-5D8144179EE7}"/>
    <cellStyle name="Normal 5 6 4 4" xfId="9891" xr:uid="{6D027D8D-196E-439D-B70C-206CFF69F88A}"/>
    <cellStyle name="Normal 5 6 5" xfId="1772" xr:uid="{00000000-0005-0000-0000-0000B91B0000}"/>
    <cellStyle name="Normal 5 6 5 2" xfId="4002" xr:uid="{00000000-0005-0000-0000-0000BA1B0000}"/>
    <cellStyle name="Normal 5 6 5 2 2" xfId="8225" xr:uid="{00000000-0005-0000-0000-0000BB1B0000}"/>
    <cellStyle name="Normal 5 6 5 2 2 2" xfId="16667" xr:uid="{7FC4CB0B-7FA8-4BAA-A6CF-BF8304AEBE1A}"/>
    <cellStyle name="Normal 5 6 5 2 3" xfId="12449" xr:uid="{FFF38988-6514-4CAC-B8A2-C671C4A91078}"/>
    <cellStyle name="Normal 5 6 5 3" xfId="6080" xr:uid="{00000000-0005-0000-0000-0000BC1B0000}"/>
    <cellStyle name="Normal 5 6 5 3 2" xfId="14522" xr:uid="{8654FCC8-2EF1-4D13-AE04-3B4DDA06DB62}"/>
    <cellStyle name="Normal 5 6 5 4" xfId="10304" xr:uid="{C5F10F4B-521B-4E87-BA9F-C537C281E79B}"/>
    <cellStyle name="Normal 5 6 6" xfId="2186" xr:uid="{00000000-0005-0000-0000-0000BD1B0000}"/>
    <cellStyle name="Normal 5 6 6 2" xfId="4415" xr:uid="{00000000-0005-0000-0000-0000BE1B0000}"/>
    <cellStyle name="Normal 5 6 6 2 2" xfId="8638" xr:uid="{00000000-0005-0000-0000-0000BF1B0000}"/>
    <cellStyle name="Normal 5 6 6 2 2 2" xfId="17080" xr:uid="{C3F15B23-DBB4-4E2D-B00A-39EA62E3AE5F}"/>
    <cellStyle name="Normal 5 6 6 2 3" xfId="12862" xr:uid="{E09A0B0D-0D84-4DE5-999E-3499F54683D6}"/>
    <cellStyle name="Normal 5 6 6 3" xfId="6493" xr:uid="{00000000-0005-0000-0000-0000C01B0000}"/>
    <cellStyle name="Normal 5 6 6 3 2" xfId="14935" xr:uid="{26AA9B1F-347C-46BB-9CB0-03163FF501D8}"/>
    <cellStyle name="Normal 5 6 6 4" xfId="10717" xr:uid="{805E2CC8-9004-4C51-ACD2-46D696D6E8AF}"/>
    <cellStyle name="Normal 5 6 7" xfId="2622" xr:uid="{00000000-0005-0000-0000-0000C11B0000}"/>
    <cellStyle name="Normal 5 6 7 2" xfId="6906" xr:uid="{00000000-0005-0000-0000-0000C21B0000}"/>
    <cellStyle name="Normal 5 6 7 2 2" xfId="15348" xr:uid="{DEFA64EA-22B2-44FB-B4C7-91BE77E1EDB7}"/>
    <cellStyle name="Normal 5 6 7 3" xfId="11130" xr:uid="{25D5BB3F-8FB2-4F80-8AF9-6DC75C205805}"/>
    <cellStyle name="Normal 5 6 8" xfId="4841" xr:uid="{00000000-0005-0000-0000-0000C31B0000}"/>
    <cellStyle name="Normal 5 6 8 2" xfId="13283" xr:uid="{06D04EB2-23AB-46AC-AB39-6D2D4A1CF4A4}"/>
    <cellStyle name="Normal 5 6 9" xfId="9065" xr:uid="{E5B4B3E9-0035-44A2-811C-177648DE7743}"/>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2 2 2" xfId="15843" xr:uid="{21601A0F-8FBC-4578-B99A-3875BC55F9F3}"/>
    <cellStyle name="Normal 5 7 2 2 3" xfId="11625" xr:uid="{B2425674-D270-4A91-9B73-1A5ACF0774B7}"/>
    <cellStyle name="Normal 5 7 2 3" xfId="5256" xr:uid="{00000000-0005-0000-0000-0000C81B0000}"/>
    <cellStyle name="Normal 5 7 2 3 2" xfId="13698" xr:uid="{87A6898A-3AD5-4BBA-A6D7-F98F5EFD3C80}"/>
    <cellStyle name="Normal 5 7 2 4" xfId="9480" xr:uid="{2E6C0505-EB47-4439-8F9D-B04E56E0DD83}"/>
    <cellStyle name="Normal 5 7 3" xfId="1361" xr:uid="{00000000-0005-0000-0000-0000C91B0000}"/>
    <cellStyle name="Normal 5 7 3 2" xfId="3591" xr:uid="{00000000-0005-0000-0000-0000CA1B0000}"/>
    <cellStyle name="Normal 5 7 3 2 2" xfId="7814" xr:uid="{00000000-0005-0000-0000-0000CB1B0000}"/>
    <cellStyle name="Normal 5 7 3 2 2 2" xfId="16256" xr:uid="{118B528D-B8F0-4080-ABFB-FF6E29508BC4}"/>
    <cellStyle name="Normal 5 7 3 2 3" xfId="12038" xr:uid="{BBC73E31-8045-4323-90AC-97F7C3578329}"/>
    <cellStyle name="Normal 5 7 3 3" xfId="5669" xr:uid="{00000000-0005-0000-0000-0000CC1B0000}"/>
    <cellStyle name="Normal 5 7 3 3 2" xfId="14111" xr:uid="{BE5461F0-51EB-49DC-9245-38C7036D5B4D}"/>
    <cellStyle name="Normal 5 7 3 4" xfId="9893" xr:uid="{4C4C4BEC-4737-49BC-A9E6-51A82C827418}"/>
    <cellStyle name="Normal 5 7 4" xfId="1774" xr:uid="{00000000-0005-0000-0000-0000CD1B0000}"/>
    <cellStyle name="Normal 5 7 4 2" xfId="4004" xr:uid="{00000000-0005-0000-0000-0000CE1B0000}"/>
    <cellStyle name="Normal 5 7 4 2 2" xfId="8227" xr:uid="{00000000-0005-0000-0000-0000CF1B0000}"/>
    <cellStyle name="Normal 5 7 4 2 2 2" xfId="16669" xr:uid="{2A45EE2C-DD6B-4750-9B5D-C8C5D839BDA9}"/>
    <cellStyle name="Normal 5 7 4 2 3" xfId="12451" xr:uid="{1329E323-5ED6-4E7B-B43E-ACF4501096F4}"/>
    <cellStyle name="Normal 5 7 4 3" xfId="6082" xr:uid="{00000000-0005-0000-0000-0000D01B0000}"/>
    <cellStyle name="Normal 5 7 4 3 2" xfId="14524" xr:uid="{B4A5D661-9457-4849-BB2B-237322FB7EE8}"/>
    <cellStyle name="Normal 5 7 4 4" xfId="10306" xr:uid="{4C53C6C6-FB6F-4D28-8822-D87FB4A504FF}"/>
    <cellStyle name="Normal 5 7 5" xfId="2188" xr:uid="{00000000-0005-0000-0000-0000D11B0000}"/>
    <cellStyle name="Normal 5 7 5 2" xfId="4417" xr:uid="{00000000-0005-0000-0000-0000D21B0000}"/>
    <cellStyle name="Normal 5 7 5 2 2" xfId="8640" xr:uid="{00000000-0005-0000-0000-0000D31B0000}"/>
    <cellStyle name="Normal 5 7 5 2 2 2" xfId="17082" xr:uid="{52283025-A349-44BF-BF44-9AEA38F212CE}"/>
    <cellStyle name="Normal 5 7 5 2 3" xfId="12864" xr:uid="{B863C7A8-5FD5-4E7D-95EE-C583D446F023}"/>
    <cellStyle name="Normal 5 7 5 3" xfId="6495" xr:uid="{00000000-0005-0000-0000-0000D41B0000}"/>
    <cellStyle name="Normal 5 7 5 3 2" xfId="14937" xr:uid="{B837DB3C-CF9B-4517-8D9C-77011582841A}"/>
    <cellStyle name="Normal 5 7 5 4" xfId="10719" xr:uid="{71E7C59D-F508-49C9-9A05-F915A04B24C1}"/>
    <cellStyle name="Normal 5 7 6" xfId="2624" xr:uid="{00000000-0005-0000-0000-0000D51B0000}"/>
    <cellStyle name="Normal 5 7 6 2" xfId="6908" xr:uid="{00000000-0005-0000-0000-0000D61B0000}"/>
    <cellStyle name="Normal 5 7 6 2 2" xfId="15350" xr:uid="{4D009687-3341-46EA-9478-1332FFDD5A7A}"/>
    <cellStyle name="Normal 5 7 6 3" xfId="11132" xr:uid="{0E57CAD9-6DFE-4CA2-BE27-C61E88AB59F9}"/>
    <cellStyle name="Normal 5 7 7" xfId="4843" xr:uid="{00000000-0005-0000-0000-0000D71B0000}"/>
    <cellStyle name="Normal 5 7 7 2" xfId="13285" xr:uid="{11CACC9C-9480-42D0-9609-7881D5AEE239}"/>
    <cellStyle name="Normal 5 7 8" xfId="9067" xr:uid="{1E7CD5A6-5A2D-415D-A738-D5E74E478EDE}"/>
    <cellStyle name="Normal 5 8" xfId="880" xr:uid="{00000000-0005-0000-0000-0000D81B0000}"/>
    <cellStyle name="Normal 5 8 2" xfId="3115" xr:uid="{00000000-0005-0000-0000-0000D91B0000}"/>
    <cellStyle name="Normal 5 8 2 2" xfId="7338" xr:uid="{00000000-0005-0000-0000-0000DA1B0000}"/>
    <cellStyle name="Normal 5 8 2 2 2" xfId="15780" xr:uid="{CEB5499F-EB45-479A-ABD3-7F954C58D81A}"/>
    <cellStyle name="Normal 5 8 2 3" xfId="11562" xr:uid="{4AADD205-3751-495E-B430-360EE5785884}"/>
    <cellStyle name="Normal 5 8 3" xfId="5193" xr:uid="{00000000-0005-0000-0000-0000DB1B0000}"/>
    <cellStyle name="Normal 5 8 3 2" xfId="13635" xr:uid="{228A7C0E-29E4-40C5-BAE9-7EA7146E8602}"/>
    <cellStyle name="Normal 5 8 4" xfId="9417" xr:uid="{89AB298D-F519-474C-9121-E97A19B53191}"/>
    <cellStyle name="Normal 5 9" xfId="1298" xr:uid="{00000000-0005-0000-0000-0000DC1B0000}"/>
    <cellStyle name="Normal 5 9 2" xfId="3528" xr:uid="{00000000-0005-0000-0000-0000DD1B0000}"/>
    <cellStyle name="Normal 5 9 2 2" xfId="7751" xr:uid="{00000000-0005-0000-0000-0000DE1B0000}"/>
    <cellStyle name="Normal 5 9 2 2 2" xfId="16193" xr:uid="{2C9767E2-A09D-4620-A430-0B80D4800CEB}"/>
    <cellStyle name="Normal 5 9 2 3" xfId="11975" xr:uid="{9EED5B2C-EE71-4247-8FE6-AA5888A6125F}"/>
    <cellStyle name="Normal 5 9 3" xfId="5606" xr:uid="{00000000-0005-0000-0000-0000DF1B0000}"/>
    <cellStyle name="Normal 5 9 3 2" xfId="14048" xr:uid="{9B5FC305-19D1-4C93-B3B5-8B18A0AAC554}"/>
    <cellStyle name="Normal 5 9 4" xfId="9830" xr:uid="{D37F8BDE-7C75-41F8-BDF8-D1FC5C55DFED}"/>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2 2 2" xfId="17083" xr:uid="{A562CB9F-76AB-45CD-876F-62598C2FCEE3}"/>
    <cellStyle name="Normal 8 10 2 3" xfId="12865" xr:uid="{9B3A8C52-AD94-4177-A620-30E48B455C16}"/>
    <cellStyle name="Normal 8 10 3" xfId="6496" xr:uid="{00000000-0005-0000-0000-0000EB1B0000}"/>
    <cellStyle name="Normal 8 10 3 2" xfId="14938" xr:uid="{DE9F8B55-BFD7-4307-96D4-47BD879281AE}"/>
    <cellStyle name="Normal 8 10 4" xfId="10720" xr:uid="{6BE51C48-F84E-4656-9A81-4DFDF9CF1E99}"/>
    <cellStyle name="Normal 8 11" xfId="2625" xr:uid="{00000000-0005-0000-0000-0000EC1B0000}"/>
    <cellStyle name="Normal 8 11 2" xfId="6909" xr:uid="{00000000-0005-0000-0000-0000ED1B0000}"/>
    <cellStyle name="Normal 8 11 2 2" xfId="15351" xr:uid="{C9C5EA46-0CDF-4EB6-8977-F89E75E252A1}"/>
    <cellStyle name="Normal 8 11 3" xfId="11133" xr:uid="{F908DE3B-5A20-4ECD-AC3D-0EAA5B04658B}"/>
    <cellStyle name="Normal 8 12" xfId="4844" xr:uid="{00000000-0005-0000-0000-0000EE1B0000}"/>
    <cellStyle name="Normal 8 12 2" xfId="13286" xr:uid="{3579A9F7-DC1F-4172-BDA3-9A35844C41F8}"/>
    <cellStyle name="Normal 8 13" xfId="9068" xr:uid="{ABFFDBA5-BFE1-4018-95AA-10D458092FA4}"/>
    <cellStyle name="Normal 8 2" xfId="479" xr:uid="{00000000-0005-0000-0000-0000EF1B0000}"/>
    <cellStyle name="Normal 8 2 10" xfId="2626" xr:uid="{00000000-0005-0000-0000-0000F01B0000}"/>
    <cellStyle name="Normal 8 2 10 2" xfId="6910" xr:uid="{00000000-0005-0000-0000-0000F11B0000}"/>
    <cellStyle name="Normal 8 2 10 2 2" xfId="15352" xr:uid="{8B92FCD1-718B-4FD7-920F-196A702FD87E}"/>
    <cellStyle name="Normal 8 2 10 3" xfId="11134" xr:uid="{06355753-AFE3-4F73-934A-C20150EDE7F6}"/>
    <cellStyle name="Normal 8 2 11" xfId="4845" xr:uid="{00000000-0005-0000-0000-0000F21B0000}"/>
    <cellStyle name="Normal 8 2 11 2" xfId="13287" xr:uid="{2DE891DA-179C-403B-BAB4-FD0085CC6F90}"/>
    <cellStyle name="Normal 8 2 12" xfId="9069" xr:uid="{1C9DF681-50A5-446B-BF96-E30955C4C44E}"/>
    <cellStyle name="Normal 8 2 2" xfId="480" xr:uid="{00000000-0005-0000-0000-0000F31B0000}"/>
    <cellStyle name="Normal 8 2 2 10" xfId="4846" xr:uid="{00000000-0005-0000-0000-0000F41B0000}"/>
    <cellStyle name="Normal 8 2 2 10 2" xfId="13288" xr:uid="{2CE6848B-874F-4BF3-ADF1-29DC5ABEC460}"/>
    <cellStyle name="Normal 8 2 2 11" xfId="9070" xr:uid="{148E49A1-D8F9-49B3-80C0-0CBC75125D5B}"/>
    <cellStyle name="Normal 8 2 2 2" xfId="481" xr:uid="{00000000-0005-0000-0000-0000F51B0000}"/>
    <cellStyle name="Normal 8 2 2 2 10" xfId="9071" xr:uid="{F3C57B61-D806-497C-AEEA-3F11D0756E55}"/>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2 2 2" xfId="15849" xr:uid="{99CEA722-92B6-4D35-83F8-3B2C126873FD}"/>
    <cellStyle name="Normal 8 2 2 2 2 2 2 2 3" xfId="11631" xr:uid="{5B7B751C-9A9C-47C9-AD6D-A3A4481091F1}"/>
    <cellStyle name="Normal 8 2 2 2 2 2 2 3" xfId="5262" xr:uid="{00000000-0005-0000-0000-0000FB1B0000}"/>
    <cellStyle name="Normal 8 2 2 2 2 2 2 3 2" xfId="13704" xr:uid="{E316BC22-71FF-430B-9939-43ED3CC618C5}"/>
    <cellStyle name="Normal 8 2 2 2 2 2 2 4" xfId="9486" xr:uid="{5BDBBFF6-35EB-4701-9BBF-7434431A8D9F}"/>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2 2 2" xfId="16262" xr:uid="{FADAFA2F-94AB-4416-A579-277CAB0C386B}"/>
    <cellStyle name="Normal 8 2 2 2 2 2 3 2 3" xfId="12044" xr:uid="{8472232A-771C-4893-A001-5E3B80B378DB}"/>
    <cellStyle name="Normal 8 2 2 2 2 2 3 3" xfId="5675" xr:uid="{00000000-0005-0000-0000-0000FF1B0000}"/>
    <cellStyle name="Normal 8 2 2 2 2 2 3 3 2" xfId="14117" xr:uid="{89C3DBBE-29C3-4BF1-9C1A-A77666909483}"/>
    <cellStyle name="Normal 8 2 2 2 2 2 3 4" xfId="9899" xr:uid="{63915915-EFE0-4275-BAAB-AADA2AF4740C}"/>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2 2 2" xfId="16675" xr:uid="{56B40BE8-578B-4879-87AD-5CA23F3676B9}"/>
    <cellStyle name="Normal 8 2 2 2 2 2 4 2 3" xfId="12457" xr:uid="{3DE81460-5962-4C49-B44B-AD0F5C6CD80C}"/>
    <cellStyle name="Normal 8 2 2 2 2 2 4 3" xfId="6088" xr:uid="{00000000-0005-0000-0000-0000031C0000}"/>
    <cellStyle name="Normal 8 2 2 2 2 2 4 3 2" xfId="14530" xr:uid="{75414A98-730C-4012-B0F0-43350EBC3749}"/>
    <cellStyle name="Normal 8 2 2 2 2 2 4 4" xfId="10312" xr:uid="{673AC096-9834-4F8C-866B-DC9121F77A3D}"/>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2 2 2" xfId="17088" xr:uid="{2459555E-81BA-4306-817D-72CACDE7656F}"/>
    <cellStyle name="Normal 8 2 2 2 2 2 5 2 3" xfId="12870" xr:uid="{0B712859-1526-428A-9858-FA40F9D38865}"/>
    <cellStyle name="Normal 8 2 2 2 2 2 5 3" xfId="6501" xr:uid="{00000000-0005-0000-0000-0000071C0000}"/>
    <cellStyle name="Normal 8 2 2 2 2 2 5 3 2" xfId="14943" xr:uid="{C8B83AC8-839E-49C5-921B-EB37E94262FA}"/>
    <cellStyle name="Normal 8 2 2 2 2 2 5 4" xfId="10725" xr:uid="{6DA2F463-CF63-4972-9497-B893753BC7BF}"/>
    <cellStyle name="Normal 8 2 2 2 2 2 6" xfId="2630" xr:uid="{00000000-0005-0000-0000-0000081C0000}"/>
    <cellStyle name="Normal 8 2 2 2 2 2 6 2" xfId="6914" xr:uid="{00000000-0005-0000-0000-0000091C0000}"/>
    <cellStyle name="Normal 8 2 2 2 2 2 6 2 2" xfId="15356" xr:uid="{33A3A578-8911-4EBD-93C0-EDFA9B354091}"/>
    <cellStyle name="Normal 8 2 2 2 2 2 6 3" xfId="11138" xr:uid="{B4DAE482-1B80-40CD-97CE-C401FEF9D8F1}"/>
    <cellStyle name="Normal 8 2 2 2 2 2 7" xfId="4849" xr:uid="{00000000-0005-0000-0000-00000A1C0000}"/>
    <cellStyle name="Normal 8 2 2 2 2 2 7 2" xfId="13291" xr:uid="{2F4AA9FC-1D4E-4F62-AA24-5E4386A2638D}"/>
    <cellStyle name="Normal 8 2 2 2 2 2 8" xfId="9073" xr:uid="{B90843D6-F20E-4D92-989E-3CC0552C102E}"/>
    <cellStyle name="Normal 8 2 2 2 2 3" xfId="949" xr:uid="{00000000-0005-0000-0000-00000B1C0000}"/>
    <cellStyle name="Normal 8 2 2 2 2 3 2" xfId="3183" xr:uid="{00000000-0005-0000-0000-00000C1C0000}"/>
    <cellStyle name="Normal 8 2 2 2 2 3 2 2" xfId="7406" xr:uid="{00000000-0005-0000-0000-00000D1C0000}"/>
    <cellStyle name="Normal 8 2 2 2 2 3 2 2 2" xfId="15848" xr:uid="{A3567088-7A86-483A-B6B5-6AF4AA1CD669}"/>
    <cellStyle name="Normal 8 2 2 2 2 3 2 3" xfId="11630" xr:uid="{ACBF6F4F-F15F-40A7-8327-75F7AD76EDFD}"/>
    <cellStyle name="Normal 8 2 2 2 2 3 3" xfId="5261" xr:uid="{00000000-0005-0000-0000-00000E1C0000}"/>
    <cellStyle name="Normal 8 2 2 2 2 3 3 2" xfId="13703" xr:uid="{22B33715-B06A-4422-86B3-E6AEF01D8F5D}"/>
    <cellStyle name="Normal 8 2 2 2 2 3 4" xfId="9485" xr:uid="{9C8AD643-5477-4B7A-AC9A-22534734F49A}"/>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2 2 2" xfId="16261" xr:uid="{6C7880E9-F99D-4466-A459-54BBFFBB9B5D}"/>
    <cellStyle name="Normal 8 2 2 2 2 4 2 3" xfId="12043" xr:uid="{51F1DEE7-2AF7-415C-AEFB-4EBAD239A890}"/>
    <cellStyle name="Normal 8 2 2 2 2 4 3" xfId="5674" xr:uid="{00000000-0005-0000-0000-0000121C0000}"/>
    <cellStyle name="Normal 8 2 2 2 2 4 3 2" xfId="14116" xr:uid="{74A9B702-C760-40CE-9E29-6CA7E63581D7}"/>
    <cellStyle name="Normal 8 2 2 2 2 4 4" xfId="9898" xr:uid="{7E5C520F-8BED-4468-A6CD-643438B2FC48}"/>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2 2 2" xfId="16674" xr:uid="{CF05281E-1091-4B56-8F52-15A388EBB76F}"/>
    <cellStyle name="Normal 8 2 2 2 2 5 2 3" xfId="12456" xr:uid="{9DA7CA40-61A4-4BE6-A0FE-C3232843C54B}"/>
    <cellStyle name="Normal 8 2 2 2 2 5 3" xfId="6087" xr:uid="{00000000-0005-0000-0000-0000161C0000}"/>
    <cellStyle name="Normal 8 2 2 2 2 5 3 2" xfId="14529" xr:uid="{EBEE3343-6205-4946-87B9-2D88CF9EBB96}"/>
    <cellStyle name="Normal 8 2 2 2 2 5 4" xfId="10311" xr:uid="{B7901108-F23F-4A36-ACA5-FBB475E11EAB}"/>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2 2 2" xfId="17087" xr:uid="{9703C581-84D8-4E33-BF0F-2CC6238CFCE1}"/>
    <cellStyle name="Normal 8 2 2 2 2 6 2 3" xfId="12869" xr:uid="{660DAE76-E16B-459E-812A-D883073C2954}"/>
    <cellStyle name="Normal 8 2 2 2 2 6 3" xfId="6500" xr:uid="{00000000-0005-0000-0000-00001A1C0000}"/>
    <cellStyle name="Normal 8 2 2 2 2 6 3 2" xfId="14942" xr:uid="{F4D1235C-405B-42BC-9CEE-C3B185374C98}"/>
    <cellStyle name="Normal 8 2 2 2 2 6 4" xfId="10724" xr:uid="{85308115-D13E-445E-A1C6-A566C3E501E6}"/>
    <cellStyle name="Normal 8 2 2 2 2 7" xfId="2629" xr:uid="{00000000-0005-0000-0000-00001B1C0000}"/>
    <cellStyle name="Normal 8 2 2 2 2 7 2" xfId="6913" xr:uid="{00000000-0005-0000-0000-00001C1C0000}"/>
    <cellStyle name="Normal 8 2 2 2 2 7 2 2" xfId="15355" xr:uid="{CB2CDA17-CE9D-42F3-87CA-8815E6E804AA}"/>
    <cellStyle name="Normal 8 2 2 2 2 7 3" xfId="11137" xr:uid="{290FCD67-7BAD-4FB7-9894-7A7264997E81}"/>
    <cellStyle name="Normal 8 2 2 2 2 8" xfId="4848" xr:uid="{00000000-0005-0000-0000-00001D1C0000}"/>
    <cellStyle name="Normal 8 2 2 2 2 8 2" xfId="13290" xr:uid="{98D99B4F-D3C7-4B49-A818-DB5C424513A2}"/>
    <cellStyle name="Normal 8 2 2 2 2 9" xfId="9072" xr:uid="{96AC8AD1-936C-4FA6-96D2-187DBADC85E2}"/>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2 2 2" xfId="15850" xr:uid="{05EAE53A-52DC-4D3E-88D6-ACAF955A7F3D}"/>
    <cellStyle name="Normal 8 2 2 2 3 2 2 3" xfId="11632" xr:uid="{B47FDEE8-2AEB-4981-929E-FB098E912AE7}"/>
    <cellStyle name="Normal 8 2 2 2 3 2 3" xfId="5263" xr:uid="{00000000-0005-0000-0000-0000221C0000}"/>
    <cellStyle name="Normal 8 2 2 2 3 2 3 2" xfId="13705" xr:uid="{408B1EFB-D0F9-4C3D-847B-89BFFBFC5577}"/>
    <cellStyle name="Normal 8 2 2 2 3 2 4" xfId="9487" xr:uid="{ED8C1089-5E81-4230-9730-191C8FAC5BD9}"/>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2 2 2" xfId="16263" xr:uid="{00DD66A7-496E-4793-A2E8-C609B5DCF83C}"/>
    <cellStyle name="Normal 8 2 2 2 3 3 2 3" xfId="12045" xr:uid="{3EE646AF-1041-4207-8307-34FA69DF3BC3}"/>
    <cellStyle name="Normal 8 2 2 2 3 3 3" xfId="5676" xr:uid="{00000000-0005-0000-0000-0000261C0000}"/>
    <cellStyle name="Normal 8 2 2 2 3 3 3 2" xfId="14118" xr:uid="{0B4A85A6-543B-4E46-9361-B34F55F6D884}"/>
    <cellStyle name="Normal 8 2 2 2 3 3 4" xfId="9900" xr:uid="{5685C61B-D1EE-4D22-B1D2-84DEE2DA96A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2 2 2" xfId="16676" xr:uid="{E82C3414-E0E6-46FE-A05D-7E62BDD8295B}"/>
    <cellStyle name="Normal 8 2 2 2 3 4 2 3" xfId="12458" xr:uid="{B8B4D13F-232E-4D6A-8897-8BFD3A398F66}"/>
    <cellStyle name="Normal 8 2 2 2 3 4 3" xfId="6089" xr:uid="{00000000-0005-0000-0000-00002A1C0000}"/>
    <cellStyle name="Normal 8 2 2 2 3 4 3 2" xfId="14531" xr:uid="{0DA32603-CE2D-44CE-93BA-827C8F5D7E61}"/>
    <cellStyle name="Normal 8 2 2 2 3 4 4" xfId="10313" xr:uid="{7477FD23-DC43-47D2-A053-3837CD5AF35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2 2 2" xfId="17089" xr:uid="{A7A6DE86-58ED-4CDD-9D11-C2984B819F8F}"/>
    <cellStyle name="Normal 8 2 2 2 3 5 2 3" xfId="12871" xr:uid="{8290F311-9823-490F-95D4-B88F1BFE5528}"/>
    <cellStyle name="Normal 8 2 2 2 3 5 3" xfId="6502" xr:uid="{00000000-0005-0000-0000-00002E1C0000}"/>
    <cellStyle name="Normal 8 2 2 2 3 5 3 2" xfId="14944" xr:uid="{3077E955-C88D-48FB-97E1-909B5CBB4171}"/>
    <cellStyle name="Normal 8 2 2 2 3 5 4" xfId="10726" xr:uid="{782A7E7D-E35A-4733-92B5-C53958E30D72}"/>
    <cellStyle name="Normal 8 2 2 2 3 6" xfId="2631" xr:uid="{00000000-0005-0000-0000-00002F1C0000}"/>
    <cellStyle name="Normal 8 2 2 2 3 6 2" xfId="6915" xr:uid="{00000000-0005-0000-0000-0000301C0000}"/>
    <cellStyle name="Normal 8 2 2 2 3 6 2 2" xfId="15357" xr:uid="{68955476-34A2-4BD1-B166-4A198DCF0268}"/>
    <cellStyle name="Normal 8 2 2 2 3 6 3" xfId="11139" xr:uid="{290A26A7-2095-4F83-9989-7C9AF12B8912}"/>
    <cellStyle name="Normal 8 2 2 2 3 7" xfId="4850" xr:uid="{00000000-0005-0000-0000-0000311C0000}"/>
    <cellStyle name="Normal 8 2 2 2 3 7 2" xfId="13292" xr:uid="{E7755190-9711-4CD3-B148-58F56EA9002B}"/>
    <cellStyle name="Normal 8 2 2 2 3 8" xfId="9074" xr:uid="{7E50D0D0-DE4D-4DAB-9510-289B5AC8FD0B}"/>
    <cellStyle name="Normal 8 2 2 2 4" xfId="948" xr:uid="{00000000-0005-0000-0000-0000321C0000}"/>
    <cellStyle name="Normal 8 2 2 2 4 2" xfId="3182" xr:uid="{00000000-0005-0000-0000-0000331C0000}"/>
    <cellStyle name="Normal 8 2 2 2 4 2 2" xfId="7405" xr:uid="{00000000-0005-0000-0000-0000341C0000}"/>
    <cellStyle name="Normal 8 2 2 2 4 2 2 2" xfId="15847" xr:uid="{39990EBC-AD53-4630-B281-62A6EAA4A6F7}"/>
    <cellStyle name="Normal 8 2 2 2 4 2 3" xfId="11629" xr:uid="{B1C2B064-AD20-4091-96E6-481A87FFC98A}"/>
    <cellStyle name="Normal 8 2 2 2 4 3" xfId="5260" xr:uid="{00000000-0005-0000-0000-0000351C0000}"/>
    <cellStyle name="Normal 8 2 2 2 4 3 2" xfId="13702" xr:uid="{367C0FE2-767C-46A1-8169-CF20EDCE53CB}"/>
    <cellStyle name="Normal 8 2 2 2 4 4" xfId="9484" xr:uid="{EA1ACBA3-33E3-469F-BD35-EF60DC155110}"/>
    <cellStyle name="Normal 8 2 2 2 5" xfId="1365" xr:uid="{00000000-0005-0000-0000-0000361C0000}"/>
    <cellStyle name="Normal 8 2 2 2 5 2" xfId="3595" xr:uid="{00000000-0005-0000-0000-0000371C0000}"/>
    <cellStyle name="Normal 8 2 2 2 5 2 2" xfId="7818" xr:uid="{00000000-0005-0000-0000-0000381C0000}"/>
    <cellStyle name="Normal 8 2 2 2 5 2 2 2" xfId="16260" xr:uid="{E8A9E5E9-993F-41E6-930B-EEF557DB8E80}"/>
    <cellStyle name="Normal 8 2 2 2 5 2 3" xfId="12042" xr:uid="{C3E0F732-5845-4913-AD08-3019099B7444}"/>
    <cellStyle name="Normal 8 2 2 2 5 3" xfId="5673" xr:uid="{00000000-0005-0000-0000-0000391C0000}"/>
    <cellStyle name="Normal 8 2 2 2 5 3 2" xfId="14115" xr:uid="{1D64FE67-BED8-41F6-891E-8384BD4CEB8A}"/>
    <cellStyle name="Normal 8 2 2 2 5 4" xfId="9897" xr:uid="{48A4504C-A83D-4E21-B478-9FD88D1AEABC}"/>
    <cellStyle name="Normal 8 2 2 2 6" xfId="1778" xr:uid="{00000000-0005-0000-0000-00003A1C0000}"/>
    <cellStyle name="Normal 8 2 2 2 6 2" xfId="4008" xr:uid="{00000000-0005-0000-0000-00003B1C0000}"/>
    <cellStyle name="Normal 8 2 2 2 6 2 2" xfId="8231" xr:uid="{00000000-0005-0000-0000-00003C1C0000}"/>
    <cellStyle name="Normal 8 2 2 2 6 2 2 2" xfId="16673" xr:uid="{54668157-1E95-48DC-88A2-6673DC7A8D52}"/>
    <cellStyle name="Normal 8 2 2 2 6 2 3" xfId="12455" xr:uid="{BB37B5AB-C2D8-44E5-A6AD-ACDA0CD00A11}"/>
    <cellStyle name="Normal 8 2 2 2 6 3" xfId="6086" xr:uid="{00000000-0005-0000-0000-00003D1C0000}"/>
    <cellStyle name="Normal 8 2 2 2 6 3 2" xfId="14528" xr:uid="{A30BBECD-8A60-4BAB-8F9A-02B89B28A670}"/>
    <cellStyle name="Normal 8 2 2 2 6 4" xfId="10310" xr:uid="{F3920DE6-CD3A-4F35-8D31-257780020292}"/>
    <cellStyle name="Normal 8 2 2 2 7" xfId="2192" xr:uid="{00000000-0005-0000-0000-00003E1C0000}"/>
    <cellStyle name="Normal 8 2 2 2 7 2" xfId="4421" xr:uid="{00000000-0005-0000-0000-00003F1C0000}"/>
    <cellStyle name="Normal 8 2 2 2 7 2 2" xfId="8644" xr:uid="{00000000-0005-0000-0000-0000401C0000}"/>
    <cellStyle name="Normal 8 2 2 2 7 2 2 2" xfId="17086" xr:uid="{AB15BFD5-1149-4865-8199-8482C1A2CDC7}"/>
    <cellStyle name="Normal 8 2 2 2 7 2 3" xfId="12868" xr:uid="{A509E567-F682-4356-9FC3-2BD7A436BFDA}"/>
    <cellStyle name="Normal 8 2 2 2 7 3" xfId="6499" xr:uid="{00000000-0005-0000-0000-0000411C0000}"/>
    <cellStyle name="Normal 8 2 2 2 7 3 2" xfId="14941" xr:uid="{36AB2619-4CB0-4130-B0AA-3F1CF92ACC02}"/>
    <cellStyle name="Normal 8 2 2 2 7 4" xfId="10723" xr:uid="{6C5B667C-F7A6-424D-8034-1B18BD3F645A}"/>
    <cellStyle name="Normal 8 2 2 2 8" xfId="2628" xr:uid="{00000000-0005-0000-0000-0000421C0000}"/>
    <cellStyle name="Normal 8 2 2 2 8 2" xfId="6912" xr:uid="{00000000-0005-0000-0000-0000431C0000}"/>
    <cellStyle name="Normal 8 2 2 2 8 2 2" xfId="15354" xr:uid="{B7006422-2CA6-4341-8715-3E585A4965D4}"/>
    <cellStyle name="Normal 8 2 2 2 8 3" xfId="11136" xr:uid="{36CF25B6-7FBF-4FBB-A446-39A1F5B7B593}"/>
    <cellStyle name="Normal 8 2 2 2 9" xfId="4847" xr:uid="{00000000-0005-0000-0000-0000441C0000}"/>
    <cellStyle name="Normal 8 2 2 2 9 2" xfId="13289" xr:uid="{F7A55F38-1E5E-463F-9FD1-5BB47DB139F6}"/>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2 2 2" xfId="15852" xr:uid="{62EF0B94-A012-4D94-BF48-A7378FA520BF}"/>
    <cellStyle name="Normal 8 2 2 3 2 2 2 3" xfId="11634" xr:uid="{B6ECA13B-2C68-42C8-9D02-EA583CD0956E}"/>
    <cellStyle name="Normal 8 2 2 3 2 2 3" xfId="5265" xr:uid="{00000000-0005-0000-0000-00004A1C0000}"/>
    <cellStyle name="Normal 8 2 2 3 2 2 3 2" xfId="13707" xr:uid="{1BECFB47-78F5-466D-B158-8A823BD9300A}"/>
    <cellStyle name="Normal 8 2 2 3 2 2 4" xfId="9489" xr:uid="{EE33431A-A67A-44B0-A8AE-E8DA3F3315AC}"/>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2 2 2" xfId="16265" xr:uid="{92C145BA-7E96-45FE-AE58-1A526AF281FC}"/>
    <cellStyle name="Normal 8 2 2 3 2 3 2 3" xfId="12047" xr:uid="{E9B9BE47-55F4-4A74-A7B4-D4E5B43E842E}"/>
    <cellStyle name="Normal 8 2 2 3 2 3 3" xfId="5678" xr:uid="{00000000-0005-0000-0000-00004E1C0000}"/>
    <cellStyle name="Normal 8 2 2 3 2 3 3 2" xfId="14120" xr:uid="{0C37A0A1-6809-4263-9F7E-DFFDF7F29724}"/>
    <cellStyle name="Normal 8 2 2 3 2 3 4" xfId="9902" xr:uid="{78644342-B534-43CF-BF21-00974577F3C1}"/>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2 2 2" xfId="16678" xr:uid="{1B2142F7-CF1E-4A6E-8CFA-784C4A1BDF48}"/>
    <cellStyle name="Normal 8 2 2 3 2 4 2 3" xfId="12460" xr:uid="{BAC43CA8-FE99-4EB4-AB79-4648C09BCBEA}"/>
    <cellStyle name="Normal 8 2 2 3 2 4 3" xfId="6091" xr:uid="{00000000-0005-0000-0000-0000521C0000}"/>
    <cellStyle name="Normal 8 2 2 3 2 4 3 2" xfId="14533" xr:uid="{F8E9517E-4E50-432E-B88C-A291C59BE45D}"/>
    <cellStyle name="Normal 8 2 2 3 2 4 4" xfId="10315" xr:uid="{5558A8C7-F0C6-499A-935E-E03845F1A77C}"/>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2 2 2" xfId="17091" xr:uid="{942D7A3B-CEDA-4F4E-AF56-3C919DA769DA}"/>
    <cellStyle name="Normal 8 2 2 3 2 5 2 3" xfId="12873" xr:uid="{08745E0B-4877-443E-A1FA-9CC13C0468F1}"/>
    <cellStyle name="Normal 8 2 2 3 2 5 3" xfId="6504" xr:uid="{00000000-0005-0000-0000-0000561C0000}"/>
    <cellStyle name="Normal 8 2 2 3 2 5 3 2" xfId="14946" xr:uid="{5D07FB8E-E165-4FB9-A6F2-A1D487F0CF6F}"/>
    <cellStyle name="Normal 8 2 2 3 2 5 4" xfId="10728" xr:uid="{35D82F8C-F0E0-4A47-9F41-8F99D6F9992A}"/>
    <cellStyle name="Normal 8 2 2 3 2 6" xfId="2633" xr:uid="{00000000-0005-0000-0000-0000571C0000}"/>
    <cellStyle name="Normal 8 2 2 3 2 6 2" xfId="6917" xr:uid="{00000000-0005-0000-0000-0000581C0000}"/>
    <cellStyle name="Normal 8 2 2 3 2 6 2 2" xfId="15359" xr:uid="{CC714E2C-6FE0-4033-BF2F-11CB056A5395}"/>
    <cellStyle name="Normal 8 2 2 3 2 6 3" xfId="11141" xr:uid="{7CD0883A-4332-489B-BDEA-D930543D3687}"/>
    <cellStyle name="Normal 8 2 2 3 2 7" xfId="4852" xr:uid="{00000000-0005-0000-0000-0000591C0000}"/>
    <cellStyle name="Normal 8 2 2 3 2 7 2" xfId="13294" xr:uid="{E189ADD9-283C-4040-BDC8-EE41B22529DC}"/>
    <cellStyle name="Normal 8 2 2 3 2 8" xfId="9076" xr:uid="{5B6B1A22-F7A4-49C7-87EB-C48357A33139}"/>
    <cellStyle name="Normal 8 2 2 3 3" xfId="952" xr:uid="{00000000-0005-0000-0000-00005A1C0000}"/>
    <cellStyle name="Normal 8 2 2 3 3 2" xfId="3186" xr:uid="{00000000-0005-0000-0000-00005B1C0000}"/>
    <cellStyle name="Normal 8 2 2 3 3 2 2" xfId="7409" xr:uid="{00000000-0005-0000-0000-00005C1C0000}"/>
    <cellStyle name="Normal 8 2 2 3 3 2 2 2" xfId="15851" xr:uid="{780863C7-3195-490A-9530-F3F8C3B2A3A2}"/>
    <cellStyle name="Normal 8 2 2 3 3 2 3" xfId="11633" xr:uid="{0B25929B-9F5E-4F2E-B06F-BEFBF1D82809}"/>
    <cellStyle name="Normal 8 2 2 3 3 3" xfId="5264" xr:uid="{00000000-0005-0000-0000-00005D1C0000}"/>
    <cellStyle name="Normal 8 2 2 3 3 3 2" xfId="13706" xr:uid="{D0D96D94-6718-4C14-9151-0166BC9FC28C}"/>
    <cellStyle name="Normal 8 2 2 3 3 4" xfId="9488" xr:uid="{0C7D7B8E-F056-46EA-98C4-42998C5DBCD3}"/>
    <cellStyle name="Normal 8 2 2 3 4" xfId="1369" xr:uid="{00000000-0005-0000-0000-00005E1C0000}"/>
    <cellStyle name="Normal 8 2 2 3 4 2" xfId="3599" xr:uid="{00000000-0005-0000-0000-00005F1C0000}"/>
    <cellStyle name="Normal 8 2 2 3 4 2 2" xfId="7822" xr:uid="{00000000-0005-0000-0000-0000601C0000}"/>
    <cellStyle name="Normal 8 2 2 3 4 2 2 2" xfId="16264" xr:uid="{59809CCE-3DFE-4420-8E4F-1936635E7BCB}"/>
    <cellStyle name="Normal 8 2 2 3 4 2 3" xfId="12046" xr:uid="{CFD2C468-F8D1-4923-98E7-452853AB9854}"/>
    <cellStyle name="Normal 8 2 2 3 4 3" xfId="5677" xr:uid="{00000000-0005-0000-0000-0000611C0000}"/>
    <cellStyle name="Normal 8 2 2 3 4 3 2" xfId="14119" xr:uid="{0F34B5ED-F299-411A-BEC6-E50218C46410}"/>
    <cellStyle name="Normal 8 2 2 3 4 4" xfId="9901" xr:uid="{B36373B4-C53C-4047-BF2F-AC895DBD0F61}"/>
    <cellStyle name="Normal 8 2 2 3 5" xfId="1782" xr:uid="{00000000-0005-0000-0000-0000621C0000}"/>
    <cellStyle name="Normal 8 2 2 3 5 2" xfId="4012" xr:uid="{00000000-0005-0000-0000-0000631C0000}"/>
    <cellStyle name="Normal 8 2 2 3 5 2 2" xfId="8235" xr:uid="{00000000-0005-0000-0000-0000641C0000}"/>
    <cellStyle name="Normal 8 2 2 3 5 2 2 2" xfId="16677" xr:uid="{450A7088-A6EF-428A-9F12-964F4FF50B28}"/>
    <cellStyle name="Normal 8 2 2 3 5 2 3" xfId="12459" xr:uid="{E7EAFD76-97FA-46A3-AC20-85ACF3C850A1}"/>
    <cellStyle name="Normal 8 2 2 3 5 3" xfId="6090" xr:uid="{00000000-0005-0000-0000-0000651C0000}"/>
    <cellStyle name="Normal 8 2 2 3 5 3 2" xfId="14532" xr:uid="{CE857AC8-F72F-4D41-81F2-BEB047CA0A4A}"/>
    <cellStyle name="Normal 8 2 2 3 5 4" xfId="10314" xr:uid="{FE756982-9C05-45E0-83F6-7110271DD53B}"/>
    <cellStyle name="Normal 8 2 2 3 6" xfId="2196" xr:uid="{00000000-0005-0000-0000-0000661C0000}"/>
    <cellStyle name="Normal 8 2 2 3 6 2" xfId="4425" xr:uid="{00000000-0005-0000-0000-0000671C0000}"/>
    <cellStyle name="Normal 8 2 2 3 6 2 2" xfId="8648" xr:uid="{00000000-0005-0000-0000-0000681C0000}"/>
    <cellStyle name="Normal 8 2 2 3 6 2 2 2" xfId="17090" xr:uid="{06984246-91A8-4A57-AFCB-5CAE82D12955}"/>
    <cellStyle name="Normal 8 2 2 3 6 2 3" xfId="12872" xr:uid="{7AA9B006-00FC-4A50-BBEB-B0FA678A7B56}"/>
    <cellStyle name="Normal 8 2 2 3 6 3" xfId="6503" xr:uid="{00000000-0005-0000-0000-0000691C0000}"/>
    <cellStyle name="Normal 8 2 2 3 6 3 2" xfId="14945" xr:uid="{9242A1B9-02A9-4A3E-BF10-8F7C020F7715}"/>
    <cellStyle name="Normal 8 2 2 3 6 4" xfId="10727" xr:uid="{70563442-BC76-40AC-87FD-1157EF8E8FC7}"/>
    <cellStyle name="Normal 8 2 2 3 7" xfId="2632" xr:uid="{00000000-0005-0000-0000-00006A1C0000}"/>
    <cellStyle name="Normal 8 2 2 3 7 2" xfId="6916" xr:uid="{00000000-0005-0000-0000-00006B1C0000}"/>
    <cellStyle name="Normal 8 2 2 3 7 2 2" xfId="15358" xr:uid="{6E8E38B3-7689-40BE-8881-6B945BA729CD}"/>
    <cellStyle name="Normal 8 2 2 3 7 3" xfId="11140" xr:uid="{4EA63DD7-F2B5-4A0A-B62D-EFAB3005D894}"/>
    <cellStyle name="Normal 8 2 2 3 8" xfId="4851" xr:uid="{00000000-0005-0000-0000-00006C1C0000}"/>
    <cellStyle name="Normal 8 2 2 3 8 2" xfId="13293" xr:uid="{54016842-DD63-4E79-BF82-ECE18C5F0BD7}"/>
    <cellStyle name="Normal 8 2 2 3 9" xfId="9075" xr:uid="{0EF3066A-D635-4B5E-BDF8-15F9FD3016A2}"/>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2 2 2" xfId="15853" xr:uid="{291E891F-AB69-4ACB-9CC9-D219F2E1D084}"/>
    <cellStyle name="Normal 8 2 2 4 2 2 3" xfId="11635" xr:uid="{E860DD21-73AE-457F-B064-0B80F809CC45}"/>
    <cellStyle name="Normal 8 2 2 4 2 3" xfId="5266" xr:uid="{00000000-0005-0000-0000-0000711C0000}"/>
    <cellStyle name="Normal 8 2 2 4 2 3 2" xfId="13708" xr:uid="{5431024B-3050-44B7-B78D-0762CE7873CD}"/>
    <cellStyle name="Normal 8 2 2 4 2 4" xfId="9490" xr:uid="{9DF00FF0-5EE5-4F5E-8720-FD52CB2A4331}"/>
    <cellStyle name="Normal 8 2 2 4 3" xfId="1371" xr:uid="{00000000-0005-0000-0000-0000721C0000}"/>
    <cellStyle name="Normal 8 2 2 4 3 2" xfId="3601" xr:uid="{00000000-0005-0000-0000-0000731C0000}"/>
    <cellStyle name="Normal 8 2 2 4 3 2 2" xfId="7824" xr:uid="{00000000-0005-0000-0000-0000741C0000}"/>
    <cellStyle name="Normal 8 2 2 4 3 2 2 2" xfId="16266" xr:uid="{8D87B23E-0ABB-4A1E-8FD3-4CC3B13B1F70}"/>
    <cellStyle name="Normal 8 2 2 4 3 2 3" xfId="12048" xr:uid="{9ADBD283-6AB4-42E4-96CB-D6FA023388DC}"/>
    <cellStyle name="Normal 8 2 2 4 3 3" xfId="5679" xr:uid="{00000000-0005-0000-0000-0000751C0000}"/>
    <cellStyle name="Normal 8 2 2 4 3 3 2" xfId="14121" xr:uid="{6580760C-979B-40C7-98EB-463CE5EDDF8F}"/>
    <cellStyle name="Normal 8 2 2 4 3 4" xfId="9903" xr:uid="{A293EE19-8F08-4071-98E8-73762B5C8721}"/>
    <cellStyle name="Normal 8 2 2 4 4" xfId="1784" xr:uid="{00000000-0005-0000-0000-0000761C0000}"/>
    <cellStyle name="Normal 8 2 2 4 4 2" xfId="4014" xr:uid="{00000000-0005-0000-0000-0000771C0000}"/>
    <cellStyle name="Normal 8 2 2 4 4 2 2" xfId="8237" xr:uid="{00000000-0005-0000-0000-0000781C0000}"/>
    <cellStyle name="Normal 8 2 2 4 4 2 2 2" xfId="16679" xr:uid="{783F25B8-D1C8-4CA5-87A2-902C5BA80250}"/>
    <cellStyle name="Normal 8 2 2 4 4 2 3" xfId="12461" xr:uid="{A0A785D9-81EE-40EC-AA3F-DA0B643E0DE2}"/>
    <cellStyle name="Normal 8 2 2 4 4 3" xfId="6092" xr:uid="{00000000-0005-0000-0000-0000791C0000}"/>
    <cellStyle name="Normal 8 2 2 4 4 3 2" xfId="14534" xr:uid="{F5F11FB1-10B5-415F-A421-9B1A2B70DE1E}"/>
    <cellStyle name="Normal 8 2 2 4 4 4" xfId="10316" xr:uid="{5CEF8D86-C61D-439B-BAE9-F47E50545384}"/>
    <cellStyle name="Normal 8 2 2 4 5" xfId="2198" xr:uid="{00000000-0005-0000-0000-00007A1C0000}"/>
    <cellStyle name="Normal 8 2 2 4 5 2" xfId="4427" xr:uid="{00000000-0005-0000-0000-00007B1C0000}"/>
    <cellStyle name="Normal 8 2 2 4 5 2 2" xfId="8650" xr:uid="{00000000-0005-0000-0000-00007C1C0000}"/>
    <cellStyle name="Normal 8 2 2 4 5 2 2 2" xfId="17092" xr:uid="{DFAB9450-CE4B-41DA-B03B-3BDF93EEE8A0}"/>
    <cellStyle name="Normal 8 2 2 4 5 2 3" xfId="12874" xr:uid="{071F81E7-C68B-4F79-A038-A7121DDA10F2}"/>
    <cellStyle name="Normal 8 2 2 4 5 3" xfId="6505" xr:uid="{00000000-0005-0000-0000-00007D1C0000}"/>
    <cellStyle name="Normal 8 2 2 4 5 3 2" xfId="14947" xr:uid="{47DD8580-9D41-41D0-94B8-D62DA09FC00E}"/>
    <cellStyle name="Normal 8 2 2 4 5 4" xfId="10729" xr:uid="{1F313767-C83F-435A-8ADC-128AE7F40F28}"/>
    <cellStyle name="Normal 8 2 2 4 6" xfId="2634" xr:uid="{00000000-0005-0000-0000-00007E1C0000}"/>
    <cellStyle name="Normal 8 2 2 4 6 2" xfId="6918" xr:uid="{00000000-0005-0000-0000-00007F1C0000}"/>
    <cellStyle name="Normal 8 2 2 4 6 2 2" xfId="15360" xr:uid="{C250B44F-8E31-4D54-AF55-AEA4B40F6605}"/>
    <cellStyle name="Normal 8 2 2 4 6 3" xfId="11142" xr:uid="{790046F0-C3E9-4A33-9AFC-61F4B388CD24}"/>
    <cellStyle name="Normal 8 2 2 4 7" xfId="4853" xr:uid="{00000000-0005-0000-0000-0000801C0000}"/>
    <cellStyle name="Normal 8 2 2 4 7 2" xfId="13295" xr:uid="{7C05078A-EB8E-4821-BA89-918F5644AAC3}"/>
    <cellStyle name="Normal 8 2 2 4 8" xfId="9077" xr:uid="{C0C22954-43CE-4D12-894D-C496B0876C23}"/>
    <cellStyle name="Normal 8 2 2 5" xfId="947" xr:uid="{00000000-0005-0000-0000-0000811C0000}"/>
    <cellStyle name="Normal 8 2 2 5 2" xfId="3181" xr:uid="{00000000-0005-0000-0000-0000821C0000}"/>
    <cellStyle name="Normal 8 2 2 5 2 2" xfId="7404" xr:uid="{00000000-0005-0000-0000-0000831C0000}"/>
    <cellStyle name="Normal 8 2 2 5 2 2 2" xfId="15846" xr:uid="{043B7628-D725-414C-A2F9-125FB2FE6F3E}"/>
    <cellStyle name="Normal 8 2 2 5 2 3" xfId="11628" xr:uid="{2AA140CF-C965-421E-B33A-2CD853585622}"/>
    <cellStyle name="Normal 8 2 2 5 3" xfId="5259" xr:uid="{00000000-0005-0000-0000-0000841C0000}"/>
    <cellStyle name="Normal 8 2 2 5 3 2" xfId="13701" xr:uid="{5BE6C726-EFD0-40D4-9291-2157652D45C3}"/>
    <cellStyle name="Normal 8 2 2 5 4" xfId="9483" xr:uid="{7E218308-66AD-42B3-BA89-2B8F68557491}"/>
    <cellStyle name="Normal 8 2 2 6" xfId="1364" xr:uid="{00000000-0005-0000-0000-0000851C0000}"/>
    <cellStyle name="Normal 8 2 2 6 2" xfId="3594" xr:uid="{00000000-0005-0000-0000-0000861C0000}"/>
    <cellStyle name="Normal 8 2 2 6 2 2" xfId="7817" xr:uid="{00000000-0005-0000-0000-0000871C0000}"/>
    <cellStyle name="Normal 8 2 2 6 2 2 2" xfId="16259" xr:uid="{9AE89EE1-25DA-4DA2-93D0-8AA7834CED34}"/>
    <cellStyle name="Normal 8 2 2 6 2 3" xfId="12041" xr:uid="{409FEC73-CFD4-45BD-94A2-262CB1C1AEFC}"/>
    <cellStyle name="Normal 8 2 2 6 3" xfId="5672" xr:uid="{00000000-0005-0000-0000-0000881C0000}"/>
    <cellStyle name="Normal 8 2 2 6 3 2" xfId="14114" xr:uid="{466EEF09-7A5E-4FDA-9940-599223103F30}"/>
    <cellStyle name="Normal 8 2 2 6 4" xfId="9896" xr:uid="{7C523A3D-E914-49FD-97A1-20B6EA024315}"/>
    <cellStyle name="Normal 8 2 2 7" xfId="1777" xr:uid="{00000000-0005-0000-0000-0000891C0000}"/>
    <cellStyle name="Normal 8 2 2 7 2" xfId="4007" xr:uid="{00000000-0005-0000-0000-00008A1C0000}"/>
    <cellStyle name="Normal 8 2 2 7 2 2" xfId="8230" xr:uid="{00000000-0005-0000-0000-00008B1C0000}"/>
    <cellStyle name="Normal 8 2 2 7 2 2 2" xfId="16672" xr:uid="{A2CC5E2F-5A1F-4052-98EC-AD053A0828A8}"/>
    <cellStyle name="Normal 8 2 2 7 2 3" xfId="12454" xr:uid="{8BB3BF49-251B-4E97-A53C-6E73D1110F86}"/>
    <cellStyle name="Normal 8 2 2 7 3" xfId="6085" xr:uid="{00000000-0005-0000-0000-00008C1C0000}"/>
    <cellStyle name="Normal 8 2 2 7 3 2" xfId="14527" xr:uid="{A57809D8-A844-4366-920C-9524740BDCF7}"/>
    <cellStyle name="Normal 8 2 2 7 4" xfId="10309" xr:uid="{FB212455-20E1-4E9E-B7B3-D9813AC94040}"/>
    <cellStyle name="Normal 8 2 2 8" xfId="2191" xr:uid="{00000000-0005-0000-0000-00008D1C0000}"/>
    <cellStyle name="Normal 8 2 2 8 2" xfId="4420" xr:uid="{00000000-0005-0000-0000-00008E1C0000}"/>
    <cellStyle name="Normal 8 2 2 8 2 2" xfId="8643" xr:uid="{00000000-0005-0000-0000-00008F1C0000}"/>
    <cellStyle name="Normal 8 2 2 8 2 2 2" xfId="17085" xr:uid="{B8125B01-1DD8-42D1-9560-C2ECE4833FCF}"/>
    <cellStyle name="Normal 8 2 2 8 2 3" xfId="12867" xr:uid="{FA417E1F-4BD4-4D1C-A8E9-3CF45DE87A47}"/>
    <cellStyle name="Normal 8 2 2 8 3" xfId="6498" xr:uid="{00000000-0005-0000-0000-0000901C0000}"/>
    <cellStyle name="Normal 8 2 2 8 3 2" xfId="14940" xr:uid="{611931F2-1B9F-49AA-A6BE-9739AA639721}"/>
    <cellStyle name="Normal 8 2 2 8 4" xfId="10722" xr:uid="{43737120-5BF0-4F4C-99D0-57E3E20A931E}"/>
    <cellStyle name="Normal 8 2 2 9" xfId="2627" xr:uid="{00000000-0005-0000-0000-0000911C0000}"/>
    <cellStyle name="Normal 8 2 2 9 2" xfId="6911" xr:uid="{00000000-0005-0000-0000-0000921C0000}"/>
    <cellStyle name="Normal 8 2 2 9 2 2" xfId="15353" xr:uid="{2587E862-5CB1-42D1-9D7A-CB4B991D41D6}"/>
    <cellStyle name="Normal 8 2 2 9 3" xfId="11135" xr:uid="{8A10D2B3-6FDC-4D48-A60F-5C9279B92F5E}"/>
    <cellStyle name="Normal 8 2 3" xfId="488" xr:uid="{00000000-0005-0000-0000-0000931C0000}"/>
    <cellStyle name="Normal 8 2 3 10" xfId="9078" xr:uid="{91C784C6-5A68-45FA-A5B7-17906AB1BD74}"/>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2 2 2" xfId="15856" xr:uid="{A8C52C70-8FD7-4C9C-8E8D-FD6B961D5B6E}"/>
    <cellStyle name="Normal 8 2 3 2 2 2 2 3" xfId="11638" xr:uid="{7CFB37BD-5D9A-45F0-BC51-A5FC2799B5B7}"/>
    <cellStyle name="Normal 8 2 3 2 2 2 3" xfId="5269" xr:uid="{00000000-0005-0000-0000-0000991C0000}"/>
    <cellStyle name="Normal 8 2 3 2 2 2 3 2" xfId="13711" xr:uid="{B42F8E77-9428-4448-91A9-E20DAE61389F}"/>
    <cellStyle name="Normal 8 2 3 2 2 2 4" xfId="9493" xr:uid="{9DD0D608-3C3F-42D7-8F51-EECF14414B94}"/>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2 2 2" xfId="16269" xr:uid="{5B5FAFE2-2E62-4707-B5D4-BBD269B08690}"/>
    <cellStyle name="Normal 8 2 3 2 2 3 2 3" xfId="12051" xr:uid="{9DEB4D55-D502-46C3-9498-F0A6F914F2AB}"/>
    <cellStyle name="Normal 8 2 3 2 2 3 3" xfId="5682" xr:uid="{00000000-0005-0000-0000-00009D1C0000}"/>
    <cellStyle name="Normal 8 2 3 2 2 3 3 2" xfId="14124" xr:uid="{848C2A1B-EDAB-463F-B6ED-67978968E225}"/>
    <cellStyle name="Normal 8 2 3 2 2 3 4" xfId="9906" xr:uid="{F5045374-C920-4CE2-ACD0-CD9344BB15BE}"/>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2 2 2" xfId="16682" xr:uid="{7DF6BEED-4470-4E0E-87A8-3C06A654F81F}"/>
    <cellStyle name="Normal 8 2 3 2 2 4 2 3" xfId="12464" xr:uid="{66D0FA0A-7B6D-4C90-BBCC-F6A050BCE97D}"/>
    <cellStyle name="Normal 8 2 3 2 2 4 3" xfId="6095" xr:uid="{00000000-0005-0000-0000-0000A11C0000}"/>
    <cellStyle name="Normal 8 2 3 2 2 4 3 2" xfId="14537" xr:uid="{083B8D33-94AE-4F2F-9B50-72CECCAC81F9}"/>
    <cellStyle name="Normal 8 2 3 2 2 4 4" xfId="10319" xr:uid="{99BBAD3C-4B97-4B71-9933-CF8F4A00007A}"/>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2 2 2" xfId="17095" xr:uid="{A1E872B0-71EF-4052-AF27-D146B325241A}"/>
    <cellStyle name="Normal 8 2 3 2 2 5 2 3" xfId="12877" xr:uid="{85355C27-04F7-4279-8733-5C1F97E39F7C}"/>
    <cellStyle name="Normal 8 2 3 2 2 5 3" xfId="6508" xr:uid="{00000000-0005-0000-0000-0000A51C0000}"/>
    <cellStyle name="Normal 8 2 3 2 2 5 3 2" xfId="14950" xr:uid="{C4DCA8F4-0E5D-4FED-B2AD-5CE26C573272}"/>
    <cellStyle name="Normal 8 2 3 2 2 5 4" xfId="10732" xr:uid="{1CAA9B88-8957-4E73-9E4F-D11F94CD0D4C}"/>
    <cellStyle name="Normal 8 2 3 2 2 6" xfId="2637" xr:uid="{00000000-0005-0000-0000-0000A61C0000}"/>
    <cellStyle name="Normal 8 2 3 2 2 6 2" xfId="6921" xr:uid="{00000000-0005-0000-0000-0000A71C0000}"/>
    <cellStyle name="Normal 8 2 3 2 2 6 2 2" xfId="15363" xr:uid="{88D4D4F6-9655-4707-AF9D-06BA528899A3}"/>
    <cellStyle name="Normal 8 2 3 2 2 6 3" xfId="11145" xr:uid="{8D8DAEFF-9B9B-4B52-AC9F-A519D9AB994D}"/>
    <cellStyle name="Normal 8 2 3 2 2 7" xfId="4856" xr:uid="{00000000-0005-0000-0000-0000A81C0000}"/>
    <cellStyle name="Normal 8 2 3 2 2 7 2" xfId="13298" xr:uid="{092BFABF-DA27-41FC-B183-AAD13E4EFB93}"/>
    <cellStyle name="Normal 8 2 3 2 2 8" xfId="9080" xr:uid="{35AF27CA-AACF-418B-AACA-74E6F6A17659}"/>
    <cellStyle name="Normal 8 2 3 2 3" xfId="956" xr:uid="{00000000-0005-0000-0000-0000A91C0000}"/>
    <cellStyle name="Normal 8 2 3 2 3 2" xfId="3190" xr:uid="{00000000-0005-0000-0000-0000AA1C0000}"/>
    <cellStyle name="Normal 8 2 3 2 3 2 2" xfId="7413" xr:uid="{00000000-0005-0000-0000-0000AB1C0000}"/>
    <cellStyle name="Normal 8 2 3 2 3 2 2 2" xfId="15855" xr:uid="{0AB82352-BEA0-493D-B5B7-2BDD7177D234}"/>
    <cellStyle name="Normal 8 2 3 2 3 2 3" xfId="11637" xr:uid="{AD2AE63F-0A9F-48CE-A399-3977988B0B73}"/>
    <cellStyle name="Normal 8 2 3 2 3 3" xfId="5268" xr:uid="{00000000-0005-0000-0000-0000AC1C0000}"/>
    <cellStyle name="Normal 8 2 3 2 3 3 2" xfId="13710" xr:uid="{9B2F2647-2DA2-41E4-B5FC-299233A1D65E}"/>
    <cellStyle name="Normal 8 2 3 2 3 4" xfId="9492" xr:uid="{3E8DCBB1-6BC9-4D22-9352-F5D02500087C}"/>
    <cellStyle name="Normal 8 2 3 2 4" xfId="1373" xr:uid="{00000000-0005-0000-0000-0000AD1C0000}"/>
    <cellStyle name="Normal 8 2 3 2 4 2" xfId="3603" xr:uid="{00000000-0005-0000-0000-0000AE1C0000}"/>
    <cellStyle name="Normal 8 2 3 2 4 2 2" xfId="7826" xr:uid="{00000000-0005-0000-0000-0000AF1C0000}"/>
    <cellStyle name="Normal 8 2 3 2 4 2 2 2" xfId="16268" xr:uid="{A748D9A8-ED89-4170-BDE0-133472FC1567}"/>
    <cellStyle name="Normal 8 2 3 2 4 2 3" xfId="12050" xr:uid="{4B193FF4-3F74-4E50-84C0-F260F125B5AA}"/>
    <cellStyle name="Normal 8 2 3 2 4 3" xfId="5681" xr:uid="{00000000-0005-0000-0000-0000B01C0000}"/>
    <cellStyle name="Normal 8 2 3 2 4 3 2" xfId="14123" xr:uid="{01ED6C4E-3F35-4E0B-9139-F901C9F237FD}"/>
    <cellStyle name="Normal 8 2 3 2 4 4" xfId="9905" xr:uid="{74B08C4A-A492-4377-8E9E-7D716013297D}"/>
    <cellStyle name="Normal 8 2 3 2 5" xfId="1786" xr:uid="{00000000-0005-0000-0000-0000B11C0000}"/>
    <cellStyle name="Normal 8 2 3 2 5 2" xfId="4016" xr:uid="{00000000-0005-0000-0000-0000B21C0000}"/>
    <cellStyle name="Normal 8 2 3 2 5 2 2" xfId="8239" xr:uid="{00000000-0005-0000-0000-0000B31C0000}"/>
    <cellStyle name="Normal 8 2 3 2 5 2 2 2" xfId="16681" xr:uid="{69B4B37F-083B-49E3-BB72-75DA797D0E77}"/>
    <cellStyle name="Normal 8 2 3 2 5 2 3" xfId="12463" xr:uid="{8BF5AFCC-445A-4E5B-B7AF-93CF4F7241B1}"/>
    <cellStyle name="Normal 8 2 3 2 5 3" xfId="6094" xr:uid="{00000000-0005-0000-0000-0000B41C0000}"/>
    <cellStyle name="Normal 8 2 3 2 5 3 2" xfId="14536" xr:uid="{B9293416-9DE6-485A-B634-9D603381A0BE}"/>
    <cellStyle name="Normal 8 2 3 2 5 4" xfId="10318" xr:uid="{40E1A02C-7D40-4D12-B35D-879E90ACD41C}"/>
    <cellStyle name="Normal 8 2 3 2 6" xfId="2200" xr:uid="{00000000-0005-0000-0000-0000B51C0000}"/>
    <cellStyle name="Normal 8 2 3 2 6 2" xfId="4429" xr:uid="{00000000-0005-0000-0000-0000B61C0000}"/>
    <cellStyle name="Normal 8 2 3 2 6 2 2" xfId="8652" xr:uid="{00000000-0005-0000-0000-0000B71C0000}"/>
    <cellStyle name="Normal 8 2 3 2 6 2 2 2" xfId="17094" xr:uid="{5FCDFD98-91DD-4450-8415-586CADFD4C55}"/>
    <cellStyle name="Normal 8 2 3 2 6 2 3" xfId="12876" xr:uid="{66D6D306-8E19-40E3-84E2-E73F4BBA25BD}"/>
    <cellStyle name="Normal 8 2 3 2 6 3" xfId="6507" xr:uid="{00000000-0005-0000-0000-0000B81C0000}"/>
    <cellStyle name="Normal 8 2 3 2 6 3 2" xfId="14949" xr:uid="{D5A2D0D3-1342-4A5B-8B79-F22E9E4A716B}"/>
    <cellStyle name="Normal 8 2 3 2 6 4" xfId="10731" xr:uid="{E52CFB9E-F18C-4E49-ADE6-E60E5612923B}"/>
    <cellStyle name="Normal 8 2 3 2 7" xfId="2636" xr:uid="{00000000-0005-0000-0000-0000B91C0000}"/>
    <cellStyle name="Normal 8 2 3 2 7 2" xfId="6920" xr:uid="{00000000-0005-0000-0000-0000BA1C0000}"/>
    <cellStyle name="Normal 8 2 3 2 7 2 2" xfId="15362" xr:uid="{9302D81E-5248-487D-8443-7E799264D398}"/>
    <cellStyle name="Normal 8 2 3 2 7 3" xfId="11144" xr:uid="{88659D30-EA79-4DCA-9E83-C9B6ECDB28F6}"/>
    <cellStyle name="Normal 8 2 3 2 8" xfId="4855" xr:uid="{00000000-0005-0000-0000-0000BB1C0000}"/>
    <cellStyle name="Normal 8 2 3 2 8 2" xfId="13297" xr:uid="{5E7920B1-92C1-444D-B1E3-17BBD25DC415}"/>
    <cellStyle name="Normal 8 2 3 2 9" xfId="9079" xr:uid="{98C65DEA-D236-4925-85CB-417F55768973}"/>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2 2 2" xfId="15857" xr:uid="{F93EFDDE-8B0A-49A4-B642-FAEAA22F033D}"/>
    <cellStyle name="Normal 8 2 3 3 2 2 3" xfId="11639" xr:uid="{0158C6A6-5696-4B16-8A82-8DF80A3DC5A0}"/>
    <cellStyle name="Normal 8 2 3 3 2 3" xfId="5270" xr:uid="{00000000-0005-0000-0000-0000C01C0000}"/>
    <cellStyle name="Normal 8 2 3 3 2 3 2" xfId="13712" xr:uid="{A74112DD-B267-4A36-9A85-8B99CBF9B9FD}"/>
    <cellStyle name="Normal 8 2 3 3 2 4" xfId="9494" xr:uid="{A71F118E-AFAE-4020-A914-1D654161A2FC}"/>
    <cellStyle name="Normal 8 2 3 3 3" xfId="1375" xr:uid="{00000000-0005-0000-0000-0000C11C0000}"/>
    <cellStyle name="Normal 8 2 3 3 3 2" xfId="3605" xr:uid="{00000000-0005-0000-0000-0000C21C0000}"/>
    <cellStyle name="Normal 8 2 3 3 3 2 2" xfId="7828" xr:uid="{00000000-0005-0000-0000-0000C31C0000}"/>
    <cellStyle name="Normal 8 2 3 3 3 2 2 2" xfId="16270" xr:uid="{59F5064A-4BEE-4EAF-BC78-733AB897EB8A}"/>
    <cellStyle name="Normal 8 2 3 3 3 2 3" xfId="12052" xr:uid="{FE91E4A7-5AEF-4189-8217-7117CE050A69}"/>
    <cellStyle name="Normal 8 2 3 3 3 3" xfId="5683" xr:uid="{00000000-0005-0000-0000-0000C41C0000}"/>
    <cellStyle name="Normal 8 2 3 3 3 3 2" xfId="14125" xr:uid="{760E2107-6B0D-4D90-AC87-4F45A48FCAE1}"/>
    <cellStyle name="Normal 8 2 3 3 3 4" xfId="9907" xr:uid="{FE0A7FC7-080D-4BCC-94F0-A01AD0ADFCB1}"/>
    <cellStyle name="Normal 8 2 3 3 4" xfId="1788" xr:uid="{00000000-0005-0000-0000-0000C51C0000}"/>
    <cellStyle name="Normal 8 2 3 3 4 2" xfId="4018" xr:uid="{00000000-0005-0000-0000-0000C61C0000}"/>
    <cellStyle name="Normal 8 2 3 3 4 2 2" xfId="8241" xr:uid="{00000000-0005-0000-0000-0000C71C0000}"/>
    <cellStyle name="Normal 8 2 3 3 4 2 2 2" xfId="16683" xr:uid="{801EC6C9-56E0-40F6-AAC3-39088D2E6B96}"/>
    <cellStyle name="Normal 8 2 3 3 4 2 3" xfId="12465" xr:uid="{E46727B5-9648-4B2F-B6E3-05FD7CC97775}"/>
    <cellStyle name="Normal 8 2 3 3 4 3" xfId="6096" xr:uid="{00000000-0005-0000-0000-0000C81C0000}"/>
    <cellStyle name="Normal 8 2 3 3 4 3 2" xfId="14538" xr:uid="{25AD22DF-A8E9-4871-9480-9CDDA5DB77DF}"/>
    <cellStyle name="Normal 8 2 3 3 4 4" xfId="10320" xr:uid="{BC2DBD91-75A4-454F-BBCD-D1AEB27653A4}"/>
    <cellStyle name="Normal 8 2 3 3 5" xfId="2202" xr:uid="{00000000-0005-0000-0000-0000C91C0000}"/>
    <cellStyle name="Normal 8 2 3 3 5 2" xfId="4431" xr:uid="{00000000-0005-0000-0000-0000CA1C0000}"/>
    <cellStyle name="Normal 8 2 3 3 5 2 2" xfId="8654" xr:uid="{00000000-0005-0000-0000-0000CB1C0000}"/>
    <cellStyle name="Normal 8 2 3 3 5 2 2 2" xfId="17096" xr:uid="{AC62E9A2-55E8-4F20-B8D1-FC6D6A3C481A}"/>
    <cellStyle name="Normal 8 2 3 3 5 2 3" xfId="12878" xr:uid="{22F1AD87-059A-4942-A4F9-17F580329BC5}"/>
    <cellStyle name="Normal 8 2 3 3 5 3" xfId="6509" xr:uid="{00000000-0005-0000-0000-0000CC1C0000}"/>
    <cellStyle name="Normal 8 2 3 3 5 3 2" xfId="14951" xr:uid="{E0D5BD17-207B-4082-A934-1FC7DEEB9882}"/>
    <cellStyle name="Normal 8 2 3 3 5 4" xfId="10733" xr:uid="{E1FA9522-B252-462E-8859-666B511E2126}"/>
    <cellStyle name="Normal 8 2 3 3 6" xfId="2638" xr:uid="{00000000-0005-0000-0000-0000CD1C0000}"/>
    <cellStyle name="Normal 8 2 3 3 6 2" xfId="6922" xr:uid="{00000000-0005-0000-0000-0000CE1C0000}"/>
    <cellStyle name="Normal 8 2 3 3 6 2 2" xfId="15364" xr:uid="{065130DD-858E-4CCB-9190-0CC845EDFB3D}"/>
    <cellStyle name="Normal 8 2 3 3 6 3" xfId="11146" xr:uid="{D01050F0-1CB8-4A44-91E1-7C4C5254C9B1}"/>
    <cellStyle name="Normal 8 2 3 3 7" xfId="4857" xr:uid="{00000000-0005-0000-0000-0000CF1C0000}"/>
    <cellStyle name="Normal 8 2 3 3 7 2" xfId="13299" xr:uid="{3B73A645-48B6-4CF0-ABD9-941783F27703}"/>
    <cellStyle name="Normal 8 2 3 3 8" xfId="9081" xr:uid="{E7BC533C-EB20-4716-85D4-8317127F7837}"/>
    <cellStyle name="Normal 8 2 3 4" xfId="955" xr:uid="{00000000-0005-0000-0000-0000D01C0000}"/>
    <cellStyle name="Normal 8 2 3 4 2" xfId="3189" xr:uid="{00000000-0005-0000-0000-0000D11C0000}"/>
    <cellStyle name="Normal 8 2 3 4 2 2" xfId="7412" xr:uid="{00000000-0005-0000-0000-0000D21C0000}"/>
    <cellStyle name="Normal 8 2 3 4 2 2 2" xfId="15854" xr:uid="{0D47B9FA-129D-4B62-9C3D-040C57A18A90}"/>
    <cellStyle name="Normal 8 2 3 4 2 3" xfId="11636" xr:uid="{A06F65CB-5EAF-4623-AFF0-43F2F37B8C7C}"/>
    <cellStyle name="Normal 8 2 3 4 3" xfId="5267" xr:uid="{00000000-0005-0000-0000-0000D31C0000}"/>
    <cellStyle name="Normal 8 2 3 4 3 2" xfId="13709" xr:uid="{6CDD04E2-83A0-40E5-93C9-2B6E3B867DB7}"/>
    <cellStyle name="Normal 8 2 3 4 4" xfId="9491" xr:uid="{2919F099-42F8-4592-8A96-A79F441DD8CB}"/>
    <cellStyle name="Normal 8 2 3 5" xfId="1372" xr:uid="{00000000-0005-0000-0000-0000D41C0000}"/>
    <cellStyle name="Normal 8 2 3 5 2" xfId="3602" xr:uid="{00000000-0005-0000-0000-0000D51C0000}"/>
    <cellStyle name="Normal 8 2 3 5 2 2" xfId="7825" xr:uid="{00000000-0005-0000-0000-0000D61C0000}"/>
    <cellStyle name="Normal 8 2 3 5 2 2 2" xfId="16267" xr:uid="{A2A4521F-89C8-40D3-BE94-CB6E2C8C681B}"/>
    <cellStyle name="Normal 8 2 3 5 2 3" xfId="12049" xr:uid="{7C0F2959-6D01-4172-8D5F-6AD8A55E1CEB}"/>
    <cellStyle name="Normal 8 2 3 5 3" xfId="5680" xr:uid="{00000000-0005-0000-0000-0000D71C0000}"/>
    <cellStyle name="Normal 8 2 3 5 3 2" xfId="14122" xr:uid="{FC10CC1A-0644-4AA6-8AF0-6CD2F58E40EC}"/>
    <cellStyle name="Normal 8 2 3 5 4" xfId="9904" xr:uid="{D4BDA023-0A78-420C-BEBE-987DD6094720}"/>
    <cellStyle name="Normal 8 2 3 6" xfId="1785" xr:uid="{00000000-0005-0000-0000-0000D81C0000}"/>
    <cellStyle name="Normal 8 2 3 6 2" xfId="4015" xr:uid="{00000000-0005-0000-0000-0000D91C0000}"/>
    <cellStyle name="Normal 8 2 3 6 2 2" xfId="8238" xr:uid="{00000000-0005-0000-0000-0000DA1C0000}"/>
    <cellStyle name="Normal 8 2 3 6 2 2 2" xfId="16680" xr:uid="{B3B4078D-2AE5-4C89-83F3-A4EDA966EB8A}"/>
    <cellStyle name="Normal 8 2 3 6 2 3" xfId="12462" xr:uid="{2128B14D-86EA-4485-8986-0DCD918E48B2}"/>
    <cellStyle name="Normal 8 2 3 6 3" xfId="6093" xr:uid="{00000000-0005-0000-0000-0000DB1C0000}"/>
    <cellStyle name="Normal 8 2 3 6 3 2" xfId="14535" xr:uid="{FED8DD18-AC6C-40E3-834E-B18F7524FED9}"/>
    <cellStyle name="Normal 8 2 3 6 4" xfId="10317" xr:uid="{C8C00A63-BF4D-414B-AF56-A733E59B76DF}"/>
    <cellStyle name="Normal 8 2 3 7" xfId="2199" xr:uid="{00000000-0005-0000-0000-0000DC1C0000}"/>
    <cellStyle name="Normal 8 2 3 7 2" xfId="4428" xr:uid="{00000000-0005-0000-0000-0000DD1C0000}"/>
    <cellStyle name="Normal 8 2 3 7 2 2" xfId="8651" xr:uid="{00000000-0005-0000-0000-0000DE1C0000}"/>
    <cellStyle name="Normal 8 2 3 7 2 2 2" xfId="17093" xr:uid="{3FB3FB33-1200-43CE-8D6B-2E5CF7017FA2}"/>
    <cellStyle name="Normal 8 2 3 7 2 3" xfId="12875" xr:uid="{96EBD806-5296-41B1-8D1B-CC517F1F6403}"/>
    <cellStyle name="Normal 8 2 3 7 3" xfId="6506" xr:uid="{00000000-0005-0000-0000-0000DF1C0000}"/>
    <cellStyle name="Normal 8 2 3 7 3 2" xfId="14948" xr:uid="{08E064B3-3B6E-456A-8B19-222B0F4B6DFB}"/>
    <cellStyle name="Normal 8 2 3 7 4" xfId="10730" xr:uid="{BECD473B-CD07-48A6-ACE7-D338FAB112FD}"/>
    <cellStyle name="Normal 8 2 3 8" xfId="2635" xr:uid="{00000000-0005-0000-0000-0000E01C0000}"/>
    <cellStyle name="Normal 8 2 3 8 2" xfId="6919" xr:uid="{00000000-0005-0000-0000-0000E11C0000}"/>
    <cellStyle name="Normal 8 2 3 8 2 2" xfId="15361" xr:uid="{DBBDAF1A-2B02-4CCE-9431-FA088E326A92}"/>
    <cellStyle name="Normal 8 2 3 8 3" xfId="11143" xr:uid="{62E8AC7F-A7A6-48FB-A0DB-3D453CBB4231}"/>
    <cellStyle name="Normal 8 2 3 9" xfId="4854" xr:uid="{00000000-0005-0000-0000-0000E21C0000}"/>
    <cellStyle name="Normal 8 2 3 9 2" xfId="13296" xr:uid="{F343C3B7-E0B5-48DB-8692-696C47A1E06A}"/>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2 2 2" xfId="15859" xr:uid="{A79094DA-537B-423B-A3CA-97A53C166ED5}"/>
    <cellStyle name="Normal 8 2 4 2 2 2 3" xfId="11641" xr:uid="{93FE5D84-42C7-4EAC-9A8C-51CB890FA749}"/>
    <cellStyle name="Normal 8 2 4 2 2 3" xfId="5272" xr:uid="{00000000-0005-0000-0000-0000E81C0000}"/>
    <cellStyle name="Normal 8 2 4 2 2 3 2" xfId="13714" xr:uid="{E5FDA2D9-DDB1-414A-B615-90885ADC40F7}"/>
    <cellStyle name="Normal 8 2 4 2 2 4" xfId="9496" xr:uid="{AFFC2A15-7632-4DFF-958A-7FC8DEC46AAC}"/>
    <cellStyle name="Normal 8 2 4 2 3" xfId="1377" xr:uid="{00000000-0005-0000-0000-0000E91C0000}"/>
    <cellStyle name="Normal 8 2 4 2 3 2" xfId="3607" xr:uid="{00000000-0005-0000-0000-0000EA1C0000}"/>
    <cellStyle name="Normal 8 2 4 2 3 2 2" xfId="7830" xr:uid="{00000000-0005-0000-0000-0000EB1C0000}"/>
    <cellStyle name="Normal 8 2 4 2 3 2 2 2" xfId="16272" xr:uid="{DCCCAA37-66E4-44CA-876B-4BFE797BC968}"/>
    <cellStyle name="Normal 8 2 4 2 3 2 3" xfId="12054" xr:uid="{093AAE14-A15A-4B8A-B36E-2A0714D5F4BA}"/>
    <cellStyle name="Normal 8 2 4 2 3 3" xfId="5685" xr:uid="{00000000-0005-0000-0000-0000EC1C0000}"/>
    <cellStyle name="Normal 8 2 4 2 3 3 2" xfId="14127" xr:uid="{F493E738-0CE4-4707-9E36-F0532D0A5A08}"/>
    <cellStyle name="Normal 8 2 4 2 3 4" xfId="9909" xr:uid="{2D8A8930-9085-492B-95A5-EC542FBC5EF5}"/>
    <cellStyle name="Normal 8 2 4 2 4" xfId="1790" xr:uid="{00000000-0005-0000-0000-0000ED1C0000}"/>
    <cellStyle name="Normal 8 2 4 2 4 2" xfId="4020" xr:uid="{00000000-0005-0000-0000-0000EE1C0000}"/>
    <cellStyle name="Normal 8 2 4 2 4 2 2" xfId="8243" xr:uid="{00000000-0005-0000-0000-0000EF1C0000}"/>
    <cellStyle name="Normal 8 2 4 2 4 2 2 2" xfId="16685" xr:uid="{EDD5FA3A-236A-4743-B481-D5CC428EB97F}"/>
    <cellStyle name="Normal 8 2 4 2 4 2 3" xfId="12467" xr:uid="{B475F44B-CD59-4916-A436-C193AF976CC4}"/>
    <cellStyle name="Normal 8 2 4 2 4 3" xfId="6098" xr:uid="{00000000-0005-0000-0000-0000F01C0000}"/>
    <cellStyle name="Normal 8 2 4 2 4 3 2" xfId="14540" xr:uid="{182AC25C-451D-41EC-8819-8A86E3F34CBF}"/>
    <cellStyle name="Normal 8 2 4 2 4 4" xfId="10322" xr:uid="{3D4D1A01-6CD4-4F03-BA73-FA232450C987}"/>
    <cellStyle name="Normal 8 2 4 2 5" xfId="2204" xr:uid="{00000000-0005-0000-0000-0000F11C0000}"/>
    <cellStyle name="Normal 8 2 4 2 5 2" xfId="4433" xr:uid="{00000000-0005-0000-0000-0000F21C0000}"/>
    <cellStyle name="Normal 8 2 4 2 5 2 2" xfId="8656" xr:uid="{00000000-0005-0000-0000-0000F31C0000}"/>
    <cellStyle name="Normal 8 2 4 2 5 2 2 2" xfId="17098" xr:uid="{54E4BD6C-6C1A-4094-8CDD-7FC3A6EB9D72}"/>
    <cellStyle name="Normal 8 2 4 2 5 2 3" xfId="12880" xr:uid="{D7236ADF-2F3A-4AC8-9F1F-4AA39AF75959}"/>
    <cellStyle name="Normal 8 2 4 2 5 3" xfId="6511" xr:uid="{00000000-0005-0000-0000-0000F41C0000}"/>
    <cellStyle name="Normal 8 2 4 2 5 3 2" xfId="14953" xr:uid="{A9B9B74B-26A2-41A4-8A81-06317E93A859}"/>
    <cellStyle name="Normal 8 2 4 2 5 4" xfId="10735" xr:uid="{3DEE630A-1A74-4F38-8C3A-7DEA4F0467A9}"/>
    <cellStyle name="Normal 8 2 4 2 6" xfId="2640" xr:uid="{00000000-0005-0000-0000-0000F51C0000}"/>
    <cellStyle name="Normal 8 2 4 2 6 2" xfId="6924" xr:uid="{00000000-0005-0000-0000-0000F61C0000}"/>
    <cellStyle name="Normal 8 2 4 2 6 2 2" xfId="15366" xr:uid="{92E4A1A0-7C21-4636-8F02-6A95F4410A97}"/>
    <cellStyle name="Normal 8 2 4 2 6 3" xfId="11148" xr:uid="{3D590268-747F-4B49-936F-48C031846A09}"/>
    <cellStyle name="Normal 8 2 4 2 7" xfId="4859" xr:uid="{00000000-0005-0000-0000-0000F71C0000}"/>
    <cellStyle name="Normal 8 2 4 2 7 2" xfId="13301" xr:uid="{EC99D4FA-41DC-4F28-9127-77C4E4E0A784}"/>
    <cellStyle name="Normal 8 2 4 2 8" xfId="9083" xr:uid="{5353E645-CE25-4679-9CE1-7854A21A72F0}"/>
    <cellStyle name="Normal 8 2 4 3" xfId="959" xr:uid="{00000000-0005-0000-0000-0000F81C0000}"/>
    <cellStyle name="Normal 8 2 4 3 2" xfId="3193" xr:uid="{00000000-0005-0000-0000-0000F91C0000}"/>
    <cellStyle name="Normal 8 2 4 3 2 2" xfId="7416" xr:uid="{00000000-0005-0000-0000-0000FA1C0000}"/>
    <cellStyle name="Normal 8 2 4 3 2 2 2" xfId="15858" xr:uid="{4D57B57D-FD7C-4514-8F76-6B3D1718B1A5}"/>
    <cellStyle name="Normal 8 2 4 3 2 3" xfId="11640" xr:uid="{466A6181-7801-4DF4-BD9A-A6A9D859491C}"/>
    <cellStyle name="Normal 8 2 4 3 3" xfId="5271" xr:uid="{00000000-0005-0000-0000-0000FB1C0000}"/>
    <cellStyle name="Normal 8 2 4 3 3 2" xfId="13713" xr:uid="{64A2EAC5-E8CC-42C1-939E-43684760BE71}"/>
    <cellStyle name="Normal 8 2 4 3 4" xfId="9495" xr:uid="{0581EA8F-EF95-4665-9E32-02C400AEEE24}"/>
    <cellStyle name="Normal 8 2 4 4" xfId="1376" xr:uid="{00000000-0005-0000-0000-0000FC1C0000}"/>
    <cellStyle name="Normal 8 2 4 4 2" xfId="3606" xr:uid="{00000000-0005-0000-0000-0000FD1C0000}"/>
    <cellStyle name="Normal 8 2 4 4 2 2" xfId="7829" xr:uid="{00000000-0005-0000-0000-0000FE1C0000}"/>
    <cellStyle name="Normal 8 2 4 4 2 2 2" xfId="16271" xr:uid="{0BCB7DD5-8689-42AA-834B-876F178662F5}"/>
    <cellStyle name="Normal 8 2 4 4 2 3" xfId="12053" xr:uid="{05101E39-A682-4AB0-8543-86E874022B4E}"/>
    <cellStyle name="Normal 8 2 4 4 3" xfId="5684" xr:uid="{00000000-0005-0000-0000-0000FF1C0000}"/>
    <cellStyle name="Normal 8 2 4 4 3 2" xfId="14126" xr:uid="{9F2F3614-7B36-49D5-A94F-0ED17BA1240B}"/>
    <cellStyle name="Normal 8 2 4 4 4" xfId="9908" xr:uid="{AF5457F4-6FCB-4FBB-A3F9-C4F2D991A904}"/>
    <cellStyle name="Normal 8 2 4 5" xfId="1789" xr:uid="{00000000-0005-0000-0000-0000001D0000}"/>
    <cellStyle name="Normal 8 2 4 5 2" xfId="4019" xr:uid="{00000000-0005-0000-0000-0000011D0000}"/>
    <cellStyle name="Normal 8 2 4 5 2 2" xfId="8242" xr:uid="{00000000-0005-0000-0000-0000021D0000}"/>
    <cellStyle name="Normal 8 2 4 5 2 2 2" xfId="16684" xr:uid="{83C36D32-E10D-45C9-BECC-83BFEA6EB5F8}"/>
    <cellStyle name="Normal 8 2 4 5 2 3" xfId="12466" xr:uid="{DC0707BC-864A-43B6-BE7A-CB7B598D8836}"/>
    <cellStyle name="Normal 8 2 4 5 3" xfId="6097" xr:uid="{00000000-0005-0000-0000-0000031D0000}"/>
    <cellStyle name="Normal 8 2 4 5 3 2" xfId="14539" xr:uid="{D0EC2128-B8E7-480A-B53A-CD4F6DDAFB21}"/>
    <cellStyle name="Normal 8 2 4 5 4" xfId="10321" xr:uid="{22F0FD11-1201-46F7-B36E-DE508184DC2F}"/>
    <cellStyle name="Normal 8 2 4 6" xfId="2203" xr:uid="{00000000-0005-0000-0000-0000041D0000}"/>
    <cellStyle name="Normal 8 2 4 6 2" xfId="4432" xr:uid="{00000000-0005-0000-0000-0000051D0000}"/>
    <cellStyle name="Normal 8 2 4 6 2 2" xfId="8655" xr:uid="{00000000-0005-0000-0000-0000061D0000}"/>
    <cellStyle name="Normal 8 2 4 6 2 2 2" xfId="17097" xr:uid="{6A88E4E9-70B8-4FB8-924E-8CD9E569D651}"/>
    <cellStyle name="Normal 8 2 4 6 2 3" xfId="12879" xr:uid="{CED0A342-CC89-4CAF-9529-03FBAEFCE64E}"/>
    <cellStyle name="Normal 8 2 4 6 3" xfId="6510" xr:uid="{00000000-0005-0000-0000-0000071D0000}"/>
    <cellStyle name="Normal 8 2 4 6 3 2" xfId="14952" xr:uid="{7C59E7B1-9DC5-46AE-9830-EC9778AF470D}"/>
    <cellStyle name="Normal 8 2 4 6 4" xfId="10734" xr:uid="{D65D508C-EB5A-409F-BBF4-03DE12E1784B}"/>
    <cellStyle name="Normal 8 2 4 7" xfId="2639" xr:uid="{00000000-0005-0000-0000-0000081D0000}"/>
    <cellStyle name="Normal 8 2 4 7 2" xfId="6923" xr:uid="{00000000-0005-0000-0000-0000091D0000}"/>
    <cellStyle name="Normal 8 2 4 7 2 2" xfId="15365" xr:uid="{3BC5DD34-054D-4F85-9B80-802A2DDE65C8}"/>
    <cellStyle name="Normal 8 2 4 7 3" xfId="11147" xr:uid="{40C2C7A2-1987-40ED-98E6-329C12470041}"/>
    <cellStyle name="Normal 8 2 4 8" xfId="4858" xr:uid="{00000000-0005-0000-0000-00000A1D0000}"/>
    <cellStyle name="Normal 8 2 4 8 2" xfId="13300" xr:uid="{0817C09F-1148-4584-A18A-C6AE716008DE}"/>
    <cellStyle name="Normal 8 2 4 9" xfId="9082" xr:uid="{4CF5D2EB-5547-4944-ABAF-F75FFEA8C38D}"/>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2 2 2" xfId="15860" xr:uid="{2860211A-F15E-47B0-AE1A-E825DA80BE94}"/>
    <cellStyle name="Normal 8 2 5 2 2 3" xfId="11642" xr:uid="{C4CEB928-5D61-4850-AAEB-50D3494AFD9F}"/>
    <cellStyle name="Normal 8 2 5 2 3" xfId="5273" xr:uid="{00000000-0005-0000-0000-00000F1D0000}"/>
    <cellStyle name="Normal 8 2 5 2 3 2" xfId="13715" xr:uid="{A49D03D6-72F7-4404-94E8-80DF6A5455C4}"/>
    <cellStyle name="Normal 8 2 5 2 4" xfId="9497" xr:uid="{AF71B516-80A5-493D-8E14-0B73D5D8047A}"/>
    <cellStyle name="Normal 8 2 5 3" xfId="1378" xr:uid="{00000000-0005-0000-0000-0000101D0000}"/>
    <cellStyle name="Normal 8 2 5 3 2" xfId="3608" xr:uid="{00000000-0005-0000-0000-0000111D0000}"/>
    <cellStyle name="Normal 8 2 5 3 2 2" xfId="7831" xr:uid="{00000000-0005-0000-0000-0000121D0000}"/>
    <cellStyle name="Normal 8 2 5 3 2 2 2" xfId="16273" xr:uid="{E092149D-C483-4D8E-A100-D4F8CEC43D0A}"/>
    <cellStyle name="Normal 8 2 5 3 2 3" xfId="12055" xr:uid="{D7C680EE-3883-41E6-A023-0E65829E3DCC}"/>
    <cellStyle name="Normal 8 2 5 3 3" xfId="5686" xr:uid="{00000000-0005-0000-0000-0000131D0000}"/>
    <cellStyle name="Normal 8 2 5 3 3 2" xfId="14128" xr:uid="{B293031A-1760-4419-AF78-DE89D80E75EE}"/>
    <cellStyle name="Normal 8 2 5 3 4" xfId="9910" xr:uid="{12C6EC9B-07A7-4B8E-927E-542D347617E5}"/>
    <cellStyle name="Normal 8 2 5 4" xfId="1791" xr:uid="{00000000-0005-0000-0000-0000141D0000}"/>
    <cellStyle name="Normal 8 2 5 4 2" xfId="4021" xr:uid="{00000000-0005-0000-0000-0000151D0000}"/>
    <cellStyle name="Normal 8 2 5 4 2 2" xfId="8244" xr:uid="{00000000-0005-0000-0000-0000161D0000}"/>
    <cellStyle name="Normal 8 2 5 4 2 2 2" xfId="16686" xr:uid="{2EA8D818-F913-4FA6-80A6-B92785EAAA65}"/>
    <cellStyle name="Normal 8 2 5 4 2 3" xfId="12468" xr:uid="{5DAE7B58-0408-4C56-A083-894C2A3C201D}"/>
    <cellStyle name="Normal 8 2 5 4 3" xfId="6099" xr:uid="{00000000-0005-0000-0000-0000171D0000}"/>
    <cellStyle name="Normal 8 2 5 4 3 2" xfId="14541" xr:uid="{3B68E408-2D5B-497D-B845-53FA62AEE921}"/>
    <cellStyle name="Normal 8 2 5 4 4" xfId="10323" xr:uid="{45621881-D553-463C-A6A9-980642557C87}"/>
    <cellStyle name="Normal 8 2 5 5" xfId="2205" xr:uid="{00000000-0005-0000-0000-0000181D0000}"/>
    <cellStyle name="Normal 8 2 5 5 2" xfId="4434" xr:uid="{00000000-0005-0000-0000-0000191D0000}"/>
    <cellStyle name="Normal 8 2 5 5 2 2" xfId="8657" xr:uid="{00000000-0005-0000-0000-00001A1D0000}"/>
    <cellStyle name="Normal 8 2 5 5 2 2 2" xfId="17099" xr:uid="{1AD03896-D540-46FB-AFBE-09BA10A1DB5D}"/>
    <cellStyle name="Normal 8 2 5 5 2 3" xfId="12881" xr:uid="{2F22890B-513C-4B08-A878-7C907F84AF7B}"/>
    <cellStyle name="Normal 8 2 5 5 3" xfId="6512" xr:uid="{00000000-0005-0000-0000-00001B1D0000}"/>
    <cellStyle name="Normal 8 2 5 5 3 2" xfId="14954" xr:uid="{94CC5FDE-1277-4B47-8225-78DEDCFD4EF1}"/>
    <cellStyle name="Normal 8 2 5 5 4" xfId="10736" xr:uid="{6BF9B79B-98CB-4276-B904-AB67FAFE7CC3}"/>
    <cellStyle name="Normal 8 2 5 6" xfId="2641" xr:uid="{00000000-0005-0000-0000-00001C1D0000}"/>
    <cellStyle name="Normal 8 2 5 6 2" xfId="6925" xr:uid="{00000000-0005-0000-0000-00001D1D0000}"/>
    <cellStyle name="Normal 8 2 5 6 2 2" xfId="15367" xr:uid="{4A6AC72D-E4ED-42F4-9CA0-D2386273A3E7}"/>
    <cellStyle name="Normal 8 2 5 6 3" xfId="11149" xr:uid="{4EB41C0C-5F93-4103-9EB8-034C0E2054E1}"/>
    <cellStyle name="Normal 8 2 5 7" xfId="4860" xr:uid="{00000000-0005-0000-0000-00001E1D0000}"/>
    <cellStyle name="Normal 8 2 5 7 2" xfId="13302" xr:uid="{AAEC9637-67D9-4999-8FA1-FB7665CC5223}"/>
    <cellStyle name="Normal 8 2 5 8" xfId="9084" xr:uid="{B8C296D3-D51F-46D3-AB79-BC09AA0368D3}"/>
    <cellStyle name="Normal 8 2 6" xfId="946" xr:uid="{00000000-0005-0000-0000-00001F1D0000}"/>
    <cellStyle name="Normal 8 2 6 2" xfId="3180" xr:uid="{00000000-0005-0000-0000-0000201D0000}"/>
    <cellStyle name="Normal 8 2 6 2 2" xfId="7403" xr:uid="{00000000-0005-0000-0000-0000211D0000}"/>
    <cellStyle name="Normal 8 2 6 2 2 2" xfId="15845" xr:uid="{C7E6DC27-0F29-4314-933F-4BC7E1D33461}"/>
    <cellStyle name="Normal 8 2 6 2 3" xfId="11627" xr:uid="{06045A88-38D0-4D9B-BD4E-050610DA2563}"/>
    <cellStyle name="Normal 8 2 6 3" xfId="5258" xr:uid="{00000000-0005-0000-0000-0000221D0000}"/>
    <cellStyle name="Normal 8 2 6 3 2" xfId="13700" xr:uid="{59850253-9220-4CCE-B8BD-5BEA1CA1830B}"/>
    <cellStyle name="Normal 8 2 6 4" xfId="9482" xr:uid="{D312EF37-9F59-4759-B640-43B4B36920A5}"/>
    <cellStyle name="Normal 8 2 7" xfId="1363" xr:uid="{00000000-0005-0000-0000-0000231D0000}"/>
    <cellStyle name="Normal 8 2 7 2" xfId="3593" xr:uid="{00000000-0005-0000-0000-0000241D0000}"/>
    <cellStyle name="Normal 8 2 7 2 2" xfId="7816" xr:uid="{00000000-0005-0000-0000-0000251D0000}"/>
    <cellStyle name="Normal 8 2 7 2 2 2" xfId="16258" xr:uid="{EF717463-256A-4F6A-B0E8-873494F48C42}"/>
    <cellStyle name="Normal 8 2 7 2 3" xfId="12040" xr:uid="{92016EF4-D4AE-423A-9FEB-27B8363A5B04}"/>
    <cellStyle name="Normal 8 2 7 3" xfId="5671" xr:uid="{00000000-0005-0000-0000-0000261D0000}"/>
    <cellStyle name="Normal 8 2 7 3 2" xfId="14113" xr:uid="{7C908D6E-2C50-4E0E-B76B-5D937C1C887E}"/>
    <cellStyle name="Normal 8 2 7 4" xfId="9895" xr:uid="{3BEF775D-F013-4A9F-AFAC-D3660478C366}"/>
    <cellStyle name="Normal 8 2 8" xfId="1776" xr:uid="{00000000-0005-0000-0000-0000271D0000}"/>
    <cellStyle name="Normal 8 2 8 2" xfId="4006" xr:uid="{00000000-0005-0000-0000-0000281D0000}"/>
    <cellStyle name="Normal 8 2 8 2 2" xfId="8229" xr:uid="{00000000-0005-0000-0000-0000291D0000}"/>
    <cellStyle name="Normal 8 2 8 2 2 2" xfId="16671" xr:uid="{0BE7FDF7-6FEA-4216-8944-31E5AC8E417E}"/>
    <cellStyle name="Normal 8 2 8 2 3" xfId="12453" xr:uid="{8EF1562D-132F-4774-A5B4-BBFCD24526E2}"/>
    <cellStyle name="Normal 8 2 8 3" xfId="6084" xr:uid="{00000000-0005-0000-0000-00002A1D0000}"/>
    <cellStyle name="Normal 8 2 8 3 2" xfId="14526" xr:uid="{67EB4DE0-9845-48D9-9D05-B557A41EF753}"/>
    <cellStyle name="Normal 8 2 8 4" xfId="10308" xr:uid="{10201A75-517A-4CE3-AABE-0A49EB54F36E}"/>
    <cellStyle name="Normal 8 2 9" xfId="2190" xr:uid="{00000000-0005-0000-0000-00002B1D0000}"/>
    <cellStyle name="Normal 8 2 9 2" xfId="4419" xr:uid="{00000000-0005-0000-0000-00002C1D0000}"/>
    <cellStyle name="Normal 8 2 9 2 2" xfId="8642" xr:uid="{00000000-0005-0000-0000-00002D1D0000}"/>
    <cellStyle name="Normal 8 2 9 2 2 2" xfId="17084" xr:uid="{7DF2A2BE-5EE9-4D64-8BB3-24226836F413}"/>
    <cellStyle name="Normal 8 2 9 2 3" xfId="12866" xr:uid="{F3369909-A052-4384-A732-C9EC6B9168D1}"/>
    <cellStyle name="Normal 8 2 9 3" xfId="6497" xr:uid="{00000000-0005-0000-0000-00002E1D0000}"/>
    <cellStyle name="Normal 8 2 9 3 2" xfId="14939" xr:uid="{4E67E9F4-7586-4D01-8755-D66ABDEC60FF}"/>
    <cellStyle name="Normal 8 2 9 4" xfId="10721" xr:uid="{C4BA9210-B488-4887-89B8-57C2B4D610EC}"/>
    <cellStyle name="Normal 8 3" xfId="495" xr:uid="{00000000-0005-0000-0000-00002F1D0000}"/>
    <cellStyle name="Normal 8 3 10" xfId="4861" xr:uid="{00000000-0005-0000-0000-0000301D0000}"/>
    <cellStyle name="Normal 8 3 10 2" xfId="13303" xr:uid="{616E9C0E-E25F-4FC9-B0A9-33ABE1582A7E}"/>
    <cellStyle name="Normal 8 3 11" xfId="9085" xr:uid="{1877C2D2-41A1-4F79-AF8B-F695657021F3}"/>
    <cellStyle name="Normal 8 3 2" xfId="496" xr:uid="{00000000-0005-0000-0000-0000311D0000}"/>
    <cellStyle name="Normal 8 3 2 10" xfId="9086" xr:uid="{91F798DD-B347-42C5-AE29-DD419AB0EC82}"/>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2 2 2" xfId="15864" xr:uid="{20B50884-1EC7-4E49-B28F-19B7A0E40204}"/>
    <cellStyle name="Normal 8 3 2 2 2 2 2 3" xfId="11646" xr:uid="{C32DF8DA-1B9F-4C26-BEB5-05A066015D02}"/>
    <cellStyle name="Normal 8 3 2 2 2 2 3" xfId="5277" xr:uid="{00000000-0005-0000-0000-0000371D0000}"/>
    <cellStyle name="Normal 8 3 2 2 2 2 3 2" xfId="13719" xr:uid="{D1C31C6D-749D-447F-990A-EA19ACE88887}"/>
    <cellStyle name="Normal 8 3 2 2 2 2 4" xfId="9501" xr:uid="{2E8F72C8-1B34-4025-AE4C-8C1BE73EBED3}"/>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2 2 2" xfId="16277" xr:uid="{5547FEE1-0ED2-43C5-82A7-EBE5351D83BE}"/>
    <cellStyle name="Normal 8 3 2 2 2 3 2 3" xfId="12059" xr:uid="{E85B3D7F-377D-42FB-AE71-9C5C572B7C23}"/>
    <cellStyle name="Normal 8 3 2 2 2 3 3" xfId="5690" xr:uid="{00000000-0005-0000-0000-00003B1D0000}"/>
    <cellStyle name="Normal 8 3 2 2 2 3 3 2" xfId="14132" xr:uid="{F9491486-EC72-4F4F-9E47-3F87C26114ED}"/>
    <cellStyle name="Normal 8 3 2 2 2 3 4" xfId="9914" xr:uid="{E2155C61-DB5C-4891-80EC-5A7186BB0D1D}"/>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2 2 2" xfId="16690" xr:uid="{6D99EED4-7AC2-4410-9A24-43033CA00871}"/>
    <cellStyle name="Normal 8 3 2 2 2 4 2 3" xfId="12472" xr:uid="{088CF765-D40C-42F5-A0A8-359F05837C4C}"/>
    <cellStyle name="Normal 8 3 2 2 2 4 3" xfId="6103" xr:uid="{00000000-0005-0000-0000-00003F1D0000}"/>
    <cellStyle name="Normal 8 3 2 2 2 4 3 2" xfId="14545" xr:uid="{29510333-4A8E-4F0F-9055-92CE7B6C7E7D}"/>
    <cellStyle name="Normal 8 3 2 2 2 4 4" xfId="10327" xr:uid="{5CB64AB2-08CF-4133-B09B-2DD1B01FD9D2}"/>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2 2 2" xfId="17103" xr:uid="{D72A08B9-DB6E-432E-9E1E-1E28390D3B84}"/>
    <cellStyle name="Normal 8 3 2 2 2 5 2 3" xfId="12885" xr:uid="{691FA332-2EF4-4935-A913-408914E3F61D}"/>
    <cellStyle name="Normal 8 3 2 2 2 5 3" xfId="6516" xr:uid="{00000000-0005-0000-0000-0000431D0000}"/>
    <cellStyle name="Normal 8 3 2 2 2 5 3 2" xfId="14958" xr:uid="{F1BDEFA9-FD59-4BE5-B27F-175E414BA878}"/>
    <cellStyle name="Normal 8 3 2 2 2 5 4" xfId="10740" xr:uid="{927E75FD-9ECC-448D-B579-BDFC8A932088}"/>
    <cellStyle name="Normal 8 3 2 2 2 6" xfId="2645" xr:uid="{00000000-0005-0000-0000-0000441D0000}"/>
    <cellStyle name="Normal 8 3 2 2 2 6 2" xfId="6929" xr:uid="{00000000-0005-0000-0000-0000451D0000}"/>
    <cellStyle name="Normal 8 3 2 2 2 6 2 2" xfId="15371" xr:uid="{BD93F0FD-F188-4485-94F8-2C7879DAE0AC}"/>
    <cellStyle name="Normal 8 3 2 2 2 6 3" xfId="11153" xr:uid="{8F6A8D92-4AE2-4298-B79D-3C980BC31073}"/>
    <cellStyle name="Normal 8 3 2 2 2 7" xfId="4864" xr:uid="{00000000-0005-0000-0000-0000461D0000}"/>
    <cellStyle name="Normal 8 3 2 2 2 7 2" xfId="13306" xr:uid="{2756B3DD-137E-4C24-A5BB-73CE7A850806}"/>
    <cellStyle name="Normal 8 3 2 2 2 8" xfId="9088" xr:uid="{8FB19EF6-4283-43D9-B0FB-4D7CF9B81D3B}"/>
    <cellStyle name="Normal 8 3 2 2 3" xfId="964" xr:uid="{00000000-0005-0000-0000-0000471D0000}"/>
    <cellStyle name="Normal 8 3 2 2 3 2" xfId="3198" xr:uid="{00000000-0005-0000-0000-0000481D0000}"/>
    <cellStyle name="Normal 8 3 2 2 3 2 2" xfId="7421" xr:uid="{00000000-0005-0000-0000-0000491D0000}"/>
    <cellStyle name="Normal 8 3 2 2 3 2 2 2" xfId="15863" xr:uid="{5CBEAE55-FCB8-43FD-B50E-7148999BD77C}"/>
    <cellStyle name="Normal 8 3 2 2 3 2 3" xfId="11645" xr:uid="{17A7D654-58EE-4B80-93BB-C2F74A1CFA9D}"/>
    <cellStyle name="Normal 8 3 2 2 3 3" xfId="5276" xr:uid="{00000000-0005-0000-0000-00004A1D0000}"/>
    <cellStyle name="Normal 8 3 2 2 3 3 2" xfId="13718" xr:uid="{7FDB2DF7-BBB8-4B59-A0D4-F26FCDFACC0A}"/>
    <cellStyle name="Normal 8 3 2 2 3 4" xfId="9500" xr:uid="{095FD0FD-3106-43C7-8579-8A7DA7C012D9}"/>
    <cellStyle name="Normal 8 3 2 2 4" xfId="1381" xr:uid="{00000000-0005-0000-0000-00004B1D0000}"/>
    <cellStyle name="Normal 8 3 2 2 4 2" xfId="3611" xr:uid="{00000000-0005-0000-0000-00004C1D0000}"/>
    <cellStyle name="Normal 8 3 2 2 4 2 2" xfId="7834" xr:uid="{00000000-0005-0000-0000-00004D1D0000}"/>
    <cellStyle name="Normal 8 3 2 2 4 2 2 2" xfId="16276" xr:uid="{21019A5A-F201-45F3-B637-2C50B81024EF}"/>
    <cellStyle name="Normal 8 3 2 2 4 2 3" xfId="12058" xr:uid="{B45F3865-91EA-4D6D-A7D7-251047F87A83}"/>
    <cellStyle name="Normal 8 3 2 2 4 3" xfId="5689" xr:uid="{00000000-0005-0000-0000-00004E1D0000}"/>
    <cellStyle name="Normal 8 3 2 2 4 3 2" xfId="14131" xr:uid="{96047EB0-003C-45D3-8956-22AA3167CA44}"/>
    <cellStyle name="Normal 8 3 2 2 4 4" xfId="9913" xr:uid="{B9C9854F-63E4-4B2B-BBA0-06C041954131}"/>
    <cellStyle name="Normal 8 3 2 2 5" xfId="1794" xr:uid="{00000000-0005-0000-0000-00004F1D0000}"/>
    <cellStyle name="Normal 8 3 2 2 5 2" xfId="4024" xr:uid="{00000000-0005-0000-0000-0000501D0000}"/>
    <cellStyle name="Normal 8 3 2 2 5 2 2" xfId="8247" xr:uid="{00000000-0005-0000-0000-0000511D0000}"/>
    <cellStyle name="Normal 8 3 2 2 5 2 2 2" xfId="16689" xr:uid="{BF18D493-B12E-4156-9653-00B6D0A64213}"/>
    <cellStyle name="Normal 8 3 2 2 5 2 3" xfId="12471" xr:uid="{A6E670DA-0037-4CF9-BA74-8DF3CCDDCC40}"/>
    <cellStyle name="Normal 8 3 2 2 5 3" xfId="6102" xr:uid="{00000000-0005-0000-0000-0000521D0000}"/>
    <cellStyle name="Normal 8 3 2 2 5 3 2" xfId="14544" xr:uid="{A8404F10-FF77-4CDC-8768-EBECA3629B19}"/>
    <cellStyle name="Normal 8 3 2 2 5 4" xfId="10326" xr:uid="{6A4BB5C1-0840-4106-93EE-8A3125279FA0}"/>
    <cellStyle name="Normal 8 3 2 2 6" xfId="2208" xr:uid="{00000000-0005-0000-0000-0000531D0000}"/>
    <cellStyle name="Normal 8 3 2 2 6 2" xfId="4437" xr:uid="{00000000-0005-0000-0000-0000541D0000}"/>
    <cellStyle name="Normal 8 3 2 2 6 2 2" xfId="8660" xr:uid="{00000000-0005-0000-0000-0000551D0000}"/>
    <cellStyle name="Normal 8 3 2 2 6 2 2 2" xfId="17102" xr:uid="{4F351000-76F8-4185-92F4-B1433DEF8A74}"/>
    <cellStyle name="Normal 8 3 2 2 6 2 3" xfId="12884" xr:uid="{477DCC3E-4C70-4ED7-B033-0E325A3DA462}"/>
    <cellStyle name="Normal 8 3 2 2 6 3" xfId="6515" xr:uid="{00000000-0005-0000-0000-0000561D0000}"/>
    <cellStyle name="Normal 8 3 2 2 6 3 2" xfId="14957" xr:uid="{84D748B0-F715-4693-8F70-123239273D87}"/>
    <cellStyle name="Normal 8 3 2 2 6 4" xfId="10739" xr:uid="{25DB1049-D5AD-409D-BE8A-234CFA60D988}"/>
    <cellStyle name="Normal 8 3 2 2 7" xfId="2644" xr:uid="{00000000-0005-0000-0000-0000571D0000}"/>
    <cellStyle name="Normal 8 3 2 2 7 2" xfId="6928" xr:uid="{00000000-0005-0000-0000-0000581D0000}"/>
    <cellStyle name="Normal 8 3 2 2 7 2 2" xfId="15370" xr:uid="{3902B8E0-5B24-47F1-89CA-F4C37C70C8F9}"/>
    <cellStyle name="Normal 8 3 2 2 7 3" xfId="11152" xr:uid="{561FC743-B0D6-4995-B658-9AA133BAF655}"/>
    <cellStyle name="Normal 8 3 2 2 8" xfId="4863" xr:uid="{00000000-0005-0000-0000-0000591D0000}"/>
    <cellStyle name="Normal 8 3 2 2 8 2" xfId="13305" xr:uid="{7EE2E2AF-F875-4916-949E-D880F618344C}"/>
    <cellStyle name="Normal 8 3 2 2 9" xfId="9087" xr:uid="{D3E85C74-F7EF-43B3-BA8D-580BDD02D0C4}"/>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2 2 2" xfId="15865" xr:uid="{50B8CE17-972E-4546-9A70-5CA8B17BD40A}"/>
    <cellStyle name="Normal 8 3 2 3 2 2 3" xfId="11647" xr:uid="{F0B6D320-7D1D-4D09-8656-CB52B66045D1}"/>
    <cellStyle name="Normal 8 3 2 3 2 3" xfId="5278" xr:uid="{00000000-0005-0000-0000-00005E1D0000}"/>
    <cellStyle name="Normal 8 3 2 3 2 3 2" xfId="13720" xr:uid="{1C79CF7F-7324-4A90-B265-D61280CCD159}"/>
    <cellStyle name="Normal 8 3 2 3 2 4" xfId="9502" xr:uid="{F8541B34-52B8-4F08-85F1-464EA416F9C4}"/>
    <cellStyle name="Normal 8 3 2 3 3" xfId="1383" xr:uid="{00000000-0005-0000-0000-00005F1D0000}"/>
    <cellStyle name="Normal 8 3 2 3 3 2" xfId="3613" xr:uid="{00000000-0005-0000-0000-0000601D0000}"/>
    <cellStyle name="Normal 8 3 2 3 3 2 2" xfId="7836" xr:uid="{00000000-0005-0000-0000-0000611D0000}"/>
    <cellStyle name="Normal 8 3 2 3 3 2 2 2" xfId="16278" xr:uid="{FB470FF7-E54E-4F70-8958-56F337E1E35B}"/>
    <cellStyle name="Normal 8 3 2 3 3 2 3" xfId="12060" xr:uid="{6F822DF8-B82E-4F97-A3C0-EC2C78987EE9}"/>
    <cellStyle name="Normal 8 3 2 3 3 3" xfId="5691" xr:uid="{00000000-0005-0000-0000-0000621D0000}"/>
    <cellStyle name="Normal 8 3 2 3 3 3 2" xfId="14133" xr:uid="{DFF2B262-5C59-4941-A467-336516ED317F}"/>
    <cellStyle name="Normal 8 3 2 3 3 4" xfId="9915" xr:uid="{4B7B784E-2F6D-4965-90AB-2C23EC876B3F}"/>
    <cellStyle name="Normal 8 3 2 3 4" xfId="1796" xr:uid="{00000000-0005-0000-0000-0000631D0000}"/>
    <cellStyle name="Normal 8 3 2 3 4 2" xfId="4026" xr:uid="{00000000-0005-0000-0000-0000641D0000}"/>
    <cellStyle name="Normal 8 3 2 3 4 2 2" xfId="8249" xr:uid="{00000000-0005-0000-0000-0000651D0000}"/>
    <cellStyle name="Normal 8 3 2 3 4 2 2 2" xfId="16691" xr:uid="{99313A87-8561-4BF7-B1AC-6156579661D0}"/>
    <cellStyle name="Normal 8 3 2 3 4 2 3" xfId="12473" xr:uid="{A74F4AC0-A435-4954-8F2A-DD5A28654B7D}"/>
    <cellStyle name="Normal 8 3 2 3 4 3" xfId="6104" xr:uid="{00000000-0005-0000-0000-0000661D0000}"/>
    <cellStyle name="Normal 8 3 2 3 4 3 2" xfId="14546" xr:uid="{10CE5E30-3F3C-4E1A-BB86-100EA87AC4DC}"/>
    <cellStyle name="Normal 8 3 2 3 4 4" xfId="10328" xr:uid="{96D49805-6583-4327-A047-72A8C1F0C4B9}"/>
    <cellStyle name="Normal 8 3 2 3 5" xfId="2210" xr:uid="{00000000-0005-0000-0000-0000671D0000}"/>
    <cellStyle name="Normal 8 3 2 3 5 2" xfId="4439" xr:uid="{00000000-0005-0000-0000-0000681D0000}"/>
    <cellStyle name="Normal 8 3 2 3 5 2 2" xfId="8662" xr:uid="{00000000-0005-0000-0000-0000691D0000}"/>
    <cellStyle name="Normal 8 3 2 3 5 2 2 2" xfId="17104" xr:uid="{91D7AD0E-9BB6-428B-852F-1F4F1D16A1C5}"/>
    <cellStyle name="Normal 8 3 2 3 5 2 3" xfId="12886" xr:uid="{51966A40-A58A-4875-BB71-218F3F6D9832}"/>
    <cellStyle name="Normal 8 3 2 3 5 3" xfId="6517" xr:uid="{00000000-0005-0000-0000-00006A1D0000}"/>
    <cellStyle name="Normal 8 3 2 3 5 3 2" xfId="14959" xr:uid="{B9D1D7FD-9F36-4DEB-ADDE-D3B43098B691}"/>
    <cellStyle name="Normal 8 3 2 3 5 4" xfId="10741" xr:uid="{CC21CFB4-859F-4F76-AE23-1C51B28D3EE1}"/>
    <cellStyle name="Normal 8 3 2 3 6" xfId="2646" xr:uid="{00000000-0005-0000-0000-00006B1D0000}"/>
    <cellStyle name="Normal 8 3 2 3 6 2" xfId="6930" xr:uid="{00000000-0005-0000-0000-00006C1D0000}"/>
    <cellStyle name="Normal 8 3 2 3 6 2 2" xfId="15372" xr:uid="{DBEAD3DA-C30F-4D4D-940E-86B0102FC36B}"/>
    <cellStyle name="Normal 8 3 2 3 6 3" xfId="11154" xr:uid="{19AAE422-F6D5-4165-9E50-ED724A082DD3}"/>
    <cellStyle name="Normal 8 3 2 3 7" xfId="4865" xr:uid="{00000000-0005-0000-0000-00006D1D0000}"/>
    <cellStyle name="Normal 8 3 2 3 7 2" xfId="13307" xr:uid="{A814F56E-1746-428C-BB75-36A782A19D3A}"/>
    <cellStyle name="Normal 8 3 2 3 8" xfId="9089" xr:uid="{B29CDF13-224E-4627-886A-07952B952C53}"/>
    <cellStyle name="Normal 8 3 2 4" xfId="963" xr:uid="{00000000-0005-0000-0000-00006E1D0000}"/>
    <cellStyle name="Normal 8 3 2 4 2" xfId="3197" xr:uid="{00000000-0005-0000-0000-00006F1D0000}"/>
    <cellStyle name="Normal 8 3 2 4 2 2" xfId="7420" xr:uid="{00000000-0005-0000-0000-0000701D0000}"/>
    <cellStyle name="Normal 8 3 2 4 2 2 2" xfId="15862" xr:uid="{8FE303B9-83B9-4051-8F9D-F0480D5F58C0}"/>
    <cellStyle name="Normal 8 3 2 4 2 3" xfId="11644" xr:uid="{132109DE-4A14-4652-98D2-C3B14F32B8C8}"/>
    <cellStyle name="Normal 8 3 2 4 3" xfId="5275" xr:uid="{00000000-0005-0000-0000-0000711D0000}"/>
    <cellStyle name="Normal 8 3 2 4 3 2" xfId="13717" xr:uid="{6F8E2E36-42E4-43DF-80D8-821A6C621FF8}"/>
    <cellStyle name="Normal 8 3 2 4 4" xfId="9499" xr:uid="{B1C688DF-1ACC-4966-9645-9647FD2622EA}"/>
    <cellStyle name="Normal 8 3 2 5" xfId="1380" xr:uid="{00000000-0005-0000-0000-0000721D0000}"/>
    <cellStyle name="Normal 8 3 2 5 2" xfId="3610" xr:uid="{00000000-0005-0000-0000-0000731D0000}"/>
    <cellStyle name="Normal 8 3 2 5 2 2" xfId="7833" xr:uid="{00000000-0005-0000-0000-0000741D0000}"/>
    <cellStyle name="Normal 8 3 2 5 2 2 2" xfId="16275" xr:uid="{3ED207C6-D467-4D09-994A-37DD6DF2A6DE}"/>
    <cellStyle name="Normal 8 3 2 5 2 3" xfId="12057" xr:uid="{BF1FD1B0-102C-4739-A326-39F188122E3B}"/>
    <cellStyle name="Normal 8 3 2 5 3" xfId="5688" xr:uid="{00000000-0005-0000-0000-0000751D0000}"/>
    <cellStyle name="Normal 8 3 2 5 3 2" xfId="14130" xr:uid="{389E7E14-6603-404E-A4DD-17A8E6729121}"/>
    <cellStyle name="Normal 8 3 2 5 4" xfId="9912" xr:uid="{7AEE8178-EAF7-4493-9A27-36A5DAEDF4DA}"/>
    <cellStyle name="Normal 8 3 2 6" xfId="1793" xr:uid="{00000000-0005-0000-0000-0000761D0000}"/>
    <cellStyle name="Normal 8 3 2 6 2" xfId="4023" xr:uid="{00000000-0005-0000-0000-0000771D0000}"/>
    <cellStyle name="Normal 8 3 2 6 2 2" xfId="8246" xr:uid="{00000000-0005-0000-0000-0000781D0000}"/>
    <cellStyle name="Normal 8 3 2 6 2 2 2" xfId="16688" xr:uid="{0624C320-CFD7-4C18-A284-F43C50CFE639}"/>
    <cellStyle name="Normal 8 3 2 6 2 3" xfId="12470" xr:uid="{66EBB5DB-524D-416B-AEED-F319EE8E27D6}"/>
    <cellStyle name="Normal 8 3 2 6 3" xfId="6101" xr:uid="{00000000-0005-0000-0000-0000791D0000}"/>
    <cellStyle name="Normal 8 3 2 6 3 2" xfId="14543" xr:uid="{D7025931-4764-4074-ADD3-CA24331E6AE9}"/>
    <cellStyle name="Normal 8 3 2 6 4" xfId="10325" xr:uid="{9F277D85-6069-4948-877D-155591B97E0A}"/>
    <cellStyle name="Normal 8 3 2 7" xfId="2207" xr:uid="{00000000-0005-0000-0000-00007A1D0000}"/>
    <cellStyle name="Normal 8 3 2 7 2" xfId="4436" xr:uid="{00000000-0005-0000-0000-00007B1D0000}"/>
    <cellStyle name="Normal 8 3 2 7 2 2" xfId="8659" xr:uid="{00000000-0005-0000-0000-00007C1D0000}"/>
    <cellStyle name="Normal 8 3 2 7 2 2 2" xfId="17101" xr:uid="{5FF756CD-86A1-4EFF-8E35-62AAB4FBE0A5}"/>
    <cellStyle name="Normal 8 3 2 7 2 3" xfId="12883" xr:uid="{83E25DF7-99FD-4C6F-8BCF-A75103503348}"/>
    <cellStyle name="Normal 8 3 2 7 3" xfId="6514" xr:uid="{00000000-0005-0000-0000-00007D1D0000}"/>
    <cellStyle name="Normal 8 3 2 7 3 2" xfId="14956" xr:uid="{B7567CD6-A3B9-4B8E-963B-A8A7A653CC6C}"/>
    <cellStyle name="Normal 8 3 2 7 4" xfId="10738" xr:uid="{650E9805-2278-4712-8ADC-73E876149634}"/>
    <cellStyle name="Normal 8 3 2 8" xfId="2643" xr:uid="{00000000-0005-0000-0000-00007E1D0000}"/>
    <cellStyle name="Normal 8 3 2 8 2" xfId="6927" xr:uid="{00000000-0005-0000-0000-00007F1D0000}"/>
    <cellStyle name="Normal 8 3 2 8 2 2" xfId="15369" xr:uid="{426C2B3A-DFD1-435B-8ABC-55D65E214858}"/>
    <cellStyle name="Normal 8 3 2 8 3" xfId="11151" xr:uid="{D4D60060-390C-4D05-85AA-A72DA41B19AF}"/>
    <cellStyle name="Normal 8 3 2 9" xfId="4862" xr:uid="{00000000-0005-0000-0000-0000801D0000}"/>
    <cellStyle name="Normal 8 3 2 9 2" xfId="13304" xr:uid="{656EE223-B02B-4F44-9F67-0F1D4C40767B}"/>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2 2 2" xfId="15867" xr:uid="{7C6123C5-8727-4FF9-88BE-B491771BCE37}"/>
    <cellStyle name="Normal 8 3 3 2 2 2 3" xfId="11649" xr:uid="{96088B72-934F-40FB-AB70-56B23125C7A0}"/>
    <cellStyle name="Normal 8 3 3 2 2 3" xfId="5280" xr:uid="{00000000-0005-0000-0000-0000861D0000}"/>
    <cellStyle name="Normal 8 3 3 2 2 3 2" xfId="13722" xr:uid="{DCFC010E-C506-4510-BD3E-0344966364F6}"/>
    <cellStyle name="Normal 8 3 3 2 2 4" xfId="9504" xr:uid="{FEC56031-5650-4066-9C0A-81937F78B428}"/>
    <cellStyle name="Normal 8 3 3 2 3" xfId="1385" xr:uid="{00000000-0005-0000-0000-0000871D0000}"/>
    <cellStyle name="Normal 8 3 3 2 3 2" xfId="3615" xr:uid="{00000000-0005-0000-0000-0000881D0000}"/>
    <cellStyle name="Normal 8 3 3 2 3 2 2" xfId="7838" xr:uid="{00000000-0005-0000-0000-0000891D0000}"/>
    <cellStyle name="Normal 8 3 3 2 3 2 2 2" xfId="16280" xr:uid="{E3E6EB89-066C-4391-9E83-B0BD3D56392C}"/>
    <cellStyle name="Normal 8 3 3 2 3 2 3" xfId="12062" xr:uid="{018F78A1-3746-4853-8766-9084DCB33989}"/>
    <cellStyle name="Normal 8 3 3 2 3 3" xfId="5693" xr:uid="{00000000-0005-0000-0000-00008A1D0000}"/>
    <cellStyle name="Normal 8 3 3 2 3 3 2" xfId="14135" xr:uid="{8F7DC7FE-CFEA-4BC0-ACC5-6DCBF89F8ECE}"/>
    <cellStyle name="Normal 8 3 3 2 3 4" xfId="9917" xr:uid="{C79D0FDA-4164-42CF-9F93-602C33ADE698}"/>
    <cellStyle name="Normal 8 3 3 2 4" xfId="1798" xr:uid="{00000000-0005-0000-0000-00008B1D0000}"/>
    <cellStyle name="Normal 8 3 3 2 4 2" xfId="4028" xr:uid="{00000000-0005-0000-0000-00008C1D0000}"/>
    <cellStyle name="Normal 8 3 3 2 4 2 2" xfId="8251" xr:uid="{00000000-0005-0000-0000-00008D1D0000}"/>
    <cellStyle name="Normal 8 3 3 2 4 2 2 2" xfId="16693" xr:uid="{D96E983A-F39C-4078-BB65-F4C219DBE2BF}"/>
    <cellStyle name="Normal 8 3 3 2 4 2 3" xfId="12475" xr:uid="{AC331C57-04B6-4993-AD7A-CF43537F1D67}"/>
    <cellStyle name="Normal 8 3 3 2 4 3" xfId="6106" xr:uid="{00000000-0005-0000-0000-00008E1D0000}"/>
    <cellStyle name="Normal 8 3 3 2 4 3 2" xfId="14548" xr:uid="{0305C756-C04A-4C8B-8222-BA696CD7E385}"/>
    <cellStyle name="Normal 8 3 3 2 4 4" xfId="10330" xr:uid="{7AB5DB81-123A-40ED-AE0A-29DBBD2B210C}"/>
    <cellStyle name="Normal 8 3 3 2 5" xfId="2212" xr:uid="{00000000-0005-0000-0000-00008F1D0000}"/>
    <cellStyle name="Normal 8 3 3 2 5 2" xfId="4441" xr:uid="{00000000-0005-0000-0000-0000901D0000}"/>
    <cellStyle name="Normal 8 3 3 2 5 2 2" xfId="8664" xr:uid="{00000000-0005-0000-0000-0000911D0000}"/>
    <cellStyle name="Normal 8 3 3 2 5 2 2 2" xfId="17106" xr:uid="{B9F517C6-7925-4763-B8DF-8A971F6B843C}"/>
    <cellStyle name="Normal 8 3 3 2 5 2 3" xfId="12888" xr:uid="{D4DA2717-2238-42FF-B9B4-2F1D15EC2A1A}"/>
    <cellStyle name="Normal 8 3 3 2 5 3" xfId="6519" xr:uid="{00000000-0005-0000-0000-0000921D0000}"/>
    <cellStyle name="Normal 8 3 3 2 5 3 2" xfId="14961" xr:uid="{7234CE2A-40C2-4F7D-8E53-84D4F5703FDA}"/>
    <cellStyle name="Normal 8 3 3 2 5 4" xfId="10743" xr:uid="{EC1200F5-17DE-4EDE-BE7B-AD20C6CFE37C}"/>
    <cellStyle name="Normal 8 3 3 2 6" xfId="2648" xr:uid="{00000000-0005-0000-0000-0000931D0000}"/>
    <cellStyle name="Normal 8 3 3 2 6 2" xfId="6932" xr:uid="{00000000-0005-0000-0000-0000941D0000}"/>
    <cellStyle name="Normal 8 3 3 2 6 2 2" xfId="15374" xr:uid="{B58C2BB3-7EB0-424E-A3E5-2E54F94930EE}"/>
    <cellStyle name="Normal 8 3 3 2 6 3" xfId="11156" xr:uid="{7BE70469-431A-4E80-BCF2-4B28C7D57DD7}"/>
    <cellStyle name="Normal 8 3 3 2 7" xfId="4867" xr:uid="{00000000-0005-0000-0000-0000951D0000}"/>
    <cellStyle name="Normal 8 3 3 2 7 2" xfId="13309" xr:uid="{2BBE3BC8-0F48-4AB3-A90E-1D99A7E89178}"/>
    <cellStyle name="Normal 8 3 3 2 8" xfId="9091" xr:uid="{30CCCF9A-57FE-462F-BC20-39AFBA1A3A59}"/>
    <cellStyle name="Normal 8 3 3 3" xfId="967" xr:uid="{00000000-0005-0000-0000-0000961D0000}"/>
    <cellStyle name="Normal 8 3 3 3 2" xfId="3201" xr:uid="{00000000-0005-0000-0000-0000971D0000}"/>
    <cellStyle name="Normal 8 3 3 3 2 2" xfId="7424" xr:uid="{00000000-0005-0000-0000-0000981D0000}"/>
    <cellStyle name="Normal 8 3 3 3 2 2 2" xfId="15866" xr:uid="{124B94CB-9492-457B-B905-E25CFD444F8C}"/>
    <cellStyle name="Normal 8 3 3 3 2 3" xfId="11648" xr:uid="{7230FA3A-C878-4E49-A7E3-9611B768137B}"/>
    <cellStyle name="Normal 8 3 3 3 3" xfId="5279" xr:uid="{00000000-0005-0000-0000-0000991D0000}"/>
    <cellStyle name="Normal 8 3 3 3 3 2" xfId="13721" xr:uid="{09254075-748F-4118-B701-69ED363D759F}"/>
    <cellStyle name="Normal 8 3 3 3 4" xfId="9503" xr:uid="{ECD21251-96A6-4B96-8688-744043325C1C}"/>
    <cellStyle name="Normal 8 3 3 4" xfId="1384" xr:uid="{00000000-0005-0000-0000-00009A1D0000}"/>
    <cellStyle name="Normal 8 3 3 4 2" xfId="3614" xr:uid="{00000000-0005-0000-0000-00009B1D0000}"/>
    <cellStyle name="Normal 8 3 3 4 2 2" xfId="7837" xr:uid="{00000000-0005-0000-0000-00009C1D0000}"/>
    <cellStyle name="Normal 8 3 3 4 2 2 2" xfId="16279" xr:uid="{9F6F872C-8BFD-48A7-BD06-67F73990C9A6}"/>
    <cellStyle name="Normal 8 3 3 4 2 3" xfId="12061" xr:uid="{8DB5EE1B-DCB4-48E0-982B-3A36CA329A21}"/>
    <cellStyle name="Normal 8 3 3 4 3" xfId="5692" xr:uid="{00000000-0005-0000-0000-00009D1D0000}"/>
    <cellStyle name="Normal 8 3 3 4 3 2" xfId="14134" xr:uid="{7E9E2DA1-3949-4503-939B-784E08205185}"/>
    <cellStyle name="Normal 8 3 3 4 4" xfId="9916" xr:uid="{DB6C2A4A-50E6-4826-8F4B-2AF22997CBE8}"/>
    <cellStyle name="Normal 8 3 3 5" xfId="1797" xr:uid="{00000000-0005-0000-0000-00009E1D0000}"/>
    <cellStyle name="Normal 8 3 3 5 2" xfId="4027" xr:uid="{00000000-0005-0000-0000-00009F1D0000}"/>
    <cellStyle name="Normal 8 3 3 5 2 2" xfId="8250" xr:uid="{00000000-0005-0000-0000-0000A01D0000}"/>
    <cellStyle name="Normal 8 3 3 5 2 2 2" xfId="16692" xr:uid="{D54CE252-284E-43B4-B7C4-D7B26572CBCA}"/>
    <cellStyle name="Normal 8 3 3 5 2 3" xfId="12474" xr:uid="{C46A40CD-49D3-43D9-AFC4-1AA02A465224}"/>
    <cellStyle name="Normal 8 3 3 5 3" xfId="6105" xr:uid="{00000000-0005-0000-0000-0000A11D0000}"/>
    <cellStyle name="Normal 8 3 3 5 3 2" xfId="14547" xr:uid="{CB20AA5C-548B-4E26-AB30-B2C9B5824430}"/>
    <cellStyle name="Normal 8 3 3 5 4" xfId="10329" xr:uid="{530BF84E-7FC2-4D93-8AEA-557B1701B86F}"/>
    <cellStyle name="Normal 8 3 3 6" xfId="2211" xr:uid="{00000000-0005-0000-0000-0000A21D0000}"/>
    <cellStyle name="Normal 8 3 3 6 2" xfId="4440" xr:uid="{00000000-0005-0000-0000-0000A31D0000}"/>
    <cellStyle name="Normal 8 3 3 6 2 2" xfId="8663" xr:uid="{00000000-0005-0000-0000-0000A41D0000}"/>
    <cellStyle name="Normal 8 3 3 6 2 2 2" xfId="17105" xr:uid="{87EB9248-BD55-4BFF-AA44-959B579D0F49}"/>
    <cellStyle name="Normal 8 3 3 6 2 3" xfId="12887" xr:uid="{4C930856-C207-45EC-9716-353274930711}"/>
    <cellStyle name="Normal 8 3 3 6 3" xfId="6518" xr:uid="{00000000-0005-0000-0000-0000A51D0000}"/>
    <cellStyle name="Normal 8 3 3 6 3 2" xfId="14960" xr:uid="{77FA8170-0BF3-463A-98B6-8808319A9C83}"/>
    <cellStyle name="Normal 8 3 3 6 4" xfId="10742" xr:uid="{E612F6BD-EA13-4973-A1D6-ED943AE183EE}"/>
    <cellStyle name="Normal 8 3 3 7" xfId="2647" xr:uid="{00000000-0005-0000-0000-0000A61D0000}"/>
    <cellStyle name="Normal 8 3 3 7 2" xfId="6931" xr:uid="{00000000-0005-0000-0000-0000A71D0000}"/>
    <cellStyle name="Normal 8 3 3 7 2 2" xfId="15373" xr:uid="{834E2618-3488-4804-A70B-E198C2914C96}"/>
    <cellStyle name="Normal 8 3 3 7 3" xfId="11155" xr:uid="{5B3ED126-5F21-4FE2-B3EE-3E3F11D48A09}"/>
    <cellStyle name="Normal 8 3 3 8" xfId="4866" xr:uid="{00000000-0005-0000-0000-0000A81D0000}"/>
    <cellStyle name="Normal 8 3 3 8 2" xfId="13308" xr:uid="{FFAC0381-3663-4FCD-BD6C-D37DB5C073C6}"/>
    <cellStyle name="Normal 8 3 3 9" xfId="9090" xr:uid="{96643D39-E555-49CA-AE7A-864DEB3FD947}"/>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2 2 2" xfId="15868" xr:uid="{CFF14877-74F7-441A-9606-063BA07A700D}"/>
    <cellStyle name="Normal 8 3 4 2 2 3" xfId="11650" xr:uid="{12ED09FD-8C92-4884-A88D-E44A07721AAD}"/>
    <cellStyle name="Normal 8 3 4 2 3" xfId="5281" xr:uid="{00000000-0005-0000-0000-0000AD1D0000}"/>
    <cellStyle name="Normal 8 3 4 2 3 2" xfId="13723" xr:uid="{E1F24CCF-68AD-4357-A564-BAF6F8F2EF0A}"/>
    <cellStyle name="Normal 8 3 4 2 4" xfId="9505" xr:uid="{F68EF12B-2D09-46C0-8131-2256FE1C9FB4}"/>
    <cellStyle name="Normal 8 3 4 3" xfId="1386" xr:uid="{00000000-0005-0000-0000-0000AE1D0000}"/>
    <cellStyle name="Normal 8 3 4 3 2" xfId="3616" xr:uid="{00000000-0005-0000-0000-0000AF1D0000}"/>
    <cellStyle name="Normal 8 3 4 3 2 2" xfId="7839" xr:uid="{00000000-0005-0000-0000-0000B01D0000}"/>
    <cellStyle name="Normal 8 3 4 3 2 2 2" xfId="16281" xr:uid="{1C25DAFE-3C5B-42CC-83E2-4732EAD9021A}"/>
    <cellStyle name="Normal 8 3 4 3 2 3" xfId="12063" xr:uid="{223C7C70-1C58-4627-B465-AB216FEDE29A}"/>
    <cellStyle name="Normal 8 3 4 3 3" xfId="5694" xr:uid="{00000000-0005-0000-0000-0000B11D0000}"/>
    <cellStyle name="Normal 8 3 4 3 3 2" xfId="14136" xr:uid="{A3610280-BA6E-43E7-A72F-33C7E26827BB}"/>
    <cellStyle name="Normal 8 3 4 3 4" xfId="9918" xr:uid="{D29A69E1-8891-4445-B9DE-5FF17C32C01C}"/>
    <cellStyle name="Normal 8 3 4 4" xfId="1799" xr:uid="{00000000-0005-0000-0000-0000B21D0000}"/>
    <cellStyle name="Normal 8 3 4 4 2" xfId="4029" xr:uid="{00000000-0005-0000-0000-0000B31D0000}"/>
    <cellStyle name="Normal 8 3 4 4 2 2" xfId="8252" xr:uid="{00000000-0005-0000-0000-0000B41D0000}"/>
    <cellStyle name="Normal 8 3 4 4 2 2 2" xfId="16694" xr:uid="{2D2F6F45-7F49-4764-9E9A-5888C7DD6526}"/>
    <cellStyle name="Normal 8 3 4 4 2 3" xfId="12476" xr:uid="{CD9C1D82-3A3E-4681-AAA6-633842AD869B}"/>
    <cellStyle name="Normal 8 3 4 4 3" xfId="6107" xr:uid="{00000000-0005-0000-0000-0000B51D0000}"/>
    <cellStyle name="Normal 8 3 4 4 3 2" xfId="14549" xr:uid="{77C984F7-E96B-44B1-8DE0-50DC3CC80415}"/>
    <cellStyle name="Normal 8 3 4 4 4" xfId="10331" xr:uid="{606D1C72-981C-46F2-B533-2ADE06551EE5}"/>
    <cellStyle name="Normal 8 3 4 5" xfId="2213" xr:uid="{00000000-0005-0000-0000-0000B61D0000}"/>
    <cellStyle name="Normal 8 3 4 5 2" xfId="4442" xr:uid="{00000000-0005-0000-0000-0000B71D0000}"/>
    <cellStyle name="Normal 8 3 4 5 2 2" xfId="8665" xr:uid="{00000000-0005-0000-0000-0000B81D0000}"/>
    <cellStyle name="Normal 8 3 4 5 2 2 2" xfId="17107" xr:uid="{2F8B6708-7C5F-480E-91B3-26D4E7EEE90A}"/>
    <cellStyle name="Normal 8 3 4 5 2 3" xfId="12889" xr:uid="{8D5C2CC7-B7D9-411A-BC78-271CCB745353}"/>
    <cellStyle name="Normal 8 3 4 5 3" xfId="6520" xr:uid="{00000000-0005-0000-0000-0000B91D0000}"/>
    <cellStyle name="Normal 8 3 4 5 3 2" xfId="14962" xr:uid="{89A2403C-830D-401D-A7D4-D71E73D1DB3F}"/>
    <cellStyle name="Normal 8 3 4 5 4" xfId="10744" xr:uid="{8DFD5DEE-7D56-41B4-A725-6E0E504B638B}"/>
    <cellStyle name="Normal 8 3 4 6" xfId="2649" xr:uid="{00000000-0005-0000-0000-0000BA1D0000}"/>
    <cellStyle name="Normal 8 3 4 6 2" xfId="6933" xr:uid="{00000000-0005-0000-0000-0000BB1D0000}"/>
    <cellStyle name="Normal 8 3 4 6 2 2" xfId="15375" xr:uid="{F5A6BB2E-3FEE-42C7-8559-21065B5E6C6C}"/>
    <cellStyle name="Normal 8 3 4 6 3" xfId="11157" xr:uid="{4C99292C-67F4-4744-A040-7B5F0A4B21B7}"/>
    <cellStyle name="Normal 8 3 4 7" xfId="4868" xr:uid="{00000000-0005-0000-0000-0000BC1D0000}"/>
    <cellStyle name="Normal 8 3 4 7 2" xfId="13310" xr:uid="{F055CD8B-F5B0-4837-B470-9DFF0A38260A}"/>
    <cellStyle name="Normal 8 3 4 8" xfId="9092" xr:uid="{BC682B16-FDB9-4CA5-B0B1-005A2D52FD02}"/>
    <cellStyle name="Normal 8 3 5" xfId="962" xr:uid="{00000000-0005-0000-0000-0000BD1D0000}"/>
    <cellStyle name="Normal 8 3 5 2" xfId="3196" xr:uid="{00000000-0005-0000-0000-0000BE1D0000}"/>
    <cellStyle name="Normal 8 3 5 2 2" xfId="7419" xr:uid="{00000000-0005-0000-0000-0000BF1D0000}"/>
    <cellStyle name="Normal 8 3 5 2 2 2" xfId="15861" xr:uid="{82DC758A-9E0A-4A4A-A3CA-60363FD5C7CB}"/>
    <cellStyle name="Normal 8 3 5 2 3" xfId="11643" xr:uid="{DB3696EB-48B3-4281-9D89-D3CDD46E5320}"/>
    <cellStyle name="Normal 8 3 5 3" xfId="5274" xr:uid="{00000000-0005-0000-0000-0000C01D0000}"/>
    <cellStyle name="Normal 8 3 5 3 2" xfId="13716" xr:uid="{B2B32DE4-6B39-4FEB-BCB6-E5F8E2110D12}"/>
    <cellStyle name="Normal 8 3 5 4" xfId="9498" xr:uid="{5B664AC6-4A6D-485E-B884-40F192C0DC80}"/>
    <cellStyle name="Normal 8 3 6" xfId="1379" xr:uid="{00000000-0005-0000-0000-0000C11D0000}"/>
    <cellStyle name="Normal 8 3 6 2" xfId="3609" xr:uid="{00000000-0005-0000-0000-0000C21D0000}"/>
    <cellStyle name="Normal 8 3 6 2 2" xfId="7832" xr:uid="{00000000-0005-0000-0000-0000C31D0000}"/>
    <cellStyle name="Normal 8 3 6 2 2 2" xfId="16274" xr:uid="{D3E42074-C738-4459-B10E-4DE5AAA0EB02}"/>
    <cellStyle name="Normal 8 3 6 2 3" xfId="12056" xr:uid="{21A6DE3C-364A-447A-A3AA-7D3DE54F8AE1}"/>
    <cellStyle name="Normal 8 3 6 3" xfId="5687" xr:uid="{00000000-0005-0000-0000-0000C41D0000}"/>
    <cellStyle name="Normal 8 3 6 3 2" xfId="14129" xr:uid="{9C5E3542-A303-419E-AA14-13E33AE3085F}"/>
    <cellStyle name="Normal 8 3 6 4" xfId="9911" xr:uid="{664ED404-261D-47EA-A1E2-06B9C1B638AC}"/>
    <cellStyle name="Normal 8 3 7" xfId="1792" xr:uid="{00000000-0005-0000-0000-0000C51D0000}"/>
    <cellStyle name="Normal 8 3 7 2" xfId="4022" xr:uid="{00000000-0005-0000-0000-0000C61D0000}"/>
    <cellStyle name="Normal 8 3 7 2 2" xfId="8245" xr:uid="{00000000-0005-0000-0000-0000C71D0000}"/>
    <cellStyle name="Normal 8 3 7 2 2 2" xfId="16687" xr:uid="{E1D59CD5-E004-4DAD-9E52-ABD84F33BF4D}"/>
    <cellStyle name="Normal 8 3 7 2 3" xfId="12469" xr:uid="{8ECF71EF-4B65-48CA-BA1C-6FCC2D354376}"/>
    <cellStyle name="Normal 8 3 7 3" xfId="6100" xr:uid="{00000000-0005-0000-0000-0000C81D0000}"/>
    <cellStyle name="Normal 8 3 7 3 2" xfId="14542" xr:uid="{F2412323-68E3-41C7-B2F2-5DF3284003D7}"/>
    <cellStyle name="Normal 8 3 7 4" xfId="10324" xr:uid="{0E9CA308-2639-4AFD-AC8F-FC8A24F33285}"/>
    <cellStyle name="Normal 8 3 8" xfId="2206" xr:uid="{00000000-0005-0000-0000-0000C91D0000}"/>
    <cellStyle name="Normal 8 3 8 2" xfId="4435" xr:uid="{00000000-0005-0000-0000-0000CA1D0000}"/>
    <cellStyle name="Normal 8 3 8 2 2" xfId="8658" xr:uid="{00000000-0005-0000-0000-0000CB1D0000}"/>
    <cellStyle name="Normal 8 3 8 2 2 2" xfId="17100" xr:uid="{FD674053-CD1C-423A-AAF3-A19A6B3F3430}"/>
    <cellStyle name="Normal 8 3 8 2 3" xfId="12882" xr:uid="{32348018-557A-4928-BB12-A0D5352CD170}"/>
    <cellStyle name="Normal 8 3 8 3" xfId="6513" xr:uid="{00000000-0005-0000-0000-0000CC1D0000}"/>
    <cellStyle name="Normal 8 3 8 3 2" xfId="14955" xr:uid="{68D9B347-7023-4EE7-8CFD-CA9FC88CE03B}"/>
    <cellStyle name="Normal 8 3 8 4" xfId="10737" xr:uid="{EFB97782-85D3-40C4-B400-9F4CA836F73A}"/>
    <cellStyle name="Normal 8 3 9" xfId="2642" xr:uid="{00000000-0005-0000-0000-0000CD1D0000}"/>
    <cellStyle name="Normal 8 3 9 2" xfId="6926" xr:uid="{00000000-0005-0000-0000-0000CE1D0000}"/>
    <cellStyle name="Normal 8 3 9 2 2" xfId="15368" xr:uid="{216B9A27-65E6-4323-A8F2-E12BC72F9023}"/>
    <cellStyle name="Normal 8 3 9 3" xfId="11150" xr:uid="{D17ED93E-C063-42D7-B238-BE40FD7F34D8}"/>
    <cellStyle name="Normal 8 4" xfId="503" xr:uid="{00000000-0005-0000-0000-0000CF1D0000}"/>
    <cellStyle name="Normal 8 4 10" xfId="9093" xr:uid="{1C058687-3C4E-4553-8753-1EBDFE1C1CB1}"/>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2 2 2" xfId="15871" xr:uid="{F5F9C2BD-D06A-4282-8D80-72F9EC880EDA}"/>
    <cellStyle name="Normal 8 4 2 2 2 2 3" xfId="11653" xr:uid="{2BC0EE45-E4F1-42D3-8087-98EC56BB2641}"/>
    <cellStyle name="Normal 8 4 2 2 2 3" xfId="5284" xr:uid="{00000000-0005-0000-0000-0000D51D0000}"/>
    <cellStyle name="Normal 8 4 2 2 2 3 2" xfId="13726" xr:uid="{96D674F2-38C6-4280-B191-22D7B9B4E97E}"/>
    <cellStyle name="Normal 8 4 2 2 2 4" xfId="9508" xr:uid="{F070E9FB-2D31-4423-9074-0E1DBDAFD9B8}"/>
    <cellStyle name="Normal 8 4 2 2 3" xfId="1389" xr:uid="{00000000-0005-0000-0000-0000D61D0000}"/>
    <cellStyle name="Normal 8 4 2 2 3 2" xfId="3619" xr:uid="{00000000-0005-0000-0000-0000D71D0000}"/>
    <cellStyle name="Normal 8 4 2 2 3 2 2" xfId="7842" xr:uid="{00000000-0005-0000-0000-0000D81D0000}"/>
    <cellStyle name="Normal 8 4 2 2 3 2 2 2" xfId="16284" xr:uid="{C988F820-89A2-43D3-8F85-7D6E14173428}"/>
    <cellStyle name="Normal 8 4 2 2 3 2 3" xfId="12066" xr:uid="{31822772-ED48-4409-A7F4-B22CA3E33351}"/>
    <cellStyle name="Normal 8 4 2 2 3 3" xfId="5697" xr:uid="{00000000-0005-0000-0000-0000D91D0000}"/>
    <cellStyle name="Normal 8 4 2 2 3 3 2" xfId="14139" xr:uid="{4CFDD462-273D-49FA-AF9C-DABDC30D5552}"/>
    <cellStyle name="Normal 8 4 2 2 3 4" xfId="9921" xr:uid="{59829168-249C-403A-BC8F-CA10033A1C2F}"/>
    <cellStyle name="Normal 8 4 2 2 4" xfId="1802" xr:uid="{00000000-0005-0000-0000-0000DA1D0000}"/>
    <cellStyle name="Normal 8 4 2 2 4 2" xfId="4032" xr:uid="{00000000-0005-0000-0000-0000DB1D0000}"/>
    <cellStyle name="Normal 8 4 2 2 4 2 2" xfId="8255" xr:uid="{00000000-0005-0000-0000-0000DC1D0000}"/>
    <cellStyle name="Normal 8 4 2 2 4 2 2 2" xfId="16697" xr:uid="{77959919-39C6-4705-B566-C5366A90C340}"/>
    <cellStyle name="Normal 8 4 2 2 4 2 3" xfId="12479" xr:uid="{CCDB0553-A604-446B-84F0-C18254B7E89A}"/>
    <cellStyle name="Normal 8 4 2 2 4 3" xfId="6110" xr:uid="{00000000-0005-0000-0000-0000DD1D0000}"/>
    <cellStyle name="Normal 8 4 2 2 4 3 2" xfId="14552" xr:uid="{628F4709-B27F-40BB-8E8F-8398D5C51CEF}"/>
    <cellStyle name="Normal 8 4 2 2 4 4" xfId="10334" xr:uid="{56C58149-A074-45A9-8487-7633D0DC71D7}"/>
    <cellStyle name="Normal 8 4 2 2 5" xfId="2216" xr:uid="{00000000-0005-0000-0000-0000DE1D0000}"/>
    <cellStyle name="Normal 8 4 2 2 5 2" xfId="4445" xr:uid="{00000000-0005-0000-0000-0000DF1D0000}"/>
    <cellStyle name="Normal 8 4 2 2 5 2 2" xfId="8668" xr:uid="{00000000-0005-0000-0000-0000E01D0000}"/>
    <cellStyle name="Normal 8 4 2 2 5 2 2 2" xfId="17110" xr:uid="{D4DB0334-459F-47C2-B397-8F65F538D84C}"/>
    <cellStyle name="Normal 8 4 2 2 5 2 3" xfId="12892" xr:uid="{49926BE8-C0FB-4ADD-8BFC-54FC979377A8}"/>
    <cellStyle name="Normal 8 4 2 2 5 3" xfId="6523" xr:uid="{00000000-0005-0000-0000-0000E11D0000}"/>
    <cellStyle name="Normal 8 4 2 2 5 3 2" xfId="14965" xr:uid="{108FEA8F-6509-4414-A491-E307918BD330}"/>
    <cellStyle name="Normal 8 4 2 2 5 4" xfId="10747" xr:uid="{0AB24641-F08C-4266-A171-F96EDF4ADA3A}"/>
    <cellStyle name="Normal 8 4 2 2 6" xfId="2652" xr:uid="{00000000-0005-0000-0000-0000E21D0000}"/>
    <cellStyle name="Normal 8 4 2 2 6 2" xfId="6936" xr:uid="{00000000-0005-0000-0000-0000E31D0000}"/>
    <cellStyle name="Normal 8 4 2 2 6 2 2" xfId="15378" xr:uid="{3EC7A3EC-D444-4788-95AE-9F6896D77A3F}"/>
    <cellStyle name="Normal 8 4 2 2 6 3" xfId="11160" xr:uid="{E88CEF81-7635-45C1-A4EC-2A5713D1D8DE}"/>
    <cellStyle name="Normal 8 4 2 2 7" xfId="4871" xr:uid="{00000000-0005-0000-0000-0000E41D0000}"/>
    <cellStyle name="Normal 8 4 2 2 7 2" xfId="13313" xr:uid="{610F2823-EFB3-4E7E-A64B-1E1D4A9D7946}"/>
    <cellStyle name="Normal 8 4 2 2 8" xfId="9095" xr:uid="{4442EC3A-B706-47C4-8191-B824C4DC79DB}"/>
    <cellStyle name="Normal 8 4 2 3" xfId="971" xr:uid="{00000000-0005-0000-0000-0000E51D0000}"/>
    <cellStyle name="Normal 8 4 2 3 2" xfId="3205" xr:uid="{00000000-0005-0000-0000-0000E61D0000}"/>
    <cellStyle name="Normal 8 4 2 3 2 2" xfId="7428" xr:uid="{00000000-0005-0000-0000-0000E71D0000}"/>
    <cellStyle name="Normal 8 4 2 3 2 2 2" xfId="15870" xr:uid="{B31BF898-1837-4FED-994F-EDCAC51673C9}"/>
    <cellStyle name="Normal 8 4 2 3 2 3" xfId="11652" xr:uid="{EF0073FC-2B81-43F9-BA45-5C93D74F378D}"/>
    <cellStyle name="Normal 8 4 2 3 3" xfId="5283" xr:uid="{00000000-0005-0000-0000-0000E81D0000}"/>
    <cellStyle name="Normal 8 4 2 3 3 2" xfId="13725" xr:uid="{954CB318-A5EC-43E8-8D70-88747F4F5295}"/>
    <cellStyle name="Normal 8 4 2 3 4" xfId="9507" xr:uid="{9A46A03F-BD33-4092-A157-CFED38C0EDD3}"/>
    <cellStyle name="Normal 8 4 2 4" xfId="1388" xr:uid="{00000000-0005-0000-0000-0000E91D0000}"/>
    <cellStyle name="Normal 8 4 2 4 2" xfId="3618" xr:uid="{00000000-0005-0000-0000-0000EA1D0000}"/>
    <cellStyle name="Normal 8 4 2 4 2 2" xfId="7841" xr:uid="{00000000-0005-0000-0000-0000EB1D0000}"/>
    <cellStyle name="Normal 8 4 2 4 2 2 2" xfId="16283" xr:uid="{6558553F-C33F-48B4-89C7-7EA2FD014530}"/>
    <cellStyle name="Normal 8 4 2 4 2 3" xfId="12065" xr:uid="{E93D81A0-08BF-40BE-8C30-E6D98E8CDBAB}"/>
    <cellStyle name="Normal 8 4 2 4 3" xfId="5696" xr:uid="{00000000-0005-0000-0000-0000EC1D0000}"/>
    <cellStyle name="Normal 8 4 2 4 3 2" xfId="14138" xr:uid="{D6A5009D-8381-48B4-9A06-63C64F8AF11C}"/>
    <cellStyle name="Normal 8 4 2 4 4" xfId="9920" xr:uid="{91967E80-71AC-4897-B862-22FCD2F640E9}"/>
    <cellStyle name="Normal 8 4 2 5" xfId="1801" xr:uid="{00000000-0005-0000-0000-0000ED1D0000}"/>
    <cellStyle name="Normal 8 4 2 5 2" xfId="4031" xr:uid="{00000000-0005-0000-0000-0000EE1D0000}"/>
    <cellStyle name="Normal 8 4 2 5 2 2" xfId="8254" xr:uid="{00000000-0005-0000-0000-0000EF1D0000}"/>
    <cellStyle name="Normal 8 4 2 5 2 2 2" xfId="16696" xr:uid="{7013E80E-8E46-41F2-8BB0-88A82EF64ECE}"/>
    <cellStyle name="Normal 8 4 2 5 2 3" xfId="12478" xr:uid="{3F1A8E45-BF1F-400E-B42D-D6096FE43C3A}"/>
    <cellStyle name="Normal 8 4 2 5 3" xfId="6109" xr:uid="{00000000-0005-0000-0000-0000F01D0000}"/>
    <cellStyle name="Normal 8 4 2 5 3 2" xfId="14551" xr:uid="{9F95501D-6875-4FC7-884A-C46D61CF06A0}"/>
    <cellStyle name="Normal 8 4 2 5 4" xfId="10333" xr:uid="{32216363-8B3C-40CB-AD74-595266D9A68D}"/>
    <cellStyle name="Normal 8 4 2 6" xfId="2215" xr:uid="{00000000-0005-0000-0000-0000F11D0000}"/>
    <cellStyle name="Normal 8 4 2 6 2" xfId="4444" xr:uid="{00000000-0005-0000-0000-0000F21D0000}"/>
    <cellStyle name="Normal 8 4 2 6 2 2" xfId="8667" xr:uid="{00000000-0005-0000-0000-0000F31D0000}"/>
    <cellStyle name="Normal 8 4 2 6 2 2 2" xfId="17109" xr:uid="{7D2E2A22-2FEE-42B3-BBB4-7281DBD1A88B}"/>
    <cellStyle name="Normal 8 4 2 6 2 3" xfId="12891" xr:uid="{58F4558F-419A-49FF-8A17-D2AD9914C419}"/>
    <cellStyle name="Normal 8 4 2 6 3" xfId="6522" xr:uid="{00000000-0005-0000-0000-0000F41D0000}"/>
    <cellStyle name="Normal 8 4 2 6 3 2" xfId="14964" xr:uid="{81EA1DCA-2280-4D37-B5A8-572A50E0E6FD}"/>
    <cellStyle name="Normal 8 4 2 6 4" xfId="10746" xr:uid="{24B9C14C-2071-4209-9429-755241AEF276}"/>
    <cellStyle name="Normal 8 4 2 7" xfId="2651" xr:uid="{00000000-0005-0000-0000-0000F51D0000}"/>
    <cellStyle name="Normal 8 4 2 7 2" xfId="6935" xr:uid="{00000000-0005-0000-0000-0000F61D0000}"/>
    <cellStyle name="Normal 8 4 2 7 2 2" xfId="15377" xr:uid="{8E39E06C-E4DF-4749-938C-12D2DF46A242}"/>
    <cellStyle name="Normal 8 4 2 7 3" xfId="11159" xr:uid="{C612A40C-8733-4828-8A0F-5893728B692A}"/>
    <cellStyle name="Normal 8 4 2 8" xfId="4870" xr:uid="{00000000-0005-0000-0000-0000F71D0000}"/>
    <cellStyle name="Normal 8 4 2 8 2" xfId="13312" xr:uid="{9D8B959F-CA94-4A46-AD0B-C094F4B00726}"/>
    <cellStyle name="Normal 8 4 2 9" xfId="9094" xr:uid="{66593812-DCF0-4988-97AF-90C6EA4884A1}"/>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2 2 2" xfId="15872" xr:uid="{923E5037-CF28-4E32-918B-4A701B51BC01}"/>
    <cellStyle name="Normal 8 4 3 2 2 3" xfId="11654" xr:uid="{058FD8B2-2EFB-4B0C-8486-3B0D1D1A2300}"/>
    <cellStyle name="Normal 8 4 3 2 3" xfId="5285" xr:uid="{00000000-0005-0000-0000-0000FC1D0000}"/>
    <cellStyle name="Normal 8 4 3 2 3 2" xfId="13727" xr:uid="{1A4277E5-06E6-45E9-9B82-CA662CFB5332}"/>
    <cellStyle name="Normal 8 4 3 2 4" xfId="9509" xr:uid="{AE40EFDE-FBDF-44A6-AA0C-F2EE1236D1E3}"/>
    <cellStyle name="Normal 8 4 3 3" xfId="1390" xr:uid="{00000000-0005-0000-0000-0000FD1D0000}"/>
    <cellStyle name="Normal 8 4 3 3 2" xfId="3620" xr:uid="{00000000-0005-0000-0000-0000FE1D0000}"/>
    <cellStyle name="Normal 8 4 3 3 2 2" xfId="7843" xr:uid="{00000000-0005-0000-0000-0000FF1D0000}"/>
    <cellStyle name="Normal 8 4 3 3 2 2 2" xfId="16285" xr:uid="{4159A637-72EF-465D-A9C1-1E9D0434C401}"/>
    <cellStyle name="Normal 8 4 3 3 2 3" xfId="12067" xr:uid="{8F1A1A64-CEFC-4AC1-B8E0-3DC5B538E1AD}"/>
    <cellStyle name="Normal 8 4 3 3 3" xfId="5698" xr:uid="{00000000-0005-0000-0000-0000001E0000}"/>
    <cellStyle name="Normal 8 4 3 3 3 2" xfId="14140" xr:uid="{4F3ACB72-8A3D-4846-BE38-594384556FE5}"/>
    <cellStyle name="Normal 8 4 3 3 4" xfId="9922" xr:uid="{55543EF3-5402-4061-95DB-C0FCF2BEF426}"/>
    <cellStyle name="Normal 8 4 3 4" xfId="1803" xr:uid="{00000000-0005-0000-0000-0000011E0000}"/>
    <cellStyle name="Normal 8 4 3 4 2" xfId="4033" xr:uid="{00000000-0005-0000-0000-0000021E0000}"/>
    <cellStyle name="Normal 8 4 3 4 2 2" xfId="8256" xr:uid="{00000000-0005-0000-0000-0000031E0000}"/>
    <cellStyle name="Normal 8 4 3 4 2 2 2" xfId="16698" xr:uid="{B39D9394-7748-41CA-8595-B332B8123699}"/>
    <cellStyle name="Normal 8 4 3 4 2 3" xfId="12480" xr:uid="{EFA3F775-5D57-4E8D-9275-782E6284EB4D}"/>
    <cellStyle name="Normal 8 4 3 4 3" xfId="6111" xr:uid="{00000000-0005-0000-0000-0000041E0000}"/>
    <cellStyle name="Normal 8 4 3 4 3 2" xfId="14553" xr:uid="{E3869D53-B918-4686-B8F4-70EBF1C2B828}"/>
    <cellStyle name="Normal 8 4 3 4 4" xfId="10335" xr:uid="{971F2D1D-36C0-43C4-8856-BA3147859952}"/>
    <cellStyle name="Normal 8 4 3 5" xfId="2217" xr:uid="{00000000-0005-0000-0000-0000051E0000}"/>
    <cellStyle name="Normal 8 4 3 5 2" xfId="4446" xr:uid="{00000000-0005-0000-0000-0000061E0000}"/>
    <cellStyle name="Normal 8 4 3 5 2 2" xfId="8669" xr:uid="{00000000-0005-0000-0000-0000071E0000}"/>
    <cellStyle name="Normal 8 4 3 5 2 2 2" xfId="17111" xr:uid="{F31B52C7-9CC9-4F01-8EF2-238846AE5195}"/>
    <cellStyle name="Normal 8 4 3 5 2 3" xfId="12893" xr:uid="{43BF20AF-9E1A-4175-8B26-FCE5B9D825BC}"/>
    <cellStyle name="Normal 8 4 3 5 3" xfId="6524" xr:uid="{00000000-0005-0000-0000-0000081E0000}"/>
    <cellStyle name="Normal 8 4 3 5 3 2" xfId="14966" xr:uid="{D9B28A01-942E-4B93-BB86-4AAA332196AF}"/>
    <cellStyle name="Normal 8 4 3 5 4" xfId="10748" xr:uid="{AC25557B-204D-4689-A095-849BE1EC7CDC}"/>
    <cellStyle name="Normal 8 4 3 6" xfId="2653" xr:uid="{00000000-0005-0000-0000-0000091E0000}"/>
    <cellStyle name="Normal 8 4 3 6 2" xfId="6937" xr:uid="{00000000-0005-0000-0000-00000A1E0000}"/>
    <cellStyle name="Normal 8 4 3 6 2 2" xfId="15379" xr:uid="{82FBD77B-910B-4D5E-B4F4-5B23E73C91D7}"/>
    <cellStyle name="Normal 8 4 3 6 3" xfId="11161" xr:uid="{BB5A89E1-8FC6-456F-BE13-9F4688728144}"/>
    <cellStyle name="Normal 8 4 3 7" xfId="4872" xr:uid="{00000000-0005-0000-0000-00000B1E0000}"/>
    <cellStyle name="Normal 8 4 3 7 2" xfId="13314" xr:uid="{CA9BF313-809B-4103-816A-6BF9B8871565}"/>
    <cellStyle name="Normal 8 4 3 8" xfId="9096" xr:uid="{4D929491-9487-4FCD-A235-16122C733C87}"/>
    <cellStyle name="Normal 8 4 4" xfId="970" xr:uid="{00000000-0005-0000-0000-00000C1E0000}"/>
    <cellStyle name="Normal 8 4 4 2" xfId="3204" xr:uid="{00000000-0005-0000-0000-00000D1E0000}"/>
    <cellStyle name="Normal 8 4 4 2 2" xfId="7427" xr:uid="{00000000-0005-0000-0000-00000E1E0000}"/>
    <cellStyle name="Normal 8 4 4 2 2 2" xfId="15869" xr:uid="{65813606-E380-49B2-81F2-EB9D27535FBF}"/>
    <cellStyle name="Normal 8 4 4 2 3" xfId="11651" xr:uid="{E4ABDCD1-95DE-42BD-8EDA-3448D8989864}"/>
    <cellStyle name="Normal 8 4 4 3" xfId="5282" xr:uid="{00000000-0005-0000-0000-00000F1E0000}"/>
    <cellStyle name="Normal 8 4 4 3 2" xfId="13724" xr:uid="{DFC496A2-FF10-4682-8B68-97CEC957B287}"/>
    <cellStyle name="Normal 8 4 4 4" xfId="9506" xr:uid="{9E5E73C0-97FA-44B1-907E-55920486CC24}"/>
    <cellStyle name="Normal 8 4 5" xfId="1387" xr:uid="{00000000-0005-0000-0000-0000101E0000}"/>
    <cellStyle name="Normal 8 4 5 2" xfId="3617" xr:uid="{00000000-0005-0000-0000-0000111E0000}"/>
    <cellStyle name="Normal 8 4 5 2 2" xfId="7840" xr:uid="{00000000-0005-0000-0000-0000121E0000}"/>
    <cellStyle name="Normal 8 4 5 2 2 2" xfId="16282" xr:uid="{7A06E107-15C0-48FC-B8FF-D6E5955FED37}"/>
    <cellStyle name="Normal 8 4 5 2 3" xfId="12064" xr:uid="{29C0AB7A-6B23-4A88-B452-C804E633F143}"/>
    <cellStyle name="Normal 8 4 5 3" xfId="5695" xr:uid="{00000000-0005-0000-0000-0000131E0000}"/>
    <cellStyle name="Normal 8 4 5 3 2" xfId="14137" xr:uid="{80B18528-706A-42A2-AC7C-0B3A0029F407}"/>
    <cellStyle name="Normal 8 4 5 4" xfId="9919" xr:uid="{D3466D6C-963D-4932-9FFB-93B3F2264C9D}"/>
    <cellStyle name="Normal 8 4 6" xfId="1800" xr:uid="{00000000-0005-0000-0000-0000141E0000}"/>
    <cellStyle name="Normal 8 4 6 2" xfId="4030" xr:uid="{00000000-0005-0000-0000-0000151E0000}"/>
    <cellStyle name="Normal 8 4 6 2 2" xfId="8253" xr:uid="{00000000-0005-0000-0000-0000161E0000}"/>
    <cellStyle name="Normal 8 4 6 2 2 2" xfId="16695" xr:uid="{78B154F8-3107-459D-B39A-D6050B00098B}"/>
    <cellStyle name="Normal 8 4 6 2 3" xfId="12477" xr:uid="{D5E5D03A-B7B1-4775-8C50-6A4A11A3D2C3}"/>
    <cellStyle name="Normal 8 4 6 3" xfId="6108" xr:uid="{00000000-0005-0000-0000-0000171E0000}"/>
    <cellStyle name="Normal 8 4 6 3 2" xfId="14550" xr:uid="{9573C314-3F3F-4DBA-8D32-5D435A5BD048}"/>
    <cellStyle name="Normal 8 4 6 4" xfId="10332" xr:uid="{96E18963-36FB-488B-BE51-D3F98FDE3F18}"/>
    <cellStyle name="Normal 8 4 7" xfId="2214" xr:uid="{00000000-0005-0000-0000-0000181E0000}"/>
    <cellStyle name="Normal 8 4 7 2" xfId="4443" xr:uid="{00000000-0005-0000-0000-0000191E0000}"/>
    <cellStyle name="Normal 8 4 7 2 2" xfId="8666" xr:uid="{00000000-0005-0000-0000-00001A1E0000}"/>
    <cellStyle name="Normal 8 4 7 2 2 2" xfId="17108" xr:uid="{11C6AE97-6A7D-44E9-9B1A-946A7D35290E}"/>
    <cellStyle name="Normal 8 4 7 2 3" xfId="12890" xr:uid="{BC056B0E-D745-405F-A858-5D3CC2603633}"/>
    <cellStyle name="Normal 8 4 7 3" xfId="6521" xr:uid="{00000000-0005-0000-0000-00001B1E0000}"/>
    <cellStyle name="Normal 8 4 7 3 2" xfId="14963" xr:uid="{0400B9D7-9337-4D54-8E93-F8B46BE54284}"/>
    <cellStyle name="Normal 8 4 7 4" xfId="10745" xr:uid="{9DEEB67E-E5ED-4ED1-AA4B-3A3EB1B2B6E8}"/>
    <cellStyle name="Normal 8 4 8" xfId="2650" xr:uid="{00000000-0005-0000-0000-00001C1E0000}"/>
    <cellStyle name="Normal 8 4 8 2" xfId="6934" xr:uid="{00000000-0005-0000-0000-00001D1E0000}"/>
    <cellStyle name="Normal 8 4 8 2 2" xfId="15376" xr:uid="{F41D9969-0301-4F44-B630-F8AE040F31A9}"/>
    <cellStyle name="Normal 8 4 8 3" xfId="11158" xr:uid="{D1A1B1F8-C6FA-481E-A8EA-73EDC737A2A3}"/>
    <cellStyle name="Normal 8 4 9" xfId="4869" xr:uid="{00000000-0005-0000-0000-00001E1E0000}"/>
    <cellStyle name="Normal 8 4 9 2" xfId="13311" xr:uid="{C6E3B0E2-7253-4C97-8F0D-7FA7B029901A}"/>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2 2 2" xfId="15874" xr:uid="{3375D082-039C-464B-9AAD-E6681E979EDF}"/>
    <cellStyle name="Normal 8 5 2 2 2 3" xfId="11656" xr:uid="{3713CE9E-928A-41F5-B837-CB0B5EC593D4}"/>
    <cellStyle name="Normal 8 5 2 2 3" xfId="5287" xr:uid="{00000000-0005-0000-0000-0000241E0000}"/>
    <cellStyle name="Normal 8 5 2 2 3 2" xfId="13729" xr:uid="{5C5DCA16-5796-45F4-AE1D-57E532351309}"/>
    <cellStyle name="Normal 8 5 2 2 4" xfId="9511" xr:uid="{5706FAB3-A8D4-4C73-9803-B13DB0FAF241}"/>
    <cellStyle name="Normal 8 5 2 3" xfId="1392" xr:uid="{00000000-0005-0000-0000-0000251E0000}"/>
    <cellStyle name="Normal 8 5 2 3 2" xfId="3622" xr:uid="{00000000-0005-0000-0000-0000261E0000}"/>
    <cellStyle name="Normal 8 5 2 3 2 2" xfId="7845" xr:uid="{00000000-0005-0000-0000-0000271E0000}"/>
    <cellStyle name="Normal 8 5 2 3 2 2 2" xfId="16287" xr:uid="{DC92FD85-E125-4135-9450-1B62EFFDFF50}"/>
    <cellStyle name="Normal 8 5 2 3 2 3" xfId="12069" xr:uid="{E53CB952-7620-4309-AE34-3682D556E103}"/>
    <cellStyle name="Normal 8 5 2 3 3" xfId="5700" xr:uid="{00000000-0005-0000-0000-0000281E0000}"/>
    <cellStyle name="Normal 8 5 2 3 3 2" xfId="14142" xr:uid="{2E17A98D-FE99-4027-ADC7-055703AE1CEF}"/>
    <cellStyle name="Normal 8 5 2 3 4" xfId="9924" xr:uid="{656F1A97-ACDF-4A50-A0BB-3560B061D587}"/>
    <cellStyle name="Normal 8 5 2 4" xfId="1805" xr:uid="{00000000-0005-0000-0000-0000291E0000}"/>
    <cellStyle name="Normal 8 5 2 4 2" xfId="4035" xr:uid="{00000000-0005-0000-0000-00002A1E0000}"/>
    <cellStyle name="Normal 8 5 2 4 2 2" xfId="8258" xr:uid="{00000000-0005-0000-0000-00002B1E0000}"/>
    <cellStyle name="Normal 8 5 2 4 2 2 2" xfId="16700" xr:uid="{E3DAFE5B-AFD7-4C49-A3FE-8E4CFC60AD7C}"/>
    <cellStyle name="Normal 8 5 2 4 2 3" xfId="12482" xr:uid="{A05B5129-C344-4A10-85E7-347A5444A4ED}"/>
    <cellStyle name="Normal 8 5 2 4 3" xfId="6113" xr:uid="{00000000-0005-0000-0000-00002C1E0000}"/>
    <cellStyle name="Normal 8 5 2 4 3 2" xfId="14555" xr:uid="{5739B352-04A7-4A7F-8189-E8023A6DBCAE}"/>
    <cellStyle name="Normal 8 5 2 4 4" xfId="10337" xr:uid="{CEAD718F-C9B6-437C-A217-968CF199BFC4}"/>
    <cellStyle name="Normal 8 5 2 5" xfId="2219" xr:uid="{00000000-0005-0000-0000-00002D1E0000}"/>
    <cellStyle name="Normal 8 5 2 5 2" xfId="4448" xr:uid="{00000000-0005-0000-0000-00002E1E0000}"/>
    <cellStyle name="Normal 8 5 2 5 2 2" xfId="8671" xr:uid="{00000000-0005-0000-0000-00002F1E0000}"/>
    <cellStyle name="Normal 8 5 2 5 2 2 2" xfId="17113" xr:uid="{B5225FC0-6692-4E5F-8C60-BE0F2C208B88}"/>
    <cellStyle name="Normal 8 5 2 5 2 3" xfId="12895" xr:uid="{F2260DEF-0ED3-4070-AB5F-AED174557CFD}"/>
    <cellStyle name="Normal 8 5 2 5 3" xfId="6526" xr:uid="{00000000-0005-0000-0000-0000301E0000}"/>
    <cellStyle name="Normal 8 5 2 5 3 2" xfId="14968" xr:uid="{89B281A5-BD80-4702-A848-841605953880}"/>
    <cellStyle name="Normal 8 5 2 5 4" xfId="10750" xr:uid="{FFE092BC-60D5-4E62-9972-7069721D4744}"/>
    <cellStyle name="Normal 8 5 2 6" xfId="2655" xr:uid="{00000000-0005-0000-0000-0000311E0000}"/>
    <cellStyle name="Normal 8 5 2 6 2" xfId="6939" xr:uid="{00000000-0005-0000-0000-0000321E0000}"/>
    <cellStyle name="Normal 8 5 2 6 2 2" xfId="15381" xr:uid="{A3314771-2275-4C14-B9A6-FB3BD9E40626}"/>
    <cellStyle name="Normal 8 5 2 6 3" xfId="11163" xr:uid="{873B288A-C456-4BFA-B4A4-60F3C5AB484E}"/>
    <cellStyle name="Normal 8 5 2 7" xfId="4874" xr:uid="{00000000-0005-0000-0000-0000331E0000}"/>
    <cellStyle name="Normal 8 5 2 7 2" xfId="13316" xr:uid="{0F753004-6B53-4574-9646-D27F167214FC}"/>
    <cellStyle name="Normal 8 5 2 8" xfId="9098" xr:uid="{5EA826AA-4FDF-4E97-825F-CD70AB7F0AB4}"/>
    <cellStyle name="Normal 8 5 3" xfId="974" xr:uid="{00000000-0005-0000-0000-0000341E0000}"/>
    <cellStyle name="Normal 8 5 3 2" xfId="3208" xr:uid="{00000000-0005-0000-0000-0000351E0000}"/>
    <cellStyle name="Normal 8 5 3 2 2" xfId="7431" xr:uid="{00000000-0005-0000-0000-0000361E0000}"/>
    <cellStyle name="Normal 8 5 3 2 2 2" xfId="15873" xr:uid="{70EDAE6B-D5FC-4FB3-890A-316FB2B3E8DC}"/>
    <cellStyle name="Normal 8 5 3 2 3" xfId="11655" xr:uid="{00F57357-07A1-43D5-8DF7-BE4BE4059FC9}"/>
    <cellStyle name="Normal 8 5 3 3" xfId="5286" xr:uid="{00000000-0005-0000-0000-0000371E0000}"/>
    <cellStyle name="Normal 8 5 3 3 2" xfId="13728" xr:uid="{F4FB60C1-E963-4AA5-A408-7D2EEAE36268}"/>
    <cellStyle name="Normal 8 5 3 4" xfId="9510" xr:uid="{775A9488-2725-426E-BE69-F55E7957D55F}"/>
    <cellStyle name="Normal 8 5 4" xfId="1391" xr:uid="{00000000-0005-0000-0000-0000381E0000}"/>
    <cellStyle name="Normal 8 5 4 2" xfId="3621" xr:uid="{00000000-0005-0000-0000-0000391E0000}"/>
    <cellStyle name="Normal 8 5 4 2 2" xfId="7844" xr:uid="{00000000-0005-0000-0000-00003A1E0000}"/>
    <cellStyle name="Normal 8 5 4 2 2 2" xfId="16286" xr:uid="{E31E0221-1A44-4B8D-A820-EEDE9D3950BE}"/>
    <cellStyle name="Normal 8 5 4 2 3" xfId="12068" xr:uid="{7DA21ABE-01AE-486E-882A-C13A2D353399}"/>
    <cellStyle name="Normal 8 5 4 3" xfId="5699" xr:uid="{00000000-0005-0000-0000-00003B1E0000}"/>
    <cellStyle name="Normal 8 5 4 3 2" xfId="14141" xr:uid="{0F96CE78-C828-494B-899E-02B7AA8E4CB3}"/>
    <cellStyle name="Normal 8 5 4 4" xfId="9923" xr:uid="{22D9CA1F-B78A-4085-AC77-CA37C239F589}"/>
    <cellStyle name="Normal 8 5 5" xfId="1804" xr:uid="{00000000-0005-0000-0000-00003C1E0000}"/>
    <cellStyle name="Normal 8 5 5 2" xfId="4034" xr:uid="{00000000-0005-0000-0000-00003D1E0000}"/>
    <cellStyle name="Normal 8 5 5 2 2" xfId="8257" xr:uid="{00000000-0005-0000-0000-00003E1E0000}"/>
    <cellStyle name="Normal 8 5 5 2 2 2" xfId="16699" xr:uid="{3D0FBE8B-76BA-408B-B6AE-5A97C72F243B}"/>
    <cellStyle name="Normal 8 5 5 2 3" xfId="12481" xr:uid="{F65B3AA8-5BA2-4172-8940-4D299E15E3AC}"/>
    <cellStyle name="Normal 8 5 5 3" xfId="6112" xr:uid="{00000000-0005-0000-0000-00003F1E0000}"/>
    <cellStyle name="Normal 8 5 5 3 2" xfId="14554" xr:uid="{F0728F45-9031-4D49-8FED-3CD25174ADC0}"/>
    <cellStyle name="Normal 8 5 5 4" xfId="10336" xr:uid="{5042AA99-E4CF-4C7C-85F4-F7A441A329B4}"/>
    <cellStyle name="Normal 8 5 6" xfId="2218" xr:uid="{00000000-0005-0000-0000-0000401E0000}"/>
    <cellStyle name="Normal 8 5 6 2" xfId="4447" xr:uid="{00000000-0005-0000-0000-0000411E0000}"/>
    <cellStyle name="Normal 8 5 6 2 2" xfId="8670" xr:uid="{00000000-0005-0000-0000-0000421E0000}"/>
    <cellStyle name="Normal 8 5 6 2 2 2" xfId="17112" xr:uid="{F067ABC7-7D9E-4E40-B968-A7F839DD95FA}"/>
    <cellStyle name="Normal 8 5 6 2 3" xfId="12894" xr:uid="{89C2DF8C-577A-4E7B-9A5A-91A6797AAA6E}"/>
    <cellStyle name="Normal 8 5 6 3" xfId="6525" xr:uid="{00000000-0005-0000-0000-0000431E0000}"/>
    <cellStyle name="Normal 8 5 6 3 2" xfId="14967" xr:uid="{9FACDC8B-A805-4E1C-A2B8-3C4F3DA3A3A4}"/>
    <cellStyle name="Normal 8 5 6 4" xfId="10749" xr:uid="{C6EAB2E4-AEBC-4501-A8F4-BE14BA255FDF}"/>
    <cellStyle name="Normal 8 5 7" xfId="2654" xr:uid="{00000000-0005-0000-0000-0000441E0000}"/>
    <cellStyle name="Normal 8 5 7 2" xfId="6938" xr:uid="{00000000-0005-0000-0000-0000451E0000}"/>
    <cellStyle name="Normal 8 5 7 2 2" xfId="15380" xr:uid="{D697D995-154D-4C6B-AA1F-BD6E3A8B0EF7}"/>
    <cellStyle name="Normal 8 5 7 3" xfId="11162" xr:uid="{165ECA86-2FB7-4604-B606-6DCC8B307102}"/>
    <cellStyle name="Normal 8 5 8" xfId="4873" xr:uid="{00000000-0005-0000-0000-0000461E0000}"/>
    <cellStyle name="Normal 8 5 8 2" xfId="13315" xr:uid="{33EDF19D-9DED-404A-922B-138755C8725E}"/>
    <cellStyle name="Normal 8 5 9" xfId="9097" xr:uid="{728F6D8B-507D-41D6-96EC-4F67A4CEA16C}"/>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2 2 2" xfId="15875" xr:uid="{B965EDD6-2C65-4850-87E9-7F74AF139230}"/>
    <cellStyle name="Normal 8 6 2 2 3" xfId="11657" xr:uid="{7A8DB4DE-57F1-4B49-B56E-55B54DD481A6}"/>
    <cellStyle name="Normal 8 6 2 3" xfId="5288" xr:uid="{00000000-0005-0000-0000-00004B1E0000}"/>
    <cellStyle name="Normal 8 6 2 3 2" xfId="13730" xr:uid="{996CE12E-F23D-45A3-B76F-0477ED81EF55}"/>
    <cellStyle name="Normal 8 6 2 4" xfId="9512" xr:uid="{91A519DE-D937-4789-B8BB-D97234536862}"/>
    <cellStyle name="Normal 8 6 3" xfId="1393" xr:uid="{00000000-0005-0000-0000-00004C1E0000}"/>
    <cellStyle name="Normal 8 6 3 2" xfId="3623" xr:uid="{00000000-0005-0000-0000-00004D1E0000}"/>
    <cellStyle name="Normal 8 6 3 2 2" xfId="7846" xr:uid="{00000000-0005-0000-0000-00004E1E0000}"/>
    <cellStyle name="Normal 8 6 3 2 2 2" xfId="16288" xr:uid="{5942AB6A-695D-4B36-B32B-5F47F91EDDF5}"/>
    <cellStyle name="Normal 8 6 3 2 3" xfId="12070" xr:uid="{532AB92A-71FA-4C54-9534-EFF375C9655D}"/>
    <cellStyle name="Normal 8 6 3 3" xfId="5701" xr:uid="{00000000-0005-0000-0000-00004F1E0000}"/>
    <cellStyle name="Normal 8 6 3 3 2" xfId="14143" xr:uid="{0E7EF50B-F591-4D2F-9C40-C8EF19810851}"/>
    <cellStyle name="Normal 8 6 3 4" xfId="9925" xr:uid="{8B53C22B-604B-4945-8950-B29498567535}"/>
    <cellStyle name="Normal 8 6 4" xfId="1806" xr:uid="{00000000-0005-0000-0000-0000501E0000}"/>
    <cellStyle name="Normal 8 6 4 2" xfId="4036" xr:uid="{00000000-0005-0000-0000-0000511E0000}"/>
    <cellStyle name="Normal 8 6 4 2 2" xfId="8259" xr:uid="{00000000-0005-0000-0000-0000521E0000}"/>
    <cellStyle name="Normal 8 6 4 2 2 2" xfId="16701" xr:uid="{E4B8EA4F-61EE-46E4-A8D0-FDB67E65547D}"/>
    <cellStyle name="Normal 8 6 4 2 3" xfId="12483" xr:uid="{5B70E35B-E665-47C8-B6A0-9F0B303D9B55}"/>
    <cellStyle name="Normal 8 6 4 3" xfId="6114" xr:uid="{00000000-0005-0000-0000-0000531E0000}"/>
    <cellStyle name="Normal 8 6 4 3 2" xfId="14556" xr:uid="{DD9243A8-30B5-49A9-A417-51DF2BF8C7DD}"/>
    <cellStyle name="Normal 8 6 4 4" xfId="10338" xr:uid="{B7F5DC30-E4FD-40E6-83C5-8C5F6B496B14}"/>
    <cellStyle name="Normal 8 6 5" xfId="2220" xr:uid="{00000000-0005-0000-0000-0000541E0000}"/>
    <cellStyle name="Normal 8 6 5 2" xfId="4449" xr:uid="{00000000-0005-0000-0000-0000551E0000}"/>
    <cellStyle name="Normal 8 6 5 2 2" xfId="8672" xr:uid="{00000000-0005-0000-0000-0000561E0000}"/>
    <cellStyle name="Normal 8 6 5 2 2 2" xfId="17114" xr:uid="{8A56D3EB-574C-4635-88EA-DFB796BF816C}"/>
    <cellStyle name="Normal 8 6 5 2 3" xfId="12896" xr:uid="{C578991C-0372-4227-88CC-0400D76D044A}"/>
    <cellStyle name="Normal 8 6 5 3" xfId="6527" xr:uid="{00000000-0005-0000-0000-0000571E0000}"/>
    <cellStyle name="Normal 8 6 5 3 2" xfId="14969" xr:uid="{F14744B2-41FF-4564-BB53-B50CEC193109}"/>
    <cellStyle name="Normal 8 6 5 4" xfId="10751" xr:uid="{7F2677D8-5B91-4418-AF2E-3B381876DDA4}"/>
    <cellStyle name="Normal 8 6 6" xfId="2656" xr:uid="{00000000-0005-0000-0000-0000581E0000}"/>
    <cellStyle name="Normal 8 6 6 2" xfId="6940" xr:uid="{00000000-0005-0000-0000-0000591E0000}"/>
    <cellStyle name="Normal 8 6 6 2 2" xfId="15382" xr:uid="{97749803-45DB-4F7C-9617-5299B52E9241}"/>
    <cellStyle name="Normal 8 6 6 3" xfId="11164" xr:uid="{0A8C9D41-DF28-4001-A79C-744875ED255C}"/>
    <cellStyle name="Normal 8 6 7" xfId="4875" xr:uid="{00000000-0005-0000-0000-00005A1E0000}"/>
    <cellStyle name="Normal 8 6 7 2" xfId="13317" xr:uid="{D3FEC926-70FE-49C3-930B-8CDD6F2CA620}"/>
    <cellStyle name="Normal 8 6 8" xfId="9099" xr:uid="{217DA3F9-55E2-4026-995F-A29EC91C78A6}"/>
    <cellStyle name="Normal 8 7" xfId="945" xr:uid="{00000000-0005-0000-0000-00005B1E0000}"/>
    <cellStyle name="Normal 8 7 2" xfId="3179" xr:uid="{00000000-0005-0000-0000-00005C1E0000}"/>
    <cellStyle name="Normal 8 7 2 2" xfId="7402" xr:uid="{00000000-0005-0000-0000-00005D1E0000}"/>
    <cellStyle name="Normal 8 7 2 2 2" xfId="15844" xr:uid="{7AF97805-C083-433E-A22E-3EA7F1592E15}"/>
    <cellStyle name="Normal 8 7 2 3" xfId="11626" xr:uid="{A5D211BA-E1AD-456E-8B78-56B7137A8C7A}"/>
    <cellStyle name="Normal 8 7 3" xfId="5257" xr:uid="{00000000-0005-0000-0000-00005E1E0000}"/>
    <cellStyle name="Normal 8 7 3 2" xfId="13699" xr:uid="{D94E1B1E-6AF1-41B0-A505-02911773EE59}"/>
    <cellStyle name="Normal 8 7 4" xfId="9481" xr:uid="{041727ED-6971-47D8-8152-BE8452E3B55C}"/>
    <cellStyle name="Normal 8 8" xfId="1362" xr:uid="{00000000-0005-0000-0000-00005F1E0000}"/>
    <cellStyle name="Normal 8 8 2" xfId="3592" xr:uid="{00000000-0005-0000-0000-0000601E0000}"/>
    <cellStyle name="Normal 8 8 2 2" xfId="7815" xr:uid="{00000000-0005-0000-0000-0000611E0000}"/>
    <cellStyle name="Normal 8 8 2 2 2" xfId="16257" xr:uid="{B5D11D2F-6760-407E-B68D-F9A6BFB70320}"/>
    <cellStyle name="Normal 8 8 2 3" xfId="12039" xr:uid="{8952CA75-3F5C-4D3E-8105-1C1E6B167AB8}"/>
    <cellStyle name="Normal 8 8 3" xfId="5670" xr:uid="{00000000-0005-0000-0000-0000621E0000}"/>
    <cellStyle name="Normal 8 8 3 2" xfId="14112" xr:uid="{B6CD5770-9F19-4E48-9602-010FBC27CBAC}"/>
    <cellStyle name="Normal 8 8 4" xfId="9894" xr:uid="{602BE889-9363-439C-8287-C77AEAD8A815}"/>
    <cellStyle name="Normal 8 9" xfId="1775" xr:uid="{00000000-0005-0000-0000-0000631E0000}"/>
    <cellStyle name="Normal 8 9 2" xfId="4005" xr:uid="{00000000-0005-0000-0000-0000641E0000}"/>
    <cellStyle name="Normal 8 9 2 2" xfId="8228" xr:uid="{00000000-0005-0000-0000-0000651E0000}"/>
    <cellStyle name="Normal 8 9 2 2 2" xfId="16670" xr:uid="{F2BF578B-A0DE-4D6B-B270-EEBD4D4EBF0E}"/>
    <cellStyle name="Normal 8 9 2 3" xfId="12452" xr:uid="{2697F711-8C52-43A8-B376-67424F9A30F1}"/>
    <cellStyle name="Normal 8 9 3" xfId="6083" xr:uid="{00000000-0005-0000-0000-0000661E0000}"/>
    <cellStyle name="Normal 8 9 3 2" xfId="14525" xr:uid="{E8AFDDDA-150D-4DCF-B229-EF5887320607}"/>
    <cellStyle name="Normal 8 9 4" xfId="10307" xr:uid="{239A3E19-3276-41AD-8187-AA3806C32F8C}"/>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0 2 2" xfId="15383" xr:uid="{D5B220AC-3744-4981-AC63-BF4C58183379}"/>
    <cellStyle name="Normal 9 2 10 3" xfId="11165" xr:uid="{CCE0FDB0-8A4E-40A6-A6A9-29D77BB822EF}"/>
    <cellStyle name="Normal 9 2 11" xfId="4876" xr:uid="{00000000-0005-0000-0000-00006B1E0000}"/>
    <cellStyle name="Normal 9 2 11 2" xfId="13318" xr:uid="{CA5B1456-A88E-45B7-A849-FCAB338AE271}"/>
    <cellStyle name="Normal 9 2 12" xfId="9100" xr:uid="{416A9833-E4C3-4953-812F-16004984EF62}"/>
    <cellStyle name="Normal 9 2 2" xfId="512" xr:uid="{00000000-0005-0000-0000-00006C1E0000}"/>
    <cellStyle name="Normal 9 2 2 10" xfId="4877" xr:uid="{00000000-0005-0000-0000-00006D1E0000}"/>
    <cellStyle name="Normal 9 2 2 10 2" xfId="13319" xr:uid="{5D561C92-7798-4F88-A782-1FDE1BB8BF78}"/>
    <cellStyle name="Normal 9 2 2 11" xfId="9101" xr:uid="{6F51592E-70FC-49A5-9658-DC5A121EC8ED}"/>
    <cellStyle name="Normal 9 2 2 2" xfId="513" xr:uid="{00000000-0005-0000-0000-00006E1E0000}"/>
    <cellStyle name="Normal 9 2 2 2 10" xfId="9102" xr:uid="{70CEC331-557C-4E1B-B8C2-EFA6F39C55CC}"/>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2 2 2" xfId="15880" xr:uid="{C0BE11CE-5AD9-42E9-A9CD-E857A35A7FCE}"/>
    <cellStyle name="Normal 9 2 2 2 2 2 2 2 3" xfId="11662" xr:uid="{7BF6762C-8AD2-4DF7-8AF6-A5A17677F9D1}"/>
    <cellStyle name="Normal 9 2 2 2 2 2 2 3" xfId="5293" xr:uid="{00000000-0005-0000-0000-0000741E0000}"/>
    <cellStyle name="Normal 9 2 2 2 2 2 2 3 2" xfId="13735" xr:uid="{945E832C-F868-4E7E-A2C3-689DB0EF8532}"/>
    <cellStyle name="Normal 9 2 2 2 2 2 2 4" xfId="9517" xr:uid="{EEEADF7D-E83C-492A-93DC-AEF4274BF583}"/>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2 2 2" xfId="16293" xr:uid="{2B7CEFAE-CA17-4C42-8EAA-66DD223A6F21}"/>
    <cellStyle name="Normal 9 2 2 2 2 2 3 2 3" xfId="12075" xr:uid="{DA1FE21F-61E0-450A-9828-DD97C8A7B398}"/>
    <cellStyle name="Normal 9 2 2 2 2 2 3 3" xfId="5706" xr:uid="{00000000-0005-0000-0000-0000781E0000}"/>
    <cellStyle name="Normal 9 2 2 2 2 2 3 3 2" xfId="14148" xr:uid="{1A24BE37-1879-4AA2-B6E9-E419E05C1BB7}"/>
    <cellStyle name="Normal 9 2 2 2 2 2 3 4" xfId="9930" xr:uid="{2280C129-A010-428A-9BC4-8703FA8996EB}"/>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2 2 2" xfId="16706" xr:uid="{8EE04FC2-6B6E-43A4-A5D9-AE1415CA2925}"/>
    <cellStyle name="Normal 9 2 2 2 2 2 4 2 3" xfId="12488" xr:uid="{78FE5BA5-07B9-4D20-A090-1A2D1D18A00D}"/>
    <cellStyle name="Normal 9 2 2 2 2 2 4 3" xfId="6119" xr:uid="{00000000-0005-0000-0000-00007C1E0000}"/>
    <cellStyle name="Normal 9 2 2 2 2 2 4 3 2" xfId="14561" xr:uid="{629639D6-96F8-4C68-9208-DC2615DF6A17}"/>
    <cellStyle name="Normal 9 2 2 2 2 2 4 4" xfId="10343" xr:uid="{CFAF79D6-11D9-4B2C-891C-8A87A3387B96}"/>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2 2 2" xfId="17119" xr:uid="{E5E35B1C-5BBB-4601-9710-14B6438AB243}"/>
    <cellStyle name="Normal 9 2 2 2 2 2 5 2 3" xfId="12901" xr:uid="{75AC69B7-3934-4BFD-ADA5-7363152AE95B}"/>
    <cellStyle name="Normal 9 2 2 2 2 2 5 3" xfId="6532" xr:uid="{00000000-0005-0000-0000-0000801E0000}"/>
    <cellStyle name="Normal 9 2 2 2 2 2 5 3 2" xfId="14974" xr:uid="{ACE49150-D34F-4C97-B9AE-32FB53BD9722}"/>
    <cellStyle name="Normal 9 2 2 2 2 2 5 4" xfId="10756" xr:uid="{A1647CAE-009C-464C-981A-8EEA8019F297}"/>
    <cellStyle name="Normal 9 2 2 2 2 2 6" xfId="2661" xr:uid="{00000000-0005-0000-0000-0000811E0000}"/>
    <cellStyle name="Normal 9 2 2 2 2 2 6 2" xfId="6945" xr:uid="{00000000-0005-0000-0000-0000821E0000}"/>
    <cellStyle name="Normal 9 2 2 2 2 2 6 2 2" xfId="15387" xr:uid="{B80A926E-4348-4242-B3F7-A0796D38A220}"/>
    <cellStyle name="Normal 9 2 2 2 2 2 6 3" xfId="11169" xr:uid="{8B6B3B08-D3AC-46BE-A585-B1B2F8F1C55C}"/>
    <cellStyle name="Normal 9 2 2 2 2 2 7" xfId="4880" xr:uid="{00000000-0005-0000-0000-0000831E0000}"/>
    <cellStyle name="Normal 9 2 2 2 2 2 7 2" xfId="13322" xr:uid="{EA53F9FC-BB34-467B-A864-E5BD672F647E}"/>
    <cellStyle name="Normal 9 2 2 2 2 2 8" xfId="9104" xr:uid="{F511A83C-FDA3-44D8-9480-48F01C3D878C}"/>
    <cellStyle name="Normal 9 2 2 2 2 3" xfId="981" xr:uid="{00000000-0005-0000-0000-0000841E0000}"/>
    <cellStyle name="Normal 9 2 2 2 2 3 2" xfId="3214" xr:uid="{00000000-0005-0000-0000-0000851E0000}"/>
    <cellStyle name="Normal 9 2 2 2 2 3 2 2" xfId="7437" xr:uid="{00000000-0005-0000-0000-0000861E0000}"/>
    <cellStyle name="Normal 9 2 2 2 2 3 2 2 2" xfId="15879" xr:uid="{8EC2A2FD-54F7-4D9B-B656-88B99A59D5E0}"/>
    <cellStyle name="Normal 9 2 2 2 2 3 2 3" xfId="11661" xr:uid="{F2A920B5-FC27-421A-B3F6-B328A310F1AD}"/>
    <cellStyle name="Normal 9 2 2 2 2 3 3" xfId="5292" xr:uid="{00000000-0005-0000-0000-0000871E0000}"/>
    <cellStyle name="Normal 9 2 2 2 2 3 3 2" xfId="13734" xr:uid="{18865D14-6E52-4C88-83DA-E3F302E69607}"/>
    <cellStyle name="Normal 9 2 2 2 2 3 4" xfId="9516" xr:uid="{B94A1234-778F-4F12-9253-2C71C5F6DC3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2 2 2" xfId="16292" xr:uid="{F2B99589-A0FE-4C90-A7DF-E78A045C3697}"/>
    <cellStyle name="Normal 9 2 2 2 2 4 2 3" xfId="12074" xr:uid="{1AA24137-B80C-44F5-815A-63E0481D415C}"/>
    <cellStyle name="Normal 9 2 2 2 2 4 3" xfId="5705" xr:uid="{00000000-0005-0000-0000-00008B1E0000}"/>
    <cellStyle name="Normal 9 2 2 2 2 4 3 2" xfId="14147" xr:uid="{FF03AC6D-75E9-4F54-83BF-DBBAD5F1F417}"/>
    <cellStyle name="Normal 9 2 2 2 2 4 4" xfId="9929" xr:uid="{0B89268E-CBDA-4C49-ADA4-C37FF2A4D611}"/>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2 2 2" xfId="16705" xr:uid="{B11F71B7-8F79-4F40-A188-E67088A91846}"/>
    <cellStyle name="Normal 9 2 2 2 2 5 2 3" xfId="12487" xr:uid="{8AB88A8E-B10B-4E9B-B738-7FC404CE8090}"/>
    <cellStyle name="Normal 9 2 2 2 2 5 3" xfId="6118" xr:uid="{00000000-0005-0000-0000-00008F1E0000}"/>
    <cellStyle name="Normal 9 2 2 2 2 5 3 2" xfId="14560" xr:uid="{D7D6CCBC-D6D6-4174-88FB-95F0A98F1A98}"/>
    <cellStyle name="Normal 9 2 2 2 2 5 4" xfId="10342" xr:uid="{9EDB40DD-B255-4088-8DC4-E1E2ED36FF75}"/>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2 2 2" xfId="17118" xr:uid="{5A3290FD-0491-4CE5-832B-79A42E5107F6}"/>
    <cellStyle name="Normal 9 2 2 2 2 6 2 3" xfId="12900" xr:uid="{5A714E26-7759-4B85-A053-1D9C6D9AF38E}"/>
    <cellStyle name="Normal 9 2 2 2 2 6 3" xfId="6531" xr:uid="{00000000-0005-0000-0000-0000931E0000}"/>
    <cellStyle name="Normal 9 2 2 2 2 6 3 2" xfId="14973" xr:uid="{F538A181-B0E2-45B4-A83D-0E82C3703722}"/>
    <cellStyle name="Normal 9 2 2 2 2 6 4" xfId="10755" xr:uid="{D6809241-A6FA-4B14-BD86-6A3F3A5EDC0F}"/>
    <cellStyle name="Normal 9 2 2 2 2 7" xfId="2660" xr:uid="{00000000-0005-0000-0000-0000941E0000}"/>
    <cellStyle name="Normal 9 2 2 2 2 7 2" xfId="6944" xr:uid="{00000000-0005-0000-0000-0000951E0000}"/>
    <cellStyle name="Normal 9 2 2 2 2 7 2 2" xfId="15386" xr:uid="{399E9467-952E-440B-99EB-FF138DD7ABB6}"/>
    <cellStyle name="Normal 9 2 2 2 2 7 3" xfId="11168" xr:uid="{FF51D8BC-E2B1-4600-8FBA-F89604C011A2}"/>
    <cellStyle name="Normal 9 2 2 2 2 8" xfId="4879" xr:uid="{00000000-0005-0000-0000-0000961E0000}"/>
    <cellStyle name="Normal 9 2 2 2 2 8 2" xfId="13321" xr:uid="{E21519A4-18D3-4809-9471-325C020D6C01}"/>
    <cellStyle name="Normal 9 2 2 2 2 9" xfId="9103" xr:uid="{5E50F301-DA02-48BD-AC3D-615B59B87898}"/>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2 2 2" xfId="15881" xr:uid="{3F4CABB5-3402-4C22-A914-9B86FE36E942}"/>
    <cellStyle name="Normal 9 2 2 2 3 2 2 3" xfId="11663" xr:uid="{AC8FD1D6-9DF7-49BB-B766-4B989643553D}"/>
    <cellStyle name="Normal 9 2 2 2 3 2 3" xfId="5294" xr:uid="{00000000-0005-0000-0000-00009B1E0000}"/>
    <cellStyle name="Normal 9 2 2 2 3 2 3 2" xfId="13736" xr:uid="{9C66A182-FFEE-4314-9A7D-899AF6719D54}"/>
    <cellStyle name="Normal 9 2 2 2 3 2 4" xfId="9518" xr:uid="{6990A87B-97B1-4F38-B97C-6B350946336F}"/>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2 2 2" xfId="16294" xr:uid="{691F2A30-FDF6-4D0E-A14F-F71084B5D6D7}"/>
    <cellStyle name="Normal 9 2 2 2 3 3 2 3" xfId="12076" xr:uid="{9D28E8B0-905D-41A7-8F27-B324CF478FBF}"/>
    <cellStyle name="Normal 9 2 2 2 3 3 3" xfId="5707" xr:uid="{00000000-0005-0000-0000-00009F1E0000}"/>
    <cellStyle name="Normal 9 2 2 2 3 3 3 2" xfId="14149" xr:uid="{B5994D1B-AC5B-468A-81CF-BB953F6A220F}"/>
    <cellStyle name="Normal 9 2 2 2 3 3 4" xfId="9931" xr:uid="{6C88A58A-4D47-40AF-8E0D-C76A760985E4}"/>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2 2 2" xfId="16707" xr:uid="{07D2C8C1-2CBF-4DD4-8EEE-296AF7EBE496}"/>
    <cellStyle name="Normal 9 2 2 2 3 4 2 3" xfId="12489" xr:uid="{022B8811-ECC7-4AE9-9AEB-2732E04E8668}"/>
    <cellStyle name="Normal 9 2 2 2 3 4 3" xfId="6120" xr:uid="{00000000-0005-0000-0000-0000A31E0000}"/>
    <cellStyle name="Normal 9 2 2 2 3 4 3 2" xfId="14562" xr:uid="{65831C83-A012-4038-9E57-E49C2D8DC80F}"/>
    <cellStyle name="Normal 9 2 2 2 3 4 4" xfId="10344" xr:uid="{4116CB48-F660-4066-8568-A8920B405E7A}"/>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2 2 2" xfId="17120" xr:uid="{E5F99BBC-1334-4865-8032-6A8EC4E6DE94}"/>
    <cellStyle name="Normal 9 2 2 2 3 5 2 3" xfId="12902" xr:uid="{A6DB8330-0088-452E-9DFC-BEA222C32260}"/>
    <cellStyle name="Normal 9 2 2 2 3 5 3" xfId="6533" xr:uid="{00000000-0005-0000-0000-0000A71E0000}"/>
    <cellStyle name="Normal 9 2 2 2 3 5 3 2" xfId="14975" xr:uid="{2D0BFF85-1C20-41ED-AC87-A0490082EC43}"/>
    <cellStyle name="Normal 9 2 2 2 3 5 4" xfId="10757" xr:uid="{932AFF7D-31FA-426F-9890-3AC304F28361}"/>
    <cellStyle name="Normal 9 2 2 2 3 6" xfId="2662" xr:uid="{00000000-0005-0000-0000-0000A81E0000}"/>
    <cellStyle name="Normal 9 2 2 2 3 6 2" xfId="6946" xr:uid="{00000000-0005-0000-0000-0000A91E0000}"/>
    <cellStyle name="Normal 9 2 2 2 3 6 2 2" xfId="15388" xr:uid="{F88C5982-DE2E-44CC-8085-9315E1311B06}"/>
    <cellStyle name="Normal 9 2 2 2 3 6 3" xfId="11170" xr:uid="{46FA47BF-77D1-4E99-99F0-85883E93EC63}"/>
    <cellStyle name="Normal 9 2 2 2 3 7" xfId="4881" xr:uid="{00000000-0005-0000-0000-0000AA1E0000}"/>
    <cellStyle name="Normal 9 2 2 2 3 7 2" xfId="13323" xr:uid="{7D19A912-6F88-4D03-AC63-DB99A325DB47}"/>
    <cellStyle name="Normal 9 2 2 2 3 8" xfId="9105" xr:uid="{645F05DC-ECF0-41C9-8DF7-D126FCF7D754}"/>
    <cellStyle name="Normal 9 2 2 2 4" xfId="980" xr:uid="{00000000-0005-0000-0000-0000AB1E0000}"/>
    <cellStyle name="Normal 9 2 2 2 4 2" xfId="3213" xr:uid="{00000000-0005-0000-0000-0000AC1E0000}"/>
    <cellStyle name="Normal 9 2 2 2 4 2 2" xfId="7436" xr:uid="{00000000-0005-0000-0000-0000AD1E0000}"/>
    <cellStyle name="Normal 9 2 2 2 4 2 2 2" xfId="15878" xr:uid="{2E5D6179-3820-4A0E-8E9A-6C10A691D0B1}"/>
    <cellStyle name="Normal 9 2 2 2 4 2 3" xfId="11660" xr:uid="{2072F1F4-97C8-4BE4-8A91-8DE8F3172ED6}"/>
    <cellStyle name="Normal 9 2 2 2 4 3" xfId="5291" xr:uid="{00000000-0005-0000-0000-0000AE1E0000}"/>
    <cellStyle name="Normal 9 2 2 2 4 3 2" xfId="13733" xr:uid="{642F1779-1DB1-4C9E-82A2-F4359626513F}"/>
    <cellStyle name="Normal 9 2 2 2 4 4" xfId="9515" xr:uid="{03E13EC6-CD8A-4549-B00A-CA566013DAFF}"/>
    <cellStyle name="Normal 9 2 2 2 5" xfId="1396" xr:uid="{00000000-0005-0000-0000-0000AF1E0000}"/>
    <cellStyle name="Normal 9 2 2 2 5 2" xfId="3626" xr:uid="{00000000-0005-0000-0000-0000B01E0000}"/>
    <cellStyle name="Normal 9 2 2 2 5 2 2" xfId="7849" xr:uid="{00000000-0005-0000-0000-0000B11E0000}"/>
    <cellStyle name="Normal 9 2 2 2 5 2 2 2" xfId="16291" xr:uid="{621FBBAA-1762-44FB-A4D0-CEAE190D7DFA}"/>
    <cellStyle name="Normal 9 2 2 2 5 2 3" xfId="12073" xr:uid="{D0FD6361-AF30-42B4-857A-B5A9BC01B277}"/>
    <cellStyle name="Normal 9 2 2 2 5 3" xfId="5704" xr:uid="{00000000-0005-0000-0000-0000B21E0000}"/>
    <cellStyle name="Normal 9 2 2 2 5 3 2" xfId="14146" xr:uid="{4B40DC5B-352C-494F-ACA4-625B05190965}"/>
    <cellStyle name="Normal 9 2 2 2 5 4" xfId="9928" xr:uid="{50DA77C9-62F4-4551-B40C-2593B4ECD0EC}"/>
    <cellStyle name="Normal 9 2 2 2 6" xfId="1809" xr:uid="{00000000-0005-0000-0000-0000B31E0000}"/>
    <cellStyle name="Normal 9 2 2 2 6 2" xfId="4039" xr:uid="{00000000-0005-0000-0000-0000B41E0000}"/>
    <cellStyle name="Normal 9 2 2 2 6 2 2" xfId="8262" xr:uid="{00000000-0005-0000-0000-0000B51E0000}"/>
    <cellStyle name="Normal 9 2 2 2 6 2 2 2" xfId="16704" xr:uid="{4F05EBB8-9B95-4CB3-804C-71A5D1F809F6}"/>
    <cellStyle name="Normal 9 2 2 2 6 2 3" xfId="12486" xr:uid="{2CF441DD-56D6-4BF1-9B62-FE330C687DF0}"/>
    <cellStyle name="Normal 9 2 2 2 6 3" xfId="6117" xr:uid="{00000000-0005-0000-0000-0000B61E0000}"/>
    <cellStyle name="Normal 9 2 2 2 6 3 2" xfId="14559" xr:uid="{B0833831-9F2A-43AE-9E91-3C596581C120}"/>
    <cellStyle name="Normal 9 2 2 2 6 4" xfId="10341" xr:uid="{BCCDF1E3-F783-43D7-8CDF-333069A3E707}"/>
    <cellStyle name="Normal 9 2 2 2 7" xfId="2223" xr:uid="{00000000-0005-0000-0000-0000B71E0000}"/>
    <cellStyle name="Normal 9 2 2 2 7 2" xfId="4452" xr:uid="{00000000-0005-0000-0000-0000B81E0000}"/>
    <cellStyle name="Normal 9 2 2 2 7 2 2" xfId="8675" xr:uid="{00000000-0005-0000-0000-0000B91E0000}"/>
    <cellStyle name="Normal 9 2 2 2 7 2 2 2" xfId="17117" xr:uid="{213DA39D-88E3-487B-B838-6BA7CED056E4}"/>
    <cellStyle name="Normal 9 2 2 2 7 2 3" xfId="12899" xr:uid="{4ED1D10C-C729-48DA-A01F-4E4940941742}"/>
    <cellStyle name="Normal 9 2 2 2 7 3" xfId="6530" xr:uid="{00000000-0005-0000-0000-0000BA1E0000}"/>
    <cellStyle name="Normal 9 2 2 2 7 3 2" xfId="14972" xr:uid="{DEA64DAD-47D1-4DAC-B033-052785389A72}"/>
    <cellStyle name="Normal 9 2 2 2 7 4" xfId="10754" xr:uid="{33D4FD8C-F778-4FE3-B864-1B0ADC89788C}"/>
    <cellStyle name="Normal 9 2 2 2 8" xfId="2659" xr:uid="{00000000-0005-0000-0000-0000BB1E0000}"/>
    <cellStyle name="Normal 9 2 2 2 8 2" xfId="6943" xr:uid="{00000000-0005-0000-0000-0000BC1E0000}"/>
    <cellStyle name="Normal 9 2 2 2 8 2 2" xfId="15385" xr:uid="{E92324AC-A235-416A-9628-EFCF29E91509}"/>
    <cellStyle name="Normal 9 2 2 2 8 3" xfId="11167" xr:uid="{9D9C52B3-9D6F-4DF7-8190-A07729417A90}"/>
    <cellStyle name="Normal 9 2 2 2 9" xfId="4878" xr:uid="{00000000-0005-0000-0000-0000BD1E0000}"/>
    <cellStyle name="Normal 9 2 2 2 9 2" xfId="13320" xr:uid="{8CAA45D9-046F-4F52-AA19-CAF09D027818}"/>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2 2 2" xfId="15883" xr:uid="{995F3926-443B-457A-8F89-E3DF88851504}"/>
    <cellStyle name="Normal 9 2 2 3 2 2 2 3" xfId="11665" xr:uid="{5C6BBCEE-4597-410F-8F3A-C22ACE7DD683}"/>
    <cellStyle name="Normal 9 2 2 3 2 2 3" xfId="5296" xr:uid="{00000000-0005-0000-0000-0000C31E0000}"/>
    <cellStyle name="Normal 9 2 2 3 2 2 3 2" xfId="13738" xr:uid="{B478C418-89A9-43BD-BF01-E5EA7EC4057B}"/>
    <cellStyle name="Normal 9 2 2 3 2 2 4" xfId="9520" xr:uid="{D36264D2-2E07-49D4-9345-A86B5E569255}"/>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2 2 2" xfId="16296" xr:uid="{1813397A-D81E-46E8-9D09-4F7596E3A75C}"/>
    <cellStyle name="Normal 9 2 2 3 2 3 2 3" xfId="12078" xr:uid="{4AF1A765-0AD8-4183-905A-B0A7B8D0B4AB}"/>
    <cellStyle name="Normal 9 2 2 3 2 3 3" xfId="5709" xr:uid="{00000000-0005-0000-0000-0000C71E0000}"/>
    <cellStyle name="Normal 9 2 2 3 2 3 3 2" xfId="14151" xr:uid="{5D714F6C-A48C-48FE-90F4-9CEAC9889DB3}"/>
    <cellStyle name="Normal 9 2 2 3 2 3 4" xfId="9933" xr:uid="{0B3AD85F-47F9-4917-B7BD-7BAA345B125C}"/>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2 2 2" xfId="16709" xr:uid="{96D70BEE-74A8-45DD-A737-0AC683D9D2B0}"/>
    <cellStyle name="Normal 9 2 2 3 2 4 2 3" xfId="12491" xr:uid="{9FAE3898-B62C-485B-9441-B0AE433F398F}"/>
    <cellStyle name="Normal 9 2 2 3 2 4 3" xfId="6122" xr:uid="{00000000-0005-0000-0000-0000CB1E0000}"/>
    <cellStyle name="Normal 9 2 2 3 2 4 3 2" xfId="14564" xr:uid="{5EB3E574-CDF6-452A-8261-2A8CF27DB0DB}"/>
    <cellStyle name="Normal 9 2 2 3 2 4 4" xfId="10346" xr:uid="{CABD0388-2A6B-43CF-9ECD-FA292A64CF81}"/>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2 2 2" xfId="17122" xr:uid="{A1836CAD-306C-4A1F-AE3B-20200D4AD01D}"/>
    <cellStyle name="Normal 9 2 2 3 2 5 2 3" xfId="12904" xr:uid="{C83FB1A4-6C9D-4F32-B844-28338E7010E2}"/>
    <cellStyle name="Normal 9 2 2 3 2 5 3" xfId="6535" xr:uid="{00000000-0005-0000-0000-0000CF1E0000}"/>
    <cellStyle name="Normal 9 2 2 3 2 5 3 2" xfId="14977" xr:uid="{6F862888-C3DC-462B-8841-7617376CD2CD}"/>
    <cellStyle name="Normal 9 2 2 3 2 5 4" xfId="10759" xr:uid="{92C0DBFB-36AF-4F15-8961-D0963A8FC20A}"/>
    <cellStyle name="Normal 9 2 2 3 2 6" xfId="2664" xr:uid="{00000000-0005-0000-0000-0000D01E0000}"/>
    <cellStyle name="Normal 9 2 2 3 2 6 2" xfId="6948" xr:uid="{00000000-0005-0000-0000-0000D11E0000}"/>
    <cellStyle name="Normal 9 2 2 3 2 6 2 2" xfId="15390" xr:uid="{DF8A5E2E-57D3-4B83-9CB4-B772C3E57BA2}"/>
    <cellStyle name="Normal 9 2 2 3 2 6 3" xfId="11172" xr:uid="{7DBC0E8F-3480-40DE-A1E0-532717B764CE}"/>
    <cellStyle name="Normal 9 2 2 3 2 7" xfId="4883" xr:uid="{00000000-0005-0000-0000-0000D21E0000}"/>
    <cellStyle name="Normal 9 2 2 3 2 7 2" xfId="13325" xr:uid="{81ED77E8-7A17-4B8E-8057-750EBF1885C2}"/>
    <cellStyle name="Normal 9 2 2 3 2 8" xfId="9107" xr:uid="{C88FB0FA-6B94-464D-B5CD-CAC1DEE2D163}"/>
    <cellStyle name="Normal 9 2 2 3 3" xfId="984" xr:uid="{00000000-0005-0000-0000-0000D31E0000}"/>
    <cellStyle name="Normal 9 2 2 3 3 2" xfId="3217" xr:uid="{00000000-0005-0000-0000-0000D41E0000}"/>
    <cellStyle name="Normal 9 2 2 3 3 2 2" xfId="7440" xr:uid="{00000000-0005-0000-0000-0000D51E0000}"/>
    <cellStyle name="Normal 9 2 2 3 3 2 2 2" xfId="15882" xr:uid="{30E9011C-E508-48BB-8E52-71332D9D52D4}"/>
    <cellStyle name="Normal 9 2 2 3 3 2 3" xfId="11664" xr:uid="{8C7059A0-6659-4A74-9958-7CB4714F716C}"/>
    <cellStyle name="Normal 9 2 2 3 3 3" xfId="5295" xr:uid="{00000000-0005-0000-0000-0000D61E0000}"/>
    <cellStyle name="Normal 9 2 2 3 3 3 2" xfId="13737" xr:uid="{25EA4086-930D-453E-8C8D-2C7FCA54954C}"/>
    <cellStyle name="Normal 9 2 2 3 3 4" xfId="9519" xr:uid="{C1D3DBBC-FEC7-4932-A4B3-98EAEC32E4D3}"/>
    <cellStyle name="Normal 9 2 2 3 4" xfId="1400" xr:uid="{00000000-0005-0000-0000-0000D71E0000}"/>
    <cellStyle name="Normal 9 2 2 3 4 2" xfId="3630" xr:uid="{00000000-0005-0000-0000-0000D81E0000}"/>
    <cellStyle name="Normal 9 2 2 3 4 2 2" xfId="7853" xr:uid="{00000000-0005-0000-0000-0000D91E0000}"/>
    <cellStyle name="Normal 9 2 2 3 4 2 2 2" xfId="16295" xr:uid="{37FC687C-8DD9-48B2-BD3E-3737B98A84EE}"/>
    <cellStyle name="Normal 9 2 2 3 4 2 3" xfId="12077" xr:uid="{A2791355-2F7B-45C4-89B2-0B61FB7D0BFD}"/>
    <cellStyle name="Normal 9 2 2 3 4 3" xfId="5708" xr:uid="{00000000-0005-0000-0000-0000DA1E0000}"/>
    <cellStyle name="Normal 9 2 2 3 4 3 2" xfId="14150" xr:uid="{6CF4FB4D-D6AC-4014-A859-CDEC1532A0EC}"/>
    <cellStyle name="Normal 9 2 2 3 4 4" xfId="9932" xr:uid="{3ED1F100-41C7-40D3-B1CB-BFC777300C95}"/>
    <cellStyle name="Normal 9 2 2 3 5" xfId="1813" xr:uid="{00000000-0005-0000-0000-0000DB1E0000}"/>
    <cellStyle name="Normal 9 2 2 3 5 2" xfId="4043" xr:uid="{00000000-0005-0000-0000-0000DC1E0000}"/>
    <cellStyle name="Normal 9 2 2 3 5 2 2" xfId="8266" xr:uid="{00000000-0005-0000-0000-0000DD1E0000}"/>
    <cellStyle name="Normal 9 2 2 3 5 2 2 2" xfId="16708" xr:uid="{6928FB8D-F900-4270-B1E2-077FEEA8A223}"/>
    <cellStyle name="Normal 9 2 2 3 5 2 3" xfId="12490" xr:uid="{4FB2F6F8-70A3-49BD-BE13-71617A54D5D7}"/>
    <cellStyle name="Normal 9 2 2 3 5 3" xfId="6121" xr:uid="{00000000-0005-0000-0000-0000DE1E0000}"/>
    <cellStyle name="Normal 9 2 2 3 5 3 2" xfId="14563" xr:uid="{B60563C2-FFC5-4D77-8A1E-FA498CA244B4}"/>
    <cellStyle name="Normal 9 2 2 3 5 4" xfId="10345" xr:uid="{658D3BED-C59C-4A4D-825B-1AF6CB38AE63}"/>
    <cellStyle name="Normal 9 2 2 3 6" xfId="2227" xr:uid="{00000000-0005-0000-0000-0000DF1E0000}"/>
    <cellStyle name="Normal 9 2 2 3 6 2" xfId="4456" xr:uid="{00000000-0005-0000-0000-0000E01E0000}"/>
    <cellStyle name="Normal 9 2 2 3 6 2 2" xfId="8679" xr:uid="{00000000-0005-0000-0000-0000E11E0000}"/>
    <cellStyle name="Normal 9 2 2 3 6 2 2 2" xfId="17121" xr:uid="{D8ED5F81-6497-4880-B05B-9A5181CD51DB}"/>
    <cellStyle name="Normal 9 2 2 3 6 2 3" xfId="12903" xr:uid="{25FD29DD-0F5D-4993-B199-08668F32C9F3}"/>
    <cellStyle name="Normal 9 2 2 3 6 3" xfId="6534" xr:uid="{00000000-0005-0000-0000-0000E21E0000}"/>
    <cellStyle name="Normal 9 2 2 3 6 3 2" xfId="14976" xr:uid="{546BC1FD-2EEE-40CA-A604-2629D75CE9BE}"/>
    <cellStyle name="Normal 9 2 2 3 6 4" xfId="10758" xr:uid="{E32C417E-7EE4-40AC-9DD3-7371F03BBEC6}"/>
    <cellStyle name="Normal 9 2 2 3 7" xfId="2663" xr:uid="{00000000-0005-0000-0000-0000E31E0000}"/>
    <cellStyle name="Normal 9 2 2 3 7 2" xfId="6947" xr:uid="{00000000-0005-0000-0000-0000E41E0000}"/>
    <cellStyle name="Normal 9 2 2 3 7 2 2" xfId="15389" xr:uid="{E27CA407-03C5-4AFE-932F-BA5FDC57BAC8}"/>
    <cellStyle name="Normal 9 2 2 3 7 3" xfId="11171" xr:uid="{7722A87B-58C9-4DFD-AEB3-6CE7E05AF87F}"/>
    <cellStyle name="Normal 9 2 2 3 8" xfId="4882" xr:uid="{00000000-0005-0000-0000-0000E51E0000}"/>
    <cellStyle name="Normal 9 2 2 3 8 2" xfId="13324" xr:uid="{14070DC4-5D0B-4617-B80C-C565C72397BD}"/>
    <cellStyle name="Normal 9 2 2 3 9" xfId="9106" xr:uid="{025EB2B6-7A38-4CAD-ACD8-359B05FE4C21}"/>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2 2 2" xfId="15884" xr:uid="{153315AC-FE8E-4F2D-BBC1-815019D55FBB}"/>
    <cellStyle name="Normal 9 2 2 4 2 2 3" xfId="11666" xr:uid="{BFB1E4B6-65F8-4809-BDEC-4FC75CD9296F}"/>
    <cellStyle name="Normal 9 2 2 4 2 3" xfId="5297" xr:uid="{00000000-0005-0000-0000-0000EA1E0000}"/>
    <cellStyle name="Normal 9 2 2 4 2 3 2" xfId="13739" xr:uid="{2A01FED9-0610-4729-A6F9-9EFF9C8B5DD5}"/>
    <cellStyle name="Normal 9 2 2 4 2 4" xfId="9521" xr:uid="{1F5025D0-47B7-4303-B2CE-FD145E9074E0}"/>
    <cellStyle name="Normal 9 2 2 4 3" xfId="1402" xr:uid="{00000000-0005-0000-0000-0000EB1E0000}"/>
    <cellStyle name="Normal 9 2 2 4 3 2" xfId="3632" xr:uid="{00000000-0005-0000-0000-0000EC1E0000}"/>
    <cellStyle name="Normal 9 2 2 4 3 2 2" xfId="7855" xr:uid="{00000000-0005-0000-0000-0000ED1E0000}"/>
    <cellStyle name="Normal 9 2 2 4 3 2 2 2" xfId="16297" xr:uid="{21B264A0-AF4E-475D-B270-E8088869F1B0}"/>
    <cellStyle name="Normal 9 2 2 4 3 2 3" xfId="12079" xr:uid="{2CCDE2BB-1C1B-4C36-9A8B-F46780A522CF}"/>
    <cellStyle name="Normal 9 2 2 4 3 3" xfId="5710" xr:uid="{00000000-0005-0000-0000-0000EE1E0000}"/>
    <cellStyle name="Normal 9 2 2 4 3 3 2" xfId="14152" xr:uid="{2CC7256D-34C1-4042-A556-B6A3D4F5437F}"/>
    <cellStyle name="Normal 9 2 2 4 3 4" xfId="9934" xr:uid="{2836C45D-DD9E-4B69-81AC-00EA72DD3CDF}"/>
    <cellStyle name="Normal 9 2 2 4 4" xfId="1815" xr:uid="{00000000-0005-0000-0000-0000EF1E0000}"/>
    <cellStyle name="Normal 9 2 2 4 4 2" xfId="4045" xr:uid="{00000000-0005-0000-0000-0000F01E0000}"/>
    <cellStyle name="Normal 9 2 2 4 4 2 2" xfId="8268" xr:uid="{00000000-0005-0000-0000-0000F11E0000}"/>
    <cellStyle name="Normal 9 2 2 4 4 2 2 2" xfId="16710" xr:uid="{2E3A7C37-280A-4DF9-89D9-31386E590AC1}"/>
    <cellStyle name="Normal 9 2 2 4 4 2 3" xfId="12492" xr:uid="{810ED37E-8065-4546-AC00-8A41CD37E9D4}"/>
    <cellStyle name="Normal 9 2 2 4 4 3" xfId="6123" xr:uid="{00000000-0005-0000-0000-0000F21E0000}"/>
    <cellStyle name="Normal 9 2 2 4 4 3 2" xfId="14565" xr:uid="{B304EA45-FC18-4E8C-B65A-1FA07070ED72}"/>
    <cellStyle name="Normal 9 2 2 4 4 4" xfId="10347" xr:uid="{4D5D2347-D714-4BE7-8C20-685DD5E8F8C3}"/>
    <cellStyle name="Normal 9 2 2 4 5" xfId="2229" xr:uid="{00000000-0005-0000-0000-0000F31E0000}"/>
    <cellStyle name="Normal 9 2 2 4 5 2" xfId="4458" xr:uid="{00000000-0005-0000-0000-0000F41E0000}"/>
    <cellStyle name="Normal 9 2 2 4 5 2 2" xfId="8681" xr:uid="{00000000-0005-0000-0000-0000F51E0000}"/>
    <cellStyle name="Normal 9 2 2 4 5 2 2 2" xfId="17123" xr:uid="{33353306-FCF0-46FE-8E6A-FF2147B46D52}"/>
    <cellStyle name="Normal 9 2 2 4 5 2 3" xfId="12905" xr:uid="{C059ABB5-CDDA-4827-BF26-92FCA768DCAE}"/>
    <cellStyle name="Normal 9 2 2 4 5 3" xfId="6536" xr:uid="{00000000-0005-0000-0000-0000F61E0000}"/>
    <cellStyle name="Normal 9 2 2 4 5 3 2" xfId="14978" xr:uid="{6023F22B-A959-4B79-9D17-8668C0F605E5}"/>
    <cellStyle name="Normal 9 2 2 4 5 4" xfId="10760" xr:uid="{3B915EF7-53C2-446D-821B-AC5327FE43EF}"/>
    <cellStyle name="Normal 9 2 2 4 6" xfId="2665" xr:uid="{00000000-0005-0000-0000-0000F71E0000}"/>
    <cellStyle name="Normal 9 2 2 4 6 2" xfId="6949" xr:uid="{00000000-0005-0000-0000-0000F81E0000}"/>
    <cellStyle name="Normal 9 2 2 4 6 2 2" xfId="15391" xr:uid="{6BA6071D-916A-493E-84F6-972DEE0B53A5}"/>
    <cellStyle name="Normal 9 2 2 4 6 3" xfId="11173" xr:uid="{98FD5D89-FB48-4257-86A9-B6D9E1DD41DB}"/>
    <cellStyle name="Normal 9 2 2 4 7" xfId="4884" xr:uid="{00000000-0005-0000-0000-0000F91E0000}"/>
    <cellStyle name="Normal 9 2 2 4 7 2" xfId="13326" xr:uid="{88A2ED7C-B2C3-421A-B0E0-2DF8CDD9359A}"/>
    <cellStyle name="Normal 9 2 2 4 8" xfId="9108" xr:uid="{4EA5973B-629A-4329-BE1F-565EE2C532B4}"/>
    <cellStyle name="Normal 9 2 2 5" xfId="979" xr:uid="{00000000-0005-0000-0000-0000FA1E0000}"/>
    <cellStyle name="Normal 9 2 2 5 2" xfId="3212" xr:uid="{00000000-0005-0000-0000-0000FB1E0000}"/>
    <cellStyle name="Normal 9 2 2 5 2 2" xfId="7435" xr:uid="{00000000-0005-0000-0000-0000FC1E0000}"/>
    <cellStyle name="Normal 9 2 2 5 2 2 2" xfId="15877" xr:uid="{DF6DA7EB-1938-472C-89C2-09D77D91917B}"/>
    <cellStyle name="Normal 9 2 2 5 2 3" xfId="11659" xr:uid="{CA903D44-AE42-41BD-8754-3169479CA33D}"/>
    <cellStyle name="Normal 9 2 2 5 3" xfId="5290" xr:uid="{00000000-0005-0000-0000-0000FD1E0000}"/>
    <cellStyle name="Normal 9 2 2 5 3 2" xfId="13732" xr:uid="{B392E531-D2E3-4FDC-ABC1-7FE4CDB72BA4}"/>
    <cellStyle name="Normal 9 2 2 5 4" xfId="9514" xr:uid="{F3C5AAD2-D13D-4242-8A08-9441C6783DAA}"/>
    <cellStyle name="Normal 9 2 2 6" xfId="1395" xr:uid="{00000000-0005-0000-0000-0000FE1E0000}"/>
    <cellStyle name="Normal 9 2 2 6 2" xfId="3625" xr:uid="{00000000-0005-0000-0000-0000FF1E0000}"/>
    <cellStyle name="Normal 9 2 2 6 2 2" xfId="7848" xr:uid="{00000000-0005-0000-0000-0000001F0000}"/>
    <cellStyle name="Normal 9 2 2 6 2 2 2" xfId="16290" xr:uid="{55AF720E-E167-4710-9B50-4364CE66DDEC}"/>
    <cellStyle name="Normal 9 2 2 6 2 3" xfId="12072" xr:uid="{D65ED063-2273-49A3-97E7-834FB7F0842D}"/>
    <cellStyle name="Normal 9 2 2 6 3" xfId="5703" xr:uid="{00000000-0005-0000-0000-0000011F0000}"/>
    <cellStyle name="Normal 9 2 2 6 3 2" xfId="14145" xr:uid="{B9EA850B-9616-4C0A-BBB5-D75E9D763553}"/>
    <cellStyle name="Normal 9 2 2 6 4" xfId="9927" xr:uid="{F139A493-8FF9-4F1A-8873-CC778C2EF7A7}"/>
    <cellStyle name="Normal 9 2 2 7" xfId="1808" xr:uid="{00000000-0005-0000-0000-0000021F0000}"/>
    <cellStyle name="Normal 9 2 2 7 2" xfId="4038" xr:uid="{00000000-0005-0000-0000-0000031F0000}"/>
    <cellStyle name="Normal 9 2 2 7 2 2" xfId="8261" xr:uid="{00000000-0005-0000-0000-0000041F0000}"/>
    <cellStyle name="Normal 9 2 2 7 2 2 2" xfId="16703" xr:uid="{A9CCCDD4-C778-449D-9E46-E5E696E31101}"/>
    <cellStyle name="Normal 9 2 2 7 2 3" xfId="12485" xr:uid="{72DEB4FD-DB19-409C-8309-487645CD8DBE}"/>
    <cellStyle name="Normal 9 2 2 7 3" xfId="6116" xr:uid="{00000000-0005-0000-0000-0000051F0000}"/>
    <cellStyle name="Normal 9 2 2 7 3 2" xfId="14558" xr:uid="{392A9962-4C94-4C02-841D-01A113655283}"/>
    <cellStyle name="Normal 9 2 2 7 4" xfId="10340" xr:uid="{12F908C9-E5DA-4BDA-AA02-7C92604E4CA8}"/>
    <cellStyle name="Normal 9 2 2 8" xfId="2222" xr:uid="{00000000-0005-0000-0000-0000061F0000}"/>
    <cellStyle name="Normal 9 2 2 8 2" xfId="4451" xr:uid="{00000000-0005-0000-0000-0000071F0000}"/>
    <cellStyle name="Normal 9 2 2 8 2 2" xfId="8674" xr:uid="{00000000-0005-0000-0000-0000081F0000}"/>
    <cellStyle name="Normal 9 2 2 8 2 2 2" xfId="17116" xr:uid="{9FE1315D-387D-4BD2-BF10-52C74AB964B0}"/>
    <cellStyle name="Normal 9 2 2 8 2 3" xfId="12898" xr:uid="{65E220F2-1D97-4379-9DFF-DAF7154A201B}"/>
    <cellStyle name="Normal 9 2 2 8 3" xfId="6529" xr:uid="{00000000-0005-0000-0000-0000091F0000}"/>
    <cellStyle name="Normal 9 2 2 8 3 2" xfId="14971" xr:uid="{DB1645D6-04C4-4BD6-8832-232D15541CB0}"/>
    <cellStyle name="Normal 9 2 2 8 4" xfId="10753" xr:uid="{05AD4DF7-8343-423D-9871-85C71E17E8EB}"/>
    <cellStyle name="Normal 9 2 2 9" xfId="2658" xr:uid="{00000000-0005-0000-0000-00000A1F0000}"/>
    <cellStyle name="Normal 9 2 2 9 2" xfId="6942" xr:uid="{00000000-0005-0000-0000-00000B1F0000}"/>
    <cellStyle name="Normal 9 2 2 9 2 2" xfId="15384" xr:uid="{AFE7D812-E21F-4B40-89E5-3B14B8F96596}"/>
    <cellStyle name="Normal 9 2 2 9 3" xfId="11166" xr:uid="{7E7A7952-0DB4-4AE3-85AA-4CEE7752423D}"/>
    <cellStyle name="Normal 9 2 3" xfId="520" xr:uid="{00000000-0005-0000-0000-00000C1F0000}"/>
    <cellStyle name="Normal 9 2 3 10" xfId="9109" xr:uid="{89EA6A39-B253-475E-94BD-4E4AABBD947D}"/>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2 2 2" xfId="15887" xr:uid="{34E0D4B6-2FDF-44FB-A4F5-A1CF1395B163}"/>
    <cellStyle name="Normal 9 2 3 2 2 2 2 3" xfId="11669" xr:uid="{474D3890-C2C6-45EF-98E1-D51AB3599993}"/>
    <cellStyle name="Normal 9 2 3 2 2 2 3" xfId="5300" xr:uid="{00000000-0005-0000-0000-0000121F0000}"/>
    <cellStyle name="Normal 9 2 3 2 2 2 3 2" xfId="13742" xr:uid="{E0294AC1-117E-44AE-9103-0629FAF84E4D}"/>
    <cellStyle name="Normal 9 2 3 2 2 2 4" xfId="9524" xr:uid="{B386551A-97CC-4343-887B-AB9CCF1DA353}"/>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2 2 2" xfId="16300" xr:uid="{9A0BB0AF-242E-4740-B238-583EBC6BBDED}"/>
    <cellStyle name="Normal 9 2 3 2 2 3 2 3" xfId="12082" xr:uid="{AA6E5950-AA33-434E-A057-183454CF89DE}"/>
    <cellStyle name="Normal 9 2 3 2 2 3 3" xfId="5713" xr:uid="{00000000-0005-0000-0000-0000161F0000}"/>
    <cellStyle name="Normal 9 2 3 2 2 3 3 2" xfId="14155" xr:uid="{84A0BEB8-40EC-4DF5-8F38-66B2CC20E0BF}"/>
    <cellStyle name="Normal 9 2 3 2 2 3 4" xfId="9937" xr:uid="{7570B64A-AFCA-464B-B986-03AA76A3D7C6}"/>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2 2 2" xfId="16713" xr:uid="{257515C1-369B-4DA6-B2AA-EB89904183CB}"/>
    <cellStyle name="Normal 9 2 3 2 2 4 2 3" xfId="12495" xr:uid="{67576C69-01EA-4672-A135-124DF95F380C}"/>
    <cellStyle name="Normal 9 2 3 2 2 4 3" xfId="6126" xr:uid="{00000000-0005-0000-0000-00001A1F0000}"/>
    <cellStyle name="Normal 9 2 3 2 2 4 3 2" xfId="14568" xr:uid="{5EC4964B-81A1-43E0-82F5-D6C664C00364}"/>
    <cellStyle name="Normal 9 2 3 2 2 4 4" xfId="10350" xr:uid="{3EA72A00-7A1B-40EB-9AA3-C374C29F50FC}"/>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2 2 2" xfId="17126" xr:uid="{9F0DC2A0-F5C1-4F10-9631-3A08C4FF3AD0}"/>
    <cellStyle name="Normal 9 2 3 2 2 5 2 3" xfId="12908" xr:uid="{FF3B5BF5-E772-478B-9F9B-DD2B5686D52F}"/>
    <cellStyle name="Normal 9 2 3 2 2 5 3" xfId="6539" xr:uid="{00000000-0005-0000-0000-00001E1F0000}"/>
    <cellStyle name="Normal 9 2 3 2 2 5 3 2" xfId="14981" xr:uid="{7208EFD7-A0ED-406F-BD34-6A91508B2D60}"/>
    <cellStyle name="Normal 9 2 3 2 2 5 4" xfId="10763" xr:uid="{20213CDC-080A-4ECC-840B-BD7B2F2EB2C6}"/>
    <cellStyle name="Normal 9 2 3 2 2 6" xfId="2668" xr:uid="{00000000-0005-0000-0000-00001F1F0000}"/>
    <cellStyle name="Normal 9 2 3 2 2 6 2" xfId="6952" xr:uid="{00000000-0005-0000-0000-0000201F0000}"/>
    <cellStyle name="Normal 9 2 3 2 2 6 2 2" xfId="15394" xr:uid="{F24D587C-B57A-462F-99AF-14F13AF43B3C}"/>
    <cellStyle name="Normal 9 2 3 2 2 6 3" xfId="11176" xr:uid="{3C3FDB5F-F149-4C0D-A3FB-874A69AAD7C0}"/>
    <cellStyle name="Normal 9 2 3 2 2 7" xfId="4887" xr:uid="{00000000-0005-0000-0000-0000211F0000}"/>
    <cellStyle name="Normal 9 2 3 2 2 7 2" xfId="13329" xr:uid="{FFC1231E-0FC5-465E-8661-3F03DF15CECB}"/>
    <cellStyle name="Normal 9 2 3 2 2 8" xfId="9111" xr:uid="{27F64AEA-1E0D-44CD-9896-97D6032E5398}"/>
    <cellStyle name="Normal 9 2 3 2 3" xfId="988" xr:uid="{00000000-0005-0000-0000-0000221F0000}"/>
    <cellStyle name="Normal 9 2 3 2 3 2" xfId="3221" xr:uid="{00000000-0005-0000-0000-0000231F0000}"/>
    <cellStyle name="Normal 9 2 3 2 3 2 2" xfId="7444" xr:uid="{00000000-0005-0000-0000-0000241F0000}"/>
    <cellStyle name="Normal 9 2 3 2 3 2 2 2" xfId="15886" xr:uid="{685CC349-B6D3-48E6-B438-065D04415962}"/>
    <cellStyle name="Normal 9 2 3 2 3 2 3" xfId="11668" xr:uid="{29313A00-F347-4E5B-AEFD-B63100264969}"/>
    <cellStyle name="Normal 9 2 3 2 3 3" xfId="5299" xr:uid="{00000000-0005-0000-0000-0000251F0000}"/>
    <cellStyle name="Normal 9 2 3 2 3 3 2" xfId="13741" xr:uid="{1E4F7DC8-B3C0-4728-98A0-DCB19762596A}"/>
    <cellStyle name="Normal 9 2 3 2 3 4" xfId="9523" xr:uid="{23493183-F1B0-4094-8AC4-1ECABC04A31F}"/>
    <cellStyle name="Normal 9 2 3 2 4" xfId="1404" xr:uid="{00000000-0005-0000-0000-0000261F0000}"/>
    <cellStyle name="Normal 9 2 3 2 4 2" xfId="3634" xr:uid="{00000000-0005-0000-0000-0000271F0000}"/>
    <cellStyle name="Normal 9 2 3 2 4 2 2" xfId="7857" xr:uid="{00000000-0005-0000-0000-0000281F0000}"/>
    <cellStyle name="Normal 9 2 3 2 4 2 2 2" xfId="16299" xr:uid="{20160F6C-9397-42F3-8924-6ACDC088CF79}"/>
    <cellStyle name="Normal 9 2 3 2 4 2 3" xfId="12081" xr:uid="{1377C51A-8958-432E-A5CB-A12F94A98471}"/>
    <cellStyle name="Normal 9 2 3 2 4 3" xfId="5712" xr:uid="{00000000-0005-0000-0000-0000291F0000}"/>
    <cellStyle name="Normal 9 2 3 2 4 3 2" xfId="14154" xr:uid="{3374CD28-5A13-40F4-9C53-1DE2FB0414CE}"/>
    <cellStyle name="Normal 9 2 3 2 4 4" xfId="9936" xr:uid="{57D4E6C1-4D01-4CB2-9D60-5151474EECA7}"/>
    <cellStyle name="Normal 9 2 3 2 5" xfId="1817" xr:uid="{00000000-0005-0000-0000-00002A1F0000}"/>
    <cellStyle name="Normal 9 2 3 2 5 2" xfId="4047" xr:uid="{00000000-0005-0000-0000-00002B1F0000}"/>
    <cellStyle name="Normal 9 2 3 2 5 2 2" xfId="8270" xr:uid="{00000000-0005-0000-0000-00002C1F0000}"/>
    <cellStyle name="Normal 9 2 3 2 5 2 2 2" xfId="16712" xr:uid="{BD53987C-67A9-4821-8EF0-D1D79E62817D}"/>
    <cellStyle name="Normal 9 2 3 2 5 2 3" xfId="12494" xr:uid="{48534F80-373A-483C-8AD9-21CB6353BE33}"/>
    <cellStyle name="Normal 9 2 3 2 5 3" xfId="6125" xr:uid="{00000000-0005-0000-0000-00002D1F0000}"/>
    <cellStyle name="Normal 9 2 3 2 5 3 2" xfId="14567" xr:uid="{38899AD2-B2A1-4356-84D8-10EDB5CB7DBA}"/>
    <cellStyle name="Normal 9 2 3 2 5 4" xfId="10349" xr:uid="{104A5341-7A96-4F97-8128-D95508195A58}"/>
    <cellStyle name="Normal 9 2 3 2 6" xfId="2231" xr:uid="{00000000-0005-0000-0000-00002E1F0000}"/>
    <cellStyle name="Normal 9 2 3 2 6 2" xfId="4460" xr:uid="{00000000-0005-0000-0000-00002F1F0000}"/>
    <cellStyle name="Normal 9 2 3 2 6 2 2" xfId="8683" xr:uid="{00000000-0005-0000-0000-0000301F0000}"/>
    <cellStyle name="Normal 9 2 3 2 6 2 2 2" xfId="17125" xr:uid="{27A1A249-E785-4EDD-846A-0015EDC38ADB}"/>
    <cellStyle name="Normal 9 2 3 2 6 2 3" xfId="12907" xr:uid="{F4285D5A-07B7-40E6-A971-E70ECA7022A4}"/>
    <cellStyle name="Normal 9 2 3 2 6 3" xfId="6538" xr:uid="{00000000-0005-0000-0000-0000311F0000}"/>
    <cellStyle name="Normal 9 2 3 2 6 3 2" xfId="14980" xr:uid="{97DB9704-84BB-459B-BDF8-790B665B6A59}"/>
    <cellStyle name="Normal 9 2 3 2 6 4" xfId="10762" xr:uid="{44D259CA-24AE-4FFE-B756-3F6682A9A859}"/>
    <cellStyle name="Normal 9 2 3 2 7" xfId="2667" xr:uid="{00000000-0005-0000-0000-0000321F0000}"/>
    <cellStyle name="Normal 9 2 3 2 7 2" xfId="6951" xr:uid="{00000000-0005-0000-0000-0000331F0000}"/>
    <cellStyle name="Normal 9 2 3 2 7 2 2" xfId="15393" xr:uid="{D0DED03F-7C2F-460E-9F7E-1979363000AC}"/>
    <cellStyle name="Normal 9 2 3 2 7 3" xfId="11175" xr:uid="{B1C7E05A-4BD6-4D56-A77F-1F2159B6A46D}"/>
    <cellStyle name="Normal 9 2 3 2 8" xfId="4886" xr:uid="{00000000-0005-0000-0000-0000341F0000}"/>
    <cellStyle name="Normal 9 2 3 2 8 2" xfId="13328" xr:uid="{FDEAB50F-5A85-4499-AA36-8231259BFD47}"/>
    <cellStyle name="Normal 9 2 3 2 9" xfId="9110" xr:uid="{DDF2B0D3-5A5D-49C9-A898-8A80550B1623}"/>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2 2 2" xfId="15888" xr:uid="{A258BE9B-C085-4E0F-BCD9-2A90DE6B8714}"/>
    <cellStyle name="Normal 9 2 3 3 2 2 3" xfId="11670" xr:uid="{53B6C904-5A5A-4CB0-B5D7-4337AB53B35C}"/>
    <cellStyle name="Normal 9 2 3 3 2 3" xfId="5301" xr:uid="{00000000-0005-0000-0000-0000391F0000}"/>
    <cellStyle name="Normal 9 2 3 3 2 3 2" xfId="13743" xr:uid="{792C49E1-9535-4F0E-A05C-C1474B90BB34}"/>
    <cellStyle name="Normal 9 2 3 3 2 4" xfId="9525" xr:uid="{3EA7A2FE-5AAE-4BA2-A538-41CEC1E36CAA}"/>
    <cellStyle name="Normal 9 2 3 3 3" xfId="1406" xr:uid="{00000000-0005-0000-0000-00003A1F0000}"/>
    <cellStyle name="Normal 9 2 3 3 3 2" xfId="3636" xr:uid="{00000000-0005-0000-0000-00003B1F0000}"/>
    <cellStyle name="Normal 9 2 3 3 3 2 2" xfId="7859" xr:uid="{00000000-0005-0000-0000-00003C1F0000}"/>
    <cellStyle name="Normal 9 2 3 3 3 2 2 2" xfId="16301" xr:uid="{BADA488B-BAC6-4B15-90A6-398FD6401559}"/>
    <cellStyle name="Normal 9 2 3 3 3 2 3" xfId="12083" xr:uid="{61A2C0A6-3425-4B01-9763-A2B216279E9E}"/>
    <cellStyle name="Normal 9 2 3 3 3 3" xfId="5714" xr:uid="{00000000-0005-0000-0000-00003D1F0000}"/>
    <cellStyle name="Normal 9 2 3 3 3 3 2" xfId="14156" xr:uid="{886AE42B-488A-4F61-8EDE-ADEB4F8C2E87}"/>
    <cellStyle name="Normal 9 2 3 3 3 4" xfId="9938" xr:uid="{EFF1380A-410B-4BE7-95B6-24ED8349C082}"/>
    <cellStyle name="Normal 9 2 3 3 4" xfId="1819" xr:uid="{00000000-0005-0000-0000-00003E1F0000}"/>
    <cellStyle name="Normal 9 2 3 3 4 2" xfId="4049" xr:uid="{00000000-0005-0000-0000-00003F1F0000}"/>
    <cellStyle name="Normal 9 2 3 3 4 2 2" xfId="8272" xr:uid="{00000000-0005-0000-0000-0000401F0000}"/>
    <cellStyle name="Normal 9 2 3 3 4 2 2 2" xfId="16714" xr:uid="{6271ED34-AA7A-4775-B288-F7DFCE0DF8F4}"/>
    <cellStyle name="Normal 9 2 3 3 4 2 3" xfId="12496" xr:uid="{28C10A9A-FE65-4722-A5C6-7194F5B876AB}"/>
    <cellStyle name="Normal 9 2 3 3 4 3" xfId="6127" xr:uid="{00000000-0005-0000-0000-0000411F0000}"/>
    <cellStyle name="Normal 9 2 3 3 4 3 2" xfId="14569" xr:uid="{4880916E-2885-4F6A-820D-EFE5B01B68AF}"/>
    <cellStyle name="Normal 9 2 3 3 4 4" xfId="10351" xr:uid="{A86735C9-A78F-4DD2-B4FC-ABE0369802DD}"/>
    <cellStyle name="Normal 9 2 3 3 5" xfId="2233" xr:uid="{00000000-0005-0000-0000-0000421F0000}"/>
    <cellStyle name="Normal 9 2 3 3 5 2" xfId="4462" xr:uid="{00000000-0005-0000-0000-0000431F0000}"/>
    <cellStyle name="Normal 9 2 3 3 5 2 2" xfId="8685" xr:uid="{00000000-0005-0000-0000-0000441F0000}"/>
    <cellStyle name="Normal 9 2 3 3 5 2 2 2" xfId="17127" xr:uid="{0A8CBBBF-4DC3-485F-80BF-00E9D020965B}"/>
    <cellStyle name="Normal 9 2 3 3 5 2 3" xfId="12909" xr:uid="{C5FE96D5-CEE3-4DA3-B2E9-B58CF9EACB67}"/>
    <cellStyle name="Normal 9 2 3 3 5 3" xfId="6540" xr:uid="{00000000-0005-0000-0000-0000451F0000}"/>
    <cellStyle name="Normal 9 2 3 3 5 3 2" xfId="14982" xr:uid="{379848A0-044B-4ACC-B5FB-6AB21AE37252}"/>
    <cellStyle name="Normal 9 2 3 3 5 4" xfId="10764" xr:uid="{F5580093-2A25-46B7-BF92-E8561AA66B20}"/>
    <cellStyle name="Normal 9 2 3 3 6" xfId="2669" xr:uid="{00000000-0005-0000-0000-0000461F0000}"/>
    <cellStyle name="Normal 9 2 3 3 6 2" xfId="6953" xr:uid="{00000000-0005-0000-0000-0000471F0000}"/>
    <cellStyle name="Normal 9 2 3 3 6 2 2" xfId="15395" xr:uid="{4B9AE186-81FF-4B39-9687-BB0C41EEABC9}"/>
    <cellStyle name="Normal 9 2 3 3 6 3" xfId="11177" xr:uid="{D95AA989-EB89-4C89-B85E-A5407F662E82}"/>
    <cellStyle name="Normal 9 2 3 3 7" xfId="4888" xr:uid="{00000000-0005-0000-0000-0000481F0000}"/>
    <cellStyle name="Normal 9 2 3 3 7 2" xfId="13330" xr:uid="{C65C563E-4F3F-4D0A-B1FB-7CA3FF4CD659}"/>
    <cellStyle name="Normal 9 2 3 3 8" xfId="9112" xr:uid="{576EF8FA-BA17-4E4B-BC09-8DED33C77F10}"/>
    <cellStyle name="Normal 9 2 3 4" xfId="987" xr:uid="{00000000-0005-0000-0000-0000491F0000}"/>
    <cellStyle name="Normal 9 2 3 4 2" xfId="3220" xr:uid="{00000000-0005-0000-0000-00004A1F0000}"/>
    <cellStyle name="Normal 9 2 3 4 2 2" xfId="7443" xr:uid="{00000000-0005-0000-0000-00004B1F0000}"/>
    <cellStyle name="Normal 9 2 3 4 2 2 2" xfId="15885" xr:uid="{9B29524B-54C1-4AB0-80F9-6958FD6C6F4C}"/>
    <cellStyle name="Normal 9 2 3 4 2 3" xfId="11667" xr:uid="{BE5A4FAA-F9C4-4597-8C6E-27419E02115F}"/>
    <cellStyle name="Normal 9 2 3 4 3" xfId="5298" xr:uid="{00000000-0005-0000-0000-00004C1F0000}"/>
    <cellStyle name="Normal 9 2 3 4 3 2" xfId="13740" xr:uid="{75B9D265-EE4D-4CD2-BB15-76D53A09B369}"/>
    <cellStyle name="Normal 9 2 3 4 4" xfId="9522" xr:uid="{98716DB5-BC82-4224-A030-9B3E7F079C9D}"/>
    <cellStyle name="Normal 9 2 3 5" xfId="1403" xr:uid="{00000000-0005-0000-0000-00004D1F0000}"/>
    <cellStyle name="Normal 9 2 3 5 2" xfId="3633" xr:uid="{00000000-0005-0000-0000-00004E1F0000}"/>
    <cellStyle name="Normal 9 2 3 5 2 2" xfId="7856" xr:uid="{00000000-0005-0000-0000-00004F1F0000}"/>
    <cellStyle name="Normal 9 2 3 5 2 2 2" xfId="16298" xr:uid="{0B4F0F8A-5812-4627-8BFC-8E0E3A281FFC}"/>
    <cellStyle name="Normal 9 2 3 5 2 3" xfId="12080" xr:uid="{60833FB7-2747-4DD3-8413-534CB6A44AE5}"/>
    <cellStyle name="Normal 9 2 3 5 3" xfId="5711" xr:uid="{00000000-0005-0000-0000-0000501F0000}"/>
    <cellStyle name="Normal 9 2 3 5 3 2" xfId="14153" xr:uid="{182D768D-ABFB-4FBF-805C-3636F4E37BF6}"/>
    <cellStyle name="Normal 9 2 3 5 4" xfId="9935" xr:uid="{0EB0DB08-2428-477F-8883-F3474453DE38}"/>
    <cellStyle name="Normal 9 2 3 6" xfId="1816" xr:uid="{00000000-0005-0000-0000-0000511F0000}"/>
    <cellStyle name="Normal 9 2 3 6 2" xfId="4046" xr:uid="{00000000-0005-0000-0000-0000521F0000}"/>
    <cellStyle name="Normal 9 2 3 6 2 2" xfId="8269" xr:uid="{00000000-0005-0000-0000-0000531F0000}"/>
    <cellStyle name="Normal 9 2 3 6 2 2 2" xfId="16711" xr:uid="{10CCC03E-0597-4522-A14E-C9198B2FD352}"/>
    <cellStyle name="Normal 9 2 3 6 2 3" xfId="12493" xr:uid="{5540A654-05D5-44C5-A6C0-6F5CE685785B}"/>
    <cellStyle name="Normal 9 2 3 6 3" xfId="6124" xr:uid="{00000000-0005-0000-0000-0000541F0000}"/>
    <cellStyle name="Normal 9 2 3 6 3 2" xfId="14566" xr:uid="{FBA808B0-A012-42E1-8F78-91A608CFED58}"/>
    <cellStyle name="Normal 9 2 3 6 4" xfId="10348" xr:uid="{69549434-CBE5-4270-9078-466501AD811B}"/>
    <cellStyle name="Normal 9 2 3 7" xfId="2230" xr:uid="{00000000-0005-0000-0000-0000551F0000}"/>
    <cellStyle name="Normal 9 2 3 7 2" xfId="4459" xr:uid="{00000000-0005-0000-0000-0000561F0000}"/>
    <cellStyle name="Normal 9 2 3 7 2 2" xfId="8682" xr:uid="{00000000-0005-0000-0000-0000571F0000}"/>
    <cellStyle name="Normal 9 2 3 7 2 2 2" xfId="17124" xr:uid="{B72EEE7A-C5BE-4AD1-8F21-F42B815C1F39}"/>
    <cellStyle name="Normal 9 2 3 7 2 3" xfId="12906" xr:uid="{70319096-49F9-4D6F-A800-786B4C8E1729}"/>
    <cellStyle name="Normal 9 2 3 7 3" xfId="6537" xr:uid="{00000000-0005-0000-0000-0000581F0000}"/>
    <cellStyle name="Normal 9 2 3 7 3 2" xfId="14979" xr:uid="{D48F7595-707D-4C51-B8CA-FB82D40CEB5A}"/>
    <cellStyle name="Normal 9 2 3 7 4" xfId="10761" xr:uid="{B2652A05-2942-45BD-8D6E-A4BFC5A33361}"/>
    <cellStyle name="Normal 9 2 3 8" xfId="2666" xr:uid="{00000000-0005-0000-0000-0000591F0000}"/>
    <cellStyle name="Normal 9 2 3 8 2" xfId="6950" xr:uid="{00000000-0005-0000-0000-00005A1F0000}"/>
    <cellStyle name="Normal 9 2 3 8 2 2" xfId="15392" xr:uid="{AEC1C3C6-4C10-4040-9731-0FE4F6232BC0}"/>
    <cellStyle name="Normal 9 2 3 8 3" xfId="11174" xr:uid="{87F0710A-87E6-417C-AB10-F64F8AB80B9C}"/>
    <cellStyle name="Normal 9 2 3 9" xfId="4885" xr:uid="{00000000-0005-0000-0000-00005B1F0000}"/>
    <cellStyle name="Normal 9 2 3 9 2" xfId="13327" xr:uid="{32DBAF5C-91CE-4FAE-8DBF-B5DD600FF5E9}"/>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2 2 2" xfId="15890" xr:uid="{73B5E0B4-DB6A-40FC-8B05-D75A4DCBEF4B}"/>
    <cellStyle name="Normal 9 2 4 2 2 2 3" xfId="11672" xr:uid="{93A6A215-8D87-4CDB-8ECC-07038D7C6D54}"/>
    <cellStyle name="Normal 9 2 4 2 2 3" xfId="5303" xr:uid="{00000000-0005-0000-0000-0000611F0000}"/>
    <cellStyle name="Normal 9 2 4 2 2 3 2" xfId="13745" xr:uid="{6B8F2118-72A9-4082-A3D7-495351A70C3B}"/>
    <cellStyle name="Normal 9 2 4 2 2 4" xfId="9527" xr:uid="{D7D31C8E-E26D-498C-9608-C4D83B698DA5}"/>
    <cellStyle name="Normal 9 2 4 2 3" xfId="1408" xr:uid="{00000000-0005-0000-0000-0000621F0000}"/>
    <cellStyle name="Normal 9 2 4 2 3 2" xfId="3638" xr:uid="{00000000-0005-0000-0000-0000631F0000}"/>
    <cellStyle name="Normal 9 2 4 2 3 2 2" xfId="7861" xr:uid="{00000000-0005-0000-0000-0000641F0000}"/>
    <cellStyle name="Normal 9 2 4 2 3 2 2 2" xfId="16303" xr:uid="{9B2C9DCE-327A-4A27-BC83-D61A9FCAA864}"/>
    <cellStyle name="Normal 9 2 4 2 3 2 3" xfId="12085" xr:uid="{76A04FD7-2C7D-4BAC-A16E-D1BAD44A4FEF}"/>
    <cellStyle name="Normal 9 2 4 2 3 3" xfId="5716" xr:uid="{00000000-0005-0000-0000-0000651F0000}"/>
    <cellStyle name="Normal 9 2 4 2 3 3 2" xfId="14158" xr:uid="{1385AA6D-65D3-4DDC-8107-DFAD1289BE93}"/>
    <cellStyle name="Normal 9 2 4 2 3 4" xfId="9940" xr:uid="{0C543868-8683-4E95-910A-C343B5678E35}"/>
    <cellStyle name="Normal 9 2 4 2 4" xfId="1821" xr:uid="{00000000-0005-0000-0000-0000661F0000}"/>
    <cellStyle name="Normal 9 2 4 2 4 2" xfId="4051" xr:uid="{00000000-0005-0000-0000-0000671F0000}"/>
    <cellStyle name="Normal 9 2 4 2 4 2 2" xfId="8274" xr:uid="{00000000-0005-0000-0000-0000681F0000}"/>
    <cellStyle name="Normal 9 2 4 2 4 2 2 2" xfId="16716" xr:uid="{221D792B-50CF-45EA-8E13-2C5054A435BB}"/>
    <cellStyle name="Normal 9 2 4 2 4 2 3" xfId="12498" xr:uid="{1763BD4D-F497-4A3E-BEDE-5A3F72556794}"/>
    <cellStyle name="Normal 9 2 4 2 4 3" xfId="6129" xr:uid="{00000000-0005-0000-0000-0000691F0000}"/>
    <cellStyle name="Normal 9 2 4 2 4 3 2" xfId="14571" xr:uid="{7E4B1293-74AC-4CF6-8D51-97AE22EF9A97}"/>
    <cellStyle name="Normal 9 2 4 2 4 4" xfId="10353" xr:uid="{A8A5F715-10ED-4188-A062-5DDD6676BCE3}"/>
    <cellStyle name="Normal 9 2 4 2 5" xfId="2235" xr:uid="{00000000-0005-0000-0000-00006A1F0000}"/>
    <cellStyle name="Normal 9 2 4 2 5 2" xfId="4464" xr:uid="{00000000-0005-0000-0000-00006B1F0000}"/>
    <cellStyle name="Normal 9 2 4 2 5 2 2" xfId="8687" xr:uid="{00000000-0005-0000-0000-00006C1F0000}"/>
    <cellStyle name="Normal 9 2 4 2 5 2 2 2" xfId="17129" xr:uid="{5C2A23A7-4AF2-4053-96F5-A4B39F161A44}"/>
    <cellStyle name="Normal 9 2 4 2 5 2 3" xfId="12911" xr:uid="{5C099EFB-3ABD-4120-B8B9-33A3A8BD69AF}"/>
    <cellStyle name="Normal 9 2 4 2 5 3" xfId="6542" xr:uid="{00000000-0005-0000-0000-00006D1F0000}"/>
    <cellStyle name="Normal 9 2 4 2 5 3 2" xfId="14984" xr:uid="{67D4D283-2938-4B76-8C5F-6D703702ADC9}"/>
    <cellStyle name="Normal 9 2 4 2 5 4" xfId="10766" xr:uid="{1E8E95CC-3D5C-4C43-89B6-F163C94B849A}"/>
    <cellStyle name="Normal 9 2 4 2 6" xfId="2671" xr:uid="{00000000-0005-0000-0000-00006E1F0000}"/>
    <cellStyle name="Normal 9 2 4 2 6 2" xfId="6955" xr:uid="{00000000-0005-0000-0000-00006F1F0000}"/>
    <cellStyle name="Normal 9 2 4 2 6 2 2" xfId="15397" xr:uid="{7EF0595C-DCE5-4B91-91A3-0404E3451C63}"/>
    <cellStyle name="Normal 9 2 4 2 6 3" xfId="11179" xr:uid="{1ECD2C02-C61B-4D2B-8584-D980073ED749}"/>
    <cellStyle name="Normal 9 2 4 2 7" xfId="4890" xr:uid="{00000000-0005-0000-0000-0000701F0000}"/>
    <cellStyle name="Normal 9 2 4 2 7 2" xfId="13332" xr:uid="{1C74CA07-4A08-433E-9253-048EF2F8E7CC}"/>
    <cellStyle name="Normal 9 2 4 2 8" xfId="9114" xr:uid="{2E5F4648-D6A6-4923-BF5F-83237B6DF68B}"/>
    <cellStyle name="Normal 9 2 4 3" xfId="991" xr:uid="{00000000-0005-0000-0000-0000711F0000}"/>
    <cellStyle name="Normal 9 2 4 3 2" xfId="3224" xr:uid="{00000000-0005-0000-0000-0000721F0000}"/>
    <cellStyle name="Normal 9 2 4 3 2 2" xfId="7447" xr:uid="{00000000-0005-0000-0000-0000731F0000}"/>
    <cellStyle name="Normal 9 2 4 3 2 2 2" xfId="15889" xr:uid="{6C4DA9E5-433F-435F-9EF4-E2C3D60A652B}"/>
    <cellStyle name="Normal 9 2 4 3 2 3" xfId="11671" xr:uid="{C89E8D07-5C0C-4D05-9956-086B5CF511F7}"/>
    <cellStyle name="Normal 9 2 4 3 3" xfId="5302" xr:uid="{00000000-0005-0000-0000-0000741F0000}"/>
    <cellStyle name="Normal 9 2 4 3 3 2" xfId="13744" xr:uid="{D8CD21D9-B680-4AA9-8471-7FCFD76A63C6}"/>
    <cellStyle name="Normal 9 2 4 3 4" xfId="9526" xr:uid="{C60B76B4-D1D2-4D08-BA24-67C4053CDE15}"/>
    <cellStyle name="Normal 9 2 4 4" xfId="1407" xr:uid="{00000000-0005-0000-0000-0000751F0000}"/>
    <cellStyle name="Normal 9 2 4 4 2" xfId="3637" xr:uid="{00000000-0005-0000-0000-0000761F0000}"/>
    <cellStyle name="Normal 9 2 4 4 2 2" xfId="7860" xr:uid="{00000000-0005-0000-0000-0000771F0000}"/>
    <cellStyle name="Normal 9 2 4 4 2 2 2" xfId="16302" xr:uid="{1F196D86-81B4-40DB-8B95-34C0CE98BBB6}"/>
    <cellStyle name="Normal 9 2 4 4 2 3" xfId="12084" xr:uid="{36EDE856-E472-48BA-B72C-64436B8B79D9}"/>
    <cellStyle name="Normal 9 2 4 4 3" xfId="5715" xr:uid="{00000000-0005-0000-0000-0000781F0000}"/>
    <cellStyle name="Normal 9 2 4 4 3 2" xfId="14157" xr:uid="{2F7FB896-2799-45A4-969B-A54E43A1E8A2}"/>
    <cellStyle name="Normal 9 2 4 4 4" xfId="9939" xr:uid="{48C17ED0-DDE0-4C7A-ACD1-F677CE00574B}"/>
    <cellStyle name="Normal 9 2 4 5" xfId="1820" xr:uid="{00000000-0005-0000-0000-0000791F0000}"/>
    <cellStyle name="Normal 9 2 4 5 2" xfId="4050" xr:uid="{00000000-0005-0000-0000-00007A1F0000}"/>
    <cellStyle name="Normal 9 2 4 5 2 2" xfId="8273" xr:uid="{00000000-0005-0000-0000-00007B1F0000}"/>
    <cellStyle name="Normal 9 2 4 5 2 2 2" xfId="16715" xr:uid="{277746CA-3996-4524-82F5-F0BC9AACC7FD}"/>
    <cellStyle name="Normal 9 2 4 5 2 3" xfId="12497" xr:uid="{0C1D5EC3-FEE8-4358-81DA-EB8D8D8310B1}"/>
    <cellStyle name="Normal 9 2 4 5 3" xfId="6128" xr:uid="{00000000-0005-0000-0000-00007C1F0000}"/>
    <cellStyle name="Normal 9 2 4 5 3 2" xfId="14570" xr:uid="{86CD7C79-B6D8-474C-AB97-0731B1B8670A}"/>
    <cellStyle name="Normal 9 2 4 5 4" xfId="10352" xr:uid="{BF7323B9-4AA4-40B1-BA64-0F3053F9ADFD}"/>
    <cellStyle name="Normal 9 2 4 6" xfId="2234" xr:uid="{00000000-0005-0000-0000-00007D1F0000}"/>
    <cellStyle name="Normal 9 2 4 6 2" xfId="4463" xr:uid="{00000000-0005-0000-0000-00007E1F0000}"/>
    <cellStyle name="Normal 9 2 4 6 2 2" xfId="8686" xr:uid="{00000000-0005-0000-0000-00007F1F0000}"/>
    <cellStyle name="Normal 9 2 4 6 2 2 2" xfId="17128" xr:uid="{9B8373D2-9767-4FB7-AFE6-36B29CE5037D}"/>
    <cellStyle name="Normal 9 2 4 6 2 3" xfId="12910" xr:uid="{E1628CE1-8678-4252-8D9A-AA70FE24DE86}"/>
    <cellStyle name="Normal 9 2 4 6 3" xfId="6541" xr:uid="{00000000-0005-0000-0000-0000801F0000}"/>
    <cellStyle name="Normal 9 2 4 6 3 2" xfId="14983" xr:uid="{A4C45DAC-1B5A-4AC2-888D-AD3BECD014F3}"/>
    <cellStyle name="Normal 9 2 4 6 4" xfId="10765" xr:uid="{EE9FBB26-1522-4565-915D-88A36297700D}"/>
    <cellStyle name="Normal 9 2 4 7" xfId="2670" xr:uid="{00000000-0005-0000-0000-0000811F0000}"/>
    <cellStyle name="Normal 9 2 4 7 2" xfId="6954" xr:uid="{00000000-0005-0000-0000-0000821F0000}"/>
    <cellStyle name="Normal 9 2 4 7 2 2" xfId="15396" xr:uid="{AC00933E-3E92-4591-8B99-FD4FFF3B456F}"/>
    <cellStyle name="Normal 9 2 4 7 3" xfId="11178" xr:uid="{83077D00-BC3F-4184-A806-F2A03A1A145C}"/>
    <cellStyle name="Normal 9 2 4 8" xfId="4889" xr:uid="{00000000-0005-0000-0000-0000831F0000}"/>
    <cellStyle name="Normal 9 2 4 8 2" xfId="13331" xr:uid="{4C582FF0-FA73-4B1A-A26D-5601500185B8}"/>
    <cellStyle name="Normal 9 2 4 9" xfId="9113" xr:uid="{7FC0274C-DE8A-47E9-B127-A5E32A9A56DF}"/>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2 2 2" xfId="15891" xr:uid="{F9F42BF4-B16F-4D4B-B376-6EDD69A89F23}"/>
    <cellStyle name="Normal 9 2 5 2 2 3" xfId="11673" xr:uid="{02B8398D-A632-45F5-AEBD-B16EAD2B129A}"/>
    <cellStyle name="Normal 9 2 5 2 3" xfId="5304" xr:uid="{00000000-0005-0000-0000-0000881F0000}"/>
    <cellStyle name="Normal 9 2 5 2 3 2" xfId="13746" xr:uid="{F799AB72-5227-4BCE-8E4B-4C32D3835FFF}"/>
    <cellStyle name="Normal 9 2 5 2 4" xfId="9528" xr:uid="{CA333DA5-211E-43EE-B635-5B873D06870E}"/>
    <cellStyle name="Normal 9 2 5 3" xfId="1409" xr:uid="{00000000-0005-0000-0000-0000891F0000}"/>
    <cellStyle name="Normal 9 2 5 3 2" xfId="3639" xr:uid="{00000000-0005-0000-0000-00008A1F0000}"/>
    <cellStyle name="Normal 9 2 5 3 2 2" xfId="7862" xr:uid="{00000000-0005-0000-0000-00008B1F0000}"/>
    <cellStyle name="Normal 9 2 5 3 2 2 2" xfId="16304" xr:uid="{7D940847-A600-417C-9AB8-AE51F19EEAB0}"/>
    <cellStyle name="Normal 9 2 5 3 2 3" xfId="12086" xr:uid="{6BCD1FEF-03CF-4917-925C-09949B1C0A97}"/>
    <cellStyle name="Normal 9 2 5 3 3" xfId="5717" xr:uid="{00000000-0005-0000-0000-00008C1F0000}"/>
    <cellStyle name="Normal 9 2 5 3 3 2" xfId="14159" xr:uid="{698411BD-A6DB-45E0-B749-F94B4D1014FC}"/>
    <cellStyle name="Normal 9 2 5 3 4" xfId="9941" xr:uid="{15321FFE-FA8B-41C7-80BE-81B56E6C1D8F}"/>
    <cellStyle name="Normal 9 2 5 4" xfId="1822" xr:uid="{00000000-0005-0000-0000-00008D1F0000}"/>
    <cellStyle name="Normal 9 2 5 4 2" xfId="4052" xr:uid="{00000000-0005-0000-0000-00008E1F0000}"/>
    <cellStyle name="Normal 9 2 5 4 2 2" xfId="8275" xr:uid="{00000000-0005-0000-0000-00008F1F0000}"/>
    <cellStyle name="Normal 9 2 5 4 2 2 2" xfId="16717" xr:uid="{BCBED496-836A-4E74-81A0-924EAB77A689}"/>
    <cellStyle name="Normal 9 2 5 4 2 3" xfId="12499" xr:uid="{007D19C0-3974-41E6-BF77-55912F5DA403}"/>
    <cellStyle name="Normal 9 2 5 4 3" xfId="6130" xr:uid="{00000000-0005-0000-0000-0000901F0000}"/>
    <cellStyle name="Normal 9 2 5 4 3 2" xfId="14572" xr:uid="{7DCCEED5-5F35-4DCE-B4F8-C345432BC1B8}"/>
    <cellStyle name="Normal 9 2 5 4 4" xfId="10354" xr:uid="{E7E1385B-27D9-4E31-AF80-C158533DA8A8}"/>
    <cellStyle name="Normal 9 2 5 5" xfId="2236" xr:uid="{00000000-0005-0000-0000-0000911F0000}"/>
    <cellStyle name="Normal 9 2 5 5 2" xfId="4465" xr:uid="{00000000-0005-0000-0000-0000921F0000}"/>
    <cellStyle name="Normal 9 2 5 5 2 2" xfId="8688" xr:uid="{00000000-0005-0000-0000-0000931F0000}"/>
    <cellStyle name="Normal 9 2 5 5 2 2 2" xfId="17130" xr:uid="{73E95161-D7D0-43A6-A296-803ED39ED276}"/>
    <cellStyle name="Normal 9 2 5 5 2 3" xfId="12912" xr:uid="{C0E48508-689D-4EBF-AEBA-A9D9F7A6495E}"/>
    <cellStyle name="Normal 9 2 5 5 3" xfId="6543" xr:uid="{00000000-0005-0000-0000-0000941F0000}"/>
    <cellStyle name="Normal 9 2 5 5 3 2" xfId="14985" xr:uid="{CC9C9E6F-FF42-47EC-AAE4-E017D9FC157C}"/>
    <cellStyle name="Normal 9 2 5 5 4" xfId="10767" xr:uid="{4EB9D6CA-4F71-49E5-83C0-1E02AE9DBA34}"/>
    <cellStyle name="Normal 9 2 5 6" xfId="2672" xr:uid="{00000000-0005-0000-0000-0000951F0000}"/>
    <cellStyle name="Normal 9 2 5 6 2" xfId="6956" xr:uid="{00000000-0005-0000-0000-0000961F0000}"/>
    <cellStyle name="Normal 9 2 5 6 2 2" xfId="15398" xr:uid="{7895A729-8CD5-48C8-AE7F-D52DD63E3F33}"/>
    <cellStyle name="Normal 9 2 5 6 3" xfId="11180" xr:uid="{D3A3B841-7224-4CF4-ACD9-F72450D7269C}"/>
    <cellStyle name="Normal 9 2 5 7" xfId="4891" xr:uid="{00000000-0005-0000-0000-0000971F0000}"/>
    <cellStyle name="Normal 9 2 5 7 2" xfId="13333" xr:uid="{5F420C8A-9BD1-4F19-9271-0F15232B7B69}"/>
    <cellStyle name="Normal 9 2 5 8" xfId="9115" xr:uid="{BFAF99DD-84BA-4608-8AB3-0F01EA72B87A}"/>
    <cellStyle name="Normal 9 2 6" xfId="978" xr:uid="{00000000-0005-0000-0000-0000981F0000}"/>
    <cellStyle name="Normal 9 2 6 2" xfId="3211" xr:uid="{00000000-0005-0000-0000-0000991F0000}"/>
    <cellStyle name="Normal 9 2 6 2 2" xfId="7434" xr:uid="{00000000-0005-0000-0000-00009A1F0000}"/>
    <cellStyle name="Normal 9 2 6 2 2 2" xfId="15876" xr:uid="{848D788A-5B3E-4AB1-937A-EDBE1D1AE42B}"/>
    <cellStyle name="Normal 9 2 6 2 3" xfId="11658" xr:uid="{ED7739D8-13DC-4062-93EA-004FE79C3BC2}"/>
    <cellStyle name="Normal 9 2 6 3" xfId="5289" xr:uid="{00000000-0005-0000-0000-00009B1F0000}"/>
    <cellStyle name="Normal 9 2 6 3 2" xfId="13731" xr:uid="{48C6A97B-77D8-4EA6-81C5-4DEED1F68023}"/>
    <cellStyle name="Normal 9 2 6 4" xfId="9513" xr:uid="{C0CA14EE-BFB8-4D7A-9450-9041CECE04D8}"/>
    <cellStyle name="Normal 9 2 7" xfId="1394" xr:uid="{00000000-0005-0000-0000-00009C1F0000}"/>
    <cellStyle name="Normal 9 2 7 2" xfId="3624" xr:uid="{00000000-0005-0000-0000-00009D1F0000}"/>
    <cellStyle name="Normal 9 2 7 2 2" xfId="7847" xr:uid="{00000000-0005-0000-0000-00009E1F0000}"/>
    <cellStyle name="Normal 9 2 7 2 2 2" xfId="16289" xr:uid="{4025F6DF-9EA5-4F00-95F3-E025585E0A70}"/>
    <cellStyle name="Normal 9 2 7 2 3" xfId="12071" xr:uid="{A93C272E-E13B-4882-A79D-FD1376ED80D4}"/>
    <cellStyle name="Normal 9 2 7 3" xfId="5702" xr:uid="{00000000-0005-0000-0000-00009F1F0000}"/>
    <cellStyle name="Normal 9 2 7 3 2" xfId="14144" xr:uid="{351B59BE-C02A-4A34-8374-69E9814C6CDC}"/>
    <cellStyle name="Normal 9 2 7 4" xfId="9926" xr:uid="{F46A71A2-4083-466A-9BA1-5A6BAD91A68F}"/>
    <cellStyle name="Normal 9 2 8" xfId="1807" xr:uid="{00000000-0005-0000-0000-0000A01F0000}"/>
    <cellStyle name="Normal 9 2 8 2" xfId="4037" xr:uid="{00000000-0005-0000-0000-0000A11F0000}"/>
    <cellStyle name="Normal 9 2 8 2 2" xfId="8260" xr:uid="{00000000-0005-0000-0000-0000A21F0000}"/>
    <cellStyle name="Normal 9 2 8 2 2 2" xfId="16702" xr:uid="{42502C4F-4D9F-4FFB-96C2-492B5CA979E4}"/>
    <cellStyle name="Normal 9 2 8 2 3" xfId="12484" xr:uid="{F12B98A1-DDEF-4863-9267-5A6A5335088A}"/>
    <cellStyle name="Normal 9 2 8 3" xfId="6115" xr:uid="{00000000-0005-0000-0000-0000A31F0000}"/>
    <cellStyle name="Normal 9 2 8 3 2" xfId="14557" xr:uid="{ABC7EA4D-827C-4308-A057-600E7DA14DB8}"/>
    <cellStyle name="Normal 9 2 8 4" xfId="10339" xr:uid="{22344703-7657-441B-8624-067E0EFBFAC7}"/>
    <cellStyle name="Normal 9 2 9" xfId="2221" xr:uid="{00000000-0005-0000-0000-0000A41F0000}"/>
    <cellStyle name="Normal 9 2 9 2" xfId="4450" xr:uid="{00000000-0005-0000-0000-0000A51F0000}"/>
    <cellStyle name="Normal 9 2 9 2 2" xfId="8673" xr:uid="{00000000-0005-0000-0000-0000A61F0000}"/>
    <cellStyle name="Normal 9 2 9 2 2 2" xfId="17115" xr:uid="{83FD97EC-B2F8-48EF-B316-3605D585704E}"/>
    <cellStyle name="Normal 9 2 9 2 3" xfId="12897" xr:uid="{7E72F3DF-0C5F-4407-B624-AF365B6FCC86}"/>
    <cellStyle name="Normal 9 2 9 3" xfId="6528" xr:uid="{00000000-0005-0000-0000-0000A71F0000}"/>
    <cellStyle name="Normal 9 2 9 3 2" xfId="14970" xr:uid="{C4D44A22-1783-4659-9682-444B65365409}"/>
    <cellStyle name="Normal 9 2 9 4" xfId="10752" xr:uid="{72E07797-3590-459C-9023-6FC4A261F89B}"/>
    <cellStyle name="Normal 9 3" xfId="527" xr:uid="{00000000-0005-0000-0000-0000A81F0000}"/>
    <cellStyle name="Normal 9 3 10" xfId="4892" xr:uid="{00000000-0005-0000-0000-0000A91F0000}"/>
    <cellStyle name="Normal 9 3 10 2" xfId="13334" xr:uid="{69BF6080-CC55-4D75-BF35-00CEF5AA444D}"/>
    <cellStyle name="Normal 9 3 11" xfId="9116" xr:uid="{BA5B47CD-9FBE-447F-97C9-1191DABC6242}"/>
    <cellStyle name="Normal 9 3 2" xfId="528" xr:uid="{00000000-0005-0000-0000-0000AA1F0000}"/>
    <cellStyle name="Normal 9 3 2 10" xfId="9117" xr:uid="{C60A5BFE-496E-4796-A30B-632493790B5E}"/>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2 2 2" xfId="15895" xr:uid="{85CC5F87-FCF5-4DF8-8A11-AF7009899BF3}"/>
    <cellStyle name="Normal 9 3 2 2 2 2 2 3" xfId="11677" xr:uid="{48A482C3-FD2B-4FEE-B83B-35C579856D5F}"/>
    <cellStyle name="Normal 9 3 2 2 2 2 3" xfId="5308" xr:uid="{00000000-0005-0000-0000-0000B01F0000}"/>
    <cellStyle name="Normal 9 3 2 2 2 2 3 2" xfId="13750" xr:uid="{187CD35A-7D63-4A19-823D-AA9E023698EB}"/>
    <cellStyle name="Normal 9 3 2 2 2 2 4" xfId="9532" xr:uid="{F081D894-D249-474E-AB4C-FC9914ABE7D4}"/>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2 2 2" xfId="16308" xr:uid="{F7A290F5-1F77-4B3A-BF9D-101B49176508}"/>
    <cellStyle name="Normal 9 3 2 2 2 3 2 3" xfId="12090" xr:uid="{F51AC3B7-C2C8-4181-97BB-50F6A358EA93}"/>
    <cellStyle name="Normal 9 3 2 2 2 3 3" xfId="5721" xr:uid="{00000000-0005-0000-0000-0000B41F0000}"/>
    <cellStyle name="Normal 9 3 2 2 2 3 3 2" xfId="14163" xr:uid="{4A6DAB6F-325B-45F1-9478-291E23A02FE2}"/>
    <cellStyle name="Normal 9 3 2 2 2 3 4" xfId="9945" xr:uid="{AC96F074-9542-4706-B472-E6BB537D9E18}"/>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2 2 2" xfId="16721" xr:uid="{1AAAE2AD-8019-423D-BB43-3105F7F6CC68}"/>
    <cellStyle name="Normal 9 3 2 2 2 4 2 3" xfId="12503" xr:uid="{017CE58A-B29F-4C5B-BA74-D7933CCBC891}"/>
    <cellStyle name="Normal 9 3 2 2 2 4 3" xfId="6134" xr:uid="{00000000-0005-0000-0000-0000B81F0000}"/>
    <cellStyle name="Normal 9 3 2 2 2 4 3 2" xfId="14576" xr:uid="{B94C0840-6CB0-4C4B-A627-1BF55CB30603}"/>
    <cellStyle name="Normal 9 3 2 2 2 4 4" xfId="10358" xr:uid="{B937104D-745A-418B-AC65-A5E656E0A699}"/>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2 2 2" xfId="17134" xr:uid="{A8463815-CA16-4353-AA01-8CF7C5E5AD47}"/>
    <cellStyle name="Normal 9 3 2 2 2 5 2 3" xfId="12916" xr:uid="{9DBAE9C8-C6F7-4B9F-B058-4649C569DE2A}"/>
    <cellStyle name="Normal 9 3 2 2 2 5 3" xfId="6547" xr:uid="{00000000-0005-0000-0000-0000BC1F0000}"/>
    <cellStyle name="Normal 9 3 2 2 2 5 3 2" xfId="14989" xr:uid="{D835A42D-96CE-40B5-907D-44D842291594}"/>
    <cellStyle name="Normal 9 3 2 2 2 5 4" xfId="10771" xr:uid="{515021BC-D575-4CEE-B2E2-F1670DCF9787}"/>
    <cellStyle name="Normal 9 3 2 2 2 6" xfId="2676" xr:uid="{00000000-0005-0000-0000-0000BD1F0000}"/>
    <cellStyle name="Normal 9 3 2 2 2 6 2" xfId="6960" xr:uid="{00000000-0005-0000-0000-0000BE1F0000}"/>
    <cellStyle name="Normal 9 3 2 2 2 6 2 2" xfId="15402" xr:uid="{390A40E4-E363-4150-A4A0-649B1E4DB52B}"/>
    <cellStyle name="Normal 9 3 2 2 2 6 3" xfId="11184" xr:uid="{B652FDBC-04CF-4349-960A-5754C37A2D31}"/>
    <cellStyle name="Normal 9 3 2 2 2 7" xfId="4895" xr:uid="{00000000-0005-0000-0000-0000BF1F0000}"/>
    <cellStyle name="Normal 9 3 2 2 2 7 2" xfId="13337" xr:uid="{955934C5-DB8D-46E0-ACF2-55CBECE10815}"/>
    <cellStyle name="Normal 9 3 2 2 2 8" xfId="9119" xr:uid="{CC3A322C-25AA-4E90-9810-9B29A33F6344}"/>
    <cellStyle name="Normal 9 3 2 2 3" xfId="996" xr:uid="{00000000-0005-0000-0000-0000C01F0000}"/>
    <cellStyle name="Normal 9 3 2 2 3 2" xfId="3229" xr:uid="{00000000-0005-0000-0000-0000C11F0000}"/>
    <cellStyle name="Normal 9 3 2 2 3 2 2" xfId="7452" xr:uid="{00000000-0005-0000-0000-0000C21F0000}"/>
    <cellStyle name="Normal 9 3 2 2 3 2 2 2" xfId="15894" xr:uid="{300E349F-CBB1-40B8-80F7-CA2BA10A75BD}"/>
    <cellStyle name="Normal 9 3 2 2 3 2 3" xfId="11676" xr:uid="{F997A804-A280-4FA0-BA4C-6D9F7713FD1F}"/>
    <cellStyle name="Normal 9 3 2 2 3 3" xfId="5307" xr:uid="{00000000-0005-0000-0000-0000C31F0000}"/>
    <cellStyle name="Normal 9 3 2 2 3 3 2" xfId="13749" xr:uid="{2199E6D7-8804-4F32-A1A2-79B3162FA2EF}"/>
    <cellStyle name="Normal 9 3 2 2 3 4" xfId="9531" xr:uid="{28EC30E1-A4E8-4806-B315-65C0979A26D6}"/>
    <cellStyle name="Normal 9 3 2 2 4" xfId="1412" xr:uid="{00000000-0005-0000-0000-0000C41F0000}"/>
    <cellStyle name="Normal 9 3 2 2 4 2" xfId="3642" xr:uid="{00000000-0005-0000-0000-0000C51F0000}"/>
    <cellStyle name="Normal 9 3 2 2 4 2 2" xfId="7865" xr:uid="{00000000-0005-0000-0000-0000C61F0000}"/>
    <cellStyle name="Normal 9 3 2 2 4 2 2 2" xfId="16307" xr:uid="{3ECBA7BB-B45B-412D-A964-8F6FCE6A0ED5}"/>
    <cellStyle name="Normal 9 3 2 2 4 2 3" xfId="12089" xr:uid="{EC015337-1AAF-4779-80D0-E34B80D3A48F}"/>
    <cellStyle name="Normal 9 3 2 2 4 3" xfId="5720" xr:uid="{00000000-0005-0000-0000-0000C71F0000}"/>
    <cellStyle name="Normal 9 3 2 2 4 3 2" xfId="14162" xr:uid="{71089EDC-3AD6-41DF-A3E9-E4FEB33FC0D1}"/>
    <cellStyle name="Normal 9 3 2 2 4 4" xfId="9944" xr:uid="{766042F1-3AB3-4AAB-95E9-43C0FDB39CDA}"/>
    <cellStyle name="Normal 9 3 2 2 5" xfId="1825" xr:uid="{00000000-0005-0000-0000-0000C81F0000}"/>
    <cellStyle name="Normal 9 3 2 2 5 2" xfId="4055" xr:uid="{00000000-0005-0000-0000-0000C91F0000}"/>
    <cellStyle name="Normal 9 3 2 2 5 2 2" xfId="8278" xr:uid="{00000000-0005-0000-0000-0000CA1F0000}"/>
    <cellStyle name="Normal 9 3 2 2 5 2 2 2" xfId="16720" xr:uid="{F559AE4F-DDB7-4929-ACEB-3B97B595F61F}"/>
    <cellStyle name="Normal 9 3 2 2 5 2 3" xfId="12502" xr:uid="{0FE69A4A-78EA-4CB2-8773-82173CE2FDBF}"/>
    <cellStyle name="Normal 9 3 2 2 5 3" xfId="6133" xr:uid="{00000000-0005-0000-0000-0000CB1F0000}"/>
    <cellStyle name="Normal 9 3 2 2 5 3 2" xfId="14575" xr:uid="{40556EE4-1E1B-43D7-886F-FC0FF3B2AA06}"/>
    <cellStyle name="Normal 9 3 2 2 5 4" xfId="10357" xr:uid="{0B600200-BE4B-45FD-ABE3-E5EE0CEDC88A}"/>
    <cellStyle name="Normal 9 3 2 2 6" xfId="2239" xr:uid="{00000000-0005-0000-0000-0000CC1F0000}"/>
    <cellStyle name="Normal 9 3 2 2 6 2" xfId="4468" xr:uid="{00000000-0005-0000-0000-0000CD1F0000}"/>
    <cellStyle name="Normal 9 3 2 2 6 2 2" xfId="8691" xr:uid="{00000000-0005-0000-0000-0000CE1F0000}"/>
    <cellStyle name="Normal 9 3 2 2 6 2 2 2" xfId="17133" xr:uid="{A1BB626F-269A-421D-8105-8D672FF53C5B}"/>
    <cellStyle name="Normal 9 3 2 2 6 2 3" xfId="12915" xr:uid="{EB7A766B-F628-4133-B281-9D7A2BEB0FC3}"/>
    <cellStyle name="Normal 9 3 2 2 6 3" xfId="6546" xr:uid="{00000000-0005-0000-0000-0000CF1F0000}"/>
    <cellStyle name="Normal 9 3 2 2 6 3 2" xfId="14988" xr:uid="{A5645941-9CC5-4C4A-A1DB-937DD8B8A9FD}"/>
    <cellStyle name="Normal 9 3 2 2 6 4" xfId="10770" xr:uid="{C5941C3A-9F86-4490-AB2C-1AE1653FF828}"/>
    <cellStyle name="Normal 9 3 2 2 7" xfId="2675" xr:uid="{00000000-0005-0000-0000-0000D01F0000}"/>
    <cellStyle name="Normal 9 3 2 2 7 2" xfId="6959" xr:uid="{00000000-0005-0000-0000-0000D11F0000}"/>
    <cellStyle name="Normal 9 3 2 2 7 2 2" xfId="15401" xr:uid="{D4DC3307-4EF3-43AE-A7C2-E314B13328A0}"/>
    <cellStyle name="Normal 9 3 2 2 7 3" xfId="11183" xr:uid="{92C5B03D-842E-4C8E-8845-3189038A794E}"/>
    <cellStyle name="Normal 9 3 2 2 8" xfId="4894" xr:uid="{00000000-0005-0000-0000-0000D21F0000}"/>
    <cellStyle name="Normal 9 3 2 2 8 2" xfId="13336" xr:uid="{1EC70A31-F84A-4D82-AF31-CCA2441B66D4}"/>
    <cellStyle name="Normal 9 3 2 2 9" xfId="9118" xr:uid="{4FDFEECC-A874-4089-B073-63B04C0FC51D}"/>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2 2 2" xfId="15896" xr:uid="{AE9328FF-C874-490D-8A3C-B3BA39C46421}"/>
    <cellStyle name="Normal 9 3 2 3 2 2 3" xfId="11678" xr:uid="{6F4F25C4-7F10-4A5B-BF0B-3A36713EC581}"/>
    <cellStyle name="Normal 9 3 2 3 2 3" xfId="5309" xr:uid="{00000000-0005-0000-0000-0000D71F0000}"/>
    <cellStyle name="Normal 9 3 2 3 2 3 2" xfId="13751" xr:uid="{DC312EB6-0F9E-4CBF-A9E5-ADC7D92EBEBC}"/>
    <cellStyle name="Normal 9 3 2 3 2 4" xfId="9533" xr:uid="{DD965C6B-83B0-41E0-977B-F8B793D256AD}"/>
    <cellStyle name="Normal 9 3 2 3 3" xfId="1414" xr:uid="{00000000-0005-0000-0000-0000D81F0000}"/>
    <cellStyle name="Normal 9 3 2 3 3 2" xfId="3644" xr:uid="{00000000-0005-0000-0000-0000D91F0000}"/>
    <cellStyle name="Normal 9 3 2 3 3 2 2" xfId="7867" xr:uid="{00000000-0005-0000-0000-0000DA1F0000}"/>
    <cellStyle name="Normal 9 3 2 3 3 2 2 2" xfId="16309" xr:uid="{9AB83700-FB2A-4995-AD4C-AC6087DAA019}"/>
    <cellStyle name="Normal 9 3 2 3 3 2 3" xfId="12091" xr:uid="{77634921-D19D-4549-A3A1-B2A6482F7A26}"/>
    <cellStyle name="Normal 9 3 2 3 3 3" xfId="5722" xr:uid="{00000000-0005-0000-0000-0000DB1F0000}"/>
    <cellStyle name="Normal 9 3 2 3 3 3 2" xfId="14164" xr:uid="{DDFFD725-0188-45B4-B99B-4399530F19AC}"/>
    <cellStyle name="Normal 9 3 2 3 3 4" xfId="9946" xr:uid="{8B13BC83-A51A-4681-B077-2DE89CE1B37D}"/>
    <cellStyle name="Normal 9 3 2 3 4" xfId="1827" xr:uid="{00000000-0005-0000-0000-0000DC1F0000}"/>
    <cellStyle name="Normal 9 3 2 3 4 2" xfId="4057" xr:uid="{00000000-0005-0000-0000-0000DD1F0000}"/>
    <cellStyle name="Normal 9 3 2 3 4 2 2" xfId="8280" xr:uid="{00000000-0005-0000-0000-0000DE1F0000}"/>
    <cellStyle name="Normal 9 3 2 3 4 2 2 2" xfId="16722" xr:uid="{584EE311-89F9-45E6-8AA7-82F70ADE8F19}"/>
    <cellStyle name="Normal 9 3 2 3 4 2 3" xfId="12504" xr:uid="{5F8DFF79-8323-4496-A7FE-D7ED37AE6556}"/>
    <cellStyle name="Normal 9 3 2 3 4 3" xfId="6135" xr:uid="{00000000-0005-0000-0000-0000DF1F0000}"/>
    <cellStyle name="Normal 9 3 2 3 4 3 2" xfId="14577" xr:uid="{0F52E1D7-E6F9-4F07-B5AD-63C38DEBC00C}"/>
    <cellStyle name="Normal 9 3 2 3 4 4" xfId="10359" xr:uid="{80383017-EDBD-42CE-8182-3C32F0ABF445}"/>
    <cellStyle name="Normal 9 3 2 3 5" xfId="2241" xr:uid="{00000000-0005-0000-0000-0000E01F0000}"/>
    <cellStyle name="Normal 9 3 2 3 5 2" xfId="4470" xr:uid="{00000000-0005-0000-0000-0000E11F0000}"/>
    <cellStyle name="Normal 9 3 2 3 5 2 2" xfId="8693" xr:uid="{00000000-0005-0000-0000-0000E21F0000}"/>
    <cellStyle name="Normal 9 3 2 3 5 2 2 2" xfId="17135" xr:uid="{46476FCD-6FC6-4A6A-BB6A-657B2A286D4C}"/>
    <cellStyle name="Normal 9 3 2 3 5 2 3" xfId="12917" xr:uid="{D1E9C384-68AF-41E1-A307-AC24759AC784}"/>
    <cellStyle name="Normal 9 3 2 3 5 3" xfId="6548" xr:uid="{00000000-0005-0000-0000-0000E31F0000}"/>
    <cellStyle name="Normal 9 3 2 3 5 3 2" xfId="14990" xr:uid="{74E1C8E8-EB62-49D1-9684-2D0452CA2476}"/>
    <cellStyle name="Normal 9 3 2 3 5 4" xfId="10772" xr:uid="{B521A98B-664F-45CB-8CC0-C976E7508BFD}"/>
    <cellStyle name="Normal 9 3 2 3 6" xfId="2677" xr:uid="{00000000-0005-0000-0000-0000E41F0000}"/>
    <cellStyle name="Normal 9 3 2 3 6 2" xfId="6961" xr:uid="{00000000-0005-0000-0000-0000E51F0000}"/>
    <cellStyle name="Normal 9 3 2 3 6 2 2" xfId="15403" xr:uid="{AB47E617-188E-421C-903C-21DC366F5DFE}"/>
    <cellStyle name="Normal 9 3 2 3 6 3" xfId="11185" xr:uid="{D8506984-3719-4BDA-B381-F34B8CC351D7}"/>
    <cellStyle name="Normal 9 3 2 3 7" xfId="4896" xr:uid="{00000000-0005-0000-0000-0000E61F0000}"/>
    <cellStyle name="Normal 9 3 2 3 7 2" xfId="13338" xr:uid="{3DC62D2D-7EB2-4AA5-BE90-5E591682642B}"/>
    <cellStyle name="Normal 9 3 2 3 8" xfId="9120" xr:uid="{EB9A2C59-4804-48E7-8D1B-3BA799854F03}"/>
    <cellStyle name="Normal 9 3 2 4" xfId="995" xr:uid="{00000000-0005-0000-0000-0000E71F0000}"/>
    <cellStyle name="Normal 9 3 2 4 2" xfId="3228" xr:uid="{00000000-0005-0000-0000-0000E81F0000}"/>
    <cellStyle name="Normal 9 3 2 4 2 2" xfId="7451" xr:uid="{00000000-0005-0000-0000-0000E91F0000}"/>
    <cellStyle name="Normal 9 3 2 4 2 2 2" xfId="15893" xr:uid="{6377283C-4436-408F-B060-C48612FA7137}"/>
    <cellStyle name="Normal 9 3 2 4 2 3" xfId="11675" xr:uid="{8E0DA839-1F12-499E-8B82-05F981950B63}"/>
    <cellStyle name="Normal 9 3 2 4 3" xfId="5306" xr:uid="{00000000-0005-0000-0000-0000EA1F0000}"/>
    <cellStyle name="Normal 9 3 2 4 3 2" xfId="13748" xr:uid="{299F4F39-49E7-4DC8-88F2-E96AD5DEDB95}"/>
    <cellStyle name="Normal 9 3 2 4 4" xfId="9530" xr:uid="{227F5F7B-4936-4B97-92CA-A99EBDF9DC3C}"/>
    <cellStyle name="Normal 9 3 2 5" xfId="1411" xr:uid="{00000000-0005-0000-0000-0000EB1F0000}"/>
    <cellStyle name="Normal 9 3 2 5 2" xfId="3641" xr:uid="{00000000-0005-0000-0000-0000EC1F0000}"/>
    <cellStyle name="Normal 9 3 2 5 2 2" xfId="7864" xr:uid="{00000000-0005-0000-0000-0000ED1F0000}"/>
    <cellStyle name="Normal 9 3 2 5 2 2 2" xfId="16306" xr:uid="{09E51C7E-B166-42D1-8414-7BDA60A12B83}"/>
    <cellStyle name="Normal 9 3 2 5 2 3" xfId="12088" xr:uid="{1E871735-1741-445F-A117-8D3C3E3CAC50}"/>
    <cellStyle name="Normal 9 3 2 5 3" xfId="5719" xr:uid="{00000000-0005-0000-0000-0000EE1F0000}"/>
    <cellStyle name="Normal 9 3 2 5 3 2" xfId="14161" xr:uid="{E7A7636A-69FF-48A2-8EC1-32357320C3B8}"/>
    <cellStyle name="Normal 9 3 2 5 4" xfId="9943" xr:uid="{B612E8E2-1EFC-4DB6-AB9A-4857E8D3530E}"/>
    <cellStyle name="Normal 9 3 2 6" xfId="1824" xr:uid="{00000000-0005-0000-0000-0000EF1F0000}"/>
    <cellStyle name="Normal 9 3 2 6 2" xfId="4054" xr:uid="{00000000-0005-0000-0000-0000F01F0000}"/>
    <cellStyle name="Normal 9 3 2 6 2 2" xfId="8277" xr:uid="{00000000-0005-0000-0000-0000F11F0000}"/>
    <cellStyle name="Normal 9 3 2 6 2 2 2" xfId="16719" xr:uid="{D4EB32AB-BA3E-43DA-9D87-A7FEC1BAF97B}"/>
    <cellStyle name="Normal 9 3 2 6 2 3" xfId="12501" xr:uid="{2086C45F-3FC8-4D31-807A-CEFA462CDBA4}"/>
    <cellStyle name="Normal 9 3 2 6 3" xfId="6132" xr:uid="{00000000-0005-0000-0000-0000F21F0000}"/>
    <cellStyle name="Normal 9 3 2 6 3 2" xfId="14574" xr:uid="{B239058B-0F97-47C3-AAC4-F63FCDD9518E}"/>
    <cellStyle name="Normal 9 3 2 6 4" xfId="10356" xr:uid="{2F2BC748-3C51-4155-86D1-45F24714D39D}"/>
    <cellStyle name="Normal 9 3 2 7" xfId="2238" xr:uid="{00000000-0005-0000-0000-0000F31F0000}"/>
    <cellStyle name="Normal 9 3 2 7 2" xfId="4467" xr:uid="{00000000-0005-0000-0000-0000F41F0000}"/>
    <cellStyle name="Normal 9 3 2 7 2 2" xfId="8690" xr:uid="{00000000-0005-0000-0000-0000F51F0000}"/>
    <cellStyle name="Normal 9 3 2 7 2 2 2" xfId="17132" xr:uid="{865AF7B2-C614-47CC-8E80-F7FD07D18B80}"/>
    <cellStyle name="Normal 9 3 2 7 2 3" xfId="12914" xr:uid="{897D067F-2A82-49C9-B0AB-9D82F8C3E2F0}"/>
    <cellStyle name="Normal 9 3 2 7 3" xfId="6545" xr:uid="{00000000-0005-0000-0000-0000F61F0000}"/>
    <cellStyle name="Normal 9 3 2 7 3 2" xfId="14987" xr:uid="{2BB9784D-E475-4210-A5EE-23AD4030E0DE}"/>
    <cellStyle name="Normal 9 3 2 7 4" xfId="10769" xr:uid="{0754044D-6002-40FA-B2E0-FBB53FC2BF23}"/>
    <cellStyle name="Normal 9 3 2 8" xfId="2674" xr:uid="{00000000-0005-0000-0000-0000F71F0000}"/>
    <cellStyle name="Normal 9 3 2 8 2" xfId="6958" xr:uid="{00000000-0005-0000-0000-0000F81F0000}"/>
    <cellStyle name="Normal 9 3 2 8 2 2" xfId="15400" xr:uid="{B0A48407-41CB-41AA-AB04-36D1458FA347}"/>
    <cellStyle name="Normal 9 3 2 8 3" xfId="11182" xr:uid="{C85B0422-B87D-4F1C-8629-B80F5B91D5BC}"/>
    <cellStyle name="Normal 9 3 2 9" xfId="4893" xr:uid="{00000000-0005-0000-0000-0000F91F0000}"/>
    <cellStyle name="Normal 9 3 2 9 2" xfId="13335" xr:uid="{813BF7E6-DA31-4C19-9BEA-23B1A1A7FEFF}"/>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2 2 2" xfId="15898" xr:uid="{F7830752-4CFC-46D3-BB01-3461CB18C965}"/>
    <cellStyle name="Normal 9 3 3 2 2 2 3" xfId="11680" xr:uid="{621FFCF2-FFFD-4386-96B9-F8902C2C8585}"/>
    <cellStyle name="Normal 9 3 3 2 2 3" xfId="5311" xr:uid="{00000000-0005-0000-0000-0000FF1F0000}"/>
    <cellStyle name="Normal 9 3 3 2 2 3 2" xfId="13753" xr:uid="{46C8CE81-5FD5-48CA-A3EF-83D599F43CFB}"/>
    <cellStyle name="Normal 9 3 3 2 2 4" xfId="9535" xr:uid="{148EC8B4-00BD-4473-9866-05A23C8A60AE}"/>
    <cellStyle name="Normal 9 3 3 2 3" xfId="1416" xr:uid="{00000000-0005-0000-0000-000000200000}"/>
    <cellStyle name="Normal 9 3 3 2 3 2" xfId="3646" xr:uid="{00000000-0005-0000-0000-000001200000}"/>
    <cellStyle name="Normal 9 3 3 2 3 2 2" xfId="7869" xr:uid="{00000000-0005-0000-0000-000002200000}"/>
    <cellStyle name="Normal 9 3 3 2 3 2 2 2" xfId="16311" xr:uid="{90DFADCF-BAF5-43C2-A39C-B6D08AAD9969}"/>
    <cellStyle name="Normal 9 3 3 2 3 2 3" xfId="12093" xr:uid="{18BCCA90-3A20-4DB9-8426-6B7C0260F328}"/>
    <cellStyle name="Normal 9 3 3 2 3 3" xfId="5724" xr:uid="{00000000-0005-0000-0000-000003200000}"/>
    <cellStyle name="Normal 9 3 3 2 3 3 2" xfId="14166" xr:uid="{69878921-F426-44DC-A675-F42CA1A777AD}"/>
    <cellStyle name="Normal 9 3 3 2 3 4" xfId="9948" xr:uid="{485F9290-B649-4CD5-B7B4-A43596C67BBD}"/>
    <cellStyle name="Normal 9 3 3 2 4" xfId="1829" xr:uid="{00000000-0005-0000-0000-000004200000}"/>
    <cellStyle name="Normal 9 3 3 2 4 2" xfId="4059" xr:uid="{00000000-0005-0000-0000-000005200000}"/>
    <cellStyle name="Normal 9 3 3 2 4 2 2" xfId="8282" xr:uid="{00000000-0005-0000-0000-000006200000}"/>
    <cellStyle name="Normal 9 3 3 2 4 2 2 2" xfId="16724" xr:uid="{BD37DD26-7432-49DC-BFA9-80059C5943CF}"/>
    <cellStyle name="Normal 9 3 3 2 4 2 3" xfId="12506" xr:uid="{280F8DE5-58C8-4F35-A0CE-7B60D2FB40DF}"/>
    <cellStyle name="Normal 9 3 3 2 4 3" xfId="6137" xr:uid="{00000000-0005-0000-0000-000007200000}"/>
    <cellStyle name="Normal 9 3 3 2 4 3 2" xfId="14579" xr:uid="{BBEF2D84-16FA-441D-A850-47A19E02AB41}"/>
    <cellStyle name="Normal 9 3 3 2 4 4" xfId="10361" xr:uid="{B953B70B-1539-4DCF-B7BD-3CABD5AB75FA}"/>
    <cellStyle name="Normal 9 3 3 2 5" xfId="2243" xr:uid="{00000000-0005-0000-0000-000008200000}"/>
    <cellStyle name="Normal 9 3 3 2 5 2" xfId="4472" xr:uid="{00000000-0005-0000-0000-000009200000}"/>
    <cellStyle name="Normal 9 3 3 2 5 2 2" xfId="8695" xr:uid="{00000000-0005-0000-0000-00000A200000}"/>
    <cellStyle name="Normal 9 3 3 2 5 2 2 2" xfId="17137" xr:uid="{7789CA14-3376-41A1-87BF-258184F66F12}"/>
    <cellStyle name="Normal 9 3 3 2 5 2 3" xfId="12919" xr:uid="{BD7F9E34-9545-4F0D-9AEE-73CD1F54D488}"/>
    <cellStyle name="Normal 9 3 3 2 5 3" xfId="6550" xr:uid="{00000000-0005-0000-0000-00000B200000}"/>
    <cellStyle name="Normal 9 3 3 2 5 3 2" xfId="14992" xr:uid="{BB26B08D-F592-4B59-9C23-A2F3AE69A187}"/>
    <cellStyle name="Normal 9 3 3 2 5 4" xfId="10774" xr:uid="{110F4AF9-F3D7-4F77-AC76-51F86E03D095}"/>
    <cellStyle name="Normal 9 3 3 2 6" xfId="2679" xr:uid="{00000000-0005-0000-0000-00000C200000}"/>
    <cellStyle name="Normal 9 3 3 2 6 2" xfId="6963" xr:uid="{00000000-0005-0000-0000-00000D200000}"/>
    <cellStyle name="Normal 9 3 3 2 6 2 2" xfId="15405" xr:uid="{C574EDCD-FFBB-45D7-8756-7EDCAB0475D4}"/>
    <cellStyle name="Normal 9 3 3 2 6 3" xfId="11187" xr:uid="{77530AA1-AA8D-4978-80B4-04666DFD3322}"/>
    <cellStyle name="Normal 9 3 3 2 7" xfId="4898" xr:uid="{00000000-0005-0000-0000-00000E200000}"/>
    <cellStyle name="Normal 9 3 3 2 7 2" xfId="13340" xr:uid="{7544981A-D42A-4C32-95FE-6912EB8C82D9}"/>
    <cellStyle name="Normal 9 3 3 2 8" xfId="9122" xr:uid="{0826C857-5515-4F57-8269-B68EB3430374}"/>
    <cellStyle name="Normal 9 3 3 3" xfId="999" xr:uid="{00000000-0005-0000-0000-00000F200000}"/>
    <cellStyle name="Normal 9 3 3 3 2" xfId="3232" xr:uid="{00000000-0005-0000-0000-000010200000}"/>
    <cellStyle name="Normal 9 3 3 3 2 2" xfId="7455" xr:uid="{00000000-0005-0000-0000-000011200000}"/>
    <cellStyle name="Normal 9 3 3 3 2 2 2" xfId="15897" xr:uid="{FAB0A944-0D00-4679-A12F-7C0CDC6FE71A}"/>
    <cellStyle name="Normal 9 3 3 3 2 3" xfId="11679" xr:uid="{DAC96D98-01FE-416A-8D55-944405639AB4}"/>
    <cellStyle name="Normal 9 3 3 3 3" xfId="5310" xr:uid="{00000000-0005-0000-0000-000012200000}"/>
    <cellStyle name="Normal 9 3 3 3 3 2" xfId="13752" xr:uid="{E009C0AE-5D6B-474F-AC2B-1CD7906A52EE}"/>
    <cellStyle name="Normal 9 3 3 3 4" xfId="9534" xr:uid="{6044DE52-F0DA-4A90-9876-85F8970096EA}"/>
    <cellStyle name="Normal 9 3 3 4" xfId="1415" xr:uid="{00000000-0005-0000-0000-000013200000}"/>
    <cellStyle name="Normal 9 3 3 4 2" xfId="3645" xr:uid="{00000000-0005-0000-0000-000014200000}"/>
    <cellStyle name="Normal 9 3 3 4 2 2" xfId="7868" xr:uid="{00000000-0005-0000-0000-000015200000}"/>
    <cellStyle name="Normal 9 3 3 4 2 2 2" xfId="16310" xr:uid="{4441131A-338C-400F-BD09-0E7332BC57FF}"/>
    <cellStyle name="Normal 9 3 3 4 2 3" xfId="12092" xr:uid="{81364C83-F6A6-4F9D-BB9E-A24AC3B1B486}"/>
    <cellStyle name="Normal 9 3 3 4 3" xfId="5723" xr:uid="{00000000-0005-0000-0000-000016200000}"/>
    <cellStyle name="Normal 9 3 3 4 3 2" xfId="14165" xr:uid="{1E2A30F5-C02A-4C06-8E9B-5885C2598295}"/>
    <cellStyle name="Normal 9 3 3 4 4" xfId="9947" xr:uid="{DB4E988C-8099-4182-BCD5-1591661E70AF}"/>
    <cellStyle name="Normal 9 3 3 5" xfId="1828" xr:uid="{00000000-0005-0000-0000-000017200000}"/>
    <cellStyle name="Normal 9 3 3 5 2" xfId="4058" xr:uid="{00000000-0005-0000-0000-000018200000}"/>
    <cellStyle name="Normal 9 3 3 5 2 2" xfId="8281" xr:uid="{00000000-0005-0000-0000-000019200000}"/>
    <cellStyle name="Normal 9 3 3 5 2 2 2" xfId="16723" xr:uid="{A25E7244-1E56-4E73-BDA5-2C1534773E7E}"/>
    <cellStyle name="Normal 9 3 3 5 2 3" xfId="12505" xr:uid="{873A7FB8-3B8C-4FF3-BD19-79C9F6324C05}"/>
    <cellStyle name="Normal 9 3 3 5 3" xfId="6136" xr:uid="{00000000-0005-0000-0000-00001A200000}"/>
    <cellStyle name="Normal 9 3 3 5 3 2" xfId="14578" xr:uid="{4BBA88A2-76DB-4573-876C-A5D414C8BF98}"/>
    <cellStyle name="Normal 9 3 3 5 4" xfId="10360" xr:uid="{AA8A2446-95FD-45AB-9837-7FA0B53265F6}"/>
    <cellStyle name="Normal 9 3 3 6" xfId="2242" xr:uid="{00000000-0005-0000-0000-00001B200000}"/>
    <cellStyle name="Normal 9 3 3 6 2" xfId="4471" xr:uid="{00000000-0005-0000-0000-00001C200000}"/>
    <cellStyle name="Normal 9 3 3 6 2 2" xfId="8694" xr:uid="{00000000-0005-0000-0000-00001D200000}"/>
    <cellStyle name="Normal 9 3 3 6 2 2 2" xfId="17136" xr:uid="{F54EC552-1C1A-4452-BA63-C149957DD07B}"/>
    <cellStyle name="Normal 9 3 3 6 2 3" xfId="12918" xr:uid="{8997D8F2-4CE2-4EDF-98EF-5D133D294B70}"/>
    <cellStyle name="Normal 9 3 3 6 3" xfId="6549" xr:uid="{00000000-0005-0000-0000-00001E200000}"/>
    <cellStyle name="Normal 9 3 3 6 3 2" xfId="14991" xr:uid="{98B64E28-5EC7-4AE8-BD4F-1AFCD6B4EE6B}"/>
    <cellStyle name="Normal 9 3 3 6 4" xfId="10773" xr:uid="{9ABB794A-79EE-4339-92B3-37E0162F2097}"/>
    <cellStyle name="Normal 9 3 3 7" xfId="2678" xr:uid="{00000000-0005-0000-0000-00001F200000}"/>
    <cellStyle name="Normal 9 3 3 7 2" xfId="6962" xr:uid="{00000000-0005-0000-0000-000020200000}"/>
    <cellStyle name="Normal 9 3 3 7 2 2" xfId="15404" xr:uid="{B3BAD21B-8B5D-4E23-80D9-44E6C0EB61CF}"/>
    <cellStyle name="Normal 9 3 3 7 3" xfId="11186" xr:uid="{95B53002-F60F-4971-8B0C-27A48007C52D}"/>
    <cellStyle name="Normal 9 3 3 8" xfId="4897" xr:uid="{00000000-0005-0000-0000-000021200000}"/>
    <cellStyle name="Normal 9 3 3 8 2" xfId="13339" xr:uid="{CDC50111-6B8A-4443-9E6F-F6BFF164D351}"/>
    <cellStyle name="Normal 9 3 3 9" xfId="9121" xr:uid="{A83ACD8C-02E8-4D12-990B-D9B4CB999083}"/>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2 2 2" xfId="15899" xr:uid="{491AF4FC-3E45-40CA-9D09-CD7D483C0B9F}"/>
    <cellStyle name="Normal 9 3 4 2 2 3" xfId="11681" xr:uid="{337D9BBD-F5A5-4AF2-BD2E-7AD0FCCAD0AD}"/>
    <cellStyle name="Normal 9 3 4 2 3" xfId="5312" xr:uid="{00000000-0005-0000-0000-000026200000}"/>
    <cellStyle name="Normal 9 3 4 2 3 2" xfId="13754" xr:uid="{4F1DC8A0-F8EF-4B72-9AB9-FCF675758D1B}"/>
    <cellStyle name="Normal 9 3 4 2 4" xfId="9536" xr:uid="{7900A973-6993-4554-9CF5-3CBABFE7E1BB}"/>
    <cellStyle name="Normal 9 3 4 3" xfId="1417" xr:uid="{00000000-0005-0000-0000-000027200000}"/>
    <cellStyle name="Normal 9 3 4 3 2" xfId="3647" xr:uid="{00000000-0005-0000-0000-000028200000}"/>
    <cellStyle name="Normal 9 3 4 3 2 2" xfId="7870" xr:uid="{00000000-0005-0000-0000-000029200000}"/>
    <cellStyle name="Normal 9 3 4 3 2 2 2" xfId="16312" xr:uid="{0EBEB804-EBDC-4448-B226-4A1AFB1C603B}"/>
    <cellStyle name="Normal 9 3 4 3 2 3" xfId="12094" xr:uid="{7F7A11D2-C3E3-4EEC-A064-D9377C711007}"/>
    <cellStyle name="Normal 9 3 4 3 3" xfId="5725" xr:uid="{00000000-0005-0000-0000-00002A200000}"/>
    <cellStyle name="Normal 9 3 4 3 3 2" xfId="14167" xr:uid="{94B047F4-7DF1-4AE1-8C01-96AFE9A2E642}"/>
    <cellStyle name="Normal 9 3 4 3 4" xfId="9949" xr:uid="{F570D1D3-043B-478F-9CA2-21EB2C2331EC}"/>
    <cellStyle name="Normal 9 3 4 4" xfId="1830" xr:uid="{00000000-0005-0000-0000-00002B200000}"/>
    <cellStyle name="Normal 9 3 4 4 2" xfId="4060" xr:uid="{00000000-0005-0000-0000-00002C200000}"/>
    <cellStyle name="Normal 9 3 4 4 2 2" xfId="8283" xr:uid="{00000000-0005-0000-0000-00002D200000}"/>
    <cellStyle name="Normal 9 3 4 4 2 2 2" xfId="16725" xr:uid="{19AF5577-20F6-4E7D-A6F8-5AB37D50EBD6}"/>
    <cellStyle name="Normal 9 3 4 4 2 3" xfId="12507" xr:uid="{782850B5-CB3F-4387-A5FF-D9348A1727F5}"/>
    <cellStyle name="Normal 9 3 4 4 3" xfId="6138" xr:uid="{00000000-0005-0000-0000-00002E200000}"/>
    <cellStyle name="Normal 9 3 4 4 3 2" xfId="14580" xr:uid="{3A5AF119-F912-4893-A885-5E0F1440DA7F}"/>
    <cellStyle name="Normal 9 3 4 4 4" xfId="10362" xr:uid="{D8BE25DA-D435-449E-A35F-5115F781DA0A}"/>
    <cellStyle name="Normal 9 3 4 5" xfId="2244" xr:uid="{00000000-0005-0000-0000-00002F200000}"/>
    <cellStyle name="Normal 9 3 4 5 2" xfId="4473" xr:uid="{00000000-0005-0000-0000-000030200000}"/>
    <cellStyle name="Normal 9 3 4 5 2 2" xfId="8696" xr:uid="{00000000-0005-0000-0000-000031200000}"/>
    <cellStyle name="Normal 9 3 4 5 2 2 2" xfId="17138" xr:uid="{B6CA1C51-1620-41AC-B9A1-95F2E76A5647}"/>
    <cellStyle name="Normal 9 3 4 5 2 3" xfId="12920" xr:uid="{D0D862DB-C220-471E-A4F7-4D74D59FDDFE}"/>
    <cellStyle name="Normal 9 3 4 5 3" xfId="6551" xr:uid="{00000000-0005-0000-0000-000032200000}"/>
    <cellStyle name="Normal 9 3 4 5 3 2" xfId="14993" xr:uid="{0FD7A3F1-B426-4DDA-92EA-653DAB26DBDC}"/>
    <cellStyle name="Normal 9 3 4 5 4" xfId="10775" xr:uid="{768CE39D-24A5-40F1-9497-32E8E5990222}"/>
    <cellStyle name="Normal 9 3 4 6" xfId="2680" xr:uid="{00000000-0005-0000-0000-000033200000}"/>
    <cellStyle name="Normal 9 3 4 6 2" xfId="6964" xr:uid="{00000000-0005-0000-0000-000034200000}"/>
    <cellStyle name="Normal 9 3 4 6 2 2" xfId="15406" xr:uid="{EFCBD14C-E72A-4F61-A5AE-784DA9B9E880}"/>
    <cellStyle name="Normal 9 3 4 6 3" xfId="11188" xr:uid="{DD2257BB-AD85-46C4-8C0D-5C4F49DDFF8F}"/>
    <cellStyle name="Normal 9 3 4 7" xfId="4899" xr:uid="{00000000-0005-0000-0000-000035200000}"/>
    <cellStyle name="Normal 9 3 4 7 2" xfId="13341" xr:uid="{91D621EA-24E5-42A7-A78A-B8233959FAB2}"/>
    <cellStyle name="Normal 9 3 4 8" xfId="9123" xr:uid="{0213A049-51B4-498F-BFAC-EFFB90F118F3}"/>
    <cellStyle name="Normal 9 3 5" xfId="994" xr:uid="{00000000-0005-0000-0000-000036200000}"/>
    <cellStyle name="Normal 9 3 5 2" xfId="3227" xr:uid="{00000000-0005-0000-0000-000037200000}"/>
    <cellStyle name="Normal 9 3 5 2 2" xfId="7450" xr:uid="{00000000-0005-0000-0000-000038200000}"/>
    <cellStyle name="Normal 9 3 5 2 2 2" xfId="15892" xr:uid="{A652601D-7A26-41C9-96E4-5549B4F0F058}"/>
    <cellStyle name="Normal 9 3 5 2 3" xfId="11674" xr:uid="{AA8CCBBC-688A-424C-8CC5-DBC56D0699CF}"/>
    <cellStyle name="Normal 9 3 5 3" xfId="5305" xr:uid="{00000000-0005-0000-0000-000039200000}"/>
    <cellStyle name="Normal 9 3 5 3 2" xfId="13747" xr:uid="{4AB4149D-FD91-4DBD-82FC-DE206F834BDA}"/>
    <cellStyle name="Normal 9 3 5 4" xfId="9529" xr:uid="{46D02AAA-47E2-402C-B37F-39214C1E7532}"/>
    <cellStyle name="Normal 9 3 6" xfId="1410" xr:uid="{00000000-0005-0000-0000-00003A200000}"/>
    <cellStyle name="Normal 9 3 6 2" xfId="3640" xr:uid="{00000000-0005-0000-0000-00003B200000}"/>
    <cellStyle name="Normal 9 3 6 2 2" xfId="7863" xr:uid="{00000000-0005-0000-0000-00003C200000}"/>
    <cellStyle name="Normal 9 3 6 2 2 2" xfId="16305" xr:uid="{E7CFCB5C-F2ED-4718-BDA9-6C05C65DE665}"/>
    <cellStyle name="Normal 9 3 6 2 3" xfId="12087" xr:uid="{F98E67CD-0690-41C7-AE9A-92C6E54EEF4C}"/>
    <cellStyle name="Normal 9 3 6 3" xfId="5718" xr:uid="{00000000-0005-0000-0000-00003D200000}"/>
    <cellStyle name="Normal 9 3 6 3 2" xfId="14160" xr:uid="{D837774F-D946-4429-B839-6528C01D2982}"/>
    <cellStyle name="Normal 9 3 6 4" xfId="9942" xr:uid="{1434431C-7726-4D71-AC62-133835C39AE4}"/>
    <cellStyle name="Normal 9 3 7" xfId="1823" xr:uid="{00000000-0005-0000-0000-00003E200000}"/>
    <cellStyle name="Normal 9 3 7 2" xfId="4053" xr:uid="{00000000-0005-0000-0000-00003F200000}"/>
    <cellStyle name="Normal 9 3 7 2 2" xfId="8276" xr:uid="{00000000-0005-0000-0000-000040200000}"/>
    <cellStyle name="Normal 9 3 7 2 2 2" xfId="16718" xr:uid="{FF62E45C-DDDC-466B-961B-B4EED5EC7D3A}"/>
    <cellStyle name="Normal 9 3 7 2 3" xfId="12500" xr:uid="{3935629D-1820-45FB-A8A1-48EC1DBB439B}"/>
    <cellStyle name="Normal 9 3 7 3" xfId="6131" xr:uid="{00000000-0005-0000-0000-000041200000}"/>
    <cellStyle name="Normal 9 3 7 3 2" xfId="14573" xr:uid="{122FE434-5272-4831-91C1-0CC611B50FD6}"/>
    <cellStyle name="Normal 9 3 7 4" xfId="10355" xr:uid="{0AF7A923-FD38-447C-A285-791786CDBAD9}"/>
    <cellStyle name="Normal 9 3 8" xfId="2237" xr:uid="{00000000-0005-0000-0000-000042200000}"/>
    <cellStyle name="Normal 9 3 8 2" xfId="4466" xr:uid="{00000000-0005-0000-0000-000043200000}"/>
    <cellStyle name="Normal 9 3 8 2 2" xfId="8689" xr:uid="{00000000-0005-0000-0000-000044200000}"/>
    <cellStyle name="Normal 9 3 8 2 2 2" xfId="17131" xr:uid="{74737E7D-2DCF-4323-9128-64BE5B254AC4}"/>
    <cellStyle name="Normal 9 3 8 2 3" xfId="12913" xr:uid="{53F85158-1A57-44FF-A8AB-0E6E7C72BE1D}"/>
    <cellStyle name="Normal 9 3 8 3" xfId="6544" xr:uid="{00000000-0005-0000-0000-000045200000}"/>
    <cellStyle name="Normal 9 3 8 3 2" xfId="14986" xr:uid="{1499D156-545F-4078-9690-C21A4C2450E4}"/>
    <cellStyle name="Normal 9 3 8 4" xfId="10768" xr:uid="{AA5CB50E-7511-4137-8FF3-E9160E21A42A}"/>
    <cellStyle name="Normal 9 3 9" xfId="2673" xr:uid="{00000000-0005-0000-0000-000046200000}"/>
    <cellStyle name="Normal 9 3 9 2" xfId="6957" xr:uid="{00000000-0005-0000-0000-000047200000}"/>
    <cellStyle name="Normal 9 3 9 2 2" xfId="15399" xr:uid="{103105E0-00B2-4E7E-AEDD-B1D17567D6D2}"/>
    <cellStyle name="Normal 9 3 9 3" xfId="11181" xr:uid="{B4D4021B-251B-46F2-8FCA-8988BB4DFA35}"/>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2 2 2" xfId="15901" xr:uid="{E6FB713B-8039-4006-9C0A-16B79D59C43C}"/>
    <cellStyle name="Normal 9 5 2 2 2 3" xfId="11683" xr:uid="{56DE2809-2239-4F12-BB18-D0A0BE94E5A8}"/>
    <cellStyle name="Normal 9 5 2 2 3" xfId="5314" xr:uid="{00000000-0005-0000-0000-00004F200000}"/>
    <cellStyle name="Normal 9 5 2 2 3 2" xfId="13756" xr:uid="{E8AC56CA-F55F-4291-9F89-617639949225}"/>
    <cellStyle name="Normal 9 5 2 2 4" xfId="9538" xr:uid="{CCD6CDFF-16CE-44AB-8C3B-8F887A7472BF}"/>
    <cellStyle name="Normal 9 5 2 3" xfId="1419" xr:uid="{00000000-0005-0000-0000-000050200000}"/>
    <cellStyle name="Normal 9 5 2 3 2" xfId="3649" xr:uid="{00000000-0005-0000-0000-000051200000}"/>
    <cellStyle name="Normal 9 5 2 3 2 2" xfId="7872" xr:uid="{00000000-0005-0000-0000-000052200000}"/>
    <cellStyle name="Normal 9 5 2 3 2 2 2" xfId="16314" xr:uid="{FF6FF6A7-E8AA-41D9-B0D4-1CB2C7B0BA1C}"/>
    <cellStyle name="Normal 9 5 2 3 2 3" xfId="12096" xr:uid="{629017A5-1681-46B9-A261-BBEA2A521BB4}"/>
    <cellStyle name="Normal 9 5 2 3 3" xfId="5727" xr:uid="{00000000-0005-0000-0000-000053200000}"/>
    <cellStyle name="Normal 9 5 2 3 3 2" xfId="14169" xr:uid="{9B095371-B9E3-4A15-B7E0-5808E64BD69E}"/>
    <cellStyle name="Normal 9 5 2 3 4" xfId="9951" xr:uid="{AB513B56-DD03-4D9D-9468-079A82BA088E}"/>
    <cellStyle name="Normal 9 5 2 4" xfId="1832" xr:uid="{00000000-0005-0000-0000-000054200000}"/>
    <cellStyle name="Normal 9 5 2 4 2" xfId="4062" xr:uid="{00000000-0005-0000-0000-000055200000}"/>
    <cellStyle name="Normal 9 5 2 4 2 2" xfId="8285" xr:uid="{00000000-0005-0000-0000-000056200000}"/>
    <cellStyle name="Normal 9 5 2 4 2 2 2" xfId="16727" xr:uid="{E44A5167-C18A-4E39-856A-FCDB172062BB}"/>
    <cellStyle name="Normal 9 5 2 4 2 3" xfId="12509" xr:uid="{DA6D4E7E-A61E-4BB2-8C0A-557010DE6B68}"/>
    <cellStyle name="Normal 9 5 2 4 3" xfId="6140" xr:uid="{00000000-0005-0000-0000-000057200000}"/>
    <cellStyle name="Normal 9 5 2 4 3 2" xfId="14582" xr:uid="{E3E7BC2B-C171-4E82-AECC-3A1B8AABF7F8}"/>
    <cellStyle name="Normal 9 5 2 4 4" xfId="10364" xr:uid="{7144A175-0E86-447F-A90B-6D65ACFCE4EA}"/>
    <cellStyle name="Normal 9 5 2 5" xfId="2246" xr:uid="{00000000-0005-0000-0000-000058200000}"/>
    <cellStyle name="Normal 9 5 2 5 2" xfId="4475" xr:uid="{00000000-0005-0000-0000-000059200000}"/>
    <cellStyle name="Normal 9 5 2 5 2 2" xfId="8698" xr:uid="{00000000-0005-0000-0000-00005A200000}"/>
    <cellStyle name="Normal 9 5 2 5 2 2 2" xfId="17140" xr:uid="{BF0D827F-DD98-4074-BF83-3DF6ABAC5DA0}"/>
    <cellStyle name="Normal 9 5 2 5 2 3" xfId="12922" xr:uid="{47B30718-F552-4A4D-A232-073B7620C65C}"/>
    <cellStyle name="Normal 9 5 2 5 3" xfId="6553" xr:uid="{00000000-0005-0000-0000-00005B200000}"/>
    <cellStyle name="Normal 9 5 2 5 3 2" xfId="14995" xr:uid="{BDB6A84A-D1C6-4138-BF24-84FE65B09449}"/>
    <cellStyle name="Normal 9 5 2 5 4" xfId="10777" xr:uid="{4D2FB3F9-5F56-424D-B1B1-B44BBB7223A6}"/>
    <cellStyle name="Normal 9 5 2 6" xfId="2682" xr:uid="{00000000-0005-0000-0000-00005C200000}"/>
    <cellStyle name="Normal 9 5 2 6 2" xfId="6966" xr:uid="{00000000-0005-0000-0000-00005D200000}"/>
    <cellStyle name="Normal 9 5 2 6 2 2" xfId="15408" xr:uid="{E088A0E9-7BAB-4236-894C-48108FD1D0E4}"/>
    <cellStyle name="Normal 9 5 2 6 3" xfId="11190" xr:uid="{C0123D13-4CF1-4423-AB9F-BAED6EC3A94E}"/>
    <cellStyle name="Normal 9 5 2 7" xfId="4901" xr:uid="{00000000-0005-0000-0000-00005E200000}"/>
    <cellStyle name="Normal 9 5 2 7 2" xfId="13343" xr:uid="{3F3C127F-C03F-47D9-B3F6-D74C60658D2B}"/>
    <cellStyle name="Normal 9 5 2 8" xfId="9125" xr:uid="{CB2BFE5C-EEF0-4C3D-ADD8-E0EE65BE3632}"/>
    <cellStyle name="Normal 9 5 3" xfId="1003" xr:uid="{00000000-0005-0000-0000-00005F200000}"/>
    <cellStyle name="Normal 9 5 3 2" xfId="3235" xr:uid="{00000000-0005-0000-0000-000060200000}"/>
    <cellStyle name="Normal 9 5 3 2 2" xfId="7458" xr:uid="{00000000-0005-0000-0000-000061200000}"/>
    <cellStyle name="Normal 9 5 3 2 2 2" xfId="15900" xr:uid="{92D0338C-DC87-42F1-8605-B6E8BDFA7920}"/>
    <cellStyle name="Normal 9 5 3 2 3" xfId="11682" xr:uid="{75E89226-6898-4A1A-A246-FA2358575F50}"/>
    <cellStyle name="Normal 9 5 3 3" xfId="5313" xr:uid="{00000000-0005-0000-0000-000062200000}"/>
    <cellStyle name="Normal 9 5 3 3 2" xfId="13755" xr:uid="{D1C53FA5-3F26-4ADF-8C4C-56930523CA7E}"/>
    <cellStyle name="Normal 9 5 3 4" xfId="9537" xr:uid="{D22BC287-2106-4C04-A397-9DFB61A0D8AB}"/>
    <cellStyle name="Normal 9 5 4" xfId="1418" xr:uid="{00000000-0005-0000-0000-000063200000}"/>
    <cellStyle name="Normal 9 5 4 2" xfId="3648" xr:uid="{00000000-0005-0000-0000-000064200000}"/>
    <cellStyle name="Normal 9 5 4 2 2" xfId="7871" xr:uid="{00000000-0005-0000-0000-000065200000}"/>
    <cellStyle name="Normal 9 5 4 2 2 2" xfId="16313" xr:uid="{6F9F19CB-6A6B-4F3C-A42E-8F7B58A6E7FA}"/>
    <cellStyle name="Normal 9 5 4 2 3" xfId="12095" xr:uid="{0E5C65EE-A748-4A7C-BD97-2EB5C6FD753F}"/>
    <cellStyle name="Normal 9 5 4 3" xfId="5726" xr:uid="{00000000-0005-0000-0000-000066200000}"/>
    <cellStyle name="Normal 9 5 4 3 2" xfId="14168" xr:uid="{75CDA6F7-D87F-4531-93E1-90A039600EFC}"/>
    <cellStyle name="Normal 9 5 4 4" xfId="9950" xr:uid="{7E0B256B-D407-4333-8BBC-135DD54D198C}"/>
    <cellStyle name="Normal 9 5 5" xfId="1831" xr:uid="{00000000-0005-0000-0000-000067200000}"/>
    <cellStyle name="Normal 9 5 5 2" xfId="4061" xr:uid="{00000000-0005-0000-0000-000068200000}"/>
    <cellStyle name="Normal 9 5 5 2 2" xfId="8284" xr:uid="{00000000-0005-0000-0000-000069200000}"/>
    <cellStyle name="Normal 9 5 5 2 2 2" xfId="16726" xr:uid="{2F9D7449-9680-4152-9DE4-92DFE6DECF20}"/>
    <cellStyle name="Normal 9 5 5 2 3" xfId="12508" xr:uid="{D6AED118-A3F9-4128-BE82-E3563837D691}"/>
    <cellStyle name="Normal 9 5 5 3" xfId="6139" xr:uid="{00000000-0005-0000-0000-00006A200000}"/>
    <cellStyle name="Normal 9 5 5 3 2" xfId="14581" xr:uid="{DD377D19-882B-4065-82D0-9E029CDF429E}"/>
    <cellStyle name="Normal 9 5 5 4" xfId="10363" xr:uid="{0B9F8A12-4031-4F54-B7C6-F29574269764}"/>
    <cellStyle name="Normal 9 5 6" xfId="2245" xr:uid="{00000000-0005-0000-0000-00006B200000}"/>
    <cellStyle name="Normal 9 5 6 2" xfId="4474" xr:uid="{00000000-0005-0000-0000-00006C200000}"/>
    <cellStyle name="Normal 9 5 6 2 2" xfId="8697" xr:uid="{00000000-0005-0000-0000-00006D200000}"/>
    <cellStyle name="Normal 9 5 6 2 2 2" xfId="17139" xr:uid="{7BD0545B-3DBC-46A7-B0BB-10B6C3E02335}"/>
    <cellStyle name="Normal 9 5 6 2 3" xfId="12921" xr:uid="{ED451ACB-AD9E-4FF5-85D7-9E0F0A9C07CB}"/>
    <cellStyle name="Normal 9 5 6 3" xfId="6552" xr:uid="{00000000-0005-0000-0000-00006E200000}"/>
    <cellStyle name="Normal 9 5 6 3 2" xfId="14994" xr:uid="{A2200E96-D334-4E93-BBED-324BF941C56E}"/>
    <cellStyle name="Normal 9 5 6 4" xfId="10776" xr:uid="{30BD6E91-3AAF-4BC2-8054-0EA5AB9B2F86}"/>
    <cellStyle name="Normal 9 5 7" xfId="2681" xr:uid="{00000000-0005-0000-0000-00006F200000}"/>
    <cellStyle name="Normal 9 5 7 2" xfId="6965" xr:uid="{00000000-0005-0000-0000-000070200000}"/>
    <cellStyle name="Normal 9 5 7 2 2" xfId="15407" xr:uid="{E57DC5AF-623F-4924-B8E5-3B8418BAE8F1}"/>
    <cellStyle name="Normal 9 5 7 3" xfId="11189" xr:uid="{0CCCF3AD-F442-4F27-8B1D-56740DE0982E}"/>
    <cellStyle name="Normal 9 5 8" xfId="4900" xr:uid="{00000000-0005-0000-0000-000071200000}"/>
    <cellStyle name="Normal 9 5 8 2" xfId="13342" xr:uid="{E5F700DE-795D-44F9-807D-310127E46C98}"/>
    <cellStyle name="Normal 9 5 9" xfId="9124" xr:uid="{B913EE4F-EEA1-4D5D-BF59-7CE2F7E1BACD}"/>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2 2 2" xfId="15902" xr:uid="{80B44DA3-5A6F-4F0D-875E-87177B9C003D}"/>
    <cellStyle name="Normal 9 6 2 2 3" xfId="11684" xr:uid="{79B19290-DB20-449A-AAC8-7DB06BFE71A0}"/>
    <cellStyle name="Normal 9 6 2 3" xfId="5315" xr:uid="{00000000-0005-0000-0000-000076200000}"/>
    <cellStyle name="Normal 9 6 2 3 2" xfId="13757" xr:uid="{5222AE31-1E18-4354-B67C-23814E8A2958}"/>
    <cellStyle name="Normal 9 6 2 4" xfId="9539" xr:uid="{B10DF795-A709-4B37-8F5B-07B0784EBD30}"/>
    <cellStyle name="Normal 9 6 3" xfId="1420" xr:uid="{00000000-0005-0000-0000-000077200000}"/>
    <cellStyle name="Normal 9 6 3 2" xfId="3650" xr:uid="{00000000-0005-0000-0000-000078200000}"/>
    <cellStyle name="Normal 9 6 3 2 2" xfId="7873" xr:uid="{00000000-0005-0000-0000-000079200000}"/>
    <cellStyle name="Normal 9 6 3 2 2 2" xfId="16315" xr:uid="{36538E46-48F6-4F50-BC38-E6450F1056D4}"/>
    <cellStyle name="Normal 9 6 3 2 3" xfId="12097" xr:uid="{30489570-B0C1-4D31-809C-A06842EB446A}"/>
    <cellStyle name="Normal 9 6 3 3" xfId="5728" xr:uid="{00000000-0005-0000-0000-00007A200000}"/>
    <cellStyle name="Normal 9 6 3 3 2" xfId="14170" xr:uid="{9B7191C7-2394-4EC6-8C3F-6E7B7E6B1AC2}"/>
    <cellStyle name="Normal 9 6 3 4" xfId="9952" xr:uid="{986A0BC2-B8C4-431A-B879-A7F4D81BEDEE}"/>
    <cellStyle name="Normal 9 6 4" xfId="1833" xr:uid="{00000000-0005-0000-0000-00007B200000}"/>
    <cellStyle name="Normal 9 6 4 2" xfId="4063" xr:uid="{00000000-0005-0000-0000-00007C200000}"/>
    <cellStyle name="Normal 9 6 4 2 2" xfId="8286" xr:uid="{00000000-0005-0000-0000-00007D200000}"/>
    <cellStyle name="Normal 9 6 4 2 2 2" xfId="16728" xr:uid="{7C515CF3-2E84-4994-8798-972085CE1EA1}"/>
    <cellStyle name="Normal 9 6 4 2 3" xfId="12510" xr:uid="{D9B6128D-33AE-4F80-84EE-A776A32D9AC0}"/>
    <cellStyle name="Normal 9 6 4 3" xfId="6141" xr:uid="{00000000-0005-0000-0000-00007E200000}"/>
    <cellStyle name="Normal 9 6 4 3 2" xfId="14583" xr:uid="{87169FD5-F840-4AFF-B01A-294F150F06FE}"/>
    <cellStyle name="Normal 9 6 4 4" xfId="10365" xr:uid="{109886DC-58DA-4418-9848-8ECA0805125B}"/>
    <cellStyle name="Normal 9 6 5" xfId="2247" xr:uid="{00000000-0005-0000-0000-00007F200000}"/>
    <cellStyle name="Normal 9 6 5 2" xfId="4476" xr:uid="{00000000-0005-0000-0000-000080200000}"/>
    <cellStyle name="Normal 9 6 5 2 2" xfId="8699" xr:uid="{00000000-0005-0000-0000-000081200000}"/>
    <cellStyle name="Normal 9 6 5 2 2 2" xfId="17141" xr:uid="{2867F127-7BCD-4375-8448-ACB5477FD66E}"/>
    <cellStyle name="Normal 9 6 5 2 3" xfId="12923" xr:uid="{9E39DB43-18BE-4143-A90E-91E005BE9E15}"/>
    <cellStyle name="Normal 9 6 5 3" xfId="6554" xr:uid="{00000000-0005-0000-0000-000082200000}"/>
    <cellStyle name="Normal 9 6 5 3 2" xfId="14996" xr:uid="{BE24E5DA-1814-49CF-8490-E73F2006E357}"/>
    <cellStyle name="Normal 9 6 5 4" xfId="10778" xr:uid="{62E3236B-BCB9-4A7A-BE35-CFB19219FFBE}"/>
    <cellStyle name="Normal 9 6 6" xfId="2683" xr:uid="{00000000-0005-0000-0000-000083200000}"/>
    <cellStyle name="Normal 9 6 6 2" xfId="6967" xr:uid="{00000000-0005-0000-0000-000084200000}"/>
    <cellStyle name="Normal 9 6 6 2 2" xfId="15409" xr:uid="{B2247A92-B32D-4C30-A003-90834A9BAECD}"/>
    <cellStyle name="Normal 9 6 6 3" xfId="11191" xr:uid="{0E8FB1EA-CCD6-4782-A401-CE527C619139}"/>
    <cellStyle name="Normal 9 6 7" xfId="4902" xr:uid="{00000000-0005-0000-0000-000085200000}"/>
    <cellStyle name="Normal 9 6 7 2" xfId="13344" xr:uid="{695C39A3-D653-43A6-B382-1EB78ADF00AA}"/>
    <cellStyle name="Normal 9 6 8" xfId="9126" xr:uid="{6F65293C-4E33-4845-B5AB-30C94DAAC73A}"/>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0 2 2" xfId="15490" xr:uid="{005F560E-D580-40C6-A2F7-1C8E2BEDDB55}"/>
    <cellStyle name="Note 2 2 10 3" xfId="11272" xr:uid="{B835DB6F-C0E0-4801-8A8E-B1B101A76831}"/>
    <cellStyle name="Note 2 2 11" xfId="4903" xr:uid="{00000000-0005-0000-0000-000094200000}"/>
    <cellStyle name="Note 2 2 11 2" xfId="13345" xr:uid="{B83642CD-7404-46D7-AC6D-2C30BE58C1E9}"/>
    <cellStyle name="Note 2 2 12" xfId="9127" xr:uid="{D96C0FCB-B971-4513-8C2C-3F3CF709A4F5}"/>
    <cellStyle name="Note 2 2 2" xfId="546" xr:uid="{00000000-0005-0000-0000-000095200000}"/>
    <cellStyle name="Note 2 2 2 10" xfId="4904" xr:uid="{00000000-0005-0000-0000-000096200000}"/>
    <cellStyle name="Note 2 2 2 10 2" xfId="13346" xr:uid="{E5D679EE-36D5-4185-B646-ABFE7CFD5AE1}"/>
    <cellStyle name="Note 2 2 2 11" xfId="9128" xr:uid="{A95D1B23-F068-4FDB-A32A-9A6C731C3A7D}"/>
    <cellStyle name="Note 2 2 2 2" xfId="547" xr:uid="{00000000-0005-0000-0000-000097200000}"/>
    <cellStyle name="Note 2 2 2 2 10" xfId="9129" xr:uid="{ACE9598D-1000-418C-8C4E-F414A766F332}"/>
    <cellStyle name="Note 2 2 2 2 2" xfId="1008" xr:uid="{00000000-0005-0000-0000-000098200000}"/>
    <cellStyle name="Note 2 2 2 2 2 2" xfId="3240" xr:uid="{00000000-0005-0000-0000-000099200000}"/>
    <cellStyle name="Note 2 2 2 2 2 2 2" xfId="7463" xr:uid="{00000000-0005-0000-0000-00009A200000}"/>
    <cellStyle name="Note 2 2 2 2 2 2 2 2" xfId="15905" xr:uid="{1C53E8C2-A044-4B6E-AA07-C490F943130A}"/>
    <cellStyle name="Note 2 2 2 2 2 2 3" xfId="11687" xr:uid="{FA90A258-F206-4FBB-9752-37287528FECB}"/>
    <cellStyle name="Note 2 2 2 2 2 3" xfId="5318" xr:uid="{00000000-0005-0000-0000-00009B200000}"/>
    <cellStyle name="Note 2 2 2 2 2 3 2" xfId="13760" xr:uid="{FC7E79FA-E994-4AC1-8010-0A13ADC1832A}"/>
    <cellStyle name="Note 2 2 2 2 2 4" xfId="9542" xr:uid="{BE7260BF-2A98-4FE0-BE31-C02E6D113282}"/>
    <cellStyle name="Note 2 2 2 2 3" xfId="1423" xr:uid="{00000000-0005-0000-0000-00009C200000}"/>
    <cellStyle name="Note 2 2 2 2 3 2" xfId="3653" xr:uid="{00000000-0005-0000-0000-00009D200000}"/>
    <cellStyle name="Note 2 2 2 2 3 2 2" xfId="7876" xr:uid="{00000000-0005-0000-0000-00009E200000}"/>
    <cellStyle name="Note 2 2 2 2 3 2 2 2" xfId="16318" xr:uid="{6ECCABFB-6F5E-404A-B153-3001A028E763}"/>
    <cellStyle name="Note 2 2 2 2 3 2 3" xfId="12100" xr:uid="{E50F5670-C74B-4C40-A9D7-C8BD5F22ADA4}"/>
    <cellStyle name="Note 2 2 2 2 3 3" xfId="5731" xr:uid="{00000000-0005-0000-0000-00009F200000}"/>
    <cellStyle name="Note 2 2 2 2 3 3 2" xfId="14173" xr:uid="{88CF2B9E-CCDB-4FF2-A02A-021D13DCBA0B}"/>
    <cellStyle name="Note 2 2 2 2 3 4" xfId="9955" xr:uid="{A506AED4-6F25-4E49-80C7-4EEFB6FF526A}"/>
    <cellStyle name="Note 2 2 2 2 4" xfId="1837" xr:uid="{00000000-0005-0000-0000-0000A0200000}"/>
    <cellStyle name="Note 2 2 2 2 4 2" xfId="4066" xr:uid="{00000000-0005-0000-0000-0000A1200000}"/>
    <cellStyle name="Note 2 2 2 2 4 2 2" xfId="8289" xr:uid="{00000000-0005-0000-0000-0000A2200000}"/>
    <cellStyle name="Note 2 2 2 2 4 2 2 2" xfId="16731" xr:uid="{A260B692-D789-4AAD-B1DC-10BDB3F9081D}"/>
    <cellStyle name="Note 2 2 2 2 4 2 3" xfId="12513" xr:uid="{F5BDBD4F-9238-4080-9019-E064C58D24C5}"/>
    <cellStyle name="Note 2 2 2 2 4 3" xfId="6144" xr:uid="{00000000-0005-0000-0000-0000A3200000}"/>
    <cellStyle name="Note 2 2 2 2 4 3 2" xfId="14586" xr:uid="{77210A98-0BB9-4A8E-8D80-FE8B82C4C138}"/>
    <cellStyle name="Note 2 2 2 2 4 4" xfId="10368" xr:uid="{B57A8AD1-A497-4B2E-BB87-BDF9C6AC2E17}"/>
    <cellStyle name="Note 2 2 2 2 5" xfId="2250" xr:uid="{00000000-0005-0000-0000-0000A4200000}"/>
    <cellStyle name="Note 2 2 2 2 5 2" xfId="4479" xr:uid="{00000000-0005-0000-0000-0000A5200000}"/>
    <cellStyle name="Note 2 2 2 2 5 2 2" xfId="8702" xr:uid="{00000000-0005-0000-0000-0000A6200000}"/>
    <cellStyle name="Note 2 2 2 2 5 2 2 2" xfId="17144" xr:uid="{3BEBAF2D-6EDF-446F-92B8-3EC34363A1E7}"/>
    <cellStyle name="Note 2 2 2 2 5 2 3" xfId="12926" xr:uid="{A73975C8-030E-49EC-AB03-B9A227F0196D}"/>
    <cellStyle name="Note 2 2 2 2 5 3" xfId="6557" xr:uid="{00000000-0005-0000-0000-0000A7200000}"/>
    <cellStyle name="Note 2 2 2 2 5 3 2" xfId="14999" xr:uid="{AC2D3BB9-A1ED-4211-A7EA-3042317C6209}"/>
    <cellStyle name="Note 2 2 2 2 5 4" xfId="10781" xr:uid="{A5778552-EF2F-437C-BADC-D30E5436A0E7}"/>
    <cellStyle name="Note 2 2 2 2 6" xfId="2686" xr:uid="{00000000-0005-0000-0000-0000A8200000}"/>
    <cellStyle name="Note 2 2 2 2 6 2" xfId="6970" xr:uid="{00000000-0005-0000-0000-0000A9200000}"/>
    <cellStyle name="Note 2 2 2 2 6 2 2" xfId="15412" xr:uid="{D209B006-8D14-4FC7-9F0D-240B8E76C98A}"/>
    <cellStyle name="Note 2 2 2 2 6 3" xfId="11194" xr:uid="{138A8DF5-4703-4B2D-881B-EF77CE77DC12}"/>
    <cellStyle name="Note 2 2 2 2 7" xfId="2745" xr:uid="{00000000-0005-0000-0000-0000AA200000}"/>
    <cellStyle name="Note 2 2 2 2 8" xfId="2826" xr:uid="{00000000-0005-0000-0000-0000AB200000}"/>
    <cellStyle name="Note 2 2 2 2 8 2" xfId="7050" xr:uid="{00000000-0005-0000-0000-0000AC200000}"/>
    <cellStyle name="Note 2 2 2 2 8 2 2" xfId="15492" xr:uid="{C0213B3B-F3AF-4309-95FE-4621C1AD267C}"/>
    <cellStyle name="Note 2 2 2 2 8 3" xfId="11274" xr:uid="{81EC72CB-4549-431A-BEDC-0CE049E4E85B}"/>
    <cellStyle name="Note 2 2 2 2 9" xfId="4905" xr:uid="{00000000-0005-0000-0000-0000AD200000}"/>
    <cellStyle name="Note 2 2 2 2 9 2" xfId="13347" xr:uid="{299B43A5-276C-46F2-ABCE-4DF5959921BF}"/>
    <cellStyle name="Note 2 2 2 3" xfId="1007" xr:uid="{00000000-0005-0000-0000-0000AE200000}"/>
    <cellStyle name="Note 2 2 2 3 2" xfId="3239" xr:uid="{00000000-0005-0000-0000-0000AF200000}"/>
    <cellStyle name="Note 2 2 2 3 2 2" xfId="7462" xr:uid="{00000000-0005-0000-0000-0000B0200000}"/>
    <cellStyle name="Note 2 2 2 3 2 2 2" xfId="15904" xr:uid="{9D55BDF4-61BD-41FC-AC86-D627B50CCE7B}"/>
    <cellStyle name="Note 2 2 2 3 2 3" xfId="11686" xr:uid="{4A92BC66-A363-43A8-A200-8FDBE997D460}"/>
    <cellStyle name="Note 2 2 2 3 3" xfId="5317" xr:uid="{00000000-0005-0000-0000-0000B1200000}"/>
    <cellStyle name="Note 2 2 2 3 3 2" xfId="13759" xr:uid="{BFA2C50B-7D9B-4310-95FD-6BFE8C124AF8}"/>
    <cellStyle name="Note 2 2 2 3 4" xfId="9541" xr:uid="{E2E120E3-81F7-4F04-A86F-E96025FBA302}"/>
    <cellStyle name="Note 2 2 2 4" xfId="1422" xr:uid="{00000000-0005-0000-0000-0000B2200000}"/>
    <cellStyle name="Note 2 2 2 4 2" xfId="3652" xr:uid="{00000000-0005-0000-0000-0000B3200000}"/>
    <cellStyle name="Note 2 2 2 4 2 2" xfId="7875" xr:uid="{00000000-0005-0000-0000-0000B4200000}"/>
    <cellStyle name="Note 2 2 2 4 2 2 2" xfId="16317" xr:uid="{DFF213A5-F4A2-48A0-8706-EBF86803EE27}"/>
    <cellStyle name="Note 2 2 2 4 2 3" xfId="12099" xr:uid="{9705DBFB-F098-46F7-BD8C-79B07BA989C8}"/>
    <cellStyle name="Note 2 2 2 4 3" xfId="5730" xr:uid="{00000000-0005-0000-0000-0000B5200000}"/>
    <cellStyle name="Note 2 2 2 4 3 2" xfId="14172" xr:uid="{B86B859C-ADE2-454A-936C-EADB2BB13773}"/>
    <cellStyle name="Note 2 2 2 4 4" xfId="9954" xr:uid="{70BF0766-7A1F-4312-847B-0B9574918586}"/>
    <cellStyle name="Note 2 2 2 5" xfId="1836" xr:uid="{00000000-0005-0000-0000-0000B6200000}"/>
    <cellStyle name="Note 2 2 2 5 2" xfId="4065" xr:uid="{00000000-0005-0000-0000-0000B7200000}"/>
    <cellStyle name="Note 2 2 2 5 2 2" xfId="8288" xr:uid="{00000000-0005-0000-0000-0000B8200000}"/>
    <cellStyle name="Note 2 2 2 5 2 2 2" xfId="16730" xr:uid="{62C774CD-4AA8-47CE-A8C5-7EBC72E5B699}"/>
    <cellStyle name="Note 2 2 2 5 2 3" xfId="12512" xr:uid="{23102A65-FFDD-488A-BA35-07084CB388A8}"/>
    <cellStyle name="Note 2 2 2 5 3" xfId="6143" xr:uid="{00000000-0005-0000-0000-0000B9200000}"/>
    <cellStyle name="Note 2 2 2 5 3 2" xfId="14585" xr:uid="{8F6EDDDA-0603-461C-B7EE-2FD0BCE68905}"/>
    <cellStyle name="Note 2 2 2 5 4" xfId="10367" xr:uid="{A7277BF4-924E-4C83-831D-43B403711E0D}"/>
    <cellStyle name="Note 2 2 2 6" xfId="2249" xr:uid="{00000000-0005-0000-0000-0000BA200000}"/>
    <cellStyle name="Note 2 2 2 6 2" xfId="4478" xr:uid="{00000000-0005-0000-0000-0000BB200000}"/>
    <cellStyle name="Note 2 2 2 6 2 2" xfId="8701" xr:uid="{00000000-0005-0000-0000-0000BC200000}"/>
    <cellStyle name="Note 2 2 2 6 2 2 2" xfId="17143" xr:uid="{BCE688A9-6644-4FBD-832C-591CFFB02688}"/>
    <cellStyle name="Note 2 2 2 6 2 3" xfId="12925" xr:uid="{E1992066-7653-4C29-991E-EE4F6C315C85}"/>
    <cellStyle name="Note 2 2 2 6 3" xfId="6556" xr:uid="{00000000-0005-0000-0000-0000BD200000}"/>
    <cellStyle name="Note 2 2 2 6 3 2" xfId="14998" xr:uid="{6ADD3B17-2DA7-40DC-829B-05075390F87F}"/>
    <cellStyle name="Note 2 2 2 6 4" xfId="10780" xr:uid="{DD5B3178-C5F0-4B87-8D9E-548CE7393BFB}"/>
    <cellStyle name="Note 2 2 2 7" xfId="2685" xr:uid="{00000000-0005-0000-0000-0000BE200000}"/>
    <cellStyle name="Note 2 2 2 7 2" xfId="6969" xr:uid="{00000000-0005-0000-0000-0000BF200000}"/>
    <cellStyle name="Note 2 2 2 7 2 2" xfId="15411" xr:uid="{0082C9A4-7A9B-490B-AF0B-0D4AD0673C4D}"/>
    <cellStyle name="Note 2 2 2 7 3" xfId="11193" xr:uid="{27B53D1B-6F1D-4A79-9B95-E3C42FAD4593}"/>
    <cellStyle name="Note 2 2 2 8" xfId="2744" xr:uid="{00000000-0005-0000-0000-0000C0200000}"/>
    <cellStyle name="Note 2 2 2 9" xfId="2825" xr:uid="{00000000-0005-0000-0000-0000C1200000}"/>
    <cellStyle name="Note 2 2 2 9 2" xfId="7049" xr:uid="{00000000-0005-0000-0000-0000C2200000}"/>
    <cellStyle name="Note 2 2 2 9 2 2" xfId="15491" xr:uid="{F2351285-F834-440E-BF72-6EC656CA9FA9}"/>
    <cellStyle name="Note 2 2 2 9 3" xfId="11273" xr:uid="{412822A4-C44F-4B6E-9B5A-5ECFA021D9F6}"/>
    <cellStyle name="Note 2 2 3" xfId="548" xr:uid="{00000000-0005-0000-0000-0000C3200000}"/>
    <cellStyle name="Note 2 2 3 10" xfId="9130" xr:uid="{0FBC7246-C844-4A3D-BD40-A14BA0CFFBFF}"/>
    <cellStyle name="Note 2 2 3 2" xfId="1009" xr:uid="{00000000-0005-0000-0000-0000C4200000}"/>
    <cellStyle name="Note 2 2 3 2 2" xfId="3241" xr:uid="{00000000-0005-0000-0000-0000C5200000}"/>
    <cellStyle name="Note 2 2 3 2 2 2" xfId="7464" xr:uid="{00000000-0005-0000-0000-0000C6200000}"/>
    <cellStyle name="Note 2 2 3 2 2 2 2" xfId="15906" xr:uid="{285EAF2B-2D0D-4BCA-B4ED-C524E5AD36B0}"/>
    <cellStyle name="Note 2 2 3 2 2 3" xfId="11688" xr:uid="{51245C72-4D46-4937-B8C8-0DE797CD07BC}"/>
    <cellStyle name="Note 2 2 3 2 3" xfId="5319" xr:uid="{00000000-0005-0000-0000-0000C7200000}"/>
    <cellStyle name="Note 2 2 3 2 3 2" xfId="13761" xr:uid="{77D89521-81FD-47FE-9952-B84E9E5DDBC1}"/>
    <cellStyle name="Note 2 2 3 2 4" xfId="9543" xr:uid="{0C0937D0-3447-4454-A809-0C15EDACB8CD}"/>
    <cellStyle name="Note 2 2 3 3" xfId="1424" xr:uid="{00000000-0005-0000-0000-0000C8200000}"/>
    <cellStyle name="Note 2 2 3 3 2" xfId="3654" xr:uid="{00000000-0005-0000-0000-0000C9200000}"/>
    <cellStyle name="Note 2 2 3 3 2 2" xfId="7877" xr:uid="{00000000-0005-0000-0000-0000CA200000}"/>
    <cellStyle name="Note 2 2 3 3 2 2 2" xfId="16319" xr:uid="{7733879D-6061-4153-A6DD-824BD0D732FD}"/>
    <cellStyle name="Note 2 2 3 3 2 3" xfId="12101" xr:uid="{DCB05484-97F2-4A90-964A-EC9A4D0620F9}"/>
    <cellStyle name="Note 2 2 3 3 3" xfId="5732" xr:uid="{00000000-0005-0000-0000-0000CB200000}"/>
    <cellStyle name="Note 2 2 3 3 3 2" xfId="14174" xr:uid="{C967B57A-635A-49C1-9ABD-7F974F1D0ACA}"/>
    <cellStyle name="Note 2 2 3 3 4" xfId="9956" xr:uid="{BCB68285-B38E-4C7B-AC0D-75215DEEA4D5}"/>
    <cellStyle name="Note 2 2 3 4" xfId="1838" xr:uid="{00000000-0005-0000-0000-0000CC200000}"/>
    <cellStyle name="Note 2 2 3 4 2" xfId="4067" xr:uid="{00000000-0005-0000-0000-0000CD200000}"/>
    <cellStyle name="Note 2 2 3 4 2 2" xfId="8290" xr:uid="{00000000-0005-0000-0000-0000CE200000}"/>
    <cellStyle name="Note 2 2 3 4 2 2 2" xfId="16732" xr:uid="{02508E09-9327-4B3A-A0FB-F799123985C4}"/>
    <cellStyle name="Note 2 2 3 4 2 3" xfId="12514" xr:uid="{D070B96E-874B-42F3-B426-28E00E9AA8ED}"/>
    <cellStyle name="Note 2 2 3 4 3" xfId="6145" xr:uid="{00000000-0005-0000-0000-0000CF200000}"/>
    <cellStyle name="Note 2 2 3 4 3 2" xfId="14587" xr:uid="{F05603DA-3D3B-479F-A177-C7336D5A0F42}"/>
    <cellStyle name="Note 2 2 3 4 4" xfId="10369" xr:uid="{2EDD63FD-CE89-44C9-B707-28BFFB705ED1}"/>
    <cellStyle name="Note 2 2 3 5" xfId="2251" xr:uid="{00000000-0005-0000-0000-0000D0200000}"/>
    <cellStyle name="Note 2 2 3 5 2" xfId="4480" xr:uid="{00000000-0005-0000-0000-0000D1200000}"/>
    <cellStyle name="Note 2 2 3 5 2 2" xfId="8703" xr:uid="{00000000-0005-0000-0000-0000D2200000}"/>
    <cellStyle name="Note 2 2 3 5 2 2 2" xfId="17145" xr:uid="{7CD353A8-AB07-4FAD-A378-B9EDD772A103}"/>
    <cellStyle name="Note 2 2 3 5 2 3" xfId="12927" xr:uid="{EFB455E8-C36A-4806-9C4D-098ABD06675B}"/>
    <cellStyle name="Note 2 2 3 5 3" xfId="6558" xr:uid="{00000000-0005-0000-0000-0000D3200000}"/>
    <cellStyle name="Note 2 2 3 5 3 2" xfId="15000" xr:uid="{1CA4EFA2-280A-4AE4-8B8F-4EFB0036CEA3}"/>
    <cellStyle name="Note 2 2 3 5 4" xfId="10782" xr:uid="{2DEF4805-0CFC-42C8-B3B8-3FBE7550EE2A}"/>
    <cellStyle name="Note 2 2 3 6" xfId="2687" xr:uid="{00000000-0005-0000-0000-0000D4200000}"/>
    <cellStyle name="Note 2 2 3 6 2" xfId="6971" xr:uid="{00000000-0005-0000-0000-0000D5200000}"/>
    <cellStyle name="Note 2 2 3 6 2 2" xfId="15413" xr:uid="{274A0F45-5B77-4E86-A38C-315C1CB7652A}"/>
    <cellStyle name="Note 2 2 3 6 3" xfId="11195" xr:uid="{9276D4A4-9932-445B-A3EA-BAECCE6EF8A9}"/>
    <cellStyle name="Note 2 2 3 7" xfId="2746" xr:uid="{00000000-0005-0000-0000-0000D6200000}"/>
    <cellStyle name="Note 2 2 3 8" xfId="2827" xr:uid="{00000000-0005-0000-0000-0000D7200000}"/>
    <cellStyle name="Note 2 2 3 8 2" xfId="7051" xr:uid="{00000000-0005-0000-0000-0000D8200000}"/>
    <cellStyle name="Note 2 2 3 8 2 2" xfId="15493" xr:uid="{03D59B46-638F-4E04-BC80-D81989683768}"/>
    <cellStyle name="Note 2 2 3 8 3" xfId="11275" xr:uid="{5CB8280A-C57A-41EB-B8AB-2718A57121CB}"/>
    <cellStyle name="Note 2 2 3 9" xfId="4906" xr:uid="{00000000-0005-0000-0000-0000D9200000}"/>
    <cellStyle name="Note 2 2 3 9 2" xfId="13348" xr:uid="{BC356C17-8373-4D6D-A048-EA7C49CFAACE}"/>
    <cellStyle name="Note 2 2 4" xfId="1006" xr:uid="{00000000-0005-0000-0000-0000DA200000}"/>
    <cellStyle name="Note 2 2 4 2" xfId="3238" xr:uid="{00000000-0005-0000-0000-0000DB200000}"/>
    <cellStyle name="Note 2 2 4 2 2" xfId="7461" xr:uid="{00000000-0005-0000-0000-0000DC200000}"/>
    <cellStyle name="Note 2 2 4 2 2 2" xfId="15903" xr:uid="{9F810C55-974D-4E13-8BD7-B519ADE8CCE0}"/>
    <cellStyle name="Note 2 2 4 2 3" xfId="11685" xr:uid="{78F32820-5951-4EFB-9E9E-37975C0CE9A6}"/>
    <cellStyle name="Note 2 2 4 3" xfId="5316" xr:uid="{00000000-0005-0000-0000-0000DD200000}"/>
    <cellStyle name="Note 2 2 4 3 2" xfId="13758" xr:uid="{93B6B53E-2A35-4B72-BFCD-FCDE004DE57D}"/>
    <cellStyle name="Note 2 2 4 4" xfId="9540" xr:uid="{5F771032-964E-4875-8FF9-1F422002287E}"/>
    <cellStyle name="Note 2 2 5" xfId="1421" xr:uid="{00000000-0005-0000-0000-0000DE200000}"/>
    <cellStyle name="Note 2 2 5 2" xfId="3651" xr:uid="{00000000-0005-0000-0000-0000DF200000}"/>
    <cellStyle name="Note 2 2 5 2 2" xfId="7874" xr:uid="{00000000-0005-0000-0000-0000E0200000}"/>
    <cellStyle name="Note 2 2 5 2 2 2" xfId="16316" xr:uid="{4192F999-27F6-4B49-8E8F-22D35E9C7830}"/>
    <cellStyle name="Note 2 2 5 2 3" xfId="12098" xr:uid="{41D83F3C-79D2-4C7F-B179-08A290D07809}"/>
    <cellStyle name="Note 2 2 5 3" xfId="5729" xr:uid="{00000000-0005-0000-0000-0000E1200000}"/>
    <cellStyle name="Note 2 2 5 3 2" xfId="14171" xr:uid="{59E8EA95-BB4E-4ECB-8F1F-14832525E34D}"/>
    <cellStyle name="Note 2 2 5 4" xfId="9953" xr:uid="{7F848D08-6B0F-4832-91C7-A9BD3685B870}"/>
    <cellStyle name="Note 2 2 6" xfId="1835" xr:uid="{00000000-0005-0000-0000-0000E2200000}"/>
    <cellStyle name="Note 2 2 6 2" xfId="4064" xr:uid="{00000000-0005-0000-0000-0000E3200000}"/>
    <cellStyle name="Note 2 2 6 2 2" xfId="8287" xr:uid="{00000000-0005-0000-0000-0000E4200000}"/>
    <cellStyle name="Note 2 2 6 2 2 2" xfId="16729" xr:uid="{B8D44EC1-6F76-48AE-9F6F-FD4015BA23A6}"/>
    <cellStyle name="Note 2 2 6 2 3" xfId="12511" xr:uid="{A1A853F3-DEEF-4E86-8659-9B083CBE8B68}"/>
    <cellStyle name="Note 2 2 6 3" xfId="6142" xr:uid="{00000000-0005-0000-0000-0000E5200000}"/>
    <cellStyle name="Note 2 2 6 3 2" xfId="14584" xr:uid="{32D13FD7-1E74-4C93-83DB-15723E3AB64F}"/>
    <cellStyle name="Note 2 2 6 4" xfId="10366" xr:uid="{C5DE5489-6564-4F49-A651-B0DA8E12E039}"/>
    <cellStyle name="Note 2 2 7" xfId="2248" xr:uid="{00000000-0005-0000-0000-0000E6200000}"/>
    <cellStyle name="Note 2 2 7 2" xfId="4477" xr:uid="{00000000-0005-0000-0000-0000E7200000}"/>
    <cellStyle name="Note 2 2 7 2 2" xfId="8700" xr:uid="{00000000-0005-0000-0000-0000E8200000}"/>
    <cellStyle name="Note 2 2 7 2 2 2" xfId="17142" xr:uid="{62014542-2A45-4610-921A-E3E2D3BD489D}"/>
    <cellStyle name="Note 2 2 7 2 3" xfId="12924" xr:uid="{A5E905CD-358A-41E6-885E-B15DA6F4DD47}"/>
    <cellStyle name="Note 2 2 7 3" xfId="6555" xr:uid="{00000000-0005-0000-0000-0000E9200000}"/>
    <cellStyle name="Note 2 2 7 3 2" xfId="14997" xr:uid="{FECCEE92-5BCD-42F8-8770-8043F3B2B0D5}"/>
    <cellStyle name="Note 2 2 7 4" xfId="10779" xr:uid="{DB07E6DC-9ABF-4255-888E-B3F17760754D}"/>
    <cellStyle name="Note 2 2 8" xfId="2684" xr:uid="{00000000-0005-0000-0000-0000EA200000}"/>
    <cellStyle name="Note 2 2 8 2" xfId="6968" xr:uid="{00000000-0005-0000-0000-0000EB200000}"/>
    <cellStyle name="Note 2 2 8 2 2" xfId="15410" xr:uid="{DD0E494C-66D4-45B5-AA16-4CD8469BDD89}"/>
    <cellStyle name="Note 2 2 8 3" xfId="11192" xr:uid="{B68C8844-46C0-4A46-BCAC-17041D835AB3}"/>
    <cellStyle name="Note 2 2 9" xfId="2743" xr:uid="{00000000-0005-0000-0000-0000EC200000}"/>
    <cellStyle name="Note 2 3" xfId="549" xr:uid="{00000000-0005-0000-0000-0000ED200000}"/>
    <cellStyle name="Note 2 3 10" xfId="4907" xr:uid="{00000000-0005-0000-0000-0000EE200000}"/>
    <cellStyle name="Note 2 3 10 2" xfId="13349" xr:uid="{B1D95183-FD85-4653-8F68-99A9CDBE7D4B}"/>
    <cellStyle name="Note 2 3 11" xfId="9131" xr:uid="{56E06A4E-2931-43EE-8022-30D7408DB3BF}"/>
    <cellStyle name="Note 2 3 2" xfId="550" xr:uid="{00000000-0005-0000-0000-0000EF200000}"/>
    <cellStyle name="Note 2 3 2 10" xfId="9132" xr:uid="{1ABD5D24-34FC-4D6A-9BB0-D6721DB2B528}"/>
    <cellStyle name="Note 2 3 2 2" xfId="1011" xr:uid="{00000000-0005-0000-0000-0000F0200000}"/>
    <cellStyle name="Note 2 3 2 2 2" xfId="3243" xr:uid="{00000000-0005-0000-0000-0000F1200000}"/>
    <cellStyle name="Note 2 3 2 2 2 2" xfId="7466" xr:uid="{00000000-0005-0000-0000-0000F2200000}"/>
    <cellStyle name="Note 2 3 2 2 2 2 2" xfId="15908" xr:uid="{50E33141-3BB6-4A0D-AC05-CD4D471DC393}"/>
    <cellStyle name="Note 2 3 2 2 2 3" xfId="11690" xr:uid="{02D54602-A823-4BA2-98E4-D826FDCE6A22}"/>
    <cellStyle name="Note 2 3 2 2 3" xfId="5321" xr:uid="{00000000-0005-0000-0000-0000F3200000}"/>
    <cellStyle name="Note 2 3 2 2 3 2" xfId="13763" xr:uid="{264AED92-476C-4AE8-83BD-D547A48D62E8}"/>
    <cellStyle name="Note 2 3 2 2 4" xfId="9545" xr:uid="{6159BC51-8B44-486D-8D6F-18A739FE8B9D}"/>
    <cellStyle name="Note 2 3 2 3" xfId="1426" xr:uid="{00000000-0005-0000-0000-0000F4200000}"/>
    <cellStyle name="Note 2 3 2 3 2" xfId="3656" xr:uid="{00000000-0005-0000-0000-0000F5200000}"/>
    <cellStyle name="Note 2 3 2 3 2 2" xfId="7879" xr:uid="{00000000-0005-0000-0000-0000F6200000}"/>
    <cellStyle name="Note 2 3 2 3 2 2 2" xfId="16321" xr:uid="{3AA70FD0-5125-4AD4-80B2-03766E21694E}"/>
    <cellStyle name="Note 2 3 2 3 2 3" xfId="12103" xr:uid="{ECAB8F03-CA0D-4F98-98F6-3D651785CBDE}"/>
    <cellStyle name="Note 2 3 2 3 3" xfId="5734" xr:uid="{00000000-0005-0000-0000-0000F7200000}"/>
    <cellStyle name="Note 2 3 2 3 3 2" xfId="14176" xr:uid="{6792C01D-E004-476C-929E-2E122A25B17D}"/>
    <cellStyle name="Note 2 3 2 3 4" xfId="9958" xr:uid="{73912743-C3EC-403A-9100-30FB9501A6E8}"/>
    <cellStyle name="Note 2 3 2 4" xfId="1840" xr:uid="{00000000-0005-0000-0000-0000F8200000}"/>
    <cellStyle name="Note 2 3 2 4 2" xfId="4069" xr:uid="{00000000-0005-0000-0000-0000F9200000}"/>
    <cellStyle name="Note 2 3 2 4 2 2" xfId="8292" xr:uid="{00000000-0005-0000-0000-0000FA200000}"/>
    <cellStyle name="Note 2 3 2 4 2 2 2" xfId="16734" xr:uid="{3A7CF40E-3DB9-4F7C-98E8-05F4156350AF}"/>
    <cellStyle name="Note 2 3 2 4 2 3" xfId="12516" xr:uid="{EB5A083C-632D-4C19-8892-063285F7597B}"/>
    <cellStyle name="Note 2 3 2 4 3" xfId="6147" xr:uid="{00000000-0005-0000-0000-0000FB200000}"/>
    <cellStyle name="Note 2 3 2 4 3 2" xfId="14589" xr:uid="{B0AFE032-9258-453F-AA9F-98E8FAB82A15}"/>
    <cellStyle name="Note 2 3 2 4 4" xfId="10371" xr:uid="{4D93024D-D755-4E6F-93B0-8E39E6475B36}"/>
    <cellStyle name="Note 2 3 2 5" xfId="2253" xr:uid="{00000000-0005-0000-0000-0000FC200000}"/>
    <cellStyle name="Note 2 3 2 5 2" xfId="4482" xr:uid="{00000000-0005-0000-0000-0000FD200000}"/>
    <cellStyle name="Note 2 3 2 5 2 2" xfId="8705" xr:uid="{00000000-0005-0000-0000-0000FE200000}"/>
    <cellStyle name="Note 2 3 2 5 2 2 2" xfId="17147" xr:uid="{E9DEA9C5-2AFB-4B56-9DE9-1E5C5D4F28E0}"/>
    <cellStyle name="Note 2 3 2 5 2 3" xfId="12929" xr:uid="{F28D273B-CBC6-4B1F-BAFA-618968389564}"/>
    <cellStyle name="Note 2 3 2 5 3" xfId="6560" xr:uid="{00000000-0005-0000-0000-0000FF200000}"/>
    <cellStyle name="Note 2 3 2 5 3 2" xfId="15002" xr:uid="{44C762B4-CE2D-4A4C-8D61-7EFE30CDAA56}"/>
    <cellStyle name="Note 2 3 2 5 4" xfId="10784" xr:uid="{E47CB6A8-1D80-4AB2-B786-4418B3D63358}"/>
    <cellStyle name="Note 2 3 2 6" xfId="2689" xr:uid="{00000000-0005-0000-0000-000000210000}"/>
    <cellStyle name="Note 2 3 2 6 2" xfId="6973" xr:uid="{00000000-0005-0000-0000-000001210000}"/>
    <cellStyle name="Note 2 3 2 6 2 2" xfId="15415" xr:uid="{F0DCA918-AB7B-41C3-ADC5-E28B80587ECE}"/>
    <cellStyle name="Note 2 3 2 6 3" xfId="11197" xr:uid="{A4A26E79-BD60-4BC7-AA55-0B33DAEB4D28}"/>
    <cellStyle name="Note 2 3 2 7" xfId="2748" xr:uid="{00000000-0005-0000-0000-000002210000}"/>
    <cellStyle name="Note 2 3 2 8" xfId="2829" xr:uid="{00000000-0005-0000-0000-000003210000}"/>
    <cellStyle name="Note 2 3 2 8 2" xfId="7053" xr:uid="{00000000-0005-0000-0000-000004210000}"/>
    <cellStyle name="Note 2 3 2 8 2 2" xfId="15495" xr:uid="{84B16D7C-CEEC-4E81-B378-395FB79759BE}"/>
    <cellStyle name="Note 2 3 2 8 3" xfId="11277" xr:uid="{1D080A2D-98AB-4FC7-9898-4FEB0D36A679}"/>
    <cellStyle name="Note 2 3 2 9" xfId="4908" xr:uid="{00000000-0005-0000-0000-000005210000}"/>
    <cellStyle name="Note 2 3 2 9 2" xfId="13350" xr:uid="{FD56FD2F-B486-42DD-8702-1A1FC5FFFB72}"/>
    <cellStyle name="Note 2 3 3" xfId="1010" xr:uid="{00000000-0005-0000-0000-000006210000}"/>
    <cellStyle name="Note 2 3 3 2" xfId="3242" xr:uid="{00000000-0005-0000-0000-000007210000}"/>
    <cellStyle name="Note 2 3 3 2 2" xfId="7465" xr:uid="{00000000-0005-0000-0000-000008210000}"/>
    <cellStyle name="Note 2 3 3 2 2 2" xfId="15907" xr:uid="{A739CF2B-8429-4494-AECC-472CC02E8576}"/>
    <cellStyle name="Note 2 3 3 2 3" xfId="11689" xr:uid="{0762BEF6-BD2A-4C23-B6F8-C1EC1F35D78F}"/>
    <cellStyle name="Note 2 3 3 3" xfId="5320" xr:uid="{00000000-0005-0000-0000-000009210000}"/>
    <cellStyle name="Note 2 3 3 3 2" xfId="13762" xr:uid="{0176CA2A-3E27-4BDD-838B-A09D40BDEA69}"/>
    <cellStyle name="Note 2 3 3 4" xfId="9544" xr:uid="{E7A303AB-DABC-471D-BC87-0DDC08FE90D7}"/>
    <cellStyle name="Note 2 3 4" xfId="1425" xr:uid="{00000000-0005-0000-0000-00000A210000}"/>
    <cellStyle name="Note 2 3 4 2" xfId="3655" xr:uid="{00000000-0005-0000-0000-00000B210000}"/>
    <cellStyle name="Note 2 3 4 2 2" xfId="7878" xr:uid="{00000000-0005-0000-0000-00000C210000}"/>
    <cellStyle name="Note 2 3 4 2 2 2" xfId="16320" xr:uid="{CDC1259C-4E09-4C92-A363-C059E5AC8069}"/>
    <cellStyle name="Note 2 3 4 2 3" xfId="12102" xr:uid="{C3F288DC-FEE2-436C-AC15-5B35FCDD0E4D}"/>
    <cellStyle name="Note 2 3 4 3" xfId="5733" xr:uid="{00000000-0005-0000-0000-00000D210000}"/>
    <cellStyle name="Note 2 3 4 3 2" xfId="14175" xr:uid="{7AB49D79-3D2F-4830-86CA-0F48F2C6BAD1}"/>
    <cellStyle name="Note 2 3 4 4" xfId="9957" xr:uid="{7733B5E1-0F2E-43A5-99BC-2A76E27F07E0}"/>
    <cellStyle name="Note 2 3 5" xfId="1839" xr:uid="{00000000-0005-0000-0000-00000E210000}"/>
    <cellStyle name="Note 2 3 5 2" xfId="4068" xr:uid="{00000000-0005-0000-0000-00000F210000}"/>
    <cellStyle name="Note 2 3 5 2 2" xfId="8291" xr:uid="{00000000-0005-0000-0000-000010210000}"/>
    <cellStyle name="Note 2 3 5 2 2 2" xfId="16733" xr:uid="{E0048EAD-B206-444C-831D-F2094E492AF5}"/>
    <cellStyle name="Note 2 3 5 2 3" xfId="12515" xr:uid="{F577EDE5-0E72-42EE-9281-DBE8DE0E207B}"/>
    <cellStyle name="Note 2 3 5 3" xfId="6146" xr:uid="{00000000-0005-0000-0000-000011210000}"/>
    <cellStyle name="Note 2 3 5 3 2" xfId="14588" xr:uid="{29D94520-24E1-4D94-BC75-899C351C5EA6}"/>
    <cellStyle name="Note 2 3 5 4" xfId="10370" xr:uid="{0C46E9B6-CCD3-4BAA-B9A1-1F4487CBB8B6}"/>
    <cellStyle name="Note 2 3 6" xfId="2252" xr:uid="{00000000-0005-0000-0000-000012210000}"/>
    <cellStyle name="Note 2 3 6 2" xfId="4481" xr:uid="{00000000-0005-0000-0000-000013210000}"/>
    <cellStyle name="Note 2 3 6 2 2" xfId="8704" xr:uid="{00000000-0005-0000-0000-000014210000}"/>
    <cellStyle name="Note 2 3 6 2 2 2" xfId="17146" xr:uid="{B9569E5C-D95D-4EA9-80B2-9E6A45D591E3}"/>
    <cellStyle name="Note 2 3 6 2 3" xfId="12928" xr:uid="{E1144A3E-D479-4FC0-BDF8-0DDD06B7489E}"/>
    <cellStyle name="Note 2 3 6 3" xfId="6559" xr:uid="{00000000-0005-0000-0000-000015210000}"/>
    <cellStyle name="Note 2 3 6 3 2" xfId="15001" xr:uid="{339E589F-2CF6-4C49-B9A6-8CB818B7342A}"/>
    <cellStyle name="Note 2 3 6 4" xfId="10783" xr:uid="{0538BC52-315E-46BF-B178-A17945C81121}"/>
    <cellStyle name="Note 2 3 7" xfId="2688" xr:uid="{00000000-0005-0000-0000-000016210000}"/>
    <cellStyle name="Note 2 3 7 2" xfId="6972" xr:uid="{00000000-0005-0000-0000-000017210000}"/>
    <cellStyle name="Note 2 3 7 2 2" xfId="15414" xr:uid="{B6F63244-30EC-4897-874D-98A24C6F6277}"/>
    <cellStyle name="Note 2 3 7 3" xfId="11196" xr:uid="{50CDD02F-071C-4984-9016-233C8D49F3F8}"/>
    <cellStyle name="Note 2 3 8" xfId="2747" xr:uid="{00000000-0005-0000-0000-000018210000}"/>
    <cellStyle name="Note 2 3 9" xfId="2828" xr:uid="{00000000-0005-0000-0000-000019210000}"/>
    <cellStyle name="Note 2 3 9 2" xfId="7052" xr:uid="{00000000-0005-0000-0000-00001A210000}"/>
    <cellStyle name="Note 2 3 9 2 2" xfId="15494" xr:uid="{A886B20A-3655-4B68-A694-A63F0BCE1267}"/>
    <cellStyle name="Note 2 3 9 3" xfId="11276" xr:uid="{C1E4F9CF-49C0-43D0-BE86-1F71AE38C1E0}"/>
    <cellStyle name="Note 2 4" xfId="551" xr:uid="{00000000-0005-0000-0000-00001B210000}"/>
    <cellStyle name="Note 2 4 10" xfId="9133" xr:uid="{7C06643A-1EFC-4199-966C-836E35AF3A0A}"/>
    <cellStyle name="Note 2 4 2" xfId="1012" xr:uid="{00000000-0005-0000-0000-00001C210000}"/>
    <cellStyle name="Note 2 4 2 2" xfId="3244" xr:uid="{00000000-0005-0000-0000-00001D210000}"/>
    <cellStyle name="Note 2 4 2 2 2" xfId="7467" xr:uid="{00000000-0005-0000-0000-00001E210000}"/>
    <cellStyle name="Note 2 4 2 2 2 2" xfId="15909" xr:uid="{FAAD8891-85E4-45D4-ABA9-22AB5E0334AC}"/>
    <cellStyle name="Note 2 4 2 2 3" xfId="11691" xr:uid="{C653834B-2D93-401A-A457-B87D37F4514E}"/>
    <cellStyle name="Note 2 4 2 3" xfId="5322" xr:uid="{00000000-0005-0000-0000-00001F210000}"/>
    <cellStyle name="Note 2 4 2 3 2" xfId="13764" xr:uid="{2A1AAE0E-977A-47D2-AFF0-EC7AA958508C}"/>
    <cellStyle name="Note 2 4 2 4" xfId="9546" xr:uid="{53CEC334-389E-48BC-8EEE-679117D68040}"/>
    <cellStyle name="Note 2 4 3" xfId="1427" xr:uid="{00000000-0005-0000-0000-000020210000}"/>
    <cellStyle name="Note 2 4 3 2" xfId="3657" xr:uid="{00000000-0005-0000-0000-000021210000}"/>
    <cellStyle name="Note 2 4 3 2 2" xfId="7880" xr:uid="{00000000-0005-0000-0000-000022210000}"/>
    <cellStyle name="Note 2 4 3 2 2 2" xfId="16322" xr:uid="{AAACE1FC-814D-43B4-B36F-00B8B1292A9C}"/>
    <cellStyle name="Note 2 4 3 2 3" xfId="12104" xr:uid="{42A8C7FE-A63E-45B5-92C1-3A82B1F98942}"/>
    <cellStyle name="Note 2 4 3 3" xfId="5735" xr:uid="{00000000-0005-0000-0000-000023210000}"/>
    <cellStyle name="Note 2 4 3 3 2" xfId="14177" xr:uid="{E248F608-97D0-408D-97B7-2240DFFFD0D7}"/>
    <cellStyle name="Note 2 4 3 4" xfId="9959" xr:uid="{829A5813-796D-4AB5-9F19-F3C7C0C12028}"/>
    <cellStyle name="Note 2 4 4" xfId="1841" xr:uid="{00000000-0005-0000-0000-000024210000}"/>
    <cellStyle name="Note 2 4 4 2" xfId="4070" xr:uid="{00000000-0005-0000-0000-000025210000}"/>
    <cellStyle name="Note 2 4 4 2 2" xfId="8293" xr:uid="{00000000-0005-0000-0000-000026210000}"/>
    <cellStyle name="Note 2 4 4 2 2 2" xfId="16735" xr:uid="{73BD8CFE-3AC3-43C3-A0E6-DCDA5226B4A9}"/>
    <cellStyle name="Note 2 4 4 2 3" xfId="12517" xr:uid="{FC715C45-78A3-4BE3-8F3B-E2D8F12524E3}"/>
    <cellStyle name="Note 2 4 4 3" xfId="6148" xr:uid="{00000000-0005-0000-0000-000027210000}"/>
    <cellStyle name="Note 2 4 4 3 2" xfId="14590" xr:uid="{287ED852-90E8-4AED-95FB-3E2588B121B0}"/>
    <cellStyle name="Note 2 4 4 4" xfId="10372" xr:uid="{A3803323-0BDC-4410-8EBC-95A0EA373D11}"/>
    <cellStyle name="Note 2 4 5" xfId="2254" xr:uid="{00000000-0005-0000-0000-000028210000}"/>
    <cellStyle name="Note 2 4 5 2" xfId="4483" xr:uid="{00000000-0005-0000-0000-000029210000}"/>
    <cellStyle name="Note 2 4 5 2 2" xfId="8706" xr:uid="{00000000-0005-0000-0000-00002A210000}"/>
    <cellStyle name="Note 2 4 5 2 2 2" xfId="17148" xr:uid="{94F0F5D5-3B55-4FE9-839E-136A6DE6B0AD}"/>
    <cellStyle name="Note 2 4 5 2 3" xfId="12930" xr:uid="{362DD124-0401-46EF-BC39-26B2C8040519}"/>
    <cellStyle name="Note 2 4 5 3" xfId="6561" xr:uid="{00000000-0005-0000-0000-00002B210000}"/>
    <cellStyle name="Note 2 4 5 3 2" xfId="15003" xr:uid="{31F3833F-C15A-4CC2-97C2-8095AAFDFFE2}"/>
    <cellStyle name="Note 2 4 5 4" xfId="10785" xr:uid="{4E3705C4-1AE9-4C26-A827-341DCE12910F}"/>
    <cellStyle name="Note 2 4 6" xfId="2690" xr:uid="{00000000-0005-0000-0000-00002C210000}"/>
    <cellStyle name="Note 2 4 6 2" xfId="6974" xr:uid="{00000000-0005-0000-0000-00002D210000}"/>
    <cellStyle name="Note 2 4 6 2 2" xfId="15416" xr:uid="{F16BBA91-B95C-465F-A223-CBF1F0B3B85C}"/>
    <cellStyle name="Note 2 4 6 3" xfId="11198" xr:uid="{FC6C19D1-4765-4B35-94E3-45B43C9CDCA6}"/>
    <cellStyle name="Note 2 4 7" xfId="2749" xr:uid="{00000000-0005-0000-0000-00002E210000}"/>
    <cellStyle name="Note 2 4 8" xfId="2830" xr:uid="{00000000-0005-0000-0000-00002F210000}"/>
    <cellStyle name="Note 2 4 8 2" xfId="7054" xr:uid="{00000000-0005-0000-0000-000030210000}"/>
    <cellStyle name="Note 2 4 8 2 2" xfId="15496" xr:uid="{AE73780D-0FF7-447F-A65D-C2152ADCEF49}"/>
    <cellStyle name="Note 2 4 8 3" xfId="11278" xr:uid="{0114587A-D3A1-4073-AD00-1980693CD608}"/>
    <cellStyle name="Note 2 4 9" xfId="4909" xr:uid="{00000000-0005-0000-0000-000031210000}"/>
    <cellStyle name="Note 2 4 9 2" xfId="13351" xr:uid="{EFA6AAE2-507B-420D-B7B0-4EDDA6C8BD3D}"/>
    <cellStyle name="Note 2 5" xfId="552" xr:uid="{00000000-0005-0000-0000-000032210000}"/>
    <cellStyle name="Note 2 5 10" xfId="9134" xr:uid="{859C16DC-400A-4073-93D8-CC8DC8EE03B1}"/>
    <cellStyle name="Note 2 5 2" xfId="1013" xr:uid="{00000000-0005-0000-0000-000033210000}"/>
    <cellStyle name="Note 2 5 2 2" xfId="3245" xr:uid="{00000000-0005-0000-0000-000034210000}"/>
    <cellStyle name="Note 2 5 2 2 2" xfId="7468" xr:uid="{00000000-0005-0000-0000-000035210000}"/>
    <cellStyle name="Note 2 5 2 2 2 2" xfId="15910" xr:uid="{E1CE1B09-C69A-4105-B0A4-739770867E95}"/>
    <cellStyle name="Note 2 5 2 2 3" xfId="11692" xr:uid="{21356C6E-F1AD-4C7C-8A6C-E1782D48E527}"/>
    <cellStyle name="Note 2 5 2 3" xfId="5323" xr:uid="{00000000-0005-0000-0000-000036210000}"/>
    <cellStyle name="Note 2 5 2 3 2" xfId="13765" xr:uid="{1E358373-84B4-4F75-B9DA-906E03BA6444}"/>
    <cellStyle name="Note 2 5 2 4" xfId="9547" xr:uid="{4DB061D0-4F8F-4B45-A2D8-52D92867221E}"/>
    <cellStyle name="Note 2 5 3" xfId="1428" xr:uid="{00000000-0005-0000-0000-000037210000}"/>
    <cellStyle name="Note 2 5 3 2" xfId="3658" xr:uid="{00000000-0005-0000-0000-000038210000}"/>
    <cellStyle name="Note 2 5 3 2 2" xfId="7881" xr:uid="{00000000-0005-0000-0000-000039210000}"/>
    <cellStyle name="Note 2 5 3 2 2 2" xfId="16323" xr:uid="{400C3188-B3D1-47BD-A37E-61EBA99B9BAC}"/>
    <cellStyle name="Note 2 5 3 2 3" xfId="12105" xr:uid="{8E2BAC99-33A4-4F25-8B47-4D7E882ADECC}"/>
    <cellStyle name="Note 2 5 3 3" xfId="5736" xr:uid="{00000000-0005-0000-0000-00003A210000}"/>
    <cellStyle name="Note 2 5 3 3 2" xfId="14178" xr:uid="{805A74C6-700E-4B59-994D-F1AFB5EB7344}"/>
    <cellStyle name="Note 2 5 3 4" xfId="9960" xr:uid="{717514B7-A037-40A0-A773-A8A1A9C87AB2}"/>
    <cellStyle name="Note 2 5 4" xfId="1842" xr:uid="{00000000-0005-0000-0000-00003B210000}"/>
    <cellStyle name="Note 2 5 4 2" xfId="4071" xr:uid="{00000000-0005-0000-0000-00003C210000}"/>
    <cellStyle name="Note 2 5 4 2 2" xfId="8294" xr:uid="{00000000-0005-0000-0000-00003D210000}"/>
    <cellStyle name="Note 2 5 4 2 2 2" xfId="16736" xr:uid="{6A92D571-C638-480D-8570-9B2633BAAC23}"/>
    <cellStyle name="Note 2 5 4 2 3" xfId="12518" xr:uid="{4B6CB5C4-92DF-4215-A2DB-412509AFAD58}"/>
    <cellStyle name="Note 2 5 4 3" xfId="6149" xr:uid="{00000000-0005-0000-0000-00003E210000}"/>
    <cellStyle name="Note 2 5 4 3 2" xfId="14591" xr:uid="{DDFB38F9-04D2-4B1C-BB00-CCC8C3ED0BC7}"/>
    <cellStyle name="Note 2 5 4 4" xfId="10373" xr:uid="{07908230-FA43-4161-8730-BBB3171BD3ED}"/>
    <cellStyle name="Note 2 5 5" xfId="2255" xr:uid="{00000000-0005-0000-0000-00003F210000}"/>
    <cellStyle name="Note 2 5 5 2" xfId="4484" xr:uid="{00000000-0005-0000-0000-000040210000}"/>
    <cellStyle name="Note 2 5 5 2 2" xfId="8707" xr:uid="{00000000-0005-0000-0000-000041210000}"/>
    <cellStyle name="Note 2 5 5 2 2 2" xfId="17149" xr:uid="{7DA79758-582B-4F12-AA39-B790A81E0B7C}"/>
    <cellStyle name="Note 2 5 5 2 3" xfId="12931" xr:uid="{51F77254-3E13-4F7B-8E10-53042A4D1EB7}"/>
    <cellStyle name="Note 2 5 5 3" xfId="6562" xr:uid="{00000000-0005-0000-0000-000042210000}"/>
    <cellStyle name="Note 2 5 5 3 2" xfId="15004" xr:uid="{4FF1B9C2-C19F-425C-A1D8-EE89D9817161}"/>
    <cellStyle name="Note 2 5 5 4" xfId="10786" xr:uid="{020AFE1F-5792-4BAA-8C8B-C66A2EE361D3}"/>
    <cellStyle name="Note 2 5 6" xfId="2691" xr:uid="{00000000-0005-0000-0000-000043210000}"/>
    <cellStyle name="Note 2 5 6 2" xfId="6975" xr:uid="{00000000-0005-0000-0000-000044210000}"/>
    <cellStyle name="Note 2 5 6 2 2" xfId="15417" xr:uid="{53B0498C-83FD-4CFC-BA1D-0C7AF0365E57}"/>
    <cellStyle name="Note 2 5 6 3" xfId="11199" xr:uid="{0FF10F3D-8485-4BAD-8975-5C28F8F49CFA}"/>
    <cellStyle name="Note 2 5 7" xfId="2750" xr:uid="{00000000-0005-0000-0000-000045210000}"/>
    <cellStyle name="Note 2 5 8" xfId="2831" xr:uid="{00000000-0005-0000-0000-000046210000}"/>
    <cellStyle name="Note 2 5 8 2" xfId="7055" xr:uid="{00000000-0005-0000-0000-000047210000}"/>
    <cellStyle name="Note 2 5 8 2 2" xfId="15497" xr:uid="{C1115636-E392-44B8-A7B6-0CDB895382CD}"/>
    <cellStyle name="Note 2 5 8 3" xfId="11279" xr:uid="{831E27F2-E5C4-44C9-9E09-83D7A3B92149}"/>
    <cellStyle name="Note 2 5 9" xfId="4910" xr:uid="{00000000-0005-0000-0000-000048210000}"/>
    <cellStyle name="Note 2 5 9 2" xfId="13352" xr:uid="{1EF4A060-0A87-4282-8F74-5267E3B2546A}"/>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0 2 2" xfId="15498" xr:uid="{D1BB90B7-0784-4F03-A132-3DB89C16057B}"/>
    <cellStyle name="Note 3 2 10 3" xfId="11280" xr:uid="{635419D9-324B-4A88-B13E-42E60DD216A3}"/>
    <cellStyle name="Note 3 2 11" xfId="4911" xr:uid="{00000000-0005-0000-0000-00004D210000}"/>
    <cellStyle name="Note 3 2 11 2" xfId="13353" xr:uid="{8F7D11C8-C52A-413D-9CF6-3B2D7A16CE2C}"/>
    <cellStyle name="Note 3 2 12" xfId="9135" xr:uid="{324BECBE-4AA8-442E-80AE-48B49B48C318}"/>
    <cellStyle name="Note 3 2 2" xfId="555" xr:uid="{00000000-0005-0000-0000-00004E210000}"/>
    <cellStyle name="Note 3 2 2 10" xfId="4912" xr:uid="{00000000-0005-0000-0000-00004F210000}"/>
    <cellStyle name="Note 3 2 2 10 2" xfId="13354" xr:uid="{816354A4-C826-4455-ABA0-F42F35407586}"/>
    <cellStyle name="Note 3 2 2 11" xfId="9136" xr:uid="{F2197E91-992D-4AB5-9BF8-5E7AEAB0C801}"/>
    <cellStyle name="Note 3 2 2 2" xfId="556" xr:uid="{00000000-0005-0000-0000-000050210000}"/>
    <cellStyle name="Note 3 2 2 2 10" xfId="9137" xr:uid="{E58BE9BD-A286-4FCA-860C-4936971F9AC6}"/>
    <cellStyle name="Note 3 2 2 2 2" xfId="1016" xr:uid="{00000000-0005-0000-0000-000051210000}"/>
    <cellStyle name="Note 3 2 2 2 2 2" xfId="3248" xr:uid="{00000000-0005-0000-0000-000052210000}"/>
    <cellStyle name="Note 3 2 2 2 2 2 2" xfId="7471" xr:uid="{00000000-0005-0000-0000-000053210000}"/>
    <cellStyle name="Note 3 2 2 2 2 2 2 2" xfId="15913" xr:uid="{BCE5925A-2CCB-42B5-9AF5-60D00213C02F}"/>
    <cellStyle name="Note 3 2 2 2 2 2 3" xfId="11695" xr:uid="{84F4AB58-6043-4F4B-B631-39FF3DCB0879}"/>
    <cellStyle name="Note 3 2 2 2 2 3" xfId="5326" xr:uid="{00000000-0005-0000-0000-000054210000}"/>
    <cellStyle name="Note 3 2 2 2 2 3 2" xfId="13768" xr:uid="{E00F981C-F79E-4F2C-9F99-04EFD7A0D5F4}"/>
    <cellStyle name="Note 3 2 2 2 2 4" xfId="9550" xr:uid="{0FC6F759-3F76-4F01-9092-63EB42B440BC}"/>
    <cellStyle name="Note 3 2 2 2 3" xfId="1431" xr:uid="{00000000-0005-0000-0000-000055210000}"/>
    <cellStyle name="Note 3 2 2 2 3 2" xfId="3661" xr:uid="{00000000-0005-0000-0000-000056210000}"/>
    <cellStyle name="Note 3 2 2 2 3 2 2" xfId="7884" xr:uid="{00000000-0005-0000-0000-000057210000}"/>
    <cellStyle name="Note 3 2 2 2 3 2 2 2" xfId="16326" xr:uid="{2F9279F1-6049-4222-8965-FD3302199031}"/>
    <cellStyle name="Note 3 2 2 2 3 2 3" xfId="12108" xr:uid="{28D91E65-B9B7-4673-937A-6DB93EC07AE1}"/>
    <cellStyle name="Note 3 2 2 2 3 3" xfId="5739" xr:uid="{00000000-0005-0000-0000-000058210000}"/>
    <cellStyle name="Note 3 2 2 2 3 3 2" xfId="14181" xr:uid="{A9138002-CFDB-4B6F-9676-3A38B49B2B08}"/>
    <cellStyle name="Note 3 2 2 2 3 4" xfId="9963" xr:uid="{9B2985FC-F640-413C-B54F-34A212E2308A}"/>
    <cellStyle name="Note 3 2 2 2 4" xfId="1845" xr:uid="{00000000-0005-0000-0000-000059210000}"/>
    <cellStyle name="Note 3 2 2 2 4 2" xfId="4074" xr:uid="{00000000-0005-0000-0000-00005A210000}"/>
    <cellStyle name="Note 3 2 2 2 4 2 2" xfId="8297" xr:uid="{00000000-0005-0000-0000-00005B210000}"/>
    <cellStyle name="Note 3 2 2 2 4 2 2 2" xfId="16739" xr:uid="{AF9D5048-0D3D-4424-B693-7E63746885D6}"/>
    <cellStyle name="Note 3 2 2 2 4 2 3" xfId="12521" xr:uid="{9CA9786A-F042-4B7C-8354-B9258FF6FC0B}"/>
    <cellStyle name="Note 3 2 2 2 4 3" xfId="6152" xr:uid="{00000000-0005-0000-0000-00005C210000}"/>
    <cellStyle name="Note 3 2 2 2 4 3 2" xfId="14594" xr:uid="{FE35D002-C59C-40C8-8333-3CF2047942BE}"/>
    <cellStyle name="Note 3 2 2 2 4 4" xfId="10376" xr:uid="{758C5F24-AF67-4675-B700-339D91E5A2F0}"/>
    <cellStyle name="Note 3 2 2 2 5" xfId="2258" xr:uid="{00000000-0005-0000-0000-00005D210000}"/>
    <cellStyle name="Note 3 2 2 2 5 2" xfId="4487" xr:uid="{00000000-0005-0000-0000-00005E210000}"/>
    <cellStyle name="Note 3 2 2 2 5 2 2" xfId="8710" xr:uid="{00000000-0005-0000-0000-00005F210000}"/>
    <cellStyle name="Note 3 2 2 2 5 2 2 2" xfId="17152" xr:uid="{9B0FD49C-B388-43C1-8285-3A051A7BE767}"/>
    <cellStyle name="Note 3 2 2 2 5 2 3" xfId="12934" xr:uid="{850968CF-6B96-41E0-BA03-BAECA74418D4}"/>
    <cellStyle name="Note 3 2 2 2 5 3" xfId="6565" xr:uid="{00000000-0005-0000-0000-000060210000}"/>
    <cellStyle name="Note 3 2 2 2 5 3 2" xfId="15007" xr:uid="{2CF49C17-0A0F-44AB-9969-ABE6900347A1}"/>
    <cellStyle name="Note 3 2 2 2 5 4" xfId="10789" xr:uid="{E65F80AC-91F1-435A-9094-DCFC435B72B8}"/>
    <cellStyle name="Note 3 2 2 2 6" xfId="2694" xr:uid="{00000000-0005-0000-0000-000061210000}"/>
    <cellStyle name="Note 3 2 2 2 6 2" xfId="6978" xr:uid="{00000000-0005-0000-0000-000062210000}"/>
    <cellStyle name="Note 3 2 2 2 6 2 2" xfId="15420" xr:uid="{BDB81FF2-22DE-4707-B4FE-A578A4285019}"/>
    <cellStyle name="Note 3 2 2 2 6 3" xfId="11202" xr:uid="{A35D14E7-4253-4C96-95C6-32DE0896355A}"/>
    <cellStyle name="Note 3 2 2 2 7" xfId="2753" xr:uid="{00000000-0005-0000-0000-000063210000}"/>
    <cellStyle name="Note 3 2 2 2 8" xfId="2834" xr:uid="{00000000-0005-0000-0000-000064210000}"/>
    <cellStyle name="Note 3 2 2 2 8 2" xfId="7058" xr:uid="{00000000-0005-0000-0000-000065210000}"/>
    <cellStyle name="Note 3 2 2 2 8 2 2" xfId="15500" xr:uid="{21D750DB-3BCF-4B78-9685-E18119E4B5C0}"/>
    <cellStyle name="Note 3 2 2 2 8 3" xfId="11282" xr:uid="{E58C2EB2-0EF4-4E0F-BFDD-7B33C39ABDF3}"/>
    <cellStyle name="Note 3 2 2 2 9" xfId="4913" xr:uid="{00000000-0005-0000-0000-000066210000}"/>
    <cellStyle name="Note 3 2 2 2 9 2" xfId="13355" xr:uid="{A4B2D78A-698E-4571-B7DF-4B1791C3861A}"/>
    <cellStyle name="Note 3 2 2 3" xfId="1015" xr:uid="{00000000-0005-0000-0000-000067210000}"/>
    <cellStyle name="Note 3 2 2 3 2" xfId="3247" xr:uid="{00000000-0005-0000-0000-000068210000}"/>
    <cellStyle name="Note 3 2 2 3 2 2" xfId="7470" xr:uid="{00000000-0005-0000-0000-000069210000}"/>
    <cellStyle name="Note 3 2 2 3 2 2 2" xfId="15912" xr:uid="{303366B8-3B01-4B40-933D-81B83E51EF1F}"/>
    <cellStyle name="Note 3 2 2 3 2 3" xfId="11694" xr:uid="{DFE29C0D-34D5-4D6B-AF89-74686754145E}"/>
    <cellStyle name="Note 3 2 2 3 3" xfId="5325" xr:uid="{00000000-0005-0000-0000-00006A210000}"/>
    <cellStyle name="Note 3 2 2 3 3 2" xfId="13767" xr:uid="{A46417A4-939A-4846-9EA5-83452DF4B603}"/>
    <cellStyle name="Note 3 2 2 3 4" xfId="9549" xr:uid="{6618BF21-2296-4ADA-A707-8A8B6F5A8163}"/>
    <cellStyle name="Note 3 2 2 4" xfId="1430" xr:uid="{00000000-0005-0000-0000-00006B210000}"/>
    <cellStyle name="Note 3 2 2 4 2" xfId="3660" xr:uid="{00000000-0005-0000-0000-00006C210000}"/>
    <cellStyle name="Note 3 2 2 4 2 2" xfId="7883" xr:uid="{00000000-0005-0000-0000-00006D210000}"/>
    <cellStyle name="Note 3 2 2 4 2 2 2" xfId="16325" xr:uid="{B8FC8441-CCD3-42D4-B94E-BF72992DF4FC}"/>
    <cellStyle name="Note 3 2 2 4 2 3" xfId="12107" xr:uid="{33D8D5A7-BD8F-4375-8713-31358A8BAB2C}"/>
    <cellStyle name="Note 3 2 2 4 3" xfId="5738" xr:uid="{00000000-0005-0000-0000-00006E210000}"/>
    <cellStyle name="Note 3 2 2 4 3 2" xfId="14180" xr:uid="{2BC5F349-D9A5-4A78-9B7C-C0DA16CF0726}"/>
    <cellStyle name="Note 3 2 2 4 4" xfId="9962" xr:uid="{FDFAA9DB-E6BB-474D-9E45-AB0D41BDB160}"/>
    <cellStyle name="Note 3 2 2 5" xfId="1844" xr:uid="{00000000-0005-0000-0000-00006F210000}"/>
    <cellStyle name="Note 3 2 2 5 2" xfId="4073" xr:uid="{00000000-0005-0000-0000-000070210000}"/>
    <cellStyle name="Note 3 2 2 5 2 2" xfId="8296" xr:uid="{00000000-0005-0000-0000-000071210000}"/>
    <cellStyle name="Note 3 2 2 5 2 2 2" xfId="16738" xr:uid="{A67EB604-8065-48F7-84C1-4B52C2069FCC}"/>
    <cellStyle name="Note 3 2 2 5 2 3" xfId="12520" xr:uid="{02350731-6DB7-4D3C-8DE2-2CCC1AEB831A}"/>
    <cellStyle name="Note 3 2 2 5 3" xfId="6151" xr:uid="{00000000-0005-0000-0000-000072210000}"/>
    <cellStyle name="Note 3 2 2 5 3 2" xfId="14593" xr:uid="{2FB4AA85-9BEF-48C6-9DC7-A9AC0711CEE8}"/>
    <cellStyle name="Note 3 2 2 5 4" xfId="10375" xr:uid="{067E5BDE-5964-4D5D-A3E8-CA48AFB705F6}"/>
    <cellStyle name="Note 3 2 2 6" xfId="2257" xr:uid="{00000000-0005-0000-0000-000073210000}"/>
    <cellStyle name="Note 3 2 2 6 2" xfId="4486" xr:uid="{00000000-0005-0000-0000-000074210000}"/>
    <cellStyle name="Note 3 2 2 6 2 2" xfId="8709" xr:uid="{00000000-0005-0000-0000-000075210000}"/>
    <cellStyle name="Note 3 2 2 6 2 2 2" xfId="17151" xr:uid="{954CFF13-82B9-42DA-8CBF-CC1AB8547F46}"/>
    <cellStyle name="Note 3 2 2 6 2 3" xfId="12933" xr:uid="{AD7633DC-2D39-4384-BB69-8746688E2F24}"/>
    <cellStyle name="Note 3 2 2 6 3" xfId="6564" xr:uid="{00000000-0005-0000-0000-000076210000}"/>
    <cellStyle name="Note 3 2 2 6 3 2" xfId="15006" xr:uid="{1CE347D0-59F5-4AE2-8486-2F897A7893CC}"/>
    <cellStyle name="Note 3 2 2 6 4" xfId="10788" xr:uid="{F0DFB527-7E4F-4ED0-99DA-7B1EEFBF6A45}"/>
    <cellStyle name="Note 3 2 2 7" xfId="2693" xr:uid="{00000000-0005-0000-0000-000077210000}"/>
    <cellStyle name="Note 3 2 2 7 2" xfId="6977" xr:uid="{00000000-0005-0000-0000-000078210000}"/>
    <cellStyle name="Note 3 2 2 7 2 2" xfId="15419" xr:uid="{71C3E478-3312-489E-8D17-7AFFDB0A0B1B}"/>
    <cellStyle name="Note 3 2 2 7 3" xfId="11201" xr:uid="{89822E79-A7C1-487C-9DDE-A87B1B99F5B0}"/>
    <cellStyle name="Note 3 2 2 8" xfId="2752" xr:uid="{00000000-0005-0000-0000-000079210000}"/>
    <cellStyle name="Note 3 2 2 9" xfId="2833" xr:uid="{00000000-0005-0000-0000-00007A210000}"/>
    <cellStyle name="Note 3 2 2 9 2" xfId="7057" xr:uid="{00000000-0005-0000-0000-00007B210000}"/>
    <cellStyle name="Note 3 2 2 9 2 2" xfId="15499" xr:uid="{0FC8E30D-8A6C-4687-A659-C8CF67FC422F}"/>
    <cellStyle name="Note 3 2 2 9 3" xfId="11281" xr:uid="{24E27FDB-A837-405D-B73F-AFD5B68A9580}"/>
    <cellStyle name="Note 3 2 3" xfId="557" xr:uid="{00000000-0005-0000-0000-00007C210000}"/>
    <cellStyle name="Note 3 2 3 10" xfId="9138" xr:uid="{4ED0DBCE-B65F-4095-9319-685CF822087B}"/>
    <cellStyle name="Note 3 2 3 2" xfId="1017" xr:uid="{00000000-0005-0000-0000-00007D210000}"/>
    <cellStyle name="Note 3 2 3 2 2" xfId="3249" xr:uid="{00000000-0005-0000-0000-00007E210000}"/>
    <cellStyle name="Note 3 2 3 2 2 2" xfId="7472" xr:uid="{00000000-0005-0000-0000-00007F210000}"/>
    <cellStyle name="Note 3 2 3 2 2 2 2" xfId="15914" xr:uid="{6C5C460E-A546-40E3-9368-23CB23D616E3}"/>
    <cellStyle name="Note 3 2 3 2 2 3" xfId="11696" xr:uid="{B0455657-8DF5-4D8C-BE49-42F9F2B826DD}"/>
    <cellStyle name="Note 3 2 3 2 3" xfId="5327" xr:uid="{00000000-0005-0000-0000-000080210000}"/>
    <cellStyle name="Note 3 2 3 2 3 2" xfId="13769" xr:uid="{0B3AED62-F9B1-488B-ADB7-D693F1B6DC9E}"/>
    <cellStyle name="Note 3 2 3 2 4" xfId="9551" xr:uid="{F54BA514-95BD-4618-BF08-43EE540F7731}"/>
    <cellStyle name="Note 3 2 3 3" xfId="1432" xr:uid="{00000000-0005-0000-0000-000081210000}"/>
    <cellStyle name="Note 3 2 3 3 2" xfId="3662" xr:uid="{00000000-0005-0000-0000-000082210000}"/>
    <cellStyle name="Note 3 2 3 3 2 2" xfId="7885" xr:uid="{00000000-0005-0000-0000-000083210000}"/>
    <cellStyle name="Note 3 2 3 3 2 2 2" xfId="16327" xr:uid="{E92D8EC4-246D-4B71-98CD-88120C0AAC0E}"/>
    <cellStyle name="Note 3 2 3 3 2 3" xfId="12109" xr:uid="{8D4BF65F-EC8E-4D69-81EB-900A3DAEAC88}"/>
    <cellStyle name="Note 3 2 3 3 3" xfId="5740" xr:uid="{00000000-0005-0000-0000-000084210000}"/>
    <cellStyle name="Note 3 2 3 3 3 2" xfId="14182" xr:uid="{107EDFE6-F9CE-4C96-8184-7DC40934952E}"/>
    <cellStyle name="Note 3 2 3 3 4" xfId="9964" xr:uid="{286F38F4-70F8-4C5A-9F3E-3BABEAA2C882}"/>
    <cellStyle name="Note 3 2 3 4" xfId="1846" xr:uid="{00000000-0005-0000-0000-000085210000}"/>
    <cellStyle name="Note 3 2 3 4 2" xfId="4075" xr:uid="{00000000-0005-0000-0000-000086210000}"/>
    <cellStyle name="Note 3 2 3 4 2 2" xfId="8298" xr:uid="{00000000-0005-0000-0000-000087210000}"/>
    <cellStyle name="Note 3 2 3 4 2 2 2" xfId="16740" xr:uid="{26835C05-3889-4933-9EC8-89D150C8786C}"/>
    <cellStyle name="Note 3 2 3 4 2 3" xfId="12522" xr:uid="{4F4D329B-FC40-4416-AD30-7C8E7AC23207}"/>
    <cellStyle name="Note 3 2 3 4 3" xfId="6153" xr:uid="{00000000-0005-0000-0000-000088210000}"/>
    <cellStyle name="Note 3 2 3 4 3 2" xfId="14595" xr:uid="{0AE67DCD-4A74-443D-BB16-60DD3E0CB9AE}"/>
    <cellStyle name="Note 3 2 3 4 4" xfId="10377" xr:uid="{62F2FEAD-65B6-4931-9B02-02A7D2080BD0}"/>
    <cellStyle name="Note 3 2 3 5" xfId="2259" xr:uid="{00000000-0005-0000-0000-000089210000}"/>
    <cellStyle name="Note 3 2 3 5 2" xfId="4488" xr:uid="{00000000-0005-0000-0000-00008A210000}"/>
    <cellStyle name="Note 3 2 3 5 2 2" xfId="8711" xr:uid="{00000000-0005-0000-0000-00008B210000}"/>
    <cellStyle name="Note 3 2 3 5 2 2 2" xfId="17153" xr:uid="{093ADB63-8865-4AA9-9FAB-062235507481}"/>
    <cellStyle name="Note 3 2 3 5 2 3" xfId="12935" xr:uid="{F6B29D7F-4AFF-4746-8D37-E4C629A14FA6}"/>
    <cellStyle name="Note 3 2 3 5 3" xfId="6566" xr:uid="{00000000-0005-0000-0000-00008C210000}"/>
    <cellStyle name="Note 3 2 3 5 3 2" xfId="15008" xr:uid="{1D0059B9-87E7-472F-B782-05BB4CA174AB}"/>
    <cellStyle name="Note 3 2 3 5 4" xfId="10790" xr:uid="{2659E9B2-BE73-4B45-8396-80E9E445C876}"/>
    <cellStyle name="Note 3 2 3 6" xfId="2695" xr:uid="{00000000-0005-0000-0000-00008D210000}"/>
    <cellStyle name="Note 3 2 3 6 2" xfId="6979" xr:uid="{00000000-0005-0000-0000-00008E210000}"/>
    <cellStyle name="Note 3 2 3 6 2 2" xfId="15421" xr:uid="{C07A18A6-77B8-4FD5-9063-A362D57E68AE}"/>
    <cellStyle name="Note 3 2 3 6 3" xfId="11203" xr:uid="{9E79DF0E-9ACE-4B44-95F0-4099274BAD39}"/>
    <cellStyle name="Note 3 2 3 7" xfId="2754" xr:uid="{00000000-0005-0000-0000-00008F210000}"/>
    <cellStyle name="Note 3 2 3 8" xfId="2835" xr:uid="{00000000-0005-0000-0000-000090210000}"/>
    <cellStyle name="Note 3 2 3 8 2" xfId="7059" xr:uid="{00000000-0005-0000-0000-000091210000}"/>
    <cellStyle name="Note 3 2 3 8 2 2" xfId="15501" xr:uid="{14AF946B-39A0-4650-8B58-68DE8DC0313B}"/>
    <cellStyle name="Note 3 2 3 8 3" xfId="11283" xr:uid="{ECA992BC-8A45-46FB-BDB4-14D45D8466BA}"/>
    <cellStyle name="Note 3 2 3 9" xfId="4914" xr:uid="{00000000-0005-0000-0000-000092210000}"/>
    <cellStyle name="Note 3 2 3 9 2" xfId="13356" xr:uid="{8897B8AA-0382-4022-ABB6-2BED2C7BC324}"/>
    <cellStyle name="Note 3 2 4" xfId="1014" xr:uid="{00000000-0005-0000-0000-000093210000}"/>
    <cellStyle name="Note 3 2 4 2" xfId="3246" xr:uid="{00000000-0005-0000-0000-000094210000}"/>
    <cellStyle name="Note 3 2 4 2 2" xfId="7469" xr:uid="{00000000-0005-0000-0000-000095210000}"/>
    <cellStyle name="Note 3 2 4 2 2 2" xfId="15911" xr:uid="{4E8BFF23-BEB2-4C5A-A25E-594C2EE7B19C}"/>
    <cellStyle name="Note 3 2 4 2 3" xfId="11693" xr:uid="{F4865BEC-EFCD-4BA6-8165-3DF81396F1BC}"/>
    <cellStyle name="Note 3 2 4 3" xfId="5324" xr:uid="{00000000-0005-0000-0000-000096210000}"/>
    <cellStyle name="Note 3 2 4 3 2" xfId="13766" xr:uid="{60E26D61-8F75-4094-9333-C95CDF7E8507}"/>
    <cellStyle name="Note 3 2 4 4" xfId="9548" xr:uid="{73CDD4D5-4775-4D41-BF2D-B32C6637B9AF}"/>
    <cellStyle name="Note 3 2 5" xfId="1429" xr:uid="{00000000-0005-0000-0000-000097210000}"/>
    <cellStyle name="Note 3 2 5 2" xfId="3659" xr:uid="{00000000-0005-0000-0000-000098210000}"/>
    <cellStyle name="Note 3 2 5 2 2" xfId="7882" xr:uid="{00000000-0005-0000-0000-000099210000}"/>
    <cellStyle name="Note 3 2 5 2 2 2" xfId="16324" xr:uid="{518D10F2-80DD-488F-92BF-7F9036AFE53E}"/>
    <cellStyle name="Note 3 2 5 2 3" xfId="12106" xr:uid="{59A7010B-F6D4-4751-9B7C-32F55ECE182F}"/>
    <cellStyle name="Note 3 2 5 3" xfId="5737" xr:uid="{00000000-0005-0000-0000-00009A210000}"/>
    <cellStyle name="Note 3 2 5 3 2" xfId="14179" xr:uid="{2E9C95BC-81DF-43AC-86B6-7EB7B31CEA1E}"/>
    <cellStyle name="Note 3 2 5 4" xfId="9961" xr:uid="{66DCCCFF-4A06-440A-AD84-E38274A71467}"/>
    <cellStyle name="Note 3 2 6" xfId="1843" xr:uid="{00000000-0005-0000-0000-00009B210000}"/>
    <cellStyle name="Note 3 2 6 2" xfId="4072" xr:uid="{00000000-0005-0000-0000-00009C210000}"/>
    <cellStyle name="Note 3 2 6 2 2" xfId="8295" xr:uid="{00000000-0005-0000-0000-00009D210000}"/>
    <cellStyle name="Note 3 2 6 2 2 2" xfId="16737" xr:uid="{2D182E2C-7E30-4BAD-9BB0-68756F5CB277}"/>
    <cellStyle name="Note 3 2 6 2 3" xfId="12519" xr:uid="{34C9029C-7E40-4C83-9438-10BD185FC9F0}"/>
    <cellStyle name="Note 3 2 6 3" xfId="6150" xr:uid="{00000000-0005-0000-0000-00009E210000}"/>
    <cellStyle name="Note 3 2 6 3 2" xfId="14592" xr:uid="{313C37D5-6D26-41DF-AE6D-D35548FE9166}"/>
    <cellStyle name="Note 3 2 6 4" xfId="10374" xr:uid="{0032F063-A216-462F-A2FD-45026D2FBCC6}"/>
    <cellStyle name="Note 3 2 7" xfId="2256" xr:uid="{00000000-0005-0000-0000-00009F210000}"/>
    <cellStyle name="Note 3 2 7 2" xfId="4485" xr:uid="{00000000-0005-0000-0000-0000A0210000}"/>
    <cellStyle name="Note 3 2 7 2 2" xfId="8708" xr:uid="{00000000-0005-0000-0000-0000A1210000}"/>
    <cellStyle name="Note 3 2 7 2 2 2" xfId="17150" xr:uid="{26DEE4AD-2BAF-44D8-B660-CC9FB5180C48}"/>
    <cellStyle name="Note 3 2 7 2 3" xfId="12932" xr:uid="{834D5079-53D5-4A14-92C9-B7C99BC3BB44}"/>
    <cellStyle name="Note 3 2 7 3" xfId="6563" xr:uid="{00000000-0005-0000-0000-0000A2210000}"/>
    <cellStyle name="Note 3 2 7 3 2" xfId="15005" xr:uid="{478AE3DE-BE25-40FE-BCCC-5380D4718AA3}"/>
    <cellStyle name="Note 3 2 7 4" xfId="10787" xr:uid="{67059E8F-B6F5-4087-9442-E8813A5E5BCD}"/>
    <cellStyle name="Note 3 2 8" xfId="2692" xr:uid="{00000000-0005-0000-0000-0000A3210000}"/>
    <cellStyle name="Note 3 2 8 2" xfId="6976" xr:uid="{00000000-0005-0000-0000-0000A4210000}"/>
    <cellStyle name="Note 3 2 8 2 2" xfId="15418" xr:uid="{0CA6688E-CAE1-4290-A72F-259295E062FF}"/>
    <cellStyle name="Note 3 2 8 3" xfId="11200" xr:uid="{BCF3A235-54E7-48EE-8D1A-4E62B95D6F67}"/>
    <cellStyle name="Note 3 2 9" xfId="2751" xr:uid="{00000000-0005-0000-0000-0000A5210000}"/>
    <cellStyle name="Note 3 3" xfId="558" xr:uid="{00000000-0005-0000-0000-0000A6210000}"/>
    <cellStyle name="Note 3 3 10" xfId="4915" xr:uid="{00000000-0005-0000-0000-0000A7210000}"/>
    <cellStyle name="Note 3 3 10 2" xfId="13357" xr:uid="{805958F3-95D0-476C-B9A2-0B002364AD9C}"/>
    <cellStyle name="Note 3 3 11" xfId="9139" xr:uid="{C101E5C6-A216-4114-ADF6-14BC3BDA4461}"/>
    <cellStyle name="Note 3 3 2" xfId="559" xr:uid="{00000000-0005-0000-0000-0000A8210000}"/>
    <cellStyle name="Note 3 3 2 10" xfId="9140" xr:uid="{170A928B-B289-4190-89BA-D7FD40F99B88}"/>
    <cellStyle name="Note 3 3 2 2" xfId="1019" xr:uid="{00000000-0005-0000-0000-0000A9210000}"/>
    <cellStyle name="Note 3 3 2 2 2" xfId="3251" xr:uid="{00000000-0005-0000-0000-0000AA210000}"/>
    <cellStyle name="Note 3 3 2 2 2 2" xfId="7474" xr:uid="{00000000-0005-0000-0000-0000AB210000}"/>
    <cellStyle name="Note 3 3 2 2 2 2 2" xfId="15916" xr:uid="{965FDA6E-2E47-4D50-87D5-3553BAD96467}"/>
    <cellStyle name="Note 3 3 2 2 2 3" xfId="11698" xr:uid="{32D9E3CA-E000-442D-9B84-09C4AFCB64E1}"/>
    <cellStyle name="Note 3 3 2 2 3" xfId="5329" xr:uid="{00000000-0005-0000-0000-0000AC210000}"/>
    <cellStyle name="Note 3 3 2 2 3 2" xfId="13771" xr:uid="{8AC2140B-9E4D-4F10-ACD3-F163ECC1F8BF}"/>
    <cellStyle name="Note 3 3 2 2 4" xfId="9553" xr:uid="{E8AEA1EE-F8F2-4D73-BA9B-EBC015A424C0}"/>
    <cellStyle name="Note 3 3 2 3" xfId="1434" xr:uid="{00000000-0005-0000-0000-0000AD210000}"/>
    <cellStyle name="Note 3 3 2 3 2" xfId="3664" xr:uid="{00000000-0005-0000-0000-0000AE210000}"/>
    <cellStyle name="Note 3 3 2 3 2 2" xfId="7887" xr:uid="{00000000-0005-0000-0000-0000AF210000}"/>
    <cellStyle name="Note 3 3 2 3 2 2 2" xfId="16329" xr:uid="{6429E150-66C3-43C2-825B-22EEEBE9AA58}"/>
    <cellStyle name="Note 3 3 2 3 2 3" xfId="12111" xr:uid="{E9708D42-72FD-4971-AFBE-D7C8D3DC947A}"/>
    <cellStyle name="Note 3 3 2 3 3" xfId="5742" xr:uid="{00000000-0005-0000-0000-0000B0210000}"/>
    <cellStyle name="Note 3 3 2 3 3 2" xfId="14184" xr:uid="{8B07E22D-1AB4-4287-852B-C7B256028AAC}"/>
    <cellStyle name="Note 3 3 2 3 4" xfId="9966" xr:uid="{F116B14C-8ED9-42CB-AE07-F54F122BF899}"/>
    <cellStyle name="Note 3 3 2 4" xfId="1848" xr:uid="{00000000-0005-0000-0000-0000B1210000}"/>
    <cellStyle name="Note 3 3 2 4 2" xfId="4077" xr:uid="{00000000-0005-0000-0000-0000B2210000}"/>
    <cellStyle name="Note 3 3 2 4 2 2" xfId="8300" xr:uid="{00000000-0005-0000-0000-0000B3210000}"/>
    <cellStyle name="Note 3 3 2 4 2 2 2" xfId="16742" xr:uid="{5D643BAC-DDB4-402E-8FEA-746C656B4628}"/>
    <cellStyle name="Note 3 3 2 4 2 3" xfId="12524" xr:uid="{A3509BCA-FD0A-44D0-969F-FD3B4997A1A7}"/>
    <cellStyle name="Note 3 3 2 4 3" xfId="6155" xr:uid="{00000000-0005-0000-0000-0000B4210000}"/>
    <cellStyle name="Note 3 3 2 4 3 2" xfId="14597" xr:uid="{A7D12098-4F0D-4446-A34D-90AF49C93701}"/>
    <cellStyle name="Note 3 3 2 4 4" xfId="10379" xr:uid="{48A56387-D210-4EEE-9C9C-3808A4DC9A92}"/>
    <cellStyle name="Note 3 3 2 5" xfId="2261" xr:uid="{00000000-0005-0000-0000-0000B5210000}"/>
    <cellStyle name="Note 3 3 2 5 2" xfId="4490" xr:uid="{00000000-0005-0000-0000-0000B6210000}"/>
    <cellStyle name="Note 3 3 2 5 2 2" xfId="8713" xr:uid="{00000000-0005-0000-0000-0000B7210000}"/>
    <cellStyle name="Note 3 3 2 5 2 2 2" xfId="17155" xr:uid="{729FDCA6-0BA1-45DB-8A41-1C49C5BAE87B}"/>
    <cellStyle name="Note 3 3 2 5 2 3" xfId="12937" xr:uid="{5A5AF234-0625-439F-91EE-FDD813B3A383}"/>
    <cellStyle name="Note 3 3 2 5 3" xfId="6568" xr:uid="{00000000-0005-0000-0000-0000B8210000}"/>
    <cellStyle name="Note 3 3 2 5 3 2" xfId="15010" xr:uid="{BDB1A39D-CD48-4CE5-BCC3-3C3E805AB696}"/>
    <cellStyle name="Note 3 3 2 5 4" xfId="10792" xr:uid="{68F1BBDD-ABBB-492F-AB1C-3C04178E8590}"/>
    <cellStyle name="Note 3 3 2 6" xfId="2697" xr:uid="{00000000-0005-0000-0000-0000B9210000}"/>
    <cellStyle name="Note 3 3 2 6 2" xfId="6981" xr:uid="{00000000-0005-0000-0000-0000BA210000}"/>
    <cellStyle name="Note 3 3 2 6 2 2" xfId="15423" xr:uid="{E774BEE1-17A1-4EF4-A993-8124C7436F8C}"/>
    <cellStyle name="Note 3 3 2 6 3" xfId="11205" xr:uid="{BB8526C0-071C-4448-A2F0-F3B3FEF9BA8C}"/>
    <cellStyle name="Note 3 3 2 7" xfId="2756" xr:uid="{00000000-0005-0000-0000-0000BB210000}"/>
    <cellStyle name="Note 3 3 2 8" xfId="2837" xr:uid="{00000000-0005-0000-0000-0000BC210000}"/>
    <cellStyle name="Note 3 3 2 8 2" xfId="7061" xr:uid="{00000000-0005-0000-0000-0000BD210000}"/>
    <cellStyle name="Note 3 3 2 8 2 2" xfId="15503" xr:uid="{6F6AC197-D266-4DC9-87B7-6768B15E0BDD}"/>
    <cellStyle name="Note 3 3 2 8 3" xfId="11285" xr:uid="{F6A5282F-C8B1-4783-A336-A341209CF8A0}"/>
    <cellStyle name="Note 3 3 2 9" xfId="4916" xr:uid="{00000000-0005-0000-0000-0000BE210000}"/>
    <cellStyle name="Note 3 3 2 9 2" xfId="13358" xr:uid="{41943999-3FDA-482B-B752-C18473E8D320}"/>
    <cellStyle name="Note 3 3 3" xfId="1018" xr:uid="{00000000-0005-0000-0000-0000BF210000}"/>
    <cellStyle name="Note 3 3 3 2" xfId="3250" xr:uid="{00000000-0005-0000-0000-0000C0210000}"/>
    <cellStyle name="Note 3 3 3 2 2" xfId="7473" xr:uid="{00000000-0005-0000-0000-0000C1210000}"/>
    <cellStyle name="Note 3 3 3 2 2 2" xfId="15915" xr:uid="{94458D61-962C-4D3A-806F-E7FDFE95DB3F}"/>
    <cellStyle name="Note 3 3 3 2 3" xfId="11697" xr:uid="{47DFB6F1-8BAC-455B-9A2F-BC82068FDF22}"/>
    <cellStyle name="Note 3 3 3 3" xfId="5328" xr:uid="{00000000-0005-0000-0000-0000C2210000}"/>
    <cellStyle name="Note 3 3 3 3 2" xfId="13770" xr:uid="{33AC9D8E-91D0-444F-87B2-0D7A120CA103}"/>
    <cellStyle name="Note 3 3 3 4" xfId="9552" xr:uid="{DE48E4B0-A238-49ED-BACD-EAB1DF687FB4}"/>
    <cellStyle name="Note 3 3 4" xfId="1433" xr:uid="{00000000-0005-0000-0000-0000C3210000}"/>
    <cellStyle name="Note 3 3 4 2" xfId="3663" xr:uid="{00000000-0005-0000-0000-0000C4210000}"/>
    <cellStyle name="Note 3 3 4 2 2" xfId="7886" xr:uid="{00000000-0005-0000-0000-0000C5210000}"/>
    <cellStyle name="Note 3 3 4 2 2 2" xfId="16328" xr:uid="{11C5E147-3669-4046-9CC4-E1EAFE12F560}"/>
    <cellStyle name="Note 3 3 4 2 3" xfId="12110" xr:uid="{597EBA74-C465-40CB-9FC7-EE1FAF45F316}"/>
    <cellStyle name="Note 3 3 4 3" xfId="5741" xr:uid="{00000000-0005-0000-0000-0000C6210000}"/>
    <cellStyle name="Note 3 3 4 3 2" xfId="14183" xr:uid="{6920538B-7757-4CE1-993C-3BDA84A097EF}"/>
    <cellStyle name="Note 3 3 4 4" xfId="9965" xr:uid="{C37A5BFC-55E3-45EF-A151-EE3B94079319}"/>
    <cellStyle name="Note 3 3 5" xfId="1847" xr:uid="{00000000-0005-0000-0000-0000C7210000}"/>
    <cellStyle name="Note 3 3 5 2" xfId="4076" xr:uid="{00000000-0005-0000-0000-0000C8210000}"/>
    <cellStyle name="Note 3 3 5 2 2" xfId="8299" xr:uid="{00000000-0005-0000-0000-0000C9210000}"/>
    <cellStyle name="Note 3 3 5 2 2 2" xfId="16741" xr:uid="{0D1A9B62-1014-48D4-9D01-5449252AF659}"/>
    <cellStyle name="Note 3 3 5 2 3" xfId="12523" xr:uid="{67FC6EAF-36CE-45A3-A409-785A42AAD8FB}"/>
    <cellStyle name="Note 3 3 5 3" xfId="6154" xr:uid="{00000000-0005-0000-0000-0000CA210000}"/>
    <cellStyle name="Note 3 3 5 3 2" xfId="14596" xr:uid="{5D2A6B89-70C5-4CD1-82A6-EF27C02FA77D}"/>
    <cellStyle name="Note 3 3 5 4" xfId="10378" xr:uid="{2E3BF251-B7E1-4913-8E71-4C6F4E2D086E}"/>
    <cellStyle name="Note 3 3 6" xfId="2260" xr:uid="{00000000-0005-0000-0000-0000CB210000}"/>
    <cellStyle name="Note 3 3 6 2" xfId="4489" xr:uid="{00000000-0005-0000-0000-0000CC210000}"/>
    <cellStyle name="Note 3 3 6 2 2" xfId="8712" xr:uid="{00000000-0005-0000-0000-0000CD210000}"/>
    <cellStyle name="Note 3 3 6 2 2 2" xfId="17154" xr:uid="{F68D558E-ADEB-48E1-B1D9-441980BBD641}"/>
    <cellStyle name="Note 3 3 6 2 3" xfId="12936" xr:uid="{FC07C840-0EAD-4356-8E6E-AE23A09ED2C5}"/>
    <cellStyle name="Note 3 3 6 3" xfId="6567" xr:uid="{00000000-0005-0000-0000-0000CE210000}"/>
    <cellStyle name="Note 3 3 6 3 2" xfId="15009" xr:uid="{DEB5A449-0741-4805-93DD-A62812EEC613}"/>
    <cellStyle name="Note 3 3 6 4" xfId="10791" xr:uid="{535A346A-5078-4722-96D9-EF14B706E7D8}"/>
    <cellStyle name="Note 3 3 7" xfId="2696" xr:uid="{00000000-0005-0000-0000-0000CF210000}"/>
    <cellStyle name="Note 3 3 7 2" xfId="6980" xr:uid="{00000000-0005-0000-0000-0000D0210000}"/>
    <cellStyle name="Note 3 3 7 2 2" xfId="15422" xr:uid="{1FB4FCB0-2F58-41C2-9422-8B932E3462CC}"/>
    <cellStyle name="Note 3 3 7 3" xfId="11204" xr:uid="{DF64F856-E283-4063-AF82-12576B651AA5}"/>
    <cellStyle name="Note 3 3 8" xfId="2755" xr:uid="{00000000-0005-0000-0000-0000D1210000}"/>
    <cellStyle name="Note 3 3 9" xfId="2836" xr:uid="{00000000-0005-0000-0000-0000D2210000}"/>
    <cellStyle name="Note 3 3 9 2" xfId="7060" xr:uid="{00000000-0005-0000-0000-0000D3210000}"/>
    <cellStyle name="Note 3 3 9 2 2" xfId="15502" xr:uid="{4E385846-772F-4ECE-9CEB-4486073F01BD}"/>
    <cellStyle name="Note 3 3 9 3" xfId="11284" xr:uid="{E80C038F-D44B-4946-8A73-2B23E78A1DC7}"/>
    <cellStyle name="Note 3 4" xfId="560" xr:uid="{00000000-0005-0000-0000-0000D4210000}"/>
    <cellStyle name="Note 3 4 10" xfId="9141" xr:uid="{866AAFBA-F9EA-45D5-857E-268CB3FB2808}"/>
    <cellStyle name="Note 3 4 2" xfId="1020" xr:uid="{00000000-0005-0000-0000-0000D5210000}"/>
    <cellStyle name="Note 3 4 2 2" xfId="3252" xr:uid="{00000000-0005-0000-0000-0000D6210000}"/>
    <cellStyle name="Note 3 4 2 2 2" xfId="7475" xr:uid="{00000000-0005-0000-0000-0000D7210000}"/>
    <cellStyle name="Note 3 4 2 2 2 2" xfId="15917" xr:uid="{7D513117-3D5D-420E-8A03-9BC75739AFFE}"/>
    <cellStyle name="Note 3 4 2 2 3" xfId="11699" xr:uid="{6AB5E109-7AF1-477D-B395-84F3FF16FD03}"/>
    <cellStyle name="Note 3 4 2 3" xfId="5330" xr:uid="{00000000-0005-0000-0000-0000D8210000}"/>
    <cellStyle name="Note 3 4 2 3 2" xfId="13772" xr:uid="{9DE1F15F-1C6B-4142-8B98-818AC363A2EF}"/>
    <cellStyle name="Note 3 4 2 4" xfId="9554" xr:uid="{44458D03-5BEB-49B2-A1F0-E0C0D532CA5A}"/>
    <cellStyle name="Note 3 4 3" xfId="1435" xr:uid="{00000000-0005-0000-0000-0000D9210000}"/>
    <cellStyle name="Note 3 4 3 2" xfId="3665" xr:uid="{00000000-0005-0000-0000-0000DA210000}"/>
    <cellStyle name="Note 3 4 3 2 2" xfId="7888" xr:uid="{00000000-0005-0000-0000-0000DB210000}"/>
    <cellStyle name="Note 3 4 3 2 2 2" xfId="16330" xr:uid="{C9E34769-E66C-4112-9BAF-491C36D00673}"/>
    <cellStyle name="Note 3 4 3 2 3" xfId="12112" xr:uid="{BC257B9E-213F-4CDC-8ACF-58FB6EA56DA7}"/>
    <cellStyle name="Note 3 4 3 3" xfId="5743" xr:uid="{00000000-0005-0000-0000-0000DC210000}"/>
    <cellStyle name="Note 3 4 3 3 2" xfId="14185" xr:uid="{834D4118-1CBA-45E2-8271-1C2C9A062A7C}"/>
    <cellStyle name="Note 3 4 3 4" xfId="9967" xr:uid="{FD0F8DDC-5962-491C-B407-50499707EA94}"/>
    <cellStyle name="Note 3 4 4" xfId="1849" xr:uid="{00000000-0005-0000-0000-0000DD210000}"/>
    <cellStyle name="Note 3 4 4 2" xfId="4078" xr:uid="{00000000-0005-0000-0000-0000DE210000}"/>
    <cellStyle name="Note 3 4 4 2 2" xfId="8301" xr:uid="{00000000-0005-0000-0000-0000DF210000}"/>
    <cellStyle name="Note 3 4 4 2 2 2" xfId="16743" xr:uid="{9F8A488D-0228-4BD7-81F8-1F43DA481CA3}"/>
    <cellStyle name="Note 3 4 4 2 3" xfId="12525" xr:uid="{320E54D2-2DD2-4366-A8E3-44427F4D7173}"/>
    <cellStyle name="Note 3 4 4 3" xfId="6156" xr:uid="{00000000-0005-0000-0000-0000E0210000}"/>
    <cellStyle name="Note 3 4 4 3 2" xfId="14598" xr:uid="{BD9FED11-316F-4803-9AC2-7AE793C4BAE8}"/>
    <cellStyle name="Note 3 4 4 4" xfId="10380" xr:uid="{09F26170-B85B-49E4-BEDA-E958BA5FAA41}"/>
    <cellStyle name="Note 3 4 5" xfId="2262" xr:uid="{00000000-0005-0000-0000-0000E1210000}"/>
    <cellStyle name="Note 3 4 5 2" xfId="4491" xr:uid="{00000000-0005-0000-0000-0000E2210000}"/>
    <cellStyle name="Note 3 4 5 2 2" xfId="8714" xr:uid="{00000000-0005-0000-0000-0000E3210000}"/>
    <cellStyle name="Note 3 4 5 2 2 2" xfId="17156" xr:uid="{2960BF66-FFD0-40F9-947E-3447166AE3D2}"/>
    <cellStyle name="Note 3 4 5 2 3" xfId="12938" xr:uid="{FCAC874D-04F9-4118-A99A-1E6AC0BE2D22}"/>
    <cellStyle name="Note 3 4 5 3" xfId="6569" xr:uid="{00000000-0005-0000-0000-0000E4210000}"/>
    <cellStyle name="Note 3 4 5 3 2" xfId="15011" xr:uid="{8DC198D2-7048-4421-A05E-08F79AC7FB71}"/>
    <cellStyle name="Note 3 4 5 4" xfId="10793" xr:uid="{8B87AFD5-E9E8-4598-9C52-209D887F9E67}"/>
    <cellStyle name="Note 3 4 6" xfId="2698" xr:uid="{00000000-0005-0000-0000-0000E5210000}"/>
    <cellStyle name="Note 3 4 6 2" xfId="6982" xr:uid="{00000000-0005-0000-0000-0000E6210000}"/>
    <cellStyle name="Note 3 4 6 2 2" xfId="15424" xr:uid="{6B06BC0F-907E-470B-A200-C25343A57930}"/>
    <cellStyle name="Note 3 4 6 3" xfId="11206" xr:uid="{8D92EB72-6188-477E-B27F-5B87F904CEEA}"/>
    <cellStyle name="Note 3 4 7" xfId="2757" xr:uid="{00000000-0005-0000-0000-0000E7210000}"/>
    <cellStyle name="Note 3 4 8" xfId="2838" xr:uid="{00000000-0005-0000-0000-0000E8210000}"/>
    <cellStyle name="Note 3 4 8 2" xfId="7062" xr:uid="{00000000-0005-0000-0000-0000E9210000}"/>
    <cellStyle name="Note 3 4 8 2 2" xfId="15504" xr:uid="{4C2FA509-DA7B-4B69-8DF0-CF3748E912A6}"/>
    <cellStyle name="Note 3 4 8 3" xfId="11286" xr:uid="{1A13018E-4634-4771-9585-0289A545AA76}"/>
    <cellStyle name="Note 3 4 9" xfId="4917" xr:uid="{00000000-0005-0000-0000-0000EA210000}"/>
    <cellStyle name="Note 3 4 9 2" xfId="13359" xr:uid="{B23CF4E0-D47F-4820-9CE8-0FEB31205E4E}"/>
    <cellStyle name="Note 3 5" xfId="561" xr:uid="{00000000-0005-0000-0000-0000EB210000}"/>
    <cellStyle name="Note 3 5 10" xfId="9142" xr:uid="{F1F89032-6D48-4922-A856-88EC1BDA9659}"/>
    <cellStyle name="Note 3 5 2" xfId="1021" xr:uid="{00000000-0005-0000-0000-0000EC210000}"/>
    <cellStyle name="Note 3 5 2 2" xfId="3253" xr:uid="{00000000-0005-0000-0000-0000ED210000}"/>
    <cellStyle name="Note 3 5 2 2 2" xfId="7476" xr:uid="{00000000-0005-0000-0000-0000EE210000}"/>
    <cellStyle name="Note 3 5 2 2 2 2" xfId="15918" xr:uid="{51B1EF62-46AA-47E0-9924-27B485E2A437}"/>
    <cellStyle name="Note 3 5 2 2 3" xfId="11700" xr:uid="{5DB04F45-8C48-4245-9B2A-371EF07C6350}"/>
    <cellStyle name="Note 3 5 2 3" xfId="5331" xr:uid="{00000000-0005-0000-0000-0000EF210000}"/>
    <cellStyle name="Note 3 5 2 3 2" xfId="13773" xr:uid="{7230EBDE-DDE4-4AA9-A822-FEA68045668B}"/>
    <cellStyle name="Note 3 5 2 4" xfId="9555" xr:uid="{6393DA9F-8307-4F0E-934E-80437D5F20FD}"/>
    <cellStyle name="Note 3 5 3" xfId="1436" xr:uid="{00000000-0005-0000-0000-0000F0210000}"/>
    <cellStyle name="Note 3 5 3 2" xfId="3666" xr:uid="{00000000-0005-0000-0000-0000F1210000}"/>
    <cellStyle name="Note 3 5 3 2 2" xfId="7889" xr:uid="{00000000-0005-0000-0000-0000F2210000}"/>
    <cellStyle name="Note 3 5 3 2 2 2" xfId="16331" xr:uid="{EA728D22-016B-4E00-A7AB-619CF9C91016}"/>
    <cellStyle name="Note 3 5 3 2 3" xfId="12113" xr:uid="{30C13B9D-AA33-4BEA-900E-F62840B4AB0A}"/>
    <cellStyle name="Note 3 5 3 3" xfId="5744" xr:uid="{00000000-0005-0000-0000-0000F3210000}"/>
    <cellStyle name="Note 3 5 3 3 2" xfId="14186" xr:uid="{C0A5C49F-10C9-49EE-A23E-9F21A4B918EA}"/>
    <cellStyle name="Note 3 5 3 4" xfId="9968" xr:uid="{C0D486CF-164E-4C2D-BC7E-B1B448B62CF0}"/>
    <cellStyle name="Note 3 5 4" xfId="1850" xr:uid="{00000000-0005-0000-0000-0000F4210000}"/>
    <cellStyle name="Note 3 5 4 2" xfId="4079" xr:uid="{00000000-0005-0000-0000-0000F5210000}"/>
    <cellStyle name="Note 3 5 4 2 2" xfId="8302" xr:uid="{00000000-0005-0000-0000-0000F6210000}"/>
    <cellStyle name="Note 3 5 4 2 2 2" xfId="16744" xr:uid="{14E840D7-913E-44DB-9404-D8756716CF9F}"/>
    <cellStyle name="Note 3 5 4 2 3" xfId="12526" xr:uid="{0A3BA9C0-B447-4634-B991-4442BEDC91C0}"/>
    <cellStyle name="Note 3 5 4 3" xfId="6157" xr:uid="{00000000-0005-0000-0000-0000F7210000}"/>
    <cellStyle name="Note 3 5 4 3 2" xfId="14599" xr:uid="{11B75A87-CCE6-45E1-BCAC-965A183C5344}"/>
    <cellStyle name="Note 3 5 4 4" xfId="10381" xr:uid="{5BCAFB50-525C-45B1-8D02-0BCB68A0768D}"/>
    <cellStyle name="Note 3 5 5" xfId="2263" xr:uid="{00000000-0005-0000-0000-0000F8210000}"/>
    <cellStyle name="Note 3 5 5 2" xfId="4492" xr:uid="{00000000-0005-0000-0000-0000F9210000}"/>
    <cellStyle name="Note 3 5 5 2 2" xfId="8715" xr:uid="{00000000-0005-0000-0000-0000FA210000}"/>
    <cellStyle name="Note 3 5 5 2 2 2" xfId="17157" xr:uid="{420C50AE-CC7A-462A-B0A6-6137F4E732A4}"/>
    <cellStyle name="Note 3 5 5 2 3" xfId="12939" xr:uid="{41175740-27C0-49D8-9111-17815132090A}"/>
    <cellStyle name="Note 3 5 5 3" xfId="6570" xr:uid="{00000000-0005-0000-0000-0000FB210000}"/>
    <cellStyle name="Note 3 5 5 3 2" xfId="15012" xr:uid="{86153A92-C15D-483F-8CA7-A3E42BE90C0D}"/>
    <cellStyle name="Note 3 5 5 4" xfId="10794" xr:uid="{C7A9C2F2-87F4-4A05-BB9B-049757E9EE6F}"/>
    <cellStyle name="Note 3 5 6" xfId="2699" xr:uid="{00000000-0005-0000-0000-0000FC210000}"/>
    <cellStyle name="Note 3 5 6 2" xfId="6983" xr:uid="{00000000-0005-0000-0000-0000FD210000}"/>
    <cellStyle name="Note 3 5 6 2 2" xfId="15425" xr:uid="{4002F348-D59D-4670-9966-36C5BDE39800}"/>
    <cellStyle name="Note 3 5 6 3" xfId="11207" xr:uid="{F5E3162F-C135-4E30-96DC-FD83EC0E39C3}"/>
    <cellStyle name="Note 3 5 7" xfId="2758" xr:uid="{00000000-0005-0000-0000-0000FE210000}"/>
    <cellStyle name="Note 3 5 8" xfId="2839" xr:uid="{00000000-0005-0000-0000-0000FF210000}"/>
    <cellStyle name="Note 3 5 8 2" xfId="7063" xr:uid="{00000000-0005-0000-0000-000000220000}"/>
    <cellStyle name="Note 3 5 8 2 2" xfId="15505" xr:uid="{BB04CDA5-9440-4C37-B3A5-3F5DFE5D99CB}"/>
    <cellStyle name="Note 3 5 8 3" xfId="11287" xr:uid="{E7B1A5AF-B98D-470A-88DC-94AB0758E1A9}"/>
    <cellStyle name="Note 3 5 9" xfId="4918" xr:uid="{00000000-0005-0000-0000-000001220000}"/>
    <cellStyle name="Note 3 5 9 2" xfId="13360" xr:uid="{DFE82C35-3220-4150-8B94-9727FF9E3DE8}"/>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12943" xr:uid="{3C4F5F68-F917-49D6-9F77-D29420B79FDB}"/>
    <cellStyle name="Percent 4" xfId="4502" xr:uid="{00000000-0005-0000-0000-000007220000}"/>
    <cellStyle name="Percent 4 2" xfId="8718" xr:uid="{00000000-0005-0000-0000-000008220000}"/>
    <cellStyle name="Percent 4 2 2" xfId="17160" xr:uid="{0D969325-F4F9-46D9-A22D-BE1DCC9F9136}"/>
    <cellStyle name="Percent 4 3" xfId="8721" xr:uid="{D09CD3FC-D632-4B66-A68A-5CC92F993799}"/>
    <cellStyle name="Percent 4 3 2" xfId="8725" xr:uid="{D57AE941-8E59-43F0-AB73-09B3BCCFA234}"/>
    <cellStyle name="Percent 4 3 2 2" xfId="8728" xr:uid="{D24D76A7-D076-4554-9944-551B122393DE}"/>
    <cellStyle name="Percent 4 3 2 2 2" xfId="17169" xr:uid="{E62E6BE6-98DA-431D-A33E-2DF73616347C}"/>
    <cellStyle name="Percent 4 3 2 3" xfId="17166" xr:uid="{ADFFF97B-559B-43A4-AFF4-E8AAC414D058}"/>
    <cellStyle name="Percent 4 3 3" xfId="17163" xr:uid="{5A8F52EA-B7D6-4D07-86AC-0D332D89887E}"/>
    <cellStyle name="Percent 4 4" xfId="12946" xr:uid="{51887DD7-50CB-4E54-851A-3305AC54E5DD}"/>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19050</xdr:colOff>
      <xdr:row>7</xdr:row>
      <xdr:rowOff>36609</xdr:rowOff>
    </xdr:to>
    <xdr:pic>
      <xdr:nvPicPr>
        <xdr:cNvPr id="44278" name="Picture 2">
          <a:extLst>
            <a:ext uri="{FF2B5EF4-FFF2-40B4-BE49-F238E27FC236}">
              <a16:creationId xmlns:a16="http://schemas.microsoft.com/office/drawing/2014/main" id="{00000000-0008-0000-05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4.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9.bin"/><Relationship Id="rId6" Type="http://schemas.openxmlformats.org/officeDocument/2006/relationships/drawing" Target="../drawings/drawing2.xml"/><Relationship Id="rId5" Type="http://schemas.openxmlformats.org/officeDocument/2006/relationships/printerSettings" Target="../printerSettings/printerSettings10.bin"/><Relationship Id="rId4" Type="http://schemas.openxmlformats.org/officeDocument/2006/relationships/hyperlink" Target="http://www.treasurer.ca.gov/ctcac/2018/lra/contact.pdf"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3" zeroHeight="1"/>
  <cols>
    <col min="1" max="5" width="2.54296875" customWidth="1"/>
    <col min="6" max="6" width="3" customWidth="1"/>
    <col min="7" max="36" width="2.54296875" customWidth="1"/>
    <col min="37" max="38" width="2.7265625" customWidth="1"/>
    <col min="39" max="16384" width="2.54296875" hidden="1"/>
  </cols>
  <sheetData>
    <row r="1" spans="1:38">
      <c r="A1" s="1273" t="s">
        <v>559</v>
      </c>
      <c r="B1" s="1273"/>
      <c r="C1" s="1273"/>
      <c r="D1" s="1273"/>
      <c r="E1" s="1273"/>
      <c r="F1" s="1273"/>
      <c r="G1" s="1273"/>
      <c r="H1" s="1273"/>
      <c r="I1" s="1273"/>
      <c r="J1" s="1273"/>
      <c r="K1" s="1273"/>
      <c r="L1" s="1273"/>
      <c r="M1" s="1273"/>
      <c r="N1" s="1273"/>
      <c r="O1" s="1273"/>
      <c r="P1" s="1273"/>
      <c r="Q1" s="1273"/>
      <c r="R1" s="1273"/>
      <c r="S1" s="1273"/>
      <c r="T1" s="1273"/>
      <c r="U1" s="1273"/>
      <c r="V1" s="1273"/>
      <c r="W1" s="1273"/>
      <c r="X1" s="1273"/>
      <c r="Y1" s="1273"/>
      <c r="Z1" s="1273"/>
      <c r="AA1" s="1273"/>
      <c r="AB1" s="1273"/>
      <c r="AC1" s="1273"/>
      <c r="AD1" s="1273"/>
      <c r="AE1" s="1273"/>
      <c r="AF1" s="1273"/>
      <c r="AG1" s="1273"/>
      <c r="AH1" s="1273"/>
      <c r="AI1" s="1273"/>
      <c r="AJ1" s="1273"/>
      <c r="AK1" s="1273"/>
      <c r="AL1" s="1273"/>
    </row>
    <row r="2" spans="1:38" ht="13.75" thickBot="1">
      <c r="A2" s="1274"/>
      <c r="B2" s="1274"/>
      <c r="C2" s="1274"/>
      <c r="D2" s="1274"/>
      <c r="E2" s="1274"/>
      <c r="F2" s="1274"/>
      <c r="G2" s="1274"/>
      <c r="H2" s="1274"/>
      <c r="I2" s="1274"/>
      <c r="J2" s="1274"/>
      <c r="K2" s="1274"/>
      <c r="L2" s="1274"/>
      <c r="M2" s="1274"/>
      <c r="N2" s="1274"/>
      <c r="O2" s="1274"/>
      <c r="P2" s="1274"/>
      <c r="Q2" s="1274"/>
      <c r="R2" s="1274"/>
      <c r="S2" s="1274"/>
      <c r="T2" s="1274"/>
      <c r="U2" s="1274"/>
      <c r="V2" s="1274"/>
      <c r="W2" s="1274"/>
      <c r="X2" s="1274"/>
      <c r="Y2" s="1274"/>
      <c r="Z2" s="1274"/>
      <c r="AA2" s="1274"/>
      <c r="AB2" s="1274"/>
      <c r="AC2" s="1274"/>
      <c r="AD2" s="1274"/>
      <c r="AE2" s="1274"/>
      <c r="AF2" s="1274"/>
      <c r="AG2" s="1274"/>
      <c r="AH2" s="1274"/>
      <c r="AI2" s="1274"/>
      <c r="AJ2" s="1274"/>
      <c r="AK2" s="1274"/>
      <c r="AL2" s="1274"/>
    </row>
    <row r="3" spans="1:38" ht="13.7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75" t="s">
        <v>2350</v>
      </c>
      <c r="E7" s="1275"/>
      <c r="F7" s="1275"/>
      <c r="G7" s="1275"/>
      <c r="H7" s="1275"/>
      <c r="I7" s="1275"/>
      <c r="J7" s="1275"/>
      <c r="K7" s="1275"/>
      <c r="L7" s="1275"/>
      <c r="M7" s="1275"/>
      <c r="N7" s="1275"/>
      <c r="O7" s="1275"/>
      <c r="P7" s="1275"/>
      <c r="Q7" s="1275"/>
      <c r="R7" s="1275"/>
      <c r="S7" s="1275"/>
      <c r="T7" s="1275"/>
      <c r="U7" s="1275"/>
      <c r="V7" s="1275"/>
      <c r="W7" s="1275"/>
      <c r="X7" s="1275"/>
      <c r="Y7" s="1275"/>
      <c r="Z7" s="1275"/>
      <c r="AA7" s="1275"/>
      <c r="AB7" s="1275"/>
      <c r="AC7" s="1275"/>
      <c r="AD7" s="1275"/>
      <c r="AE7" s="1275"/>
      <c r="AF7" s="1275"/>
      <c r="AG7" s="1275"/>
      <c r="AH7" s="1275"/>
      <c r="AI7" s="1275"/>
      <c r="AJ7" s="1275"/>
      <c r="AK7" s="1275"/>
      <c r="AL7" s="489"/>
    </row>
    <row r="8" spans="1:38">
      <c r="A8" s="218"/>
      <c r="B8" s="218"/>
      <c r="C8" s="219"/>
      <c r="D8" s="1275"/>
      <c r="E8" s="1275"/>
      <c r="F8" s="1275"/>
      <c r="G8" s="1275"/>
      <c r="H8" s="1275"/>
      <c r="I8" s="1275"/>
      <c r="J8" s="1275"/>
      <c r="K8" s="1275"/>
      <c r="L8" s="1275"/>
      <c r="M8" s="1275"/>
      <c r="N8" s="1275"/>
      <c r="O8" s="1275"/>
      <c r="P8" s="1275"/>
      <c r="Q8" s="1275"/>
      <c r="R8" s="1275"/>
      <c r="S8" s="1275"/>
      <c r="T8" s="1275"/>
      <c r="U8" s="1275"/>
      <c r="V8" s="1275"/>
      <c r="W8" s="1275"/>
      <c r="X8" s="1275"/>
      <c r="Y8" s="1275"/>
      <c r="Z8" s="1275"/>
      <c r="AA8" s="1275"/>
      <c r="AB8" s="1275"/>
      <c r="AC8" s="1275"/>
      <c r="AD8" s="1275"/>
      <c r="AE8" s="1275"/>
      <c r="AF8" s="1275"/>
      <c r="AG8" s="1275"/>
      <c r="AH8" s="1275"/>
      <c r="AI8" s="1275"/>
      <c r="AJ8" s="1275"/>
      <c r="AK8" s="1275"/>
      <c r="AL8" s="489"/>
    </row>
    <row r="9" spans="1:38">
      <c r="A9" s="218"/>
      <c r="B9" s="218"/>
      <c r="C9" s="219"/>
      <c r="D9" s="1275"/>
      <c r="E9" s="1275"/>
      <c r="F9" s="1275"/>
      <c r="G9" s="1275"/>
      <c r="H9" s="1275"/>
      <c r="I9" s="1275"/>
      <c r="J9" s="1275"/>
      <c r="K9" s="1275"/>
      <c r="L9" s="1275"/>
      <c r="M9" s="1275"/>
      <c r="N9" s="1275"/>
      <c r="O9" s="1275"/>
      <c r="P9" s="1275"/>
      <c r="Q9" s="1275"/>
      <c r="R9" s="1275"/>
      <c r="S9" s="1275"/>
      <c r="T9" s="1275"/>
      <c r="U9" s="1275"/>
      <c r="V9" s="1275"/>
      <c r="W9" s="1275"/>
      <c r="X9" s="1275"/>
      <c r="Y9" s="1275"/>
      <c r="Z9" s="1275"/>
      <c r="AA9" s="1275"/>
      <c r="AB9" s="1275"/>
      <c r="AC9" s="1275"/>
      <c r="AD9" s="1275"/>
      <c r="AE9" s="1275"/>
      <c r="AF9" s="1275"/>
      <c r="AG9" s="1275"/>
      <c r="AH9" s="1275"/>
      <c r="AI9" s="1275"/>
      <c r="AJ9" s="1275"/>
      <c r="AK9" s="1275"/>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75" t="s">
        <v>2351</v>
      </c>
      <c r="E11" s="1275"/>
      <c r="F11" s="1275"/>
      <c r="G11" s="1275"/>
      <c r="H11" s="1275"/>
      <c r="I11" s="1275"/>
      <c r="J11" s="1275"/>
      <c r="K11" s="1275"/>
      <c r="L11" s="1275"/>
      <c r="M11" s="1275"/>
      <c r="N11" s="1275"/>
      <c r="O11" s="1275"/>
      <c r="P11" s="1275"/>
      <c r="Q11" s="1275"/>
      <c r="R11" s="1275"/>
      <c r="S11" s="1275"/>
      <c r="T11" s="1275"/>
      <c r="U11" s="1275"/>
      <c r="V11" s="1275"/>
      <c r="W11" s="1275"/>
      <c r="X11" s="1275"/>
      <c r="Y11" s="1275"/>
      <c r="Z11" s="1275"/>
      <c r="AA11" s="1275"/>
      <c r="AB11" s="1275"/>
      <c r="AC11" s="1275"/>
      <c r="AD11" s="1275"/>
      <c r="AE11" s="1275"/>
      <c r="AF11" s="1275"/>
      <c r="AG11" s="1275"/>
      <c r="AH11" s="1275"/>
      <c r="AI11" s="1275"/>
      <c r="AJ11" s="1275"/>
      <c r="AK11" s="1275"/>
      <c r="AL11" s="489"/>
    </row>
    <row r="12" spans="1:38">
      <c r="A12" s="218"/>
      <c r="B12" s="218"/>
      <c r="C12" s="219"/>
      <c r="D12" s="1275"/>
      <c r="E12" s="1275"/>
      <c r="F12" s="1275"/>
      <c r="G12" s="1275"/>
      <c r="H12" s="1275"/>
      <c r="I12" s="1275"/>
      <c r="J12" s="1275"/>
      <c r="K12" s="1275"/>
      <c r="L12" s="1275"/>
      <c r="M12" s="1275"/>
      <c r="N12" s="1275"/>
      <c r="O12" s="1275"/>
      <c r="P12" s="1275"/>
      <c r="Q12" s="1275"/>
      <c r="R12" s="1275"/>
      <c r="S12" s="1275"/>
      <c r="T12" s="1275"/>
      <c r="U12" s="1275"/>
      <c r="V12" s="1275"/>
      <c r="W12" s="1275"/>
      <c r="X12" s="1275"/>
      <c r="Y12" s="1275"/>
      <c r="Z12" s="1275"/>
      <c r="AA12" s="1275"/>
      <c r="AB12" s="1275"/>
      <c r="AC12" s="1275"/>
      <c r="AD12" s="1275"/>
      <c r="AE12" s="1275"/>
      <c r="AF12" s="1275"/>
      <c r="AG12" s="1275"/>
      <c r="AH12" s="1275"/>
      <c r="AI12" s="1275"/>
      <c r="AJ12" s="1275"/>
      <c r="AK12" s="1275"/>
      <c r="AL12" s="489"/>
    </row>
    <row r="13" spans="1:38">
      <c r="A13" s="218"/>
      <c r="B13" s="218"/>
      <c r="C13" s="219"/>
      <c r="D13" s="1275"/>
      <c r="E13" s="1275"/>
      <c r="F13" s="1275"/>
      <c r="G13" s="1275"/>
      <c r="H13" s="1275"/>
      <c r="I13" s="1275"/>
      <c r="J13" s="1275"/>
      <c r="K13" s="1275"/>
      <c r="L13" s="1275"/>
      <c r="M13" s="1275"/>
      <c r="N13" s="1275"/>
      <c r="O13" s="1275"/>
      <c r="P13" s="1275"/>
      <c r="Q13" s="1275"/>
      <c r="R13" s="1275"/>
      <c r="S13" s="1275"/>
      <c r="T13" s="1275"/>
      <c r="U13" s="1275"/>
      <c r="V13" s="1275"/>
      <c r="W13" s="1275"/>
      <c r="X13" s="1275"/>
      <c r="Y13" s="1275"/>
      <c r="Z13" s="1275"/>
      <c r="AA13" s="1275"/>
      <c r="AB13" s="1275"/>
      <c r="AC13" s="1275"/>
      <c r="AD13" s="1275"/>
      <c r="AE13" s="1275"/>
      <c r="AF13" s="1275"/>
      <c r="AG13" s="1275"/>
      <c r="AH13" s="1275"/>
      <c r="AI13" s="1275"/>
      <c r="AJ13" s="1275"/>
      <c r="AK13" s="1275"/>
      <c r="AL13" s="489"/>
    </row>
    <row r="14" spans="1:38" ht="13.15" customHeight="1">
      <c r="A14" s="218"/>
      <c r="B14" s="218"/>
      <c r="C14" s="219"/>
      <c r="E14" s="1275" t="s">
        <v>2580</v>
      </c>
      <c r="F14" s="1275"/>
      <c r="G14" s="1275"/>
      <c r="H14" s="1275"/>
      <c r="I14" s="1275"/>
      <c r="J14" s="1275"/>
      <c r="K14" s="1275"/>
      <c r="L14" s="1275"/>
      <c r="M14" s="1275"/>
      <c r="N14" s="1275"/>
      <c r="O14" s="1275"/>
      <c r="P14" s="1275"/>
      <c r="Q14" s="1275"/>
      <c r="R14" s="1275"/>
      <c r="S14" s="1275"/>
      <c r="T14" s="1275"/>
      <c r="U14" s="1275"/>
      <c r="V14" s="1275"/>
      <c r="W14" s="1275"/>
      <c r="X14" s="1275"/>
      <c r="Y14" s="1275"/>
      <c r="Z14" s="1275"/>
      <c r="AA14" s="1275"/>
      <c r="AB14" s="1275"/>
      <c r="AC14" s="1275"/>
      <c r="AD14" s="1275"/>
      <c r="AE14" s="1275"/>
      <c r="AF14" s="1275"/>
      <c r="AG14" s="1275"/>
      <c r="AH14" s="1275"/>
      <c r="AI14" s="1275"/>
      <c r="AJ14" s="1275"/>
      <c r="AK14" s="1275"/>
      <c r="AL14" s="489"/>
    </row>
    <row r="15" spans="1:38" ht="13.15" customHeight="1">
      <c r="A15" s="218"/>
      <c r="B15" s="218"/>
      <c r="C15" s="219"/>
      <c r="E15" s="1275"/>
      <c r="F15" s="1275"/>
      <c r="G15" s="1275"/>
      <c r="H15" s="1275"/>
      <c r="I15" s="1275"/>
      <c r="J15" s="1275"/>
      <c r="K15" s="1275"/>
      <c r="L15" s="1275"/>
      <c r="M15" s="1275"/>
      <c r="N15" s="1275"/>
      <c r="O15" s="1275"/>
      <c r="P15" s="1275"/>
      <c r="Q15" s="1275"/>
      <c r="R15" s="1275"/>
      <c r="S15" s="1275"/>
      <c r="T15" s="1275"/>
      <c r="U15" s="1275"/>
      <c r="V15" s="1275"/>
      <c r="W15" s="1275"/>
      <c r="X15" s="1275"/>
      <c r="Y15" s="1275"/>
      <c r="Z15" s="1275"/>
      <c r="AA15" s="1275"/>
      <c r="AB15" s="1275"/>
      <c r="AC15" s="1275"/>
      <c r="AD15" s="1275"/>
      <c r="AE15" s="1275"/>
      <c r="AF15" s="1275"/>
      <c r="AG15" s="1275"/>
      <c r="AH15" s="1275"/>
      <c r="AI15" s="1275"/>
      <c r="AJ15" s="1275"/>
      <c r="AK15" s="1275"/>
      <c r="AL15" s="489"/>
    </row>
    <row r="16" spans="1:38">
      <c r="A16" s="218"/>
      <c r="B16" s="218"/>
      <c r="C16" s="219"/>
      <c r="D16" s="489"/>
      <c r="E16" s="1275"/>
      <c r="F16" s="1275"/>
      <c r="G16" s="1275"/>
      <c r="H16" s="1275"/>
      <c r="I16" s="1275"/>
      <c r="J16" s="1275"/>
      <c r="K16" s="1275"/>
      <c r="L16" s="1275"/>
      <c r="M16" s="1275"/>
      <c r="N16" s="1275"/>
      <c r="O16" s="1275"/>
      <c r="P16" s="1275"/>
      <c r="Q16" s="1275"/>
      <c r="R16" s="1275"/>
      <c r="S16" s="1275"/>
      <c r="T16" s="1275"/>
      <c r="U16" s="1275"/>
      <c r="V16" s="1275"/>
      <c r="W16" s="1275"/>
      <c r="X16" s="1275"/>
      <c r="Y16" s="1275"/>
      <c r="Z16" s="1275"/>
      <c r="AA16" s="1275"/>
      <c r="AB16" s="1275"/>
      <c r="AC16" s="1275"/>
      <c r="AD16" s="1275"/>
      <c r="AE16" s="1275"/>
      <c r="AF16" s="1275"/>
      <c r="AG16" s="1275"/>
      <c r="AH16" s="1275"/>
      <c r="AI16" s="1275"/>
      <c r="AJ16" s="1275"/>
      <c r="AK16" s="1275"/>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75" t="s">
        <v>2352</v>
      </c>
      <c r="E18" s="1275"/>
      <c r="F18" s="1275"/>
      <c r="G18" s="1275"/>
      <c r="H18" s="1275"/>
      <c r="I18" s="1275"/>
      <c r="J18" s="1275"/>
      <c r="K18" s="1275"/>
      <c r="L18" s="1275"/>
      <c r="M18" s="1275"/>
      <c r="N18" s="1275"/>
      <c r="O18" s="1275"/>
      <c r="P18" s="1275"/>
      <c r="Q18" s="1275"/>
      <c r="R18" s="1275"/>
      <c r="S18" s="1275"/>
      <c r="T18" s="1275"/>
      <c r="U18" s="1275"/>
      <c r="V18" s="1275"/>
      <c r="W18" s="1275"/>
      <c r="X18" s="1275"/>
      <c r="Y18" s="1275"/>
      <c r="Z18" s="1275"/>
      <c r="AA18" s="1275"/>
      <c r="AB18" s="1275"/>
      <c r="AC18" s="1275"/>
      <c r="AD18" s="1275"/>
      <c r="AE18" s="1275"/>
      <c r="AF18" s="1275"/>
      <c r="AG18" s="1275"/>
      <c r="AH18" s="1275"/>
      <c r="AI18" s="1275"/>
      <c r="AJ18" s="1275"/>
      <c r="AK18" s="1275"/>
      <c r="AL18" s="218"/>
    </row>
    <row r="19" spans="1:38">
      <c r="A19" s="218"/>
      <c r="B19" s="218"/>
      <c r="C19" s="219"/>
      <c r="D19" s="1275"/>
      <c r="E19" s="1275"/>
      <c r="F19" s="1275"/>
      <c r="G19" s="1275"/>
      <c r="H19" s="1275"/>
      <c r="I19" s="1275"/>
      <c r="J19" s="1275"/>
      <c r="K19" s="1275"/>
      <c r="L19" s="1275"/>
      <c r="M19" s="1275"/>
      <c r="N19" s="1275"/>
      <c r="O19" s="1275"/>
      <c r="P19" s="1275"/>
      <c r="Q19" s="1275"/>
      <c r="R19" s="1275"/>
      <c r="S19" s="1275"/>
      <c r="T19" s="1275"/>
      <c r="U19" s="1275"/>
      <c r="V19" s="1275"/>
      <c r="W19" s="1275"/>
      <c r="X19" s="1275"/>
      <c r="Y19" s="1275"/>
      <c r="Z19" s="1275"/>
      <c r="AA19" s="1275"/>
      <c r="AB19" s="1275"/>
      <c r="AC19" s="1275"/>
      <c r="AD19" s="1275"/>
      <c r="AE19" s="1275"/>
      <c r="AF19" s="1275"/>
      <c r="AG19" s="1275"/>
      <c r="AH19" s="1275"/>
      <c r="AI19" s="1275"/>
      <c r="AJ19" s="1275"/>
      <c r="AK19" s="1275"/>
      <c r="AL19" s="218"/>
    </row>
    <row r="20" spans="1:38">
      <c r="A20" s="218"/>
      <c r="B20" s="218"/>
      <c r="C20" s="219"/>
      <c r="D20" s="1275"/>
      <c r="E20" s="1275"/>
      <c r="F20" s="1275"/>
      <c r="G20" s="1275"/>
      <c r="H20" s="1275"/>
      <c r="I20" s="1275"/>
      <c r="J20" s="1275"/>
      <c r="K20" s="1275"/>
      <c r="L20" s="1275"/>
      <c r="M20" s="1275"/>
      <c r="N20" s="1275"/>
      <c r="O20" s="1275"/>
      <c r="P20" s="1275"/>
      <c r="Q20" s="1275"/>
      <c r="R20" s="1275"/>
      <c r="S20" s="1275"/>
      <c r="T20" s="1275"/>
      <c r="U20" s="1275"/>
      <c r="V20" s="1275"/>
      <c r="W20" s="1275"/>
      <c r="X20" s="1275"/>
      <c r="Y20" s="1275"/>
      <c r="Z20" s="1275"/>
      <c r="AA20" s="1275"/>
      <c r="AB20" s="1275"/>
      <c r="AC20" s="1275"/>
      <c r="AD20" s="1275"/>
      <c r="AE20" s="1275"/>
      <c r="AF20" s="1275"/>
      <c r="AG20" s="1275"/>
      <c r="AH20" s="1275"/>
      <c r="AI20" s="1275"/>
      <c r="AJ20" s="1275"/>
      <c r="AK20" s="1275"/>
      <c r="AL20" s="218"/>
    </row>
    <row r="21" spans="1:38" ht="13.15" customHeight="1">
      <c r="A21" s="218"/>
      <c r="B21" s="218"/>
      <c r="C21" s="219"/>
      <c r="D21" s="1275"/>
      <c r="E21" s="1275"/>
      <c r="F21" s="1275"/>
      <c r="G21" s="1275"/>
      <c r="H21" s="1275"/>
      <c r="I21" s="1275"/>
      <c r="J21" s="1275"/>
      <c r="K21" s="1275"/>
      <c r="L21" s="1275"/>
      <c r="M21" s="1275"/>
      <c r="N21" s="1275"/>
      <c r="O21" s="1275"/>
      <c r="P21" s="1275"/>
      <c r="Q21" s="1275"/>
      <c r="R21" s="1275"/>
      <c r="S21" s="1275"/>
      <c r="T21" s="1275"/>
      <c r="U21" s="1275"/>
      <c r="V21" s="1275"/>
      <c r="W21" s="1275"/>
      <c r="X21" s="1275"/>
      <c r="Y21" s="1275"/>
      <c r="Z21" s="1275"/>
      <c r="AA21" s="1275"/>
      <c r="AB21" s="1275"/>
      <c r="AC21" s="1275"/>
      <c r="AD21" s="1275"/>
      <c r="AE21" s="1275"/>
      <c r="AF21" s="1275"/>
      <c r="AG21" s="1275"/>
      <c r="AH21" s="1275"/>
      <c r="AI21" s="1275"/>
      <c r="AJ21" s="1275"/>
      <c r="AK21" s="1275"/>
      <c r="AL21" s="218"/>
    </row>
    <row r="22" spans="1:38">
      <c r="A22" s="218"/>
      <c r="B22" s="218"/>
      <c r="C22" s="219"/>
      <c r="D22" s="1275"/>
      <c r="E22" s="1275"/>
      <c r="F22" s="1275"/>
      <c r="G22" s="1275"/>
      <c r="H22" s="1275"/>
      <c r="I22" s="1275"/>
      <c r="J22" s="1275"/>
      <c r="K22" s="1275"/>
      <c r="L22" s="1275"/>
      <c r="M22" s="1275"/>
      <c r="N22" s="1275"/>
      <c r="O22" s="1275"/>
      <c r="P22" s="1275"/>
      <c r="Q22" s="1275"/>
      <c r="R22" s="1275"/>
      <c r="S22" s="1275"/>
      <c r="T22" s="1275"/>
      <c r="U22" s="1275"/>
      <c r="V22" s="1275"/>
      <c r="W22" s="1275"/>
      <c r="X22" s="1275"/>
      <c r="Y22" s="1275"/>
      <c r="Z22" s="1275"/>
      <c r="AA22" s="1275"/>
      <c r="AB22" s="1275"/>
      <c r="AC22" s="1275"/>
      <c r="AD22" s="1275"/>
      <c r="AE22" s="1275"/>
      <c r="AF22" s="1275"/>
      <c r="AG22" s="1275"/>
      <c r="AH22" s="1275"/>
      <c r="AI22" s="1275"/>
      <c r="AJ22" s="1275"/>
      <c r="AK22" s="1275"/>
      <c r="AL22" s="218"/>
    </row>
    <row r="23" spans="1:38">
      <c r="A23" s="218"/>
      <c r="B23" s="218"/>
      <c r="C23" s="219"/>
      <c r="D23" s="1275"/>
      <c r="E23" s="1275"/>
      <c r="F23" s="1275"/>
      <c r="G23" s="1275"/>
      <c r="H23" s="1275"/>
      <c r="I23" s="1275"/>
      <c r="J23" s="1275"/>
      <c r="K23" s="1275"/>
      <c r="L23" s="1275"/>
      <c r="M23" s="1275"/>
      <c r="N23" s="1275"/>
      <c r="O23" s="1275"/>
      <c r="P23" s="1275"/>
      <c r="Q23" s="1275"/>
      <c r="R23" s="1275"/>
      <c r="S23" s="1275"/>
      <c r="T23" s="1275"/>
      <c r="U23" s="1275"/>
      <c r="V23" s="1275"/>
      <c r="W23" s="1275"/>
      <c r="X23" s="1275"/>
      <c r="Y23" s="1275"/>
      <c r="Z23" s="1275"/>
      <c r="AA23" s="1275"/>
      <c r="AB23" s="1275"/>
      <c r="AC23" s="1275"/>
      <c r="AD23" s="1275"/>
      <c r="AE23" s="1275"/>
      <c r="AF23" s="1275"/>
      <c r="AG23" s="1275"/>
      <c r="AH23" s="1275"/>
      <c r="AI23" s="1275"/>
      <c r="AJ23" s="1275"/>
      <c r="AK23" s="1275"/>
      <c r="AL23" s="218"/>
    </row>
    <row r="24" spans="1:38">
      <c r="A24" s="218"/>
      <c r="B24" s="218"/>
      <c r="C24" s="219"/>
      <c r="D24" s="1275"/>
      <c r="E24" s="1275"/>
      <c r="F24" s="1275"/>
      <c r="G24" s="1275"/>
      <c r="H24" s="1275"/>
      <c r="I24" s="1275"/>
      <c r="J24" s="1275"/>
      <c r="K24" s="1275"/>
      <c r="L24" s="1275"/>
      <c r="M24" s="1275"/>
      <c r="N24" s="1275"/>
      <c r="O24" s="1275"/>
      <c r="P24" s="1275"/>
      <c r="Q24" s="1275"/>
      <c r="R24" s="1275"/>
      <c r="S24" s="1275"/>
      <c r="T24" s="1275"/>
      <c r="U24" s="1275"/>
      <c r="V24" s="1275"/>
      <c r="W24" s="1275"/>
      <c r="X24" s="1275"/>
      <c r="Y24" s="1275"/>
      <c r="Z24" s="1275"/>
      <c r="AA24" s="1275"/>
      <c r="AB24" s="1275"/>
      <c r="AC24" s="1275"/>
      <c r="AD24" s="1275"/>
      <c r="AE24" s="1275"/>
      <c r="AF24" s="1275"/>
      <c r="AG24" s="1275"/>
      <c r="AH24" s="1275"/>
      <c r="AI24" s="1275"/>
      <c r="AJ24" s="1275"/>
      <c r="AK24" s="1275"/>
      <c r="AL24" s="218"/>
    </row>
    <row r="25" spans="1:38">
      <c r="A25" s="218"/>
      <c r="B25" s="218"/>
      <c r="C25" s="219"/>
      <c r="D25" s="1275"/>
      <c r="E25" s="1275"/>
      <c r="F25" s="1275"/>
      <c r="G25" s="1275"/>
      <c r="H25" s="1275"/>
      <c r="I25" s="1275"/>
      <c r="J25" s="1275"/>
      <c r="K25" s="1275"/>
      <c r="L25" s="1275"/>
      <c r="M25" s="1275"/>
      <c r="N25" s="1275"/>
      <c r="O25" s="1275"/>
      <c r="P25" s="1275"/>
      <c r="Q25" s="1275"/>
      <c r="R25" s="1275"/>
      <c r="S25" s="1275"/>
      <c r="T25" s="1275"/>
      <c r="U25" s="1275"/>
      <c r="V25" s="1275"/>
      <c r="W25" s="1275"/>
      <c r="X25" s="1275"/>
      <c r="Y25" s="1275"/>
      <c r="Z25" s="1275"/>
      <c r="AA25" s="1275"/>
      <c r="AB25" s="1275"/>
      <c r="AC25" s="1275"/>
      <c r="AD25" s="1275"/>
      <c r="AE25" s="1275"/>
      <c r="AF25" s="1275"/>
      <c r="AG25" s="1275"/>
      <c r="AH25" s="1275"/>
      <c r="AI25" s="1275"/>
      <c r="AJ25" s="1275"/>
      <c r="AK25" s="1275"/>
      <c r="AL25" s="218"/>
    </row>
    <row r="26" spans="1:38">
      <c r="A26" s="218"/>
      <c r="B26" s="218"/>
      <c r="C26" s="219"/>
      <c r="D26" s="1275"/>
      <c r="E26" s="1275"/>
      <c r="F26" s="1275"/>
      <c r="G26" s="1275"/>
      <c r="H26" s="1275"/>
      <c r="I26" s="1275"/>
      <c r="J26" s="1275"/>
      <c r="K26" s="1275"/>
      <c r="L26" s="1275"/>
      <c r="M26" s="1275"/>
      <c r="N26" s="1275"/>
      <c r="O26" s="1275"/>
      <c r="P26" s="1275"/>
      <c r="Q26" s="1275"/>
      <c r="R26" s="1275"/>
      <c r="S26" s="1275"/>
      <c r="T26" s="1275"/>
      <c r="U26" s="1275"/>
      <c r="V26" s="1275"/>
      <c r="W26" s="1275"/>
      <c r="X26" s="1275"/>
      <c r="Y26" s="1275"/>
      <c r="Z26" s="1275"/>
      <c r="AA26" s="1275"/>
      <c r="AB26" s="1275"/>
      <c r="AC26" s="1275"/>
      <c r="AD26" s="1275"/>
      <c r="AE26" s="1275"/>
      <c r="AF26" s="1275"/>
      <c r="AG26" s="1275"/>
      <c r="AH26" s="1275"/>
      <c r="AI26" s="1275"/>
      <c r="AJ26" s="1275"/>
      <c r="AK26" s="1275"/>
      <c r="AL26" s="218"/>
    </row>
    <row r="27" spans="1:38" ht="11.9" customHeight="1">
      <c r="A27" s="218"/>
      <c r="B27" s="218"/>
      <c r="C27" s="219"/>
      <c r="D27" s="1275"/>
      <c r="E27" s="1275"/>
      <c r="F27" s="1275"/>
      <c r="G27" s="1275"/>
      <c r="H27" s="1275"/>
      <c r="I27" s="1275"/>
      <c r="J27" s="1275"/>
      <c r="K27" s="1275"/>
      <c r="L27" s="1275"/>
      <c r="M27" s="1275"/>
      <c r="N27" s="1275"/>
      <c r="O27" s="1275"/>
      <c r="P27" s="1275"/>
      <c r="Q27" s="1275"/>
      <c r="R27" s="1275"/>
      <c r="S27" s="1275"/>
      <c r="T27" s="1275"/>
      <c r="U27" s="1275"/>
      <c r="V27" s="1275"/>
      <c r="W27" s="1275"/>
      <c r="X27" s="1275"/>
      <c r="Y27" s="1275"/>
      <c r="Z27" s="1275"/>
      <c r="AA27" s="1275"/>
      <c r="AB27" s="1275"/>
      <c r="AC27" s="1275"/>
      <c r="AD27" s="1275"/>
      <c r="AE27" s="1275"/>
      <c r="AF27" s="1275"/>
      <c r="AG27" s="1275"/>
      <c r="AH27" s="1275"/>
      <c r="AI27" s="1275"/>
      <c r="AJ27" s="1275"/>
      <c r="AK27" s="1275"/>
      <c r="AL27" s="218"/>
    </row>
    <row r="28" spans="1:38" ht="13.15" hidden="1" customHeight="1">
      <c r="A28" s="218"/>
      <c r="B28" s="218"/>
      <c r="C28" s="219"/>
      <c r="E28" s="1275" t="s">
        <v>2507</v>
      </c>
      <c r="F28" s="1275"/>
      <c r="G28" s="1275"/>
      <c r="H28" s="1275"/>
      <c r="I28" s="1275"/>
      <c r="J28" s="1275"/>
      <c r="K28" s="1275"/>
      <c r="L28" s="1275"/>
      <c r="M28" s="1275"/>
      <c r="N28" s="1275"/>
      <c r="O28" s="1275"/>
      <c r="P28" s="1275"/>
      <c r="Q28" s="1275"/>
      <c r="R28" s="1275"/>
      <c r="S28" s="1275"/>
      <c r="T28" s="1275"/>
      <c r="U28" s="1275"/>
      <c r="V28" s="1275"/>
      <c r="W28" s="1275"/>
      <c r="X28" s="1275"/>
      <c r="Y28" s="1275"/>
      <c r="Z28" s="1275"/>
      <c r="AA28" s="1275"/>
      <c r="AB28" s="1275"/>
      <c r="AC28" s="1275"/>
      <c r="AD28" s="1275"/>
      <c r="AE28" s="1275"/>
      <c r="AF28" s="1275"/>
      <c r="AG28" s="1275"/>
      <c r="AH28" s="1275"/>
      <c r="AI28" s="1275"/>
      <c r="AJ28" s="1275"/>
      <c r="AK28" s="1275"/>
      <c r="AL28" s="218"/>
    </row>
    <row r="29" spans="1:38" ht="13.15" hidden="1" customHeight="1">
      <c r="A29" s="218"/>
      <c r="B29" s="218"/>
      <c r="C29" s="219"/>
      <c r="E29" s="1275"/>
      <c r="F29" s="1275"/>
      <c r="G29" s="1275"/>
      <c r="H29" s="1275"/>
      <c r="I29" s="1275"/>
      <c r="J29" s="1275"/>
      <c r="K29" s="1275"/>
      <c r="L29" s="1275"/>
      <c r="M29" s="1275"/>
      <c r="N29" s="1275"/>
      <c r="O29" s="1275"/>
      <c r="P29" s="1275"/>
      <c r="Q29" s="1275"/>
      <c r="R29" s="1275"/>
      <c r="S29" s="1275"/>
      <c r="T29" s="1275"/>
      <c r="U29" s="1275"/>
      <c r="V29" s="1275"/>
      <c r="W29" s="1275"/>
      <c r="X29" s="1275"/>
      <c r="Y29" s="1275"/>
      <c r="Z29" s="1275"/>
      <c r="AA29" s="1275"/>
      <c r="AB29" s="1275"/>
      <c r="AC29" s="1275"/>
      <c r="AD29" s="1275"/>
      <c r="AE29" s="1275"/>
      <c r="AF29" s="1275"/>
      <c r="AG29" s="1275"/>
      <c r="AH29" s="1275"/>
      <c r="AI29" s="1275"/>
      <c r="AJ29" s="1275"/>
      <c r="AK29" s="1275"/>
      <c r="AL29" s="218"/>
    </row>
    <row r="30" spans="1:38" hidden="1">
      <c r="A30" s="218"/>
      <c r="B30" s="218"/>
      <c r="C30" s="219"/>
      <c r="D30" s="489"/>
      <c r="E30" s="1275"/>
      <c r="F30" s="1275"/>
      <c r="G30" s="1275"/>
      <c r="H30" s="1275"/>
      <c r="I30" s="1275"/>
      <c r="J30" s="1275"/>
      <c r="K30" s="1275"/>
      <c r="L30" s="1275"/>
      <c r="M30" s="1275"/>
      <c r="N30" s="1275"/>
      <c r="O30" s="1275"/>
      <c r="P30" s="1275"/>
      <c r="Q30" s="1275"/>
      <c r="R30" s="1275"/>
      <c r="S30" s="1275"/>
      <c r="T30" s="1275"/>
      <c r="U30" s="1275"/>
      <c r="V30" s="1275"/>
      <c r="W30" s="1275"/>
      <c r="X30" s="1275"/>
      <c r="Y30" s="1275"/>
      <c r="Z30" s="1275"/>
      <c r="AA30" s="1275"/>
      <c r="AB30" s="1275"/>
      <c r="AC30" s="1275"/>
      <c r="AD30" s="1275"/>
      <c r="AE30" s="1275"/>
      <c r="AF30" s="1275"/>
      <c r="AG30" s="1275"/>
      <c r="AH30" s="1275"/>
      <c r="AI30" s="1275"/>
      <c r="AJ30" s="1275"/>
      <c r="AK30" s="1275"/>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75" t="s">
        <v>2353</v>
      </c>
      <c r="E32" s="1275"/>
      <c r="F32" s="1275"/>
      <c r="G32" s="1275"/>
      <c r="H32" s="1275"/>
      <c r="I32" s="1275"/>
      <c r="J32" s="1275"/>
      <c r="K32" s="1275"/>
      <c r="L32" s="1275"/>
      <c r="M32" s="1275"/>
      <c r="N32" s="1275"/>
      <c r="O32" s="1275"/>
      <c r="P32" s="1275"/>
      <c r="Q32" s="1275"/>
      <c r="R32" s="1275"/>
      <c r="S32" s="1275"/>
      <c r="T32" s="1275"/>
      <c r="U32" s="1275"/>
      <c r="V32" s="1275"/>
      <c r="W32" s="1275"/>
      <c r="X32" s="1275"/>
      <c r="Y32" s="1275"/>
      <c r="Z32" s="1275"/>
      <c r="AA32" s="1275"/>
      <c r="AB32" s="1275"/>
      <c r="AC32" s="1275"/>
      <c r="AD32" s="1275"/>
      <c r="AE32" s="1275"/>
      <c r="AF32" s="1275"/>
      <c r="AG32" s="1275"/>
      <c r="AH32" s="1275"/>
      <c r="AI32" s="1275"/>
      <c r="AJ32" s="1275"/>
      <c r="AK32" s="1275"/>
      <c r="AL32" s="218"/>
    </row>
    <row r="33" spans="1:38">
      <c r="A33" s="218"/>
      <c r="B33" s="218"/>
      <c r="C33" s="219"/>
      <c r="D33" s="489"/>
      <c r="E33" s="1282" t="s">
        <v>2586</v>
      </c>
      <c r="F33" s="1283"/>
      <c r="G33" s="1283"/>
      <c r="H33" s="1283"/>
      <c r="I33" s="1283"/>
      <c r="J33" s="1283"/>
      <c r="K33" s="1283"/>
      <c r="L33" s="1283"/>
      <c r="M33" s="1283"/>
      <c r="N33" s="1283"/>
      <c r="O33" s="1283"/>
      <c r="P33" s="1283"/>
      <c r="Q33" s="1283"/>
      <c r="R33" s="1283"/>
      <c r="S33" s="1283"/>
      <c r="T33" s="1283"/>
      <c r="U33" s="1283"/>
      <c r="V33" s="1283"/>
      <c r="W33" s="1283"/>
      <c r="X33" s="1283"/>
      <c r="Y33" s="1283"/>
      <c r="Z33" s="1283"/>
      <c r="AA33" s="1283"/>
      <c r="AB33" s="1283"/>
      <c r="AC33" s="1283"/>
      <c r="AD33" s="1283"/>
      <c r="AE33" s="1283"/>
      <c r="AF33" s="1283"/>
      <c r="AG33" s="1283"/>
      <c r="AH33" s="1283"/>
      <c r="AI33" s="1283"/>
      <c r="AJ33" s="1283"/>
      <c r="AK33" s="1283"/>
      <c r="AL33" s="218"/>
    </row>
    <row r="34" spans="1:38">
      <c r="A34" s="4"/>
      <c r="C34" s="2"/>
    </row>
    <row r="35" spans="1:38">
      <c r="A35" s="4"/>
      <c r="D35" s="1276" t="s">
        <v>2502</v>
      </c>
      <c r="E35" s="1276"/>
      <c r="F35" s="1276"/>
      <c r="G35" s="1276"/>
      <c r="H35" s="1276"/>
      <c r="I35" s="1276"/>
      <c r="J35" s="1276"/>
      <c r="K35" s="1276"/>
      <c r="L35" s="1276"/>
      <c r="M35" s="1276"/>
      <c r="N35" s="1276"/>
      <c r="O35" s="1276"/>
      <c r="P35" s="1276"/>
      <c r="Q35" s="1276"/>
      <c r="R35" s="1276"/>
      <c r="S35" s="1276"/>
      <c r="T35" s="1276"/>
      <c r="U35" s="1276"/>
      <c r="V35" s="1276"/>
      <c r="W35" s="1276"/>
      <c r="X35" s="1276"/>
      <c r="Y35" s="1276"/>
      <c r="Z35" s="1276"/>
      <c r="AA35" s="1276"/>
      <c r="AB35" s="1276"/>
      <c r="AC35" s="1276"/>
      <c r="AD35" s="1276"/>
      <c r="AE35" s="1276"/>
      <c r="AF35" s="1276"/>
      <c r="AG35" s="1276"/>
      <c r="AH35" s="1276"/>
      <c r="AI35" s="1276"/>
      <c r="AJ35" s="1276"/>
      <c r="AK35" s="1276"/>
    </row>
    <row r="36" spans="1:38">
      <c r="A36" s="4"/>
      <c r="D36" s="1276"/>
      <c r="E36" s="1276"/>
      <c r="F36" s="1276"/>
      <c r="G36" s="1276"/>
      <c r="H36" s="1276"/>
      <c r="I36" s="1276"/>
      <c r="J36" s="1276"/>
      <c r="K36" s="1276"/>
      <c r="L36" s="1276"/>
      <c r="M36" s="1276"/>
      <c r="N36" s="1276"/>
      <c r="O36" s="1276"/>
      <c r="P36" s="1276"/>
      <c r="Q36" s="1276"/>
      <c r="R36" s="1276"/>
      <c r="S36" s="1276"/>
      <c r="T36" s="1276"/>
      <c r="U36" s="1276"/>
      <c r="V36" s="1276"/>
      <c r="W36" s="1276"/>
      <c r="X36" s="1276"/>
      <c r="Y36" s="1276"/>
      <c r="Z36" s="1276"/>
      <c r="AA36" s="1276"/>
      <c r="AB36" s="1276"/>
      <c r="AC36" s="1276"/>
      <c r="AD36" s="1276"/>
      <c r="AE36" s="1276"/>
      <c r="AF36" s="1276"/>
      <c r="AG36" s="1276"/>
      <c r="AH36" s="1276"/>
      <c r="AI36" s="1276"/>
      <c r="AJ36" s="1276"/>
      <c r="AK36" s="1276"/>
    </row>
    <row r="37" spans="1:38">
      <c r="A37" s="4"/>
      <c r="D37" s="120"/>
      <c r="E37" s="1281" t="s">
        <v>2360</v>
      </c>
      <c r="F37" s="1281"/>
      <c r="G37" s="1281"/>
      <c r="H37" s="1281"/>
      <c r="I37" s="1281"/>
      <c r="J37" s="1281"/>
      <c r="K37" s="1281"/>
      <c r="L37" s="1281"/>
      <c r="M37" s="1281"/>
      <c r="N37" s="1281"/>
      <c r="O37" s="1281"/>
      <c r="P37" s="1281"/>
      <c r="Q37" s="1281"/>
      <c r="R37" s="1281"/>
      <c r="S37" s="1281"/>
      <c r="T37" s="1281"/>
      <c r="U37" s="1281"/>
      <c r="V37" s="1281"/>
      <c r="W37" s="1281"/>
      <c r="X37" s="1281"/>
      <c r="Y37" s="1281"/>
      <c r="Z37" s="1281"/>
      <c r="AA37" s="1281"/>
      <c r="AB37" s="1281"/>
      <c r="AC37" s="1281"/>
      <c r="AD37" s="1281"/>
      <c r="AE37" s="1281"/>
      <c r="AF37" s="1281"/>
      <c r="AG37" s="1281"/>
      <c r="AH37" s="1281"/>
      <c r="AI37" s="1281"/>
      <c r="AJ37" s="1281"/>
      <c r="AK37" s="1281"/>
    </row>
    <row r="38" spans="1:38">
      <c r="A38" s="4"/>
      <c r="D38" s="120"/>
      <c r="E38" s="1281" t="s">
        <v>2361</v>
      </c>
      <c r="F38" s="1281"/>
      <c r="G38" s="1281"/>
      <c r="H38" s="1281"/>
      <c r="I38" s="1281"/>
      <c r="J38" s="1281"/>
      <c r="K38" s="1281"/>
      <c r="L38" s="1281"/>
      <c r="M38" s="1281"/>
      <c r="N38" s="1281"/>
      <c r="O38" s="1281"/>
      <c r="P38" s="1281"/>
      <c r="Q38" s="1281"/>
      <c r="R38" s="1281"/>
      <c r="S38" s="1281"/>
      <c r="T38" s="1281"/>
      <c r="U38" s="1281"/>
      <c r="V38" s="1281"/>
      <c r="W38" s="1281"/>
      <c r="X38" s="1281"/>
      <c r="Y38" s="1281"/>
      <c r="Z38" s="1281"/>
      <c r="AA38" s="1281"/>
      <c r="AB38" s="1281"/>
      <c r="AC38" s="1281"/>
      <c r="AD38" s="1281"/>
      <c r="AE38" s="1281"/>
      <c r="AF38" s="1281"/>
      <c r="AG38" s="1281"/>
      <c r="AH38" s="1281"/>
      <c r="AI38" s="1281"/>
      <c r="AJ38" s="1281"/>
      <c r="AK38" s="1281"/>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75" customFormat="1" ht="13.15" customHeight="1">
      <c r="A42" s="4"/>
      <c r="B42"/>
      <c r="C42" s="2"/>
      <c r="D42" s="4"/>
      <c r="E42" s="4" t="s">
        <v>662</v>
      </c>
      <c r="F42" s="1275" t="s">
        <v>1271</v>
      </c>
    </row>
    <row r="43" spans="1:38" s="1275" customFormat="1" ht="13.15" customHeight="1">
      <c r="A43" s="4"/>
      <c r="B43"/>
      <c r="C43" s="2"/>
      <c r="D43" s="4"/>
      <c r="E43" s="4"/>
    </row>
    <row r="44" spans="1:38">
      <c r="A44" s="4"/>
      <c r="C44" s="2"/>
      <c r="D44" s="4"/>
      <c r="E44" s="4"/>
      <c r="F44" s="35" t="s">
        <v>697</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9" t="s">
        <v>1355</v>
      </c>
      <c r="G45" s="1279"/>
      <c r="H45" s="1279"/>
      <c r="I45" s="1279"/>
      <c r="J45" s="1279"/>
      <c r="K45" s="1279"/>
      <c r="L45" s="1279"/>
      <c r="M45" s="1279"/>
      <c r="N45" s="1279"/>
      <c r="O45" s="1279"/>
      <c r="P45" s="1279"/>
      <c r="Q45" s="1279"/>
      <c r="R45" s="1279"/>
      <c r="S45" s="1279"/>
      <c r="T45" s="1279"/>
      <c r="U45" s="1279"/>
      <c r="V45" s="1279"/>
      <c r="W45" s="1279"/>
      <c r="X45" s="1279"/>
      <c r="Y45" s="1279"/>
      <c r="Z45" s="1279"/>
      <c r="AA45" s="1279"/>
      <c r="AB45" s="1279"/>
      <c r="AC45" s="1279"/>
      <c r="AD45" s="1279"/>
      <c r="AE45" s="1279"/>
      <c r="AF45" s="1279"/>
      <c r="AG45" s="1279"/>
      <c r="AH45" s="1279"/>
      <c r="AI45" s="1279"/>
      <c r="AJ45" s="1279"/>
      <c r="AK45" s="1279"/>
      <c r="AL45" s="1279"/>
    </row>
    <row r="46" spans="1:38" s="118" customFormat="1">
      <c r="A46" s="4"/>
      <c r="B46"/>
      <c r="C46" s="2"/>
      <c r="D46" s="4"/>
      <c r="E46" s="4"/>
      <c r="F46" s="1279"/>
      <c r="G46" s="1279"/>
      <c r="H46" s="1279"/>
      <c r="I46" s="1279"/>
      <c r="J46" s="1279"/>
      <c r="K46" s="1279"/>
      <c r="L46" s="1279"/>
      <c r="M46" s="1279"/>
      <c r="N46" s="1279"/>
      <c r="O46" s="1279"/>
      <c r="P46" s="1279"/>
      <c r="Q46" s="1279"/>
      <c r="R46" s="1279"/>
      <c r="S46" s="1279"/>
      <c r="T46" s="1279"/>
      <c r="U46" s="1279"/>
      <c r="V46" s="1279"/>
      <c r="W46" s="1279"/>
      <c r="X46" s="1279"/>
      <c r="Y46" s="1279"/>
      <c r="Z46" s="1279"/>
      <c r="AA46" s="1279"/>
      <c r="AB46" s="1279"/>
      <c r="AC46" s="1279"/>
      <c r="AD46" s="1279"/>
      <c r="AE46" s="1279"/>
      <c r="AF46" s="1279"/>
      <c r="AG46" s="1279"/>
      <c r="AH46" s="1279"/>
      <c r="AI46" s="1279"/>
      <c r="AJ46" s="1279"/>
      <c r="AK46" s="1279"/>
      <c r="AL46" s="1279"/>
    </row>
    <row r="47" spans="1:38" s="118" customFormat="1" ht="13.15" customHeight="1">
      <c r="A47" s="4"/>
      <c r="B47"/>
      <c r="C47" s="2"/>
      <c r="D47" s="4"/>
      <c r="E47" s="4"/>
      <c r="F47" s="1279"/>
      <c r="G47" s="1279"/>
      <c r="H47" s="1279"/>
      <c r="I47" s="1279"/>
      <c r="J47" s="1279"/>
      <c r="K47" s="1279"/>
      <c r="L47" s="1279"/>
      <c r="M47" s="1279"/>
      <c r="N47" s="1279"/>
      <c r="O47" s="1279"/>
      <c r="P47" s="1279"/>
      <c r="Q47" s="1279"/>
      <c r="R47" s="1279"/>
      <c r="S47" s="1279"/>
      <c r="T47" s="1279"/>
      <c r="U47" s="1279"/>
      <c r="V47" s="1279"/>
      <c r="W47" s="1279"/>
      <c r="X47" s="1279"/>
      <c r="Y47" s="1279"/>
      <c r="Z47" s="1279"/>
      <c r="AA47" s="1279"/>
      <c r="AB47" s="1279"/>
      <c r="AC47" s="1279"/>
      <c r="AD47" s="1279"/>
      <c r="AE47" s="1279"/>
      <c r="AF47" s="1279"/>
      <c r="AG47" s="1279"/>
      <c r="AH47" s="1279"/>
      <c r="AI47" s="1279"/>
      <c r="AJ47" s="1279"/>
      <c r="AK47" s="1279"/>
      <c r="AL47" s="1279"/>
    </row>
    <row r="48" spans="1:38">
      <c r="A48" s="4"/>
      <c r="C48" s="2"/>
      <c r="D48" s="4"/>
      <c r="E48" s="4"/>
      <c r="F48" s="118" t="s">
        <v>697</v>
      </c>
      <c r="G48" s="3" t="s">
        <v>2354</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75" t="s">
        <v>2355</v>
      </c>
      <c r="G50" s="1275"/>
      <c r="H50" s="1275"/>
      <c r="I50" s="1275"/>
      <c r="J50" s="1275"/>
      <c r="K50" s="1275"/>
      <c r="L50" s="1275"/>
      <c r="M50" s="1275"/>
      <c r="N50" s="1275"/>
      <c r="O50" s="1275"/>
      <c r="P50" s="1275"/>
      <c r="Q50" s="1275"/>
      <c r="R50" s="1275"/>
      <c r="S50" s="1275"/>
      <c r="T50" s="1275"/>
      <c r="U50" s="1275"/>
      <c r="V50" s="1275"/>
      <c r="W50" s="1275"/>
      <c r="X50" s="1275"/>
      <c r="Y50" s="1275"/>
      <c r="Z50" s="1275"/>
      <c r="AA50" s="1275"/>
      <c r="AB50" s="1275"/>
      <c r="AC50" s="1275"/>
      <c r="AD50" s="1275"/>
      <c r="AE50" s="1275"/>
      <c r="AF50" s="1275"/>
      <c r="AG50" s="1275"/>
      <c r="AH50" s="1275"/>
      <c r="AI50" s="1275"/>
      <c r="AJ50" s="1275"/>
      <c r="AK50" s="1275"/>
    </row>
    <row r="51" spans="1:38">
      <c r="A51" s="4"/>
      <c r="C51" s="2"/>
      <c r="D51" s="4"/>
      <c r="E51" s="4"/>
      <c r="F51" s="1275"/>
      <c r="G51" s="1275"/>
      <c r="H51" s="1275"/>
      <c r="I51" s="1275"/>
      <c r="J51" s="1275"/>
      <c r="K51" s="1275"/>
      <c r="L51" s="1275"/>
      <c r="M51" s="1275"/>
      <c r="N51" s="1275"/>
      <c r="O51" s="1275"/>
      <c r="P51" s="1275"/>
      <c r="Q51" s="1275"/>
      <c r="R51" s="1275"/>
      <c r="S51" s="1275"/>
      <c r="T51" s="1275"/>
      <c r="U51" s="1275"/>
      <c r="V51" s="1275"/>
      <c r="W51" s="1275"/>
      <c r="X51" s="1275"/>
      <c r="Y51" s="1275"/>
      <c r="Z51" s="1275"/>
      <c r="AA51" s="1275"/>
      <c r="AB51" s="1275"/>
      <c r="AC51" s="1275"/>
      <c r="AD51" s="1275"/>
      <c r="AE51" s="1275"/>
      <c r="AF51" s="1275"/>
      <c r="AG51" s="1275"/>
      <c r="AH51" s="1275"/>
      <c r="AI51" s="1275"/>
      <c r="AJ51" s="1275"/>
      <c r="AK51" s="1275"/>
    </row>
    <row r="52" spans="1:38">
      <c r="A52" s="4"/>
      <c r="C52" s="2"/>
      <c r="D52" s="4"/>
      <c r="F52" s="1275"/>
      <c r="G52" s="1275"/>
      <c r="H52" s="1275"/>
      <c r="I52" s="1275"/>
      <c r="J52" s="1275"/>
      <c r="K52" s="1275"/>
      <c r="L52" s="1275"/>
      <c r="M52" s="1275"/>
      <c r="N52" s="1275"/>
      <c r="O52" s="1275"/>
      <c r="P52" s="1275"/>
      <c r="Q52" s="1275"/>
      <c r="R52" s="1275"/>
      <c r="S52" s="1275"/>
      <c r="T52" s="1275"/>
      <c r="U52" s="1275"/>
      <c r="V52" s="1275"/>
      <c r="W52" s="1275"/>
      <c r="X52" s="1275"/>
      <c r="Y52" s="1275"/>
      <c r="Z52" s="1275"/>
      <c r="AA52" s="1275"/>
      <c r="AB52" s="1275"/>
      <c r="AC52" s="1275"/>
      <c r="AD52" s="1275"/>
      <c r="AE52" s="1275"/>
      <c r="AF52" s="1275"/>
      <c r="AG52" s="1275"/>
      <c r="AH52" s="1275"/>
      <c r="AI52" s="1275"/>
      <c r="AJ52" s="1275"/>
      <c r="AK52" s="1275"/>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1299</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77" t="s">
        <v>1298</v>
      </c>
      <c r="H56" s="1277"/>
      <c r="I56" s="1277"/>
      <c r="J56" s="1277"/>
      <c r="K56" s="1277"/>
      <c r="L56" s="1277"/>
      <c r="M56" s="1277"/>
      <c r="N56" s="1277"/>
      <c r="O56" s="1277"/>
      <c r="P56" s="1277"/>
      <c r="Q56" s="1277"/>
      <c r="R56" s="1277"/>
      <c r="S56" s="1277"/>
      <c r="T56" s="1277"/>
      <c r="U56" s="1277"/>
      <c r="V56" s="1277"/>
      <c r="W56" s="1277"/>
      <c r="X56" s="1277"/>
      <c r="Y56" s="1277"/>
      <c r="Z56" s="1277"/>
      <c r="AA56" s="1277"/>
      <c r="AB56" s="1277"/>
      <c r="AC56" s="1277"/>
      <c r="AD56" s="1277"/>
      <c r="AE56" s="1277"/>
      <c r="AF56" s="1277"/>
      <c r="AG56" s="1277"/>
      <c r="AH56" s="1277"/>
      <c r="AI56" s="1277"/>
      <c r="AJ56" s="1277"/>
      <c r="AK56" s="1277"/>
      <c r="AL56" s="218"/>
    </row>
    <row r="57" spans="1:38" ht="13.15" customHeight="1">
      <c r="A57" s="218"/>
      <c r="B57" s="218"/>
      <c r="C57" s="219"/>
      <c r="D57" s="219"/>
      <c r="E57" s="218"/>
      <c r="F57" s="220"/>
      <c r="G57" s="512" t="s">
        <v>1300</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7" t="s">
        <v>584</v>
      </c>
      <c r="H58" s="1277"/>
      <c r="I58" s="1277"/>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518</v>
      </c>
      <c r="G59" s="1277" t="s">
        <v>2356</v>
      </c>
      <c r="H59" s="1277"/>
      <c r="I59" s="1277"/>
      <c r="J59" s="1277"/>
      <c r="K59" s="1277"/>
      <c r="L59" s="1277"/>
      <c r="M59" s="1277"/>
      <c r="N59" s="1277"/>
      <c r="O59" s="1277"/>
      <c r="P59" s="1277"/>
      <c r="Q59" s="1277"/>
      <c r="R59" s="1277"/>
      <c r="S59" s="1277"/>
      <c r="T59" s="1277"/>
      <c r="U59" s="1277"/>
      <c r="V59" s="1277"/>
      <c r="W59" s="1277"/>
      <c r="X59" s="1277"/>
      <c r="Y59" s="1277"/>
      <c r="Z59" s="1277"/>
      <c r="AA59" s="1277"/>
      <c r="AB59" s="1277"/>
      <c r="AC59" s="1277"/>
      <c r="AD59" s="1277"/>
      <c r="AE59" s="1277"/>
      <c r="AF59" s="1277"/>
      <c r="AG59" s="1277"/>
      <c r="AH59" s="1277"/>
      <c r="AI59" s="1277"/>
      <c r="AJ59" s="1277"/>
      <c r="AK59" s="1277"/>
      <c r="AL59" s="1277"/>
    </row>
    <row r="60" spans="1:38">
      <c r="A60" s="218"/>
      <c r="B60" s="218"/>
      <c r="C60" s="219"/>
      <c r="D60" s="219"/>
      <c r="E60" s="218"/>
      <c r="F60" s="220"/>
      <c r="G60" s="1277"/>
      <c r="H60" s="1277"/>
      <c r="I60" s="1277"/>
      <c r="J60" s="1277"/>
      <c r="K60" s="1277"/>
      <c r="L60" s="1277"/>
      <c r="M60" s="1277"/>
      <c r="N60" s="1277"/>
      <c r="O60" s="1277"/>
      <c r="P60" s="1277"/>
      <c r="Q60" s="1277"/>
      <c r="R60" s="1277"/>
      <c r="S60" s="1277"/>
      <c r="T60" s="1277"/>
      <c r="U60" s="1277"/>
      <c r="V60" s="1277"/>
      <c r="W60" s="1277"/>
      <c r="X60" s="1277"/>
      <c r="Y60" s="1277"/>
      <c r="Z60" s="1277"/>
      <c r="AA60" s="1277"/>
      <c r="AB60" s="1277"/>
      <c r="AC60" s="1277"/>
      <c r="AD60" s="1277"/>
      <c r="AE60" s="1277"/>
      <c r="AF60" s="1277"/>
      <c r="AG60" s="1277"/>
      <c r="AH60" s="1277"/>
      <c r="AI60" s="1277"/>
      <c r="AJ60" s="1277"/>
      <c r="AK60" s="1277"/>
      <c r="AL60" s="1277"/>
    </row>
    <row r="61" spans="1:38">
      <c r="A61" s="218"/>
      <c r="B61" s="218"/>
      <c r="C61" s="219"/>
      <c r="D61" s="219"/>
      <c r="E61" s="218"/>
      <c r="F61" s="220"/>
      <c r="G61" s="513" t="s">
        <v>1390</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1272</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75" t="s">
        <v>1273</v>
      </c>
      <c r="H66" s="1275"/>
      <c r="I66" s="1275"/>
      <c r="J66" s="1275"/>
      <c r="K66" s="1275"/>
      <c r="L66" s="1275"/>
      <c r="M66" s="1275"/>
      <c r="N66" s="1275"/>
      <c r="O66" s="1275"/>
      <c r="P66" s="1275"/>
      <c r="Q66" s="1275"/>
      <c r="R66" s="1275"/>
      <c r="S66" s="1275"/>
      <c r="T66" s="1275"/>
      <c r="U66" s="1275"/>
      <c r="V66" s="1275"/>
      <c r="W66" s="1275"/>
      <c r="X66" s="1275"/>
      <c r="Y66" s="1275"/>
      <c r="Z66" s="1275"/>
      <c r="AA66" s="1275"/>
      <c r="AB66" s="1275"/>
      <c r="AC66" s="1275"/>
      <c r="AD66" s="1275"/>
      <c r="AE66" s="1275"/>
      <c r="AF66" s="1275"/>
      <c r="AG66" s="1275"/>
      <c r="AH66" s="1275"/>
      <c r="AI66" s="1275"/>
      <c r="AJ66" s="1275"/>
      <c r="AK66" s="1275"/>
    </row>
    <row r="67" spans="1:37">
      <c r="A67" s="4"/>
      <c r="C67" s="2"/>
      <c r="D67" s="4"/>
      <c r="E67" s="4"/>
      <c r="G67" s="1275"/>
      <c r="H67" s="1275"/>
      <c r="I67" s="1275"/>
      <c r="J67" s="1275"/>
      <c r="K67" s="1275"/>
      <c r="L67" s="1275"/>
      <c r="M67" s="1275"/>
      <c r="N67" s="1275"/>
      <c r="O67" s="1275"/>
      <c r="P67" s="1275"/>
      <c r="Q67" s="1275"/>
      <c r="R67" s="1275"/>
      <c r="S67" s="1275"/>
      <c r="T67" s="1275"/>
      <c r="U67" s="1275"/>
      <c r="V67" s="1275"/>
      <c r="W67" s="1275"/>
      <c r="X67" s="1275"/>
      <c r="Y67" s="1275"/>
      <c r="Z67" s="1275"/>
      <c r="AA67" s="1275"/>
      <c r="AB67" s="1275"/>
      <c r="AC67" s="1275"/>
      <c r="AD67" s="1275"/>
      <c r="AE67" s="1275"/>
      <c r="AF67" s="1275"/>
      <c r="AG67" s="1275"/>
      <c r="AH67" s="1275"/>
      <c r="AI67" s="1275"/>
      <c r="AJ67" s="1275"/>
      <c r="AK67" s="1275"/>
    </row>
    <row r="68" spans="1:37">
      <c r="A68" s="4"/>
      <c r="C68" s="2"/>
      <c r="D68" s="4"/>
      <c r="E68" s="4"/>
      <c r="G68" s="1275"/>
      <c r="H68" s="1275"/>
      <c r="I68" s="1275"/>
      <c r="J68" s="1275"/>
      <c r="K68" s="1275"/>
      <c r="L68" s="1275"/>
      <c r="M68" s="1275"/>
      <c r="N68" s="1275"/>
      <c r="O68" s="1275"/>
      <c r="P68" s="1275"/>
      <c r="Q68" s="1275"/>
      <c r="R68" s="1275"/>
      <c r="S68" s="1275"/>
      <c r="T68" s="1275"/>
      <c r="U68" s="1275"/>
      <c r="V68" s="1275"/>
      <c r="W68" s="1275"/>
      <c r="X68" s="1275"/>
      <c r="Y68" s="1275"/>
      <c r="Z68" s="1275"/>
      <c r="AA68" s="1275"/>
      <c r="AB68" s="1275"/>
      <c r="AC68" s="1275"/>
      <c r="AD68" s="1275"/>
      <c r="AE68" s="1275"/>
      <c r="AF68" s="1275"/>
      <c r="AG68" s="1275"/>
      <c r="AH68" s="1275"/>
      <c r="AI68" s="1275"/>
      <c r="AJ68" s="1275"/>
      <c r="AK68" s="1275"/>
    </row>
    <row r="69" spans="1:37" ht="13.15" customHeight="1">
      <c r="A69" s="4"/>
      <c r="C69" s="2"/>
      <c r="D69" s="4"/>
      <c r="E69" s="4"/>
      <c r="F69" t="s">
        <v>518</v>
      </c>
      <c r="G69" s="1275" t="s">
        <v>1274</v>
      </c>
      <c r="H69" s="1275"/>
      <c r="I69" s="1275"/>
      <c r="J69" s="1275"/>
      <c r="K69" s="1275"/>
      <c r="L69" s="1275"/>
      <c r="M69" s="1275"/>
      <c r="N69" s="1275"/>
      <c r="O69" s="1275"/>
      <c r="P69" s="1275"/>
      <c r="Q69" s="1275"/>
      <c r="R69" s="1275"/>
      <c r="S69" s="1275"/>
      <c r="T69" s="1275"/>
      <c r="U69" s="1275"/>
      <c r="V69" s="1275"/>
      <c r="W69" s="1275"/>
      <c r="X69" s="1275"/>
      <c r="Y69" s="1275"/>
      <c r="Z69" s="1275"/>
      <c r="AA69" s="1275"/>
      <c r="AB69" s="1275"/>
      <c r="AC69" s="1275"/>
      <c r="AD69" s="1275"/>
      <c r="AE69" s="1275"/>
      <c r="AF69" s="1275"/>
      <c r="AG69" s="1275"/>
      <c r="AH69" s="1275"/>
      <c r="AI69" s="1275"/>
      <c r="AJ69" s="1275"/>
      <c r="AK69" s="1275"/>
    </row>
    <row r="70" spans="1:37">
      <c r="A70" s="4"/>
      <c r="C70" s="2"/>
      <c r="D70" s="4"/>
      <c r="E70" s="4"/>
      <c r="F70" s="27"/>
      <c r="G70" s="1275"/>
      <c r="H70" s="1275"/>
      <c r="I70" s="1275"/>
      <c r="J70" s="1275"/>
      <c r="K70" s="1275"/>
      <c r="L70" s="1275"/>
      <c r="M70" s="1275"/>
      <c r="N70" s="1275"/>
      <c r="O70" s="1275"/>
      <c r="P70" s="1275"/>
      <c r="Q70" s="1275"/>
      <c r="R70" s="1275"/>
      <c r="S70" s="1275"/>
      <c r="T70" s="1275"/>
      <c r="U70" s="1275"/>
      <c r="V70" s="1275"/>
      <c r="W70" s="1275"/>
      <c r="X70" s="1275"/>
      <c r="Y70" s="1275"/>
      <c r="Z70" s="1275"/>
      <c r="AA70" s="1275"/>
      <c r="AB70" s="1275"/>
      <c r="AC70" s="1275"/>
      <c r="AD70" s="1275"/>
      <c r="AE70" s="1275"/>
      <c r="AF70" s="1275"/>
      <c r="AG70" s="1275"/>
      <c r="AH70" s="1275"/>
      <c r="AI70" s="1275"/>
      <c r="AJ70" s="1275"/>
      <c r="AK70" s="1275"/>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697</v>
      </c>
      <c r="G72" s="1275" t="s">
        <v>1275</v>
      </c>
      <c r="H72" s="1275"/>
      <c r="I72" s="1275"/>
      <c r="J72" s="1275"/>
      <c r="K72" s="1275"/>
      <c r="L72" s="1275"/>
      <c r="M72" s="1275"/>
      <c r="N72" s="1275"/>
      <c r="O72" s="1275"/>
      <c r="P72" s="1275"/>
      <c r="Q72" s="1275"/>
      <c r="R72" s="1275"/>
      <c r="S72" s="1275"/>
      <c r="T72" s="1275"/>
      <c r="U72" s="1275"/>
      <c r="V72" s="1275"/>
      <c r="W72" s="1275"/>
      <c r="X72" s="1275"/>
      <c r="Y72" s="1275"/>
      <c r="Z72" s="1275"/>
      <c r="AA72" s="1275"/>
      <c r="AB72" s="1275"/>
      <c r="AC72" s="1275"/>
      <c r="AD72" s="1275"/>
      <c r="AE72" s="1275"/>
      <c r="AF72" s="1275"/>
      <c r="AG72" s="1275"/>
      <c r="AH72" s="1275"/>
      <c r="AI72" s="1275"/>
      <c r="AJ72" s="1275"/>
      <c r="AK72" s="1275"/>
    </row>
    <row r="73" spans="1:37">
      <c r="A73" s="4"/>
      <c r="C73" s="2"/>
      <c r="D73" s="4"/>
      <c r="E73" s="4"/>
      <c r="F73" s="8"/>
      <c r="G73" s="1275"/>
      <c r="H73" s="1275"/>
      <c r="I73" s="1275"/>
      <c r="J73" s="1275"/>
      <c r="K73" s="1275"/>
      <c r="L73" s="1275"/>
      <c r="M73" s="1275"/>
      <c r="N73" s="1275"/>
      <c r="O73" s="1275"/>
      <c r="P73" s="1275"/>
      <c r="Q73" s="1275"/>
      <c r="R73" s="1275"/>
      <c r="S73" s="1275"/>
      <c r="T73" s="1275"/>
      <c r="U73" s="1275"/>
      <c r="V73" s="1275"/>
      <c r="W73" s="1275"/>
      <c r="X73" s="1275"/>
      <c r="Y73" s="1275"/>
      <c r="Z73" s="1275"/>
      <c r="AA73" s="1275"/>
      <c r="AB73" s="1275"/>
      <c r="AC73" s="1275"/>
      <c r="AD73" s="1275"/>
      <c r="AE73" s="1275"/>
      <c r="AF73" s="1275"/>
      <c r="AG73" s="1275"/>
      <c r="AH73" s="1275"/>
      <c r="AI73" s="1275"/>
      <c r="AJ73" s="1275"/>
      <c r="AK73" s="1275"/>
    </row>
    <row r="74" spans="1:37">
      <c r="A74" s="4"/>
      <c r="C74" s="2"/>
      <c r="D74" s="4"/>
      <c r="E74" s="4"/>
      <c r="F74" s="8" t="s">
        <v>518</v>
      </c>
      <c r="G74" s="1275" t="s">
        <v>1276</v>
      </c>
      <c r="H74" s="1275"/>
      <c r="I74" s="1275"/>
      <c r="J74" s="1275"/>
      <c r="K74" s="1275"/>
      <c r="L74" s="1275"/>
      <c r="M74" s="1275"/>
      <c r="N74" s="1275"/>
      <c r="O74" s="1275"/>
      <c r="P74" s="1275"/>
      <c r="Q74" s="1275"/>
      <c r="R74" s="1275"/>
      <c r="S74" s="1275"/>
      <c r="T74" s="1275"/>
      <c r="U74" s="1275"/>
      <c r="V74" s="1275"/>
      <c r="W74" s="1275"/>
      <c r="X74" s="1275"/>
      <c r="Y74" s="1275"/>
      <c r="Z74" s="1275"/>
      <c r="AA74" s="1275"/>
      <c r="AB74" s="1275"/>
      <c r="AC74" s="1275"/>
      <c r="AD74" s="1275"/>
      <c r="AE74" s="1275"/>
      <c r="AF74" s="1275"/>
      <c r="AG74" s="1275"/>
      <c r="AH74" s="1275"/>
      <c r="AI74" s="1275"/>
      <c r="AJ74" s="1275"/>
      <c r="AK74" s="1275"/>
    </row>
    <row r="75" spans="1:37">
      <c r="A75" s="4"/>
      <c r="C75" s="2"/>
      <c r="D75" s="4"/>
      <c r="E75" s="4"/>
      <c r="F75" s="8"/>
      <c r="G75" s="1275"/>
      <c r="H75" s="1275"/>
      <c r="I75" s="1275"/>
      <c r="J75" s="1275"/>
      <c r="K75" s="1275"/>
      <c r="L75" s="1275"/>
      <c r="M75" s="1275"/>
      <c r="N75" s="1275"/>
      <c r="O75" s="1275"/>
      <c r="P75" s="1275"/>
      <c r="Q75" s="1275"/>
      <c r="R75" s="1275"/>
      <c r="S75" s="1275"/>
      <c r="T75" s="1275"/>
      <c r="U75" s="1275"/>
      <c r="V75" s="1275"/>
      <c r="W75" s="1275"/>
      <c r="X75" s="1275"/>
      <c r="Y75" s="1275"/>
      <c r="Z75" s="1275"/>
      <c r="AA75" s="1275"/>
      <c r="AB75" s="1275"/>
      <c r="AC75" s="1275"/>
      <c r="AD75" s="1275"/>
      <c r="AE75" s="1275"/>
      <c r="AF75" s="1275"/>
      <c r="AG75" s="1275"/>
      <c r="AH75" s="1275"/>
      <c r="AI75" s="1275"/>
      <c r="AJ75" s="1275"/>
      <c r="AK75" s="1275"/>
    </row>
    <row r="76" spans="1:37">
      <c r="A76" s="4"/>
      <c r="C76" s="2"/>
      <c r="D76" s="4"/>
      <c r="E76" s="4"/>
      <c r="F76" s="8"/>
      <c r="G76" s="120" t="s">
        <v>760</v>
      </c>
      <c r="H76" s="4"/>
      <c r="J76" s="120"/>
      <c r="K76" s="120"/>
      <c r="L76" s="120"/>
      <c r="P76" s="4"/>
      <c r="Q76" s="4"/>
      <c r="R76" s="4"/>
      <c r="S76" s="4"/>
      <c r="T76" s="4"/>
      <c r="U76" s="4"/>
      <c r="V76" s="4"/>
      <c r="W76" s="4"/>
      <c r="X76" s="4"/>
      <c r="Y76" s="4"/>
      <c r="Z76" s="4"/>
      <c r="AA76" s="4"/>
      <c r="AB76" s="4"/>
    </row>
    <row r="77" spans="1:37">
      <c r="A77" s="4"/>
      <c r="C77" s="2"/>
      <c r="D77" s="4"/>
      <c r="E77" s="4"/>
      <c r="F77" s="8"/>
      <c r="G77" s="120" t="s">
        <v>876</v>
      </c>
      <c r="J77" s="120"/>
      <c r="K77" s="120"/>
      <c r="L77" s="120"/>
      <c r="P77" s="4"/>
      <c r="Q77" s="4"/>
      <c r="R77" s="4"/>
      <c r="S77" s="4"/>
      <c r="T77" s="4"/>
      <c r="U77" s="4"/>
      <c r="V77" s="4"/>
      <c r="W77" s="4"/>
      <c r="X77" s="4"/>
      <c r="Y77" s="4"/>
      <c r="Z77" s="4"/>
      <c r="AA77" s="4"/>
      <c r="AB77" s="4"/>
    </row>
    <row r="78" spans="1:37">
      <c r="A78" s="4"/>
      <c r="C78" s="2"/>
      <c r="D78" s="4"/>
      <c r="E78" s="4"/>
      <c r="F78" s="8" t="s">
        <v>279</v>
      </c>
      <c r="G78" s="4" t="s">
        <v>1039</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877</v>
      </c>
      <c r="K79" s="4"/>
      <c r="L79" s="4"/>
      <c r="M79" s="4"/>
      <c r="P79" s="4"/>
      <c r="Q79" s="4"/>
      <c r="R79" s="4"/>
      <c r="S79" s="4"/>
      <c r="T79" s="4"/>
      <c r="U79" s="4"/>
      <c r="V79" s="4"/>
      <c r="W79" s="4"/>
      <c r="X79" s="4"/>
      <c r="Y79" s="4"/>
      <c r="Z79" s="4"/>
      <c r="AA79" s="4"/>
      <c r="AB79" s="4"/>
    </row>
    <row r="80" spans="1:37">
      <c r="A80" s="4"/>
      <c r="C80" s="2"/>
      <c r="D80" s="4"/>
      <c r="E80" s="4"/>
      <c r="F80" s="4"/>
      <c r="G80" s="4" t="s">
        <v>767</v>
      </c>
      <c r="H80" s="4" t="s">
        <v>763</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75" t="s">
        <v>1277</v>
      </c>
      <c r="H82" s="1275"/>
      <c r="I82" s="1275"/>
      <c r="J82" s="1275"/>
      <c r="K82" s="1275"/>
      <c r="L82" s="1275"/>
      <c r="M82" s="1275"/>
      <c r="N82" s="1275"/>
      <c r="O82" s="1275"/>
      <c r="P82" s="1275"/>
      <c r="Q82" s="1275"/>
      <c r="R82" s="1275"/>
      <c r="S82" s="1275"/>
      <c r="T82" s="1275"/>
      <c r="U82" s="1275"/>
      <c r="V82" s="1275"/>
      <c r="W82" s="1275"/>
      <c r="X82" s="1275"/>
      <c r="Y82" s="1275"/>
      <c r="Z82" s="1275"/>
      <c r="AA82" s="1275"/>
      <c r="AB82" s="1275"/>
      <c r="AC82" s="1275"/>
      <c r="AD82" s="1275"/>
      <c r="AE82" s="1275"/>
      <c r="AF82" s="1275"/>
      <c r="AG82" s="1275"/>
      <c r="AH82" s="1275"/>
      <c r="AI82" s="1275"/>
      <c r="AJ82" s="1275"/>
      <c r="AK82" s="1275"/>
    </row>
    <row r="83" spans="1:37">
      <c r="A83" s="4"/>
      <c r="C83" s="2"/>
      <c r="D83" s="4"/>
      <c r="E83" s="4"/>
      <c r="F83" s="4"/>
      <c r="G83" s="1275"/>
      <c r="H83" s="1275"/>
      <c r="I83" s="1275"/>
      <c r="J83" s="1275"/>
      <c r="K83" s="1275"/>
      <c r="L83" s="1275"/>
      <c r="M83" s="1275"/>
      <c r="N83" s="1275"/>
      <c r="O83" s="1275"/>
      <c r="P83" s="1275"/>
      <c r="Q83" s="1275"/>
      <c r="R83" s="1275"/>
      <c r="S83" s="1275"/>
      <c r="T83" s="1275"/>
      <c r="U83" s="1275"/>
      <c r="V83" s="1275"/>
      <c r="W83" s="1275"/>
      <c r="X83" s="1275"/>
      <c r="Y83" s="1275"/>
      <c r="Z83" s="1275"/>
      <c r="AA83" s="1275"/>
      <c r="AB83" s="1275"/>
      <c r="AC83" s="1275"/>
      <c r="AD83" s="1275"/>
      <c r="AE83" s="1275"/>
      <c r="AF83" s="1275"/>
      <c r="AG83" s="1275"/>
      <c r="AH83" s="1275"/>
      <c r="AI83" s="1275"/>
      <c r="AJ83" s="1275"/>
      <c r="AK83" s="1275"/>
    </row>
    <row r="84" spans="1:37">
      <c r="A84" s="4"/>
      <c r="C84" s="2"/>
      <c r="D84" s="4"/>
      <c r="E84" s="4"/>
      <c r="F84" s="4"/>
      <c r="G84" s="1275"/>
      <c r="H84" s="1275"/>
      <c r="I84" s="1275"/>
      <c r="J84" s="1275"/>
      <c r="K84" s="1275"/>
      <c r="L84" s="1275"/>
      <c r="M84" s="1275"/>
      <c r="N84" s="1275"/>
      <c r="O84" s="1275"/>
      <c r="P84" s="1275"/>
      <c r="Q84" s="1275"/>
      <c r="R84" s="1275"/>
      <c r="S84" s="1275"/>
      <c r="T84" s="1275"/>
      <c r="U84" s="1275"/>
      <c r="V84" s="1275"/>
      <c r="W84" s="1275"/>
      <c r="X84" s="1275"/>
      <c r="Y84" s="1275"/>
      <c r="Z84" s="1275"/>
      <c r="AA84" s="1275"/>
      <c r="AB84" s="1275"/>
      <c r="AC84" s="1275"/>
      <c r="AD84" s="1275"/>
      <c r="AE84" s="1275"/>
      <c r="AF84" s="1275"/>
      <c r="AG84" s="1275"/>
      <c r="AH84" s="1275"/>
      <c r="AI84" s="1275"/>
      <c r="AJ84" s="1275"/>
      <c r="AK84" s="1275"/>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75" t="s">
        <v>1278</v>
      </c>
      <c r="H86" s="1275"/>
      <c r="I86" s="1275"/>
      <c r="J86" s="1275"/>
      <c r="K86" s="1275"/>
      <c r="L86" s="1275"/>
      <c r="M86" s="1275"/>
      <c r="N86" s="1275"/>
      <c r="O86" s="1275"/>
      <c r="P86" s="1275"/>
      <c r="Q86" s="1275"/>
      <c r="R86" s="1275"/>
      <c r="S86" s="1275"/>
      <c r="T86" s="1275"/>
      <c r="U86" s="1275"/>
      <c r="V86" s="1275"/>
      <c r="W86" s="1275"/>
      <c r="X86" s="1275"/>
      <c r="Y86" s="1275"/>
      <c r="Z86" s="1275"/>
      <c r="AA86" s="1275"/>
      <c r="AB86" s="1275"/>
      <c r="AC86" s="1275"/>
      <c r="AD86" s="1275"/>
      <c r="AE86" s="1275"/>
      <c r="AF86" s="1275"/>
      <c r="AG86" s="1275"/>
      <c r="AH86" s="1275"/>
      <c r="AI86" s="1275"/>
      <c r="AJ86" s="1275"/>
      <c r="AK86" s="1275"/>
    </row>
    <row r="87" spans="1:37">
      <c r="A87" s="4"/>
      <c r="C87" s="2"/>
      <c r="D87" s="4"/>
      <c r="E87" s="4"/>
      <c r="F87" s="4"/>
      <c r="G87" s="1275"/>
      <c r="H87" s="1275"/>
      <c r="I87" s="1275"/>
      <c r="J87" s="1275"/>
      <c r="K87" s="1275"/>
      <c r="L87" s="1275"/>
      <c r="M87" s="1275"/>
      <c r="N87" s="1275"/>
      <c r="O87" s="1275"/>
      <c r="P87" s="1275"/>
      <c r="Q87" s="1275"/>
      <c r="R87" s="1275"/>
      <c r="S87" s="1275"/>
      <c r="T87" s="1275"/>
      <c r="U87" s="1275"/>
      <c r="V87" s="1275"/>
      <c r="W87" s="1275"/>
      <c r="X87" s="1275"/>
      <c r="Y87" s="1275"/>
      <c r="Z87" s="1275"/>
      <c r="AA87" s="1275"/>
      <c r="AB87" s="1275"/>
      <c r="AC87" s="1275"/>
      <c r="AD87" s="1275"/>
      <c r="AE87" s="1275"/>
      <c r="AF87" s="1275"/>
      <c r="AG87" s="1275"/>
      <c r="AH87" s="1275"/>
      <c r="AI87" s="1275"/>
      <c r="AJ87" s="1275"/>
      <c r="AK87" s="1275"/>
    </row>
    <row r="88" spans="1:37">
      <c r="A88" s="4"/>
      <c r="C88" s="2"/>
      <c r="D88" s="4"/>
      <c r="E88" s="4"/>
      <c r="G88" s="1275"/>
      <c r="H88" s="1275"/>
      <c r="I88" s="1275"/>
      <c r="J88" s="1275"/>
      <c r="K88" s="1275"/>
      <c r="L88" s="1275"/>
      <c r="M88" s="1275"/>
      <c r="N88" s="1275"/>
      <c r="O88" s="1275"/>
      <c r="P88" s="1275"/>
      <c r="Q88" s="1275"/>
      <c r="R88" s="1275"/>
      <c r="S88" s="1275"/>
      <c r="T88" s="1275"/>
      <c r="U88" s="1275"/>
      <c r="V88" s="1275"/>
      <c r="W88" s="1275"/>
      <c r="X88" s="1275"/>
      <c r="Y88" s="1275"/>
      <c r="Z88" s="1275"/>
      <c r="AA88" s="1275"/>
      <c r="AB88" s="1275"/>
      <c r="AC88" s="1275"/>
      <c r="AD88" s="1275"/>
      <c r="AE88" s="1275"/>
      <c r="AF88" s="1275"/>
      <c r="AG88" s="1275"/>
      <c r="AH88" s="1275"/>
      <c r="AI88" s="1275"/>
      <c r="AJ88" s="1275"/>
      <c r="AK88" s="1275"/>
    </row>
    <row r="89" spans="1:37">
      <c r="A89" s="4"/>
      <c r="C89" s="2"/>
      <c r="D89" s="4"/>
      <c r="E89" s="4" t="s">
        <v>263</v>
      </c>
      <c r="F89" t="s">
        <v>878</v>
      </c>
      <c r="G89" s="4"/>
      <c r="L89" s="4"/>
      <c r="M89" s="4"/>
      <c r="P89" s="4"/>
      <c r="Q89" s="4"/>
      <c r="R89" s="4"/>
      <c r="S89" s="4"/>
      <c r="T89" s="4"/>
      <c r="U89" s="4"/>
      <c r="V89" s="4"/>
      <c r="W89" s="4"/>
      <c r="X89" s="4"/>
      <c r="Y89" s="4"/>
      <c r="Z89" s="4"/>
      <c r="AA89" s="4"/>
      <c r="AB89" s="4"/>
    </row>
    <row r="90" spans="1:37">
      <c r="A90" s="4"/>
      <c r="C90" s="2"/>
      <c r="D90" s="4"/>
      <c r="E90" s="4"/>
      <c r="G90" s="1284" t="s">
        <v>1279</v>
      </c>
      <c r="H90" s="1284"/>
      <c r="I90" s="1284"/>
      <c r="J90" s="1284"/>
      <c r="K90" s="1284"/>
      <c r="L90" s="1284"/>
      <c r="M90" s="1284"/>
      <c r="N90" s="1284"/>
      <c r="O90" s="1284"/>
      <c r="P90" s="1284"/>
      <c r="Q90" s="1284"/>
      <c r="R90" s="1284"/>
      <c r="S90" s="1284"/>
      <c r="T90" s="1284"/>
      <c r="U90" s="1284"/>
      <c r="V90" s="1284"/>
      <c r="W90" s="1284"/>
      <c r="X90" s="1284"/>
      <c r="Y90" s="1284"/>
      <c r="Z90" s="1284"/>
      <c r="AA90" s="1284"/>
      <c r="AB90" s="1284"/>
      <c r="AC90" s="1284"/>
      <c r="AD90" s="1284"/>
      <c r="AE90" s="1284"/>
      <c r="AF90" s="1284"/>
      <c r="AG90" s="1284"/>
      <c r="AH90" s="1284"/>
      <c r="AI90" s="1284"/>
      <c r="AJ90" s="1284"/>
      <c r="AK90" s="1284"/>
    </row>
    <row r="91" spans="1:37">
      <c r="A91" s="4"/>
      <c r="C91" s="2"/>
      <c r="D91" s="4"/>
      <c r="E91" s="4"/>
      <c r="G91" s="1284"/>
      <c r="H91" s="1284"/>
      <c r="I91" s="1284"/>
      <c r="J91" s="1284"/>
      <c r="K91" s="1284"/>
      <c r="L91" s="1284"/>
      <c r="M91" s="1284"/>
      <c r="N91" s="1284"/>
      <c r="O91" s="1284"/>
      <c r="P91" s="1284"/>
      <c r="Q91" s="1284"/>
      <c r="R91" s="1284"/>
      <c r="S91" s="1284"/>
      <c r="T91" s="1284"/>
      <c r="U91" s="1284"/>
      <c r="V91" s="1284"/>
      <c r="W91" s="1284"/>
      <c r="X91" s="1284"/>
      <c r="Y91" s="1284"/>
      <c r="Z91" s="1284"/>
      <c r="AA91" s="1284"/>
      <c r="AB91" s="1284"/>
      <c r="AC91" s="1284"/>
      <c r="AD91" s="1284"/>
      <c r="AE91" s="1284"/>
      <c r="AF91" s="1284"/>
      <c r="AG91" s="1284"/>
      <c r="AH91" s="1284"/>
      <c r="AI91" s="1284"/>
      <c r="AJ91" s="1284"/>
      <c r="AK91" s="1284"/>
    </row>
    <row r="92" spans="1:37">
      <c r="A92" s="4"/>
      <c r="C92" s="2"/>
      <c r="D92" s="4"/>
      <c r="E92" s="4"/>
      <c r="G92" s="1284"/>
      <c r="H92" s="1284"/>
      <c r="I92" s="1284"/>
      <c r="J92" s="1284"/>
      <c r="K92" s="1284"/>
      <c r="L92" s="1284"/>
      <c r="M92" s="1284"/>
      <c r="N92" s="1284"/>
      <c r="O92" s="1284"/>
      <c r="P92" s="1284"/>
      <c r="Q92" s="1284"/>
      <c r="R92" s="1284"/>
      <c r="S92" s="1284"/>
      <c r="T92" s="1284"/>
      <c r="U92" s="1284"/>
      <c r="V92" s="1284"/>
      <c r="W92" s="1284"/>
      <c r="X92" s="1284"/>
      <c r="Y92" s="1284"/>
      <c r="Z92" s="1284"/>
      <c r="AA92" s="1284"/>
      <c r="AB92" s="1284"/>
      <c r="AC92" s="1284"/>
      <c r="AD92" s="1284"/>
      <c r="AE92" s="1284"/>
      <c r="AF92" s="1284"/>
      <c r="AG92" s="1284"/>
      <c r="AH92" s="1284"/>
      <c r="AI92" s="1284"/>
      <c r="AJ92" s="1284"/>
      <c r="AK92" s="1284"/>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75" t="s">
        <v>1280</v>
      </c>
      <c r="H94" s="1275"/>
      <c r="I94" s="1275"/>
      <c r="J94" s="1275"/>
      <c r="K94" s="1275"/>
      <c r="L94" s="1275"/>
      <c r="M94" s="1275"/>
      <c r="N94" s="1275"/>
      <c r="O94" s="1275"/>
      <c r="P94" s="1275"/>
      <c r="Q94" s="1275"/>
      <c r="R94" s="1275"/>
      <c r="S94" s="1275"/>
      <c r="T94" s="1275"/>
      <c r="U94" s="1275"/>
      <c r="V94" s="1275"/>
      <c r="W94" s="1275"/>
      <c r="X94" s="1275"/>
      <c r="Y94" s="1275"/>
      <c r="Z94" s="1275"/>
      <c r="AA94" s="1275"/>
      <c r="AB94" s="1275"/>
      <c r="AC94" s="1275"/>
      <c r="AD94" s="1275"/>
      <c r="AE94" s="1275"/>
      <c r="AF94" s="1275"/>
      <c r="AG94" s="1275"/>
      <c r="AH94" s="1275"/>
      <c r="AI94" s="1275"/>
      <c r="AJ94" s="1275"/>
      <c r="AK94" s="1275"/>
    </row>
    <row r="95" spans="1:37">
      <c r="A95" s="4"/>
      <c r="C95" s="2"/>
      <c r="D95" s="4"/>
      <c r="E95" s="4"/>
      <c r="G95" s="1275"/>
      <c r="H95" s="1275"/>
      <c r="I95" s="1275"/>
      <c r="J95" s="1275"/>
      <c r="K95" s="1275"/>
      <c r="L95" s="1275"/>
      <c r="M95" s="1275"/>
      <c r="N95" s="1275"/>
      <c r="O95" s="1275"/>
      <c r="P95" s="1275"/>
      <c r="Q95" s="1275"/>
      <c r="R95" s="1275"/>
      <c r="S95" s="1275"/>
      <c r="T95" s="1275"/>
      <c r="U95" s="1275"/>
      <c r="V95" s="1275"/>
      <c r="W95" s="1275"/>
      <c r="X95" s="1275"/>
      <c r="Y95" s="1275"/>
      <c r="Z95" s="1275"/>
      <c r="AA95" s="1275"/>
      <c r="AB95" s="1275"/>
      <c r="AC95" s="1275"/>
      <c r="AD95" s="1275"/>
      <c r="AE95" s="1275"/>
      <c r="AF95" s="1275"/>
      <c r="AG95" s="1275"/>
      <c r="AH95" s="1275"/>
      <c r="AI95" s="1275"/>
      <c r="AJ95" s="1275"/>
      <c r="AK95" s="1275"/>
    </row>
    <row r="96" spans="1:37">
      <c r="A96" s="4"/>
      <c r="C96" s="2"/>
      <c r="D96" s="4"/>
      <c r="E96" s="4" t="s">
        <v>920</v>
      </c>
      <c r="F96" s="218" t="s">
        <v>921</v>
      </c>
      <c r="G96" s="218"/>
      <c r="L96" s="4"/>
      <c r="M96" s="4"/>
      <c r="P96" s="4"/>
      <c r="Q96" s="4"/>
      <c r="R96" s="4"/>
      <c r="S96" s="4"/>
      <c r="T96" s="4"/>
      <c r="U96" s="4"/>
      <c r="V96" s="4"/>
      <c r="W96" s="4"/>
      <c r="X96" s="4"/>
      <c r="Y96" s="4"/>
      <c r="Z96" s="4"/>
      <c r="AA96" s="4"/>
      <c r="AB96" s="4"/>
    </row>
    <row r="97" spans="1:38">
      <c r="A97" s="4"/>
      <c r="C97" s="2"/>
      <c r="D97" s="4"/>
      <c r="E97" s="4"/>
      <c r="G97" s="1275" t="s">
        <v>1281</v>
      </c>
      <c r="H97" s="1275"/>
      <c r="I97" s="1275"/>
      <c r="J97" s="1275"/>
      <c r="K97" s="1275"/>
      <c r="L97" s="1275"/>
      <c r="M97" s="1275"/>
      <c r="N97" s="1275"/>
      <c r="O97" s="1275"/>
      <c r="P97" s="1275"/>
      <c r="Q97" s="1275"/>
      <c r="R97" s="1275"/>
      <c r="S97" s="1275"/>
      <c r="T97" s="1275"/>
      <c r="U97" s="1275"/>
      <c r="V97" s="1275"/>
      <c r="W97" s="1275"/>
      <c r="X97" s="1275"/>
      <c r="Y97" s="1275"/>
      <c r="Z97" s="1275"/>
      <c r="AA97" s="1275"/>
      <c r="AB97" s="1275"/>
      <c r="AC97" s="1275"/>
      <c r="AD97" s="1275"/>
      <c r="AE97" s="1275"/>
      <c r="AF97" s="1275"/>
      <c r="AG97" s="1275"/>
      <c r="AH97" s="1275"/>
      <c r="AI97" s="1275"/>
      <c r="AJ97" s="1275"/>
      <c r="AK97" s="1275"/>
    </row>
    <row r="98" spans="1:38">
      <c r="A98" s="4"/>
      <c r="C98" s="2"/>
      <c r="D98" s="4"/>
      <c r="E98" s="4"/>
      <c r="G98" s="1275"/>
      <c r="H98" s="1275"/>
      <c r="I98" s="1275"/>
      <c r="J98" s="1275"/>
      <c r="K98" s="1275"/>
      <c r="L98" s="1275"/>
      <c r="M98" s="1275"/>
      <c r="N98" s="1275"/>
      <c r="O98" s="1275"/>
      <c r="P98" s="1275"/>
      <c r="Q98" s="1275"/>
      <c r="R98" s="1275"/>
      <c r="S98" s="1275"/>
      <c r="T98" s="1275"/>
      <c r="U98" s="1275"/>
      <c r="V98" s="1275"/>
      <c r="W98" s="1275"/>
      <c r="X98" s="1275"/>
      <c r="Y98" s="1275"/>
      <c r="Z98" s="1275"/>
      <c r="AA98" s="1275"/>
      <c r="AB98" s="1275"/>
      <c r="AC98" s="1275"/>
      <c r="AD98" s="1275"/>
      <c r="AE98" s="1275"/>
      <c r="AF98" s="1275"/>
      <c r="AG98" s="1275"/>
      <c r="AH98" s="1275"/>
      <c r="AI98" s="1275"/>
      <c r="AJ98" s="1275"/>
      <c r="AK98" s="1275"/>
    </row>
    <row r="99" spans="1:38">
      <c r="A99" s="4"/>
      <c r="C99" s="2"/>
      <c r="D99" s="4"/>
      <c r="E99" s="4"/>
      <c r="G99" s="1275"/>
      <c r="H99" s="1275"/>
      <c r="I99" s="1275"/>
      <c r="J99" s="1275"/>
      <c r="K99" s="1275"/>
      <c r="L99" s="1275"/>
      <c r="M99" s="1275"/>
      <c r="N99" s="1275"/>
      <c r="O99" s="1275"/>
      <c r="P99" s="1275"/>
      <c r="Q99" s="1275"/>
      <c r="R99" s="1275"/>
      <c r="S99" s="1275"/>
      <c r="T99" s="1275"/>
      <c r="U99" s="1275"/>
      <c r="V99" s="1275"/>
      <c r="W99" s="1275"/>
      <c r="X99" s="1275"/>
      <c r="Y99" s="1275"/>
      <c r="Z99" s="1275"/>
      <c r="AA99" s="1275"/>
      <c r="AB99" s="1275"/>
      <c r="AC99" s="1275"/>
      <c r="AD99" s="1275"/>
      <c r="AE99" s="1275"/>
      <c r="AF99" s="1275"/>
      <c r="AG99" s="1275"/>
      <c r="AH99" s="1275"/>
      <c r="AI99" s="1275"/>
      <c r="AJ99" s="1275"/>
      <c r="AK99" s="1275"/>
    </row>
    <row r="100" spans="1:38">
      <c r="A100" s="4"/>
      <c r="D100" s="99"/>
      <c r="E100" s="1285" t="s">
        <v>1282</v>
      </c>
      <c r="F100" s="1285"/>
      <c r="G100" s="1285"/>
      <c r="H100" s="1285"/>
      <c r="I100" s="1285"/>
      <c r="J100" s="1285"/>
      <c r="K100" s="1285"/>
      <c r="L100" s="1285"/>
      <c r="M100" s="1285"/>
      <c r="N100" s="1285"/>
      <c r="O100" s="1285"/>
      <c r="P100" s="1285"/>
      <c r="Q100" s="1285"/>
      <c r="R100" s="1285"/>
      <c r="S100" s="1285"/>
      <c r="T100" s="1285"/>
      <c r="U100" s="1285"/>
      <c r="V100" s="1285"/>
      <c r="W100" s="1285"/>
      <c r="X100" s="1285"/>
      <c r="Y100" s="1285"/>
      <c r="Z100" s="1285"/>
      <c r="AA100" s="1285"/>
      <c r="AB100" s="1285"/>
      <c r="AC100" s="1285"/>
      <c r="AD100" s="1285"/>
      <c r="AE100" s="1285"/>
      <c r="AF100" s="1285"/>
      <c r="AG100" s="1285"/>
      <c r="AH100" s="1285"/>
      <c r="AI100" s="1285"/>
      <c r="AJ100" s="1285"/>
      <c r="AK100" s="1285"/>
    </row>
    <row r="101" spans="1:38">
      <c r="A101" s="4"/>
      <c r="D101" s="99"/>
      <c r="E101" s="1285"/>
      <c r="F101" s="1285"/>
      <c r="G101" s="1285"/>
      <c r="H101" s="1285"/>
      <c r="I101" s="1285"/>
      <c r="J101" s="1285"/>
      <c r="K101" s="1285"/>
      <c r="L101" s="1285"/>
      <c r="M101" s="1285"/>
      <c r="N101" s="1285"/>
      <c r="O101" s="1285"/>
      <c r="P101" s="1285"/>
      <c r="Q101" s="1285"/>
      <c r="R101" s="1285"/>
      <c r="S101" s="1285"/>
      <c r="T101" s="1285"/>
      <c r="U101" s="1285"/>
      <c r="V101" s="1285"/>
      <c r="W101" s="1285"/>
      <c r="X101" s="1285"/>
      <c r="Y101" s="1285"/>
      <c r="Z101" s="1285"/>
      <c r="AA101" s="1285"/>
      <c r="AB101" s="1285"/>
      <c r="AC101" s="1285"/>
      <c r="AD101" s="1285"/>
      <c r="AE101" s="1285"/>
      <c r="AF101" s="1285"/>
      <c r="AG101" s="1285"/>
      <c r="AH101" s="1285"/>
      <c r="AI101" s="1285"/>
      <c r="AJ101" s="1285"/>
      <c r="AK101" s="1285"/>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1293</v>
      </c>
      <c r="H105" s="2"/>
      <c r="I105" s="2"/>
      <c r="K105" s="2"/>
    </row>
    <row r="106" spans="1:38">
      <c r="B106" s="2"/>
      <c r="C106" s="2"/>
      <c r="D106" s="2" t="s">
        <v>208</v>
      </c>
      <c r="E106" s="2" t="s">
        <v>1295</v>
      </c>
      <c r="F106" s="2"/>
      <c r="G106" s="2"/>
      <c r="H106" s="2"/>
      <c r="I106" s="2"/>
      <c r="J106" s="2"/>
      <c r="K106" s="2"/>
      <c r="L106" s="2"/>
      <c r="M106" s="2"/>
    </row>
    <row r="107" spans="1:38">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c r="E111" s="4" t="s">
        <v>113</v>
      </c>
      <c r="F111" s="98" t="s">
        <v>665</v>
      </c>
      <c r="G111" s="2"/>
      <c r="H111" s="2"/>
      <c r="I111" s="2"/>
      <c r="J111" s="2"/>
    </row>
    <row r="112" spans="1:38">
      <c r="E112" s="4"/>
      <c r="F112" t="s">
        <v>666</v>
      </c>
    </row>
    <row r="113" spans="2:16">
      <c r="E113" s="4"/>
    </row>
    <row r="114" spans="2:16">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c r="F119" s="4" t="s">
        <v>1040</v>
      </c>
      <c r="G119" s="4"/>
    </row>
    <row r="120" spans="2:16">
      <c r="F120" s="99" t="s">
        <v>1294</v>
      </c>
      <c r="G120" s="99"/>
    </row>
    <row r="121" spans="2:16">
      <c r="G121" s="99"/>
    </row>
    <row r="122" spans="2:16">
      <c r="E122" s="4" t="s">
        <v>773</v>
      </c>
      <c r="F122" s="98" t="s">
        <v>379</v>
      </c>
    </row>
    <row r="123" spans="2:16">
      <c r="E123" s="4"/>
      <c r="F123" s="4" t="s">
        <v>1032</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943</v>
      </c>
      <c r="F127" s="4"/>
    </row>
    <row r="128" spans="2:16"/>
    <row r="129" spans="4:37">
      <c r="D129" s="2" t="s">
        <v>342</v>
      </c>
      <c r="E129" s="2" t="s">
        <v>586</v>
      </c>
    </row>
    <row r="130" spans="4:37">
      <c r="E130" s="4" t="s">
        <v>943</v>
      </c>
      <c r="F130" s="4"/>
    </row>
    <row r="131" spans="4:37"/>
    <row r="132" spans="4:37">
      <c r="D132" s="2" t="s">
        <v>583</v>
      </c>
      <c r="E132" s="2" t="s">
        <v>734</v>
      </c>
      <c r="G132" s="2"/>
      <c r="H132" s="2"/>
      <c r="I132" s="2"/>
      <c r="J132" s="2"/>
      <c r="K132" s="2"/>
      <c r="L132" s="2"/>
      <c r="M132" s="2"/>
      <c r="N132" s="2"/>
    </row>
    <row r="133" spans="4:37">
      <c r="D133" s="2"/>
      <c r="E133" s="119" t="s">
        <v>1368</v>
      </c>
      <c r="G133" s="2"/>
      <c r="H133" s="2"/>
      <c r="I133" s="2"/>
      <c r="J133" s="2"/>
      <c r="K133" s="2"/>
      <c r="L133" s="2"/>
      <c r="M133" s="2"/>
      <c r="N133" s="2"/>
    </row>
    <row r="134" spans="4:37" ht="12.75" customHeight="1">
      <c r="E134" s="119" t="s">
        <v>1366</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1367</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523</v>
      </c>
      <c r="E137" s="2" t="s">
        <v>526</v>
      </c>
      <c r="F137" s="2"/>
    </row>
    <row r="138" spans="4:37">
      <c r="E138" s="3" t="s">
        <v>1320</v>
      </c>
      <c r="F138" s="4"/>
    </row>
    <row r="139" spans="4:37">
      <c r="F139" s="4"/>
    </row>
    <row r="140" spans="4:37">
      <c r="D140" s="2" t="s">
        <v>304</v>
      </c>
      <c r="E140" s="2" t="s">
        <v>2357</v>
      </c>
      <c r="F140" s="2"/>
      <c r="G140" s="2"/>
      <c r="H140" s="2"/>
    </row>
    <row r="141" spans="4:37">
      <c r="E141" t="s">
        <v>112</v>
      </c>
      <c r="F141" t="s">
        <v>52</v>
      </c>
    </row>
    <row r="142" spans="4:37">
      <c r="E142" t="s">
        <v>113</v>
      </c>
      <c r="F142" t="s">
        <v>475</v>
      </c>
    </row>
    <row r="143" spans="4:37"/>
    <row r="144" spans="4:37">
      <c r="D144" s="2" t="s">
        <v>430</v>
      </c>
      <c r="E144" s="2" t="s">
        <v>2358</v>
      </c>
    </row>
    <row r="145" spans="3:7">
      <c r="E145" s="218" t="s">
        <v>2359</v>
      </c>
      <c r="F145" s="218"/>
    </row>
    <row r="146" spans="3:7"/>
    <row r="147" spans="3:7">
      <c r="C147" s="2" t="s">
        <v>6</v>
      </c>
      <c r="G147" s="2" t="s">
        <v>381</v>
      </c>
    </row>
    <row r="148" spans="3:7">
      <c r="D148" s="2" t="s">
        <v>208</v>
      </c>
      <c r="E148" s="2" t="s">
        <v>135</v>
      </c>
    </row>
    <row r="149" spans="3:7">
      <c r="E149" t="s">
        <v>807</v>
      </c>
    </row>
    <row r="150" spans="3:7"/>
    <row r="151" spans="3:7">
      <c r="D151" s="2" t="s">
        <v>342</v>
      </c>
      <c r="E151" s="2" t="s">
        <v>533</v>
      </c>
      <c r="F151" s="2"/>
    </row>
    <row r="152" spans="3:7">
      <c r="E152" s="4" t="s">
        <v>945</v>
      </c>
      <c r="F152" s="4"/>
    </row>
    <row r="153" spans="3:7"/>
    <row r="154" spans="3:7">
      <c r="D154" s="2" t="s">
        <v>583</v>
      </c>
      <c r="E154" s="2" t="s">
        <v>562</v>
      </c>
    </row>
    <row r="155" spans="3:7">
      <c r="E155" s="4" t="s">
        <v>946</v>
      </c>
    </row>
    <row r="156" spans="3:7">
      <c r="E156" s="4" t="s">
        <v>944</v>
      </c>
      <c r="G156" s="4"/>
    </row>
    <row r="157" spans="3:7"/>
    <row r="158" spans="3:7">
      <c r="D158" s="2" t="s">
        <v>523</v>
      </c>
      <c r="E158" s="2" t="s">
        <v>542</v>
      </c>
    </row>
    <row r="159" spans="3:7">
      <c r="E159" t="s">
        <v>112</v>
      </c>
      <c r="F159" s="4" t="s">
        <v>947</v>
      </c>
    </row>
    <row r="160" spans="3:7">
      <c r="E160" s="4" t="s">
        <v>113</v>
      </c>
      <c r="F160" s="4" t="s">
        <v>948</v>
      </c>
    </row>
    <row r="161" spans="3:20">
      <c r="E161" s="4" t="s">
        <v>119</v>
      </c>
      <c r="F161" t="s">
        <v>735</v>
      </c>
    </row>
    <row r="162" spans="3:20"/>
    <row r="163" spans="3:20">
      <c r="D163" s="2" t="s">
        <v>304</v>
      </c>
      <c r="E163" s="2" t="s">
        <v>382</v>
      </c>
    </row>
    <row r="164" spans="3:20">
      <c r="E164" s="4" t="s">
        <v>949</v>
      </c>
      <c r="F164" s="4"/>
    </row>
    <row r="165" spans="3:20"/>
    <row r="166" spans="3:20">
      <c r="D166" s="2" t="s">
        <v>430</v>
      </c>
      <c r="E166" s="2" t="s">
        <v>172</v>
      </c>
    </row>
    <row r="167" spans="3:20">
      <c r="E167" s="4" t="s">
        <v>951</v>
      </c>
    </row>
    <row r="168" spans="3:20">
      <c r="E168" s="4" t="s">
        <v>950</v>
      </c>
    </row>
    <row r="169" spans="3:20"/>
    <row r="170" spans="3:20">
      <c r="D170" s="2" t="s">
        <v>566</v>
      </c>
      <c r="E170" s="2" t="s">
        <v>631</v>
      </c>
    </row>
    <row r="171" spans="3:20">
      <c r="E171" t="s">
        <v>112</v>
      </c>
      <c r="F171" t="s">
        <v>736</v>
      </c>
    </row>
    <row r="172" spans="3:20">
      <c r="E172" t="s">
        <v>113</v>
      </c>
      <c r="F172" t="s">
        <v>298</v>
      </c>
    </row>
    <row r="173" spans="3:20">
      <c r="F173" s="4"/>
    </row>
    <row r="174" spans="3:20">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112</v>
      </c>
      <c r="F179" s="4" t="s">
        <v>952</v>
      </c>
    </row>
    <row r="180" spans="2:19">
      <c r="F180" s="120" t="s">
        <v>1251</v>
      </c>
      <c r="I180" s="120"/>
    </row>
    <row r="181" spans="2:19">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c r="D185" s="2" t="s">
        <v>342</v>
      </c>
      <c r="E185" s="2" t="s">
        <v>1033</v>
      </c>
    </row>
    <row r="186" spans="2:19">
      <c r="B186" s="4"/>
      <c r="C186" s="4"/>
      <c r="E186" s="4" t="s">
        <v>719</v>
      </c>
      <c r="F186" s="4"/>
      <c r="I186" s="4"/>
    </row>
    <row r="187" spans="2:19">
      <c r="B187" s="4"/>
      <c r="C187" s="4"/>
      <c r="E187" s="4" t="s">
        <v>1031</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111</v>
      </c>
    </row>
    <row r="193" spans="2:37">
      <c r="B193" s="4"/>
      <c r="C193" s="2"/>
      <c r="E193" t="s">
        <v>112</v>
      </c>
      <c r="F193" s="4" t="s">
        <v>1041</v>
      </c>
      <c r="G193" s="4"/>
      <c r="H193" s="4"/>
      <c r="I193" s="4"/>
    </row>
    <row r="194" spans="2:37">
      <c r="B194" s="4"/>
      <c r="C194" s="2"/>
      <c r="F194" s="4" t="s">
        <v>662</v>
      </c>
      <c r="G194" s="3" t="s">
        <v>1314</v>
      </c>
    </row>
    <row r="195" spans="2:37">
      <c r="B195" s="4"/>
      <c r="C195" s="4"/>
      <c r="F195" s="4" t="s">
        <v>349</v>
      </c>
      <c r="G195" s="3" t="s">
        <v>1315</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955</v>
      </c>
      <c r="M202" s="4"/>
      <c r="N202" s="4"/>
      <c r="O202" s="4"/>
      <c r="P202" s="4"/>
      <c r="Q202" s="4"/>
      <c r="R202" s="4"/>
      <c r="S202" s="4"/>
    </row>
    <row r="203" spans="2:37">
      <c r="B203" s="4"/>
      <c r="C203" s="4"/>
      <c r="D203" s="2"/>
      <c r="E203" s="4" t="s">
        <v>113</v>
      </c>
      <c r="F203" s="4" t="s">
        <v>1042</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c r="B206" s="4"/>
      <c r="C206" s="4"/>
      <c r="D206" s="2"/>
      <c r="E206" s="4" t="s">
        <v>590</v>
      </c>
      <c r="F206" s="4" t="s">
        <v>957</v>
      </c>
      <c r="M206" s="4"/>
      <c r="N206" s="4"/>
      <c r="O206" s="4"/>
      <c r="P206" s="4"/>
      <c r="Q206" s="4"/>
      <c r="R206" s="4"/>
      <c r="S206" s="4"/>
    </row>
    <row r="207" spans="2:37">
      <c r="B207" s="4"/>
      <c r="C207" s="4"/>
      <c r="D207" s="2"/>
      <c r="F207" t="s">
        <v>662</v>
      </c>
      <c r="G207" s="1275" t="s">
        <v>1283</v>
      </c>
      <c r="H207" s="1275"/>
      <c r="I207" s="1275"/>
      <c r="J207" s="1275"/>
      <c r="K207" s="1275"/>
      <c r="L207" s="1275"/>
      <c r="M207" s="1275"/>
      <c r="N207" s="1275"/>
      <c r="O207" s="1275"/>
      <c r="P207" s="1275"/>
      <c r="Q207" s="1275"/>
      <c r="R207" s="1275"/>
      <c r="S207" s="1275"/>
      <c r="T207" s="1275"/>
      <c r="U207" s="1275"/>
      <c r="V207" s="1275"/>
      <c r="W207" s="1275"/>
      <c r="X207" s="1275"/>
      <c r="Y207" s="1275"/>
      <c r="Z207" s="1275"/>
      <c r="AA207" s="1275"/>
      <c r="AB207" s="1275"/>
      <c r="AC207" s="1275"/>
      <c r="AD207" s="1275"/>
      <c r="AE207" s="1275"/>
      <c r="AF207" s="1275"/>
      <c r="AG207" s="1275"/>
      <c r="AH207" s="1275"/>
      <c r="AI207" s="1275"/>
      <c r="AJ207" s="1275"/>
      <c r="AK207" s="1275"/>
    </row>
    <row r="208" spans="2:37">
      <c r="B208" s="4"/>
      <c r="C208" s="4"/>
      <c r="D208" s="2"/>
      <c r="G208" s="1275"/>
      <c r="H208" s="1275"/>
      <c r="I208" s="1275"/>
      <c r="J208" s="1275"/>
      <c r="K208" s="1275"/>
      <c r="L208" s="1275"/>
      <c r="M208" s="1275"/>
      <c r="N208" s="1275"/>
      <c r="O208" s="1275"/>
      <c r="P208" s="1275"/>
      <c r="Q208" s="1275"/>
      <c r="R208" s="1275"/>
      <c r="S208" s="1275"/>
      <c r="T208" s="1275"/>
      <c r="U208" s="1275"/>
      <c r="V208" s="1275"/>
      <c r="W208" s="1275"/>
      <c r="X208" s="1275"/>
      <c r="Y208" s="1275"/>
      <c r="Z208" s="1275"/>
      <c r="AA208" s="1275"/>
      <c r="AB208" s="1275"/>
      <c r="AC208" s="1275"/>
      <c r="AD208" s="1275"/>
      <c r="AE208" s="1275"/>
      <c r="AF208" s="1275"/>
      <c r="AG208" s="1275"/>
      <c r="AH208" s="1275"/>
      <c r="AI208" s="1275"/>
      <c r="AJ208" s="1275"/>
      <c r="AK208" s="1275"/>
    </row>
    <row r="209" spans="1:38">
      <c r="B209" s="4"/>
      <c r="C209" s="4"/>
      <c r="D209" s="2"/>
      <c r="M209" s="4"/>
      <c r="N209" s="4"/>
      <c r="O209" s="4"/>
      <c r="P209" s="4"/>
      <c r="Q209" s="4"/>
      <c r="R209" s="4"/>
      <c r="S209" s="4"/>
    </row>
    <row r="210" spans="1:38">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112</v>
      </c>
      <c r="F226" s="4" t="s">
        <v>726</v>
      </c>
      <c r="G226" s="4"/>
      <c r="I226" s="4"/>
      <c r="J226" s="4"/>
      <c r="K226" s="4"/>
      <c r="L226" s="4"/>
      <c r="M226" s="4"/>
      <c r="N226" s="4"/>
      <c r="O226" s="4"/>
      <c r="P226" s="4"/>
      <c r="Q226" s="4"/>
      <c r="R226" s="4"/>
      <c r="S226" s="4"/>
    </row>
    <row r="227" spans="2:19">
      <c r="B227" s="2"/>
      <c r="E227" s="4" t="s">
        <v>113</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727</v>
      </c>
      <c r="G230" s="4"/>
      <c r="I230" s="4"/>
      <c r="J230" s="4"/>
      <c r="K230" s="4"/>
      <c r="L230" s="4"/>
      <c r="M230" s="4"/>
      <c r="N230" s="4"/>
      <c r="O230" s="4"/>
      <c r="P230" s="4"/>
      <c r="Q230" s="4"/>
      <c r="R230" s="4"/>
      <c r="S230" s="4"/>
    </row>
    <row r="231" spans="2:19">
      <c r="B231" s="2"/>
      <c r="E231" s="4"/>
      <c r="F231" s="4" t="s">
        <v>728</v>
      </c>
      <c r="G231" s="4"/>
      <c r="H231" s="4"/>
      <c r="I231" s="4"/>
      <c r="J231" s="4"/>
      <c r="K231" s="4"/>
      <c r="L231" s="4"/>
      <c r="M231" s="4"/>
      <c r="N231" s="4"/>
      <c r="O231" s="4"/>
      <c r="P231" s="4"/>
      <c r="Q231" s="4"/>
      <c r="R231" s="4"/>
      <c r="S231" s="4"/>
    </row>
    <row r="232" spans="2:19">
      <c r="B232" s="2"/>
      <c r="D232" s="4"/>
      <c r="E232" s="4" t="s">
        <v>113</v>
      </c>
      <c r="F232" s="4" t="s">
        <v>689</v>
      </c>
      <c r="G232" s="4"/>
      <c r="I232" s="4"/>
      <c r="J232" s="4"/>
      <c r="K232" s="4"/>
      <c r="L232" s="4"/>
      <c r="M232" s="4"/>
      <c r="N232" s="4"/>
      <c r="O232" s="4"/>
      <c r="P232" s="4"/>
      <c r="Q232" s="4"/>
      <c r="R232" s="4"/>
      <c r="S232" s="4"/>
    </row>
    <row r="233" spans="2:19">
      <c r="B233" s="2"/>
      <c r="E233" s="4" t="s">
        <v>119</v>
      </c>
      <c r="F233" s="98" t="s">
        <v>972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1252</v>
      </c>
      <c r="G253" s="4"/>
      <c r="I253" s="120"/>
      <c r="J253" s="4"/>
      <c r="K253" s="4"/>
      <c r="L253" s="4"/>
      <c r="M253" s="4"/>
      <c r="N253" s="4"/>
      <c r="O253" s="4"/>
      <c r="P253" s="4"/>
      <c r="Q253" s="4"/>
      <c r="R253" s="4"/>
      <c r="S253" s="4"/>
      <c r="T253" s="4"/>
      <c r="U253" s="4"/>
    </row>
    <row r="254" spans="2:21">
      <c r="B254" s="2"/>
      <c r="C254" s="2"/>
      <c r="E254" s="4" t="s">
        <v>113</v>
      </c>
      <c r="F254" s="4" t="s">
        <v>958</v>
      </c>
      <c r="I254" s="4"/>
      <c r="J254" s="4"/>
      <c r="K254" s="4"/>
      <c r="L254" s="4"/>
      <c r="M254" s="4"/>
      <c r="N254" s="4"/>
      <c r="O254" s="4"/>
      <c r="P254" s="4"/>
      <c r="Q254" s="4"/>
      <c r="R254" s="4"/>
      <c r="S254" s="4"/>
      <c r="T254" s="4"/>
      <c r="U254" s="4"/>
    </row>
    <row r="255" spans="2:21">
      <c r="B255" s="2"/>
      <c r="C255" s="2"/>
      <c r="E255" s="4"/>
      <c r="F255" s="218" t="s">
        <v>662</v>
      </c>
      <c r="G255" s="218" t="s">
        <v>821</v>
      </c>
      <c r="I255" s="3"/>
      <c r="K255" s="3"/>
      <c r="L255" s="3"/>
      <c r="M255" s="3"/>
      <c r="N255" s="3"/>
      <c r="O255" s="3"/>
      <c r="Q255" s="4"/>
      <c r="R255" s="4"/>
      <c r="S255" s="4"/>
      <c r="T255" s="4"/>
      <c r="U255" s="4"/>
    </row>
    <row r="256" spans="2:21">
      <c r="B256" s="2"/>
      <c r="C256" s="2"/>
      <c r="E256" s="4"/>
      <c r="F256" s="218"/>
      <c r="G256" s="218" t="s">
        <v>822</v>
      </c>
      <c r="I256" s="3"/>
      <c r="K256" s="3"/>
      <c r="L256" s="3"/>
      <c r="M256" s="3"/>
      <c r="N256" s="3"/>
      <c r="O256" s="3"/>
      <c r="P256" s="3"/>
    </row>
    <row r="257" spans="2:21">
      <c r="B257" s="2"/>
      <c r="C257" s="2"/>
      <c r="E257" s="4"/>
      <c r="F257" s="218" t="s">
        <v>349</v>
      </c>
      <c r="G257" s="218" t="s">
        <v>964</v>
      </c>
      <c r="I257" s="4"/>
      <c r="K257" s="4"/>
      <c r="L257" s="4"/>
      <c r="M257" s="4"/>
      <c r="N257" s="4"/>
      <c r="O257" s="4"/>
      <c r="P257" s="3"/>
    </row>
    <row r="258" spans="2:21">
      <c r="B258" s="2"/>
      <c r="C258" s="2"/>
      <c r="E258" s="4"/>
      <c r="F258" s="218"/>
      <c r="G258" s="218" t="s">
        <v>882</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813</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814</v>
      </c>
      <c r="I264" s="4"/>
      <c r="J264" s="4"/>
      <c r="K264" s="4"/>
      <c r="L264" s="4"/>
      <c r="M264" s="4"/>
      <c r="N264" s="4"/>
      <c r="O264" s="4"/>
      <c r="P264" s="4"/>
      <c r="Q264" s="4"/>
      <c r="R264" s="4"/>
      <c r="S264" s="4"/>
    </row>
    <row r="265" spans="2:21">
      <c r="B265" s="2"/>
      <c r="C265" s="2"/>
      <c r="E265" s="4" t="s">
        <v>590</v>
      </c>
      <c r="F265" s="218" t="s">
        <v>823</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1043</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965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1036</v>
      </c>
      <c r="J275" s="4"/>
      <c r="K275" s="4"/>
      <c r="L275" s="4"/>
      <c r="M275" s="4"/>
      <c r="N275" s="4"/>
      <c r="O275" s="4"/>
      <c r="P275" s="4"/>
      <c r="Q275" s="4"/>
      <c r="R275" s="4"/>
      <c r="S275" s="4"/>
      <c r="T275" s="4"/>
      <c r="U275" s="4"/>
    </row>
    <row r="276" spans="2:21">
      <c r="B276" s="2"/>
      <c r="D276" s="4"/>
      <c r="E276" s="4" t="s">
        <v>959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967</v>
      </c>
      <c r="F285" s="120"/>
      <c r="G285" s="4"/>
      <c r="H285" s="120"/>
      <c r="I285" s="120"/>
      <c r="J285" s="4"/>
      <c r="K285" s="4"/>
      <c r="L285" s="4"/>
      <c r="M285" s="4"/>
      <c r="P285" s="4"/>
      <c r="Q285" s="4"/>
      <c r="R285" s="4"/>
      <c r="S285" s="4"/>
    </row>
    <row r="286" spans="2:21">
      <c r="B286" s="2"/>
      <c r="D286" s="2"/>
      <c r="E286" s="483" t="s">
        <v>881</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112</v>
      </c>
      <c r="F289" s="4" t="s">
        <v>568</v>
      </c>
      <c r="G289" s="4"/>
      <c r="O289" s="4"/>
      <c r="P289" s="4"/>
      <c r="Q289" s="4"/>
      <c r="R289" s="4"/>
      <c r="S289" s="4"/>
      <c r="T289" s="4"/>
      <c r="U289" s="4"/>
      <c r="V289" s="4"/>
      <c r="W289" s="4"/>
    </row>
    <row r="290" spans="2:23">
      <c r="B290" s="2"/>
      <c r="D290" s="4"/>
      <c r="E290" s="4"/>
      <c r="F290" s="120" t="s">
        <v>1253</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569</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960</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752</v>
      </c>
      <c r="G299" s="4"/>
      <c r="K299" s="4"/>
      <c r="L299" s="4"/>
      <c r="M299" s="4"/>
      <c r="N299" s="4"/>
      <c r="O299" s="4"/>
      <c r="P299" s="4"/>
      <c r="Q299" s="4"/>
      <c r="R299" s="4"/>
      <c r="S299" s="4"/>
      <c r="T299" s="4"/>
      <c r="U299" s="4"/>
      <c r="V299" s="4"/>
      <c r="W299" s="4"/>
    </row>
    <row r="300" spans="2:23">
      <c r="B300" s="2"/>
      <c r="D300" s="4"/>
      <c r="E300" s="4" t="s">
        <v>773</v>
      </c>
      <c r="F300" s="4" t="s">
        <v>759</v>
      </c>
      <c r="G300" s="4"/>
      <c r="K300" s="4"/>
      <c r="L300" s="4"/>
      <c r="M300" s="4"/>
      <c r="N300" s="4"/>
      <c r="O300" s="4"/>
      <c r="P300" s="4"/>
      <c r="Q300" s="4"/>
      <c r="R300" s="4"/>
      <c r="S300" s="4"/>
      <c r="T300" s="4"/>
      <c r="U300" s="4"/>
      <c r="V300" s="4"/>
      <c r="W300" s="4"/>
    </row>
    <row r="301" spans="2:23">
      <c r="B301" s="2"/>
      <c r="D301" s="4"/>
      <c r="E301" s="4"/>
      <c r="F301" s="120" t="s">
        <v>983</v>
      </c>
      <c r="G301" s="120"/>
      <c r="H301" s="120"/>
      <c r="I301" s="120"/>
      <c r="J301" s="120"/>
      <c r="K301" s="120"/>
      <c r="L301" s="120"/>
      <c r="M301" s="4"/>
      <c r="N301" s="4"/>
      <c r="O301" s="4"/>
      <c r="P301" s="4"/>
      <c r="Q301" s="4"/>
      <c r="R301" s="4"/>
      <c r="S301" s="4"/>
      <c r="T301" s="4"/>
      <c r="U301" s="4"/>
      <c r="V301" s="4"/>
      <c r="W301" s="4"/>
    </row>
    <row r="302" spans="2:23">
      <c r="B302" s="2"/>
      <c r="D302" s="4"/>
      <c r="E302" s="4"/>
      <c r="F302" s="120" t="s">
        <v>984</v>
      </c>
      <c r="G302" s="120"/>
      <c r="H302" s="120"/>
      <c r="I302" s="120"/>
      <c r="J302" s="120"/>
      <c r="K302" s="120"/>
      <c r="L302" s="120"/>
      <c r="M302" s="4"/>
      <c r="N302" s="4"/>
      <c r="O302" s="4"/>
      <c r="P302" s="4"/>
      <c r="Q302" s="4"/>
      <c r="R302" s="4"/>
      <c r="S302" s="4"/>
      <c r="T302" s="4"/>
      <c r="U302" s="4"/>
      <c r="V302" s="4"/>
      <c r="W302" s="4"/>
    </row>
    <row r="303" spans="2:23">
      <c r="B303" s="2"/>
      <c r="D303" s="4"/>
      <c r="E303" s="4"/>
      <c r="F303" s="120" t="s">
        <v>985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968</v>
      </c>
      <c r="F306" s="4"/>
      <c r="K306" s="4"/>
      <c r="L306" s="4"/>
      <c r="M306" s="4"/>
      <c r="N306" s="4"/>
      <c r="O306" s="4"/>
      <c r="P306" s="4"/>
      <c r="Q306" s="4"/>
      <c r="R306" s="4"/>
      <c r="S306" s="4"/>
      <c r="T306" s="4"/>
      <c r="U306" s="4"/>
      <c r="V306" s="4"/>
      <c r="W306" s="4"/>
    </row>
    <row r="307" spans="2:23">
      <c r="B307" s="2"/>
      <c r="D307" s="2"/>
      <c r="E307" s="4" t="s">
        <v>966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809</v>
      </c>
      <c r="F312" s="4"/>
      <c r="G312" s="4"/>
      <c r="I312" s="4"/>
      <c r="K312" s="4"/>
    </row>
    <row r="313" spans="2:23">
      <c r="B313" s="2"/>
      <c r="D313" s="2"/>
      <c r="E313" s="4" t="s">
        <v>969</v>
      </c>
      <c r="F313" s="4"/>
      <c r="G313" s="4"/>
      <c r="I313" s="4"/>
      <c r="K313" s="4"/>
    </row>
    <row r="314" spans="2:23">
      <c r="B314" s="2"/>
      <c r="D314" s="2"/>
      <c r="E314" s="4" t="s">
        <v>810</v>
      </c>
      <c r="F314" s="4"/>
      <c r="G314" s="4"/>
      <c r="I314" s="4"/>
      <c r="K314" s="4"/>
    </row>
    <row r="315" spans="2:23">
      <c r="B315" s="2"/>
      <c r="D315" s="2"/>
      <c r="G315" s="4"/>
      <c r="I315" s="4"/>
      <c r="K315" s="4"/>
    </row>
    <row r="316" spans="2:23">
      <c r="B316" s="2"/>
      <c r="D316" s="2" t="s">
        <v>342</v>
      </c>
      <c r="E316" s="2" t="s">
        <v>761</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745</v>
      </c>
      <c r="F319" s="3"/>
      <c r="G319" s="4"/>
      <c r="H319" s="4"/>
      <c r="I319" s="4"/>
      <c r="J319" s="4"/>
      <c r="K319" s="4"/>
      <c r="L319" s="4"/>
      <c r="M319" s="4"/>
      <c r="N319" s="4"/>
      <c r="O319" s="4"/>
      <c r="P319" s="4"/>
      <c r="Q319" s="4"/>
      <c r="R319" s="4"/>
      <c r="S319" s="4"/>
    </row>
    <row r="320" spans="2:23">
      <c r="B320" s="2"/>
      <c r="E320" t="s">
        <v>742</v>
      </c>
      <c r="I320" s="4"/>
      <c r="J320" s="4"/>
      <c r="K320" s="4"/>
      <c r="L320" s="4"/>
      <c r="M320" s="4"/>
      <c r="N320" s="4"/>
      <c r="O320" s="4"/>
      <c r="P320" s="4"/>
      <c r="Q320" s="4"/>
      <c r="R320" s="4"/>
      <c r="S320" s="4"/>
    </row>
    <row r="321" spans="1:38">
      <c r="B321" s="2"/>
      <c r="E321" t="s">
        <v>743</v>
      </c>
      <c r="I321" s="4"/>
      <c r="J321" s="4"/>
      <c r="K321" s="4"/>
      <c r="L321" s="4"/>
      <c r="M321" s="4"/>
      <c r="N321" s="4"/>
      <c r="O321" s="4"/>
      <c r="P321" s="4"/>
      <c r="Q321" s="4"/>
      <c r="R321" s="4"/>
      <c r="S321" s="4"/>
    </row>
    <row r="322" spans="1:38">
      <c r="B322" s="2"/>
      <c r="E322" t="s">
        <v>744</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c r="F328" s="120" t="s">
        <v>1254</v>
      </c>
      <c r="I328" s="120"/>
      <c r="J328" s="4"/>
      <c r="K328" s="4"/>
      <c r="L328" s="4"/>
      <c r="M328" s="4"/>
      <c r="N328" s="4"/>
      <c r="O328" s="4"/>
      <c r="P328" s="4"/>
      <c r="Q328" s="4"/>
      <c r="R328" s="4"/>
      <c r="S328" s="4"/>
    </row>
    <row r="329" spans="1:38">
      <c r="F329" s="120" t="s">
        <v>1255</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749</v>
      </c>
      <c r="J335" s="4"/>
      <c r="K335" s="4"/>
      <c r="L335" s="4"/>
      <c r="M335" s="4"/>
      <c r="N335" s="4"/>
      <c r="O335" s="4"/>
      <c r="P335" s="4"/>
      <c r="Q335" s="4"/>
      <c r="R335" s="4"/>
      <c r="S335" s="4"/>
    </row>
    <row r="336" spans="1:38">
      <c r="B336" s="2"/>
      <c r="E336" s="4"/>
      <c r="F336" s="4" t="s">
        <v>750</v>
      </c>
      <c r="J336" s="4"/>
      <c r="K336" s="4"/>
      <c r="L336" s="4"/>
      <c r="M336" s="4"/>
      <c r="N336" s="4"/>
      <c r="O336" s="4"/>
      <c r="P336" s="4"/>
      <c r="Q336" s="4"/>
      <c r="R336" s="4"/>
      <c r="S336" s="4"/>
    </row>
    <row r="337" spans="2:37">
      <c r="B337" s="2"/>
      <c r="E337" s="4"/>
      <c r="F337" s="4" t="s">
        <v>751</v>
      </c>
      <c r="I337" s="4"/>
      <c r="J337" s="4"/>
      <c r="K337" s="4"/>
      <c r="L337" s="4"/>
      <c r="M337" s="4"/>
      <c r="N337" s="4"/>
      <c r="O337" s="4"/>
      <c r="P337" s="4"/>
      <c r="Q337" s="4"/>
      <c r="R337" s="4"/>
      <c r="S337" s="4"/>
    </row>
    <row r="338" spans="2:37">
      <c r="B338" s="2"/>
      <c r="E338" s="4" t="s">
        <v>113</v>
      </c>
      <c r="F338" s="1275" t="s">
        <v>1258</v>
      </c>
      <c r="G338" s="1275"/>
      <c r="H338" s="1275"/>
      <c r="I338" s="1275"/>
      <c r="J338" s="1275"/>
      <c r="K338" s="1275"/>
      <c r="L338" s="1275"/>
      <c r="M338" s="1275"/>
      <c r="N338" s="1275"/>
      <c r="O338" s="1275"/>
      <c r="P338" s="1275"/>
      <c r="Q338" s="1275"/>
      <c r="R338" s="1275"/>
      <c r="S338" s="1275"/>
      <c r="T338" s="1275"/>
      <c r="U338" s="1275"/>
      <c r="V338" s="1275"/>
      <c r="W338" s="1275"/>
      <c r="X338" s="1275"/>
      <c r="Y338" s="1275"/>
      <c r="Z338" s="1275"/>
      <c r="AA338" s="1275"/>
      <c r="AB338" s="1275"/>
      <c r="AC338" s="1275"/>
      <c r="AD338" s="1275"/>
      <c r="AE338" s="1275"/>
      <c r="AF338" s="1275"/>
      <c r="AG338" s="1275"/>
      <c r="AH338" s="1275"/>
      <c r="AI338" s="1275"/>
      <c r="AJ338" s="1275"/>
      <c r="AK338" s="1275"/>
    </row>
    <row r="339" spans="2:37">
      <c r="B339" s="2"/>
      <c r="E339" s="4"/>
      <c r="F339" s="1275"/>
      <c r="G339" s="1275"/>
      <c r="H339" s="1275"/>
      <c r="I339" s="1275"/>
      <c r="J339" s="1275"/>
      <c r="K339" s="1275"/>
      <c r="L339" s="1275"/>
      <c r="M339" s="1275"/>
      <c r="N339" s="1275"/>
      <c r="O339" s="1275"/>
      <c r="P339" s="1275"/>
      <c r="Q339" s="1275"/>
      <c r="R339" s="1275"/>
      <c r="S339" s="1275"/>
      <c r="T339" s="1275"/>
      <c r="U339" s="1275"/>
      <c r="V339" s="1275"/>
      <c r="W339" s="1275"/>
      <c r="X339" s="1275"/>
      <c r="Y339" s="1275"/>
      <c r="Z339" s="1275"/>
      <c r="AA339" s="1275"/>
      <c r="AB339" s="1275"/>
      <c r="AC339" s="1275"/>
      <c r="AD339" s="1275"/>
      <c r="AE339" s="1275"/>
      <c r="AF339" s="1275"/>
      <c r="AG339" s="1275"/>
      <c r="AH339" s="1275"/>
      <c r="AI339" s="1275"/>
      <c r="AJ339" s="1275"/>
      <c r="AK339" s="1275"/>
    </row>
    <row r="340" spans="2:37">
      <c r="B340" s="2"/>
      <c r="E340" s="4"/>
      <c r="F340" s="1275"/>
      <c r="G340" s="1275"/>
      <c r="H340" s="1275"/>
      <c r="I340" s="1275"/>
      <c r="J340" s="1275"/>
      <c r="K340" s="1275"/>
      <c r="L340" s="1275"/>
      <c r="M340" s="1275"/>
      <c r="N340" s="1275"/>
      <c r="O340" s="1275"/>
      <c r="P340" s="1275"/>
      <c r="Q340" s="1275"/>
      <c r="R340" s="1275"/>
      <c r="S340" s="1275"/>
      <c r="T340" s="1275"/>
      <c r="U340" s="1275"/>
      <c r="V340" s="1275"/>
      <c r="W340" s="1275"/>
      <c r="X340" s="1275"/>
      <c r="Y340" s="1275"/>
      <c r="Z340" s="1275"/>
      <c r="AA340" s="1275"/>
      <c r="AB340" s="1275"/>
      <c r="AC340" s="1275"/>
      <c r="AD340" s="1275"/>
      <c r="AE340" s="1275"/>
      <c r="AF340" s="1275"/>
      <c r="AG340" s="1275"/>
      <c r="AH340" s="1275"/>
      <c r="AI340" s="1275"/>
      <c r="AJ340" s="1275"/>
      <c r="AK340" s="1275"/>
    </row>
    <row r="341" spans="2:37">
      <c r="B341" s="2"/>
      <c r="F341" s="4"/>
      <c r="H341" s="4"/>
      <c r="I341" s="4"/>
      <c r="J341" s="4"/>
      <c r="K341" s="4"/>
      <c r="L341" s="4"/>
      <c r="M341" s="4"/>
      <c r="N341" s="4"/>
      <c r="O341" s="4"/>
      <c r="P341" s="4"/>
      <c r="Q341" s="4"/>
      <c r="R341" s="4"/>
      <c r="S341" s="4"/>
    </row>
    <row r="342" spans="2:37">
      <c r="B342" s="2"/>
      <c r="C342" s="2" t="s">
        <v>432</v>
      </c>
      <c r="G342" s="2" t="s">
        <v>1336</v>
      </c>
      <c r="I342" s="2"/>
      <c r="J342" s="4"/>
      <c r="K342" s="4"/>
      <c r="L342" s="4"/>
      <c r="M342" s="4"/>
      <c r="N342" s="4"/>
      <c r="O342" s="4"/>
      <c r="P342" s="4"/>
      <c r="Q342" s="4"/>
      <c r="R342" s="4"/>
      <c r="S342" s="4"/>
    </row>
    <row r="343" spans="2:37" ht="13.15" customHeight="1">
      <c r="B343" s="2"/>
      <c r="E343" s="1277" t="s">
        <v>1343</v>
      </c>
      <c r="F343" s="1277"/>
      <c r="G343" s="1277"/>
      <c r="H343" s="1277"/>
      <c r="I343" s="1277"/>
      <c r="J343" s="1277"/>
      <c r="K343" s="1277"/>
      <c r="L343" s="1277"/>
      <c r="M343" s="1277"/>
      <c r="N343" s="1277"/>
      <c r="O343" s="1277"/>
      <c r="P343" s="1277"/>
      <c r="Q343" s="1277"/>
      <c r="R343" s="1277"/>
      <c r="S343" s="1277"/>
      <c r="T343" s="1277"/>
      <c r="U343" s="1277"/>
      <c r="V343" s="1277"/>
      <c r="W343" s="1277"/>
      <c r="X343" s="1277"/>
      <c r="Y343" s="1277"/>
      <c r="Z343" s="1277"/>
      <c r="AA343" s="1277"/>
      <c r="AB343" s="1277"/>
      <c r="AC343" s="1277"/>
      <c r="AD343" s="1277"/>
      <c r="AE343" s="1277"/>
      <c r="AF343" s="1277"/>
      <c r="AG343" s="1277"/>
      <c r="AH343" s="1277"/>
      <c r="AI343" s="1277"/>
      <c r="AJ343" s="1277"/>
      <c r="AK343" s="1277"/>
    </row>
    <row r="344" spans="2:37">
      <c r="B344" s="2"/>
      <c r="E344" s="1277"/>
      <c r="F344" s="1277"/>
      <c r="G344" s="1277"/>
      <c r="H344" s="1277"/>
      <c r="I344" s="1277"/>
      <c r="J344" s="1277"/>
      <c r="K344" s="1277"/>
      <c r="L344" s="1277"/>
      <c r="M344" s="1277"/>
      <c r="N344" s="1277"/>
      <c r="O344" s="1277"/>
      <c r="P344" s="1277"/>
      <c r="Q344" s="1277"/>
      <c r="R344" s="1277"/>
      <c r="S344" s="1277"/>
      <c r="T344" s="1277"/>
      <c r="U344" s="1277"/>
      <c r="V344" s="1277"/>
      <c r="W344" s="1277"/>
      <c r="X344" s="1277"/>
      <c r="Y344" s="1277"/>
      <c r="Z344" s="1277"/>
      <c r="AA344" s="1277"/>
      <c r="AB344" s="1277"/>
      <c r="AC344" s="1277"/>
      <c r="AD344" s="1277"/>
      <c r="AE344" s="1277"/>
      <c r="AF344" s="1277"/>
      <c r="AG344" s="1277"/>
      <c r="AH344" s="1277"/>
      <c r="AI344" s="1277"/>
      <c r="AJ344" s="1277"/>
      <c r="AK344" s="1277"/>
    </row>
    <row r="345" spans="2:37">
      <c r="B345" s="2"/>
      <c r="E345" s="1277"/>
      <c r="F345" s="1277"/>
      <c r="G345" s="1277"/>
      <c r="H345" s="1277"/>
      <c r="I345" s="1277"/>
      <c r="J345" s="1277"/>
      <c r="K345" s="1277"/>
      <c r="L345" s="1277"/>
      <c r="M345" s="1277"/>
      <c r="N345" s="1277"/>
      <c r="O345" s="1277"/>
      <c r="P345" s="1277"/>
      <c r="Q345" s="1277"/>
      <c r="R345" s="1277"/>
      <c r="S345" s="1277"/>
      <c r="T345" s="1277"/>
      <c r="U345" s="1277"/>
      <c r="V345" s="1277"/>
      <c r="W345" s="1277"/>
      <c r="X345" s="1277"/>
      <c r="Y345" s="1277"/>
      <c r="Z345" s="1277"/>
      <c r="AA345" s="1277"/>
      <c r="AB345" s="1277"/>
      <c r="AC345" s="1277"/>
      <c r="AD345" s="1277"/>
      <c r="AE345" s="1277"/>
      <c r="AF345" s="1277"/>
      <c r="AG345" s="1277"/>
      <c r="AH345" s="1277"/>
      <c r="AI345" s="1277"/>
      <c r="AJ345" s="1277"/>
      <c r="AK345" s="1277"/>
    </row>
    <row r="346" spans="2:37">
      <c r="B346" s="2"/>
      <c r="E346" s="1277"/>
      <c r="F346" s="1277"/>
      <c r="G346" s="1277"/>
      <c r="H346" s="1277"/>
      <c r="I346" s="1277"/>
      <c r="J346" s="1277"/>
      <c r="K346" s="1277"/>
      <c r="L346" s="1277"/>
      <c r="M346" s="1277"/>
      <c r="N346" s="1277"/>
      <c r="O346" s="1277"/>
      <c r="P346" s="1277"/>
      <c r="Q346" s="1277"/>
      <c r="R346" s="1277"/>
      <c r="S346" s="1277"/>
      <c r="T346" s="1277"/>
      <c r="U346" s="1277"/>
      <c r="V346" s="1277"/>
      <c r="W346" s="1277"/>
      <c r="X346" s="1277"/>
      <c r="Y346" s="1277"/>
      <c r="Z346" s="1277"/>
      <c r="AA346" s="1277"/>
      <c r="AB346" s="1277"/>
      <c r="AC346" s="1277"/>
      <c r="AD346" s="1277"/>
      <c r="AE346" s="1277"/>
      <c r="AF346" s="1277"/>
      <c r="AG346" s="1277"/>
      <c r="AH346" s="1277"/>
      <c r="AI346" s="1277"/>
      <c r="AJ346" s="1277"/>
      <c r="AK346" s="1277"/>
    </row>
    <row r="347" spans="2:37">
      <c r="B347" s="2"/>
      <c r="E347" s="1277"/>
      <c r="F347" s="1277"/>
      <c r="G347" s="1277"/>
      <c r="H347" s="1277"/>
      <c r="I347" s="1277"/>
      <c r="J347" s="1277"/>
      <c r="K347" s="1277"/>
      <c r="L347" s="1277"/>
      <c r="M347" s="1277"/>
      <c r="N347" s="1277"/>
      <c r="O347" s="1277"/>
      <c r="P347" s="1277"/>
      <c r="Q347" s="1277"/>
      <c r="R347" s="1277"/>
      <c r="S347" s="1277"/>
      <c r="T347" s="1277"/>
      <c r="U347" s="1277"/>
      <c r="V347" s="1277"/>
      <c r="W347" s="1277"/>
      <c r="X347" s="1277"/>
      <c r="Y347" s="1277"/>
      <c r="Z347" s="1277"/>
      <c r="AA347" s="1277"/>
      <c r="AB347" s="1277"/>
      <c r="AC347" s="1277"/>
      <c r="AD347" s="1277"/>
      <c r="AE347" s="1277"/>
      <c r="AF347" s="1277"/>
      <c r="AG347" s="1277"/>
      <c r="AH347" s="1277"/>
      <c r="AI347" s="1277"/>
      <c r="AJ347" s="1277"/>
      <c r="AK347" s="1277"/>
    </row>
    <row r="348" spans="2:37">
      <c r="B348" s="2"/>
      <c r="E348" s="3" t="s">
        <v>112</v>
      </c>
      <c r="F348" s="1275" t="s">
        <v>1345</v>
      </c>
      <c r="G348" s="1275"/>
      <c r="H348" s="1275"/>
      <c r="I348" s="1275"/>
      <c r="J348" s="1275"/>
      <c r="K348" s="1275"/>
      <c r="L348" s="1275"/>
      <c r="M348" s="1275"/>
      <c r="N348" s="1275"/>
      <c r="O348" s="1275"/>
      <c r="P348" s="1275"/>
      <c r="Q348" s="1275"/>
      <c r="R348" s="1275"/>
      <c r="S348" s="1275"/>
      <c r="T348" s="1275"/>
      <c r="U348" s="1275"/>
      <c r="V348" s="1275"/>
      <c r="W348" s="1275"/>
      <c r="X348" s="1275"/>
      <c r="Y348" s="1275"/>
      <c r="Z348" s="1275"/>
      <c r="AA348" s="1275"/>
      <c r="AB348" s="1275"/>
      <c r="AC348" s="1275"/>
      <c r="AD348" s="1275"/>
      <c r="AE348" s="1275"/>
      <c r="AF348" s="1275"/>
      <c r="AG348" s="1275"/>
      <c r="AH348" s="1275"/>
      <c r="AI348" s="1275"/>
      <c r="AJ348" s="1275"/>
      <c r="AK348" s="1275"/>
    </row>
    <row r="349" spans="2:37">
      <c r="B349" s="2"/>
      <c r="E349" s="3"/>
      <c r="F349" s="1275"/>
      <c r="G349" s="1275"/>
      <c r="H349" s="1275"/>
      <c r="I349" s="1275"/>
      <c r="J349" s="1275"/>
      <c r="K349" s="1275"/>
      <c r="L349" s="1275"/>
      <c r="M349" s="1275"/>
      <c r="N349" s="1275"/>
      <c r="O349" s="1275"/>
      <c r="P349" s="1275"/>
      <c r="Q349" s="1275"/>
      <c r="R349" s="1275"/>
      <c r="S349" s="1275"/>
      <c r="T349" s="1275"/>
      <c r="U349" s="1275"/>
      <c r="V349" s="1275"/>
      <c r="W349" s="1275"/>
      <c r="X349" s="1275"/>
      <c r="Y349" s="1275"/>
      <c r="Z349" s="1275"/>
      <c r="AA349" s="1275"/>
      <c r="AB349" s="1275"/>
      <c r="AC349" s="1275"/>
      <c r="AD349" s="1275"/>
      <c r="AE349" s="1275"/>
      <c r="AF349" s="1275"/>
      <c r="AG349" s="1275"/>
      <c r="AH349" s="1275"/>
      <c r="AI349" s="1275"/>
      <c r="AJ349" s="1275"/>
      <c r="AK349" s="1275"/>
    </row>
    <row r="350" spans="2:37">
      <c r="B350" s="2"/>
      <c r="E350" s="3"/>
      <c r="F350" s="1275"/>
      <c r="G350" s="1275"/>
      <c r="H350" s="1275"/>
      <c r="I350" s="1275"/>
      <c r="J350" s="1275"/>
      <c r="K350" s="1275"/>
      <c r="L350" s="1275"/>
      <c r="M350" s="1275"/>
      <c r="N350" s="1275"/>
      <c r="O350" s="1275"/>
      <c r="P350" s="1275"/>
      <c r="Q350" s="1275"/>
      <c r="R350" s="1275"/>
      <c r="S350" s="1275"/>
      <c r="T350" s="1275"/>
      <c r="U350" s="1275"/>
      <c r="V350" s="1275"/>
      <c r="W350" s="1275"/>
      <c r="X350" s="1275"/>
      <c r="Y350" s="1275"/>
      <c r="Z350" s="1275"/>
      <c r="AA350" s="1275"/>
      <c r="AB350" s="1275"/>
      <c r="AC350" s="1275"/>
      <c r="AD350" s="1275"/>
      <c r="AE350" s="1275"/>
      <c r="AF350" s="1275"/>
      <c r="AG350" s="1275"/>
      <c r="AH350" s="1275"/>
      <c r="AI350" s="1275"/>
      <c r="AJ350" s="1275"/>
      <c r="AK350" s="1275"/>
    </row>
    <row r="351" spans="2:37">
      <c r="B351" s="2"/>
      <c r="E351" s="3"/>
      <c r="F351" s="1275"/>
      <c r="G351" s="1275"/>
      <c r="H351" s="1275"/>
      <c r="I351" s="1275"/>
      <c r="J351" s="1275"/>
      <c r="K351" s="1275"/>
      <c r="L351" s="1275"/>
      <c r="M351" s="1275"/>
      <c r="N351" s="1275"/>
      <c r="O351" s="1275"/>
      <c r="P351" s="1275"/>
      <c r="Q351" s="1275"/>
      <c r="R351" s="1275"/>
      <c r="S351" s="1275"/>
      <c r="T351" s="1275"/>
      <c r="U351" s="1275"/>
      <c r="V351" s="1275"/>
      <c r="W351" s="1275"/>
      <c r="X351" s="1275"/>
      <c r="Y351" s="1275"/>
      <c r="Z351" s="1275"/>
      <c r="AA351" s="1275"/>
      <c r="AB351" s="1275"/>
      <c r="AC351" s="1275"/>
      <c r="AD351" s="1275"/>
      <c r="AE351" s="1275"/>
      <c r="AF351" s="1275"/>
      <c r="AG351" s="1275"/>
      <c r="AH351" s="1275"/>
      <c r="AI351" s="1275"/>
      <c r="AJ351" s="1275"/>
      <c r="AK351" s="1275"/>
    </row>
    <row r="352" spans="2:37">
      <c r="B352" s="2"/>
      <c r="E352" s="3" t="s">
        <v>113</v>
      </c>
      <c r="F352" s="1275" t="s">
        <v>1344</v>
      </c>
      <c r="G352" s="1275"/>
      <c r="H352" s="1275"/>
      <c r="I352" s="1275"/>
      <c r="J352" s="1275"/>
      <c r="K352" s="1275"/>
      <c r="L352" s="1275"/>
      <c r="M352" s="1275"/>
      <c r="N352" s="1275"/>
      <c r="O352" s="1275"/>
      <c r="P352" s="1275"/>
      <c r="Q352" s="1275"/>
      <c r="R352" s="1275"/>
      <c r="S352" s="1275"/>
      <c r="T352" s="1275"/>
      <c r="U352" s="1275"/>
      <c r="V352" s="1275"/>
      <c r="W352" s="1275"/>
      <c r="X352" s="1275"/>
      <c r="Y352" s="1275"/>
      <c r="Z352" s="1275"/>
      <c r="AA352" s="1275"/>
      <c r="AB352" s="1275"/>
      <c r="AC352" s="1275"/>
      <c r="AD352" s="1275"/>
      <c r="AE352" s="1275"/>
      <c r="AF352" s="1275"/>
      <c r="AG352" s="1275"/>
      <c r="AH352" s="1275"/>
      <c r="AI352" s="1275"/>
      <c r="AJ352" s="1275"/>
      <c r="AK352" s="1275"/>
    </row>
    <row r="353" spans="1:38">
      <c r="B353" s="2"/>
      <c r="F353" s="1275"/>
      <c r="G353" s="1275"/>
      <c r="H353" s="1275"/>
      <c r="I353" s="1275"/>
      <c r="J353" s="1275"/>
      <c r="K353" s="1275"/>
      <c r="L353" s="1275"/>
      <c r="M353" s="1275"/>
      <c r="N353" s="1275"/>
      <c r="O353" s="1275"/>
      <c r="P353" s="1275"/>
      <c r="Q353" s="1275"/>
      <c r="R353" s="1275"/>
      <c r="S353" s="1275"/>
      <c r="T353" s="1275"/>
      <c r="U353" s="1275"/>
      <c r="V353" s="1275"/>
      <c r="W353" s="1275"/>
      <c r="X353" s="1275"/>
      <c r="Y353" s="1275"/>
      <c r="Z353" s="1275"/>
      <c r="AA353" s="1275"/>
      <c r="AB353" s="1275"/>
      <c r="AC353" s="1275"/>
      <c r="AD353" s="1275"/>
      <c r="AE353" s="1275"/>
      <c r="AF353" s="1275"/>
      <c r="AG353" s="1275"/>
      <c r="AH353" s="1275"/>
      <c r="AI353" s="1275"/>
      <c r="AJ353" s="1275"/>
      <c r="AK353" s="1275"/>
    </row>
    <row r="354" spans="1:38">
      <c r="B354" s="2"/>
      <c r="F354" s="1275"/>
      <c r="G354" s="1275"/>
      <c r="H354" s="1275"/>
      <c r="I354" s="1275"/>
      <c r="J354" s="1275"/>
      <c r="K354" s="1275"/>
      <c r="L354" s="1275"/>
      <c r="M354" s="1275"/>
      <c r="N354" s="1275"/>
      <c r="O354" s="1275"/>
      <c r="P354" s="1275"/>
      <c r="Q354" s="1275"/>
      <c r="R354" s="1275"/>
      <c r="S354" s="1275"/>
      <c r="T354" s="1275"/>
      <c r="U354" s="1275"/>
      <c r="V354" s="1275"/>
      <c r="W354" s="1275"/>
      <c r="X354" s="1275"/>
      <c r="Y354" s="1275"/>
      <c r="Z354" s="1275"/>
      <c r="AA354" s="1275"/>
      <c r="AB354" s="1275"/>
      <c r="AC354" s="1275"/>
      <c r="AD354" s="1275"/>
      <c r="AE354" s="1275"/>
      <c r="AF354" s="1275"/>
      <c r="AG354" s="1275"/>
      <c r="AH354" s="1275"/>
      <c r="AI354" s="1275"/>
      <c r="AJ354" s="1275"/>
      <c r="AK354" s="1275"/>
    </row>
    <row r="355" spans="1:38">
      <c r="B355" s="2"/>
      <c r="F355" s="4"/>
      <c r="H355" s="4"/>
      <c r="I355" s="4"/>
      <c r="J355" s="4"/>
      <c r="K355" s="4"/>
      <c r="L355" s="4"/>
      <c r="M355" s="4"/>
      <c r="N355" s="4"/>
      <c r="O355" s="4"/>
      <c r="P355" s="4"/>
      <c r="Q355" s="4"/>
      <c r="R355" s="4"/>
      <c r="S355" s="4"/>
    </row>
    <row r="356" spans="1:38">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1325</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753</v>
      </c>
      <c r="I361" s="4"/>
      <c r="J361" s="4"/>
      <c r="K361" s="4"/>
      <c r="L361" s="4"/>
      <c r="M361" s="4"/>
      <c r="N361" s="4"/>
      <c r="O361" s="4"/>
      <c r="P361" s="4"/>
      <c r="Q361" s="4"/>
      <c r="R361" s="4"/>
      <c r="S361" s="4"/>
    </row>
    <row r="362" spans="1:38">
      <c r="B362" s="2"/>
      <c r="F362" s="4" t="s">
        <v>754</v>
      </c>
      <c r="I362" s="4"/>
      <c r="J362" s="4"/>
      <c r="K362" s="4"/>
      <c r="L362" s="4"/>
      <c r="M362" s="4"/>
      <c r="N362" s="4"/>
      <c r="O362" s="4"/>
      <c r="P362" s="4"/>
      <c r="Q362" s="4"/>
      <c r="R362" s="4"/>
      <c r="S362" s="4"/>
    </row>
    <row r="363" spans="1:38">
      <c r="B363" s="2"/>
      <c r="F363" s="4" t="s">
        <v>884</v>
      </c>
      <c r="G363" s="4"/>
      <c r="K363" s="4"/>
      <c r="L363" s="4"/>
      <c r="M363" s="4"/>
      <c r="N363" s="4"/>
      <c r="O363" s="4"/>
      <c r="P363" s="4"/>
      <c r="Q363" s="4"/>
      <c r="R363" s="4"/>
      <c r="S363" s="4"/>
    </row>
    <row r="364" spans="1:38">
      <c r="B364" s="2"/>
      <c r="E364" t="s">
        <v>113</v>
      </c>
      <c r="F364" s="4" t="s">
        <v>883</v>
      </c>
      <c r="I364" s="4"/>
      <c r="J364" s="4"/>
      <c r="K364" s="4"/>
      <c r="L364" s="4"/>
      <c r="M364" s="4"/>
      <c r="N364" s="4"/>
      <c r="O364" s="4"/>
      <c r="P364" s="4"/>
      <c r="Q364" s="4"/>
      <c r="R364" s="4"/>
      <c r="S364" s="4"/>
    </row>
    <row r="365" spans="1:38">
      <c r="B365" s="2"/>
      <c r="E365" t="s">
        <v>119</v>
      </c>
      <c r="F365" s="4" t="s">
        <v>755</v>
      </c>
      <c r="I365" s="4"/>
      <c r="J365" s="4"/>
      <c r="K365" s="4"/>
      <c r="L365" s="4"/>
      <c r="M365" s="4"/>
      <c r="N365" s="4"/>
      <c r="O365" s="4"/>
      <c r="P365" s="4"/>
      <c r="Q365" s="4"/>
      <c r="R365" s="4"/>
      <c r="S365" s="4"/>
    </row>
    <row r="366" spans="1:38">
      <c r="B366" s="2"/>
      <c r="F366" s="4" t="s">
        <v>756</v>
      </c>
      <c r="J366" s="4"/>
      <c r="K366" s="4"/>
      <c r="L366" s="4"/>
      <c r="M366" s="4"/>
      <c r="N366" s="4"/>
      <c r="O366" s="4"/>
      <c r="P366" s="4"/>
      <c r="Q366" s="4"/>
      <c r="R366" s="4"/>
      <c r="S366" s="4"/>
    </row>
    <row r="367" spans="1:38">
      <c r="B367" s="2"/>
      <c r="E367" s="1278" t="s">
        <v>1334</v>
      </c>
      <c r="F367" s="1278"/>
      <c r="G367" s="1278"/>
      <c r="H367" s="1278"/>
      <c r="I367" s="1278"/>
      <c r="J367" s="1278"/>
      <c r="K367" s="1278"/>
      <c r="L367" s="1278"/>
      <c r="M367" s="1278"/>
      <c r="N367" s="1278"/>
      <c r="O367" s="1278"/>
      <c r="P367" s="1278"/>
      <c r="Q367" s="1278"/>
      <c r="R367" s="1278"/>
      <c r="S367" s="1278"/>
      <c r="T367" s="1278"/>
      <c r="U367" s="1278"/>
      <c r="V367" s="1278"/>
      <c r="W367" s="1278"/>
      <c r="X367" s="1278"/>
      <c r="Y367" s="1278"/>
      <c r="Z367" s="1278"/>
      <c r="AA367" s="1278"/>
      <c r="AB367" s="1278"/>
      <c r="AC367" s="1278"/>
      <c r="AD367" s="1278"/>
      <c r="AE367" s="1278"/>
      <c r="AF367" s="1278"/>
      <c r="AG367" s="1278"/>
      <c r="AH367" s="1278"/>
      <c r="AI367" s="1278"/>
      <c r="AJ367" s="1278"/>
      <c r="AK367" s="1278"/>
      <c r="AL367" s="1278"/>
    </row>
    <row r="368" spans="1:38">
      <c r="B368" s="2"/>
      <c r="E368" s="1278"/>
      <c r="F368" s="1278"/>
      <c r="G368" s="1278"/>
      <c r="H368" s="1278"/>
      <c r="I368" s="1278"/>
      <c r="J368" s="1278"/>
      <c r="K368" s="1278"/>
      <c r="L368" s="1278"/>
      <c r="M368" s="1278"/>
      <c r="N368" s="1278"/>
      <c r="O368" s="1278"/>
      <c r="P368" s="1278"/>
      <c r="Q368" s="1278"/>
      <c r="R368" s="1278"/>
      <c r="S368" s="1278"/>
      <c r="T368" s="1278"/>
      <c r="U368" s="1278"/>
      <c r="V368" s="1278"/>
      <c r="W368" s="1278"/>
      <c r="X368" s="1278"/>
      <c r="Y368" s="1278"/>
      <c r="Z368" s="1278"/>
      <c r="AA368" s="1278"/>
      <c r="AB368" s="1278"/>
      <c r="AC368" s="1278"/>
      <c r="AD368" s="1278"/>
      <c r="AE368" s="1278"/>
      <c r="AF368" s="1278"/>
      <c r="AG368" s="1278"/>
      <c r="AH368" s="1278"/>
      <c r="AI368" s="1278"/>
      <c r="AJ368" s="1278"/>
      <c r="AK368" s="1278"/>
      <c r="AL368" s="1278"/>
    </row>
    <row r="369" spans="1:37" s="1280" customFormat="1">
      <c r="A369"/>
      <c r="B369" s="2"/>
      <c r="C369"/>
      <c r="D369"/>
      <c r="E369" s="1279" t="s">
        <v>1369</v>
      </c>
    </row>
    <row r="370" spans="1:37" s="1280"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577</v>
      </c>
      <c r="J372" s="4"/>
      <c r="K372" s="4"/>
      <c r="L372" s="4"/>
      <c r="M372" s="4"/>
      <c r="N372" s="4"/>
      <c r="O372" s="4"/>
      <c r="P372" s="4"/>
      <c r="Q372" s="4"/>
      <c r="R372" s="4"/>
      <c r="S372" s="4"/>
    </row>
    <row r="373" spans="1:37">
      <c r="B373" s="2"/>
      <c r="E373" s="4" t="s">
        <v>757</v>
      </c>
      <c r="F373" s="4"/>
      <c r="G373" s="4"/>
      <c r="H373" s="4"/>
      <c r="I373" s="4"/>
      <c r="J373" s="4"/>
      <c r="K373" s="4"/>
      <c r="L373" s="4"/>
      <c r="M373" s="4"/>
      <c r="N373" s="4"/>
      <c r="O373" s="4"/>
      <c r="P373" s="4"/>
      <c r="Q373" s="4"/>
      <c r="R373" s="4"/>
      <c r="S373" s="4"/>
    </row>
    <row r="374" spans="1:37">
      <c r="B374" s="2"/>
      <c r="E374" s="4" t="s">
        <v>758</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1256</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1370</v>
      </c>
      <c r="J381" s="3"/>
      <c r="K381" s="3"/>
      <c r="L381" s="3"/>
      <c r="M381" s="3"/>
      <c r="N381" s="3"/>
      <c r="O381" s="3"/>
      <c r="P381" s="3"/>
      <c r="Q381" s="3"/>
      <c r="R381" s="3"/>
      <c r="S381" s="3"/>
    </row>
    <row r="382" spans="1:37">
      <c r="B382" s="2"/>
      <c r="D382" s="2"/>
      <c r="E382" s="3" t="s">
        <v>757</v>
      </c>
      <c r="F382" s="3"/>
      <c r="G382" s="3"/>
      <c r="J382" s="3"/>
      <c r="K382" s="3"/>
      <c r="L382" s="3"/>
      <c r="M382" s="3"/>
      <c r="N382" s="3"/>
      <c r="O382" s="3"/>
      <c r="P382" s="3"/>
      <c r="Q382" s="3"/>
      <c r="R382" s="3"/>
      <c r="S382" s="3"/>
    </row>
    <row r="383" spans="1:37">
      <c r="B383" s="2"/>
      <c r="D383" s="2"/>
      <c r="E383" s="3" t="s">
        <v>1259</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1371</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1256</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75" t="s">
        <v>1380</v>
      </c>
      <c r="G388" s="1275"/>
      <c r="H388" s="1275"/>
      <c r="I388" s="1275"/>
      <c r="J388" s="1275"/>
      <c r="K388" s="1275"/>
      <c r="L388" s="1275"/>
      <c r="M388" s="1275"/>
      <c r="N388" s="1275"/>
      <c r="O388" s="1275"/>
      <c r="P388" s="1275"/>
      <c r="Q388" s="1275"/>
      <c r="R388" s="1275"/>
      <c r="S388" s="1275"/>
      <c r="T388" s="1275"/>
      <c r="U388" s="1275"/>
      <c r="V388" s="1275"/>
      <c r="W388" s="1275"/>
      <c r="X388" s="1275"/>
      <c r="Y388" s="1275"/>
      <c r="Z388" s="1275"/>
      <c r="AA388" s="1275"/>
      <c r="AB388" s="1275"/>
      <c r="AC388" s="1275"/>
      <c r="AD388" s="1275"/>
      <c r="AE388" s="1275"/>
      <c r="AF388" s="1275"/>
      <c r="AG388" s="1275"/>
      <c r="AH388" s="1275"/>
      <c r="AI388" s="1275"/>
      <c r="AJ388" s="1275"/>
      <c r="AK388" s="1275"/>
    </row>
    <row r="389" spans="1:38">
      <c r="B389" s="2"/>
      <c r="E389" s="3"/>
      <c r="F389" s="1275"/>
      <c r="G389" s="1275"/>
      <c r="H389" s="1275"/>
      <c r="I389" s="1275"/>
      <c r="J389" s="1275"/>
      <c r="K389" s="1275"/>
      <c r="L389" s="1275"/>
      <c r="M389" s="1275"/>
      <c r="N389" s="1275"/>
      <c r="O389" s="1275"/>
      <c r="P389" s="1275"/>
      <c r="Q389" s="1275"/>
      <c r="R389" s="1275"/>
      <c r="S389" s="1275"/>
      <c r="T389" s="1275"/>
      <c r="U389" s="1275"/>
      <c r="V389" s="1275"/>
      <c r="W389" s="1275"/>
      <c r="X389" s="1275"/>
      <c r="Y389" s="1275"/>
      <c r="Z389" s="1275"/>
      <c r="AA389" s="1275"/>
      <c r="AB389" s="1275"/>
      <c r="AC389" s="1275"/>
      <c r="AD389" s="1275"/>
      <c r="AE389" s="1275"/>
      <c r="AF389" s="1275"/>
      <c r="AG389" s="1275"/>
      <c r="AH389" s="1275"/>
      <c r="AI389" s="1275"/>
      <c r="AJ389" s="1275"/>
      <c r="AK389" s="1275"/>
    </row>
    <row r="390" spans="1:38">
      <c r="B390" s="2"/>
      <c r="E390" s="3"/>
      <c r="F390" s="1275"/>
      <c r="G390" s="1275"/>
      <c r="H390" s="1275"/>
      <c r="I390" s="1275"/>
      <c r="J390" s="1275"/>
      <c r="K390" s="1275"/>
      <c r="L390" s="1275"/>
      <c r="M390" s="1275"/>
      <c r="N390" s="1275"/>
      <c r="O390" s="1275"/>
      <c r="P390" s="1275"/>
      <c r="Q390" s="1275"/>
      <c r="R390" s="1275"/>
      <c r="S390" s="1275"/>
      <c r="T390" s="1275"/>
      <c r="U390" s="1275"/>
      <c r="V390" s="1275"/>
      <c r="W390" s="1275"/>
      <c r="X390" s="1275"/>
      <c r="Y390" s="1275"/>
      <c r="Z390" s="1275"/>
      <c r="AA390" s="1275"/>
      <c r="AB390" s="1275"/>
      <c r="AC390" s="1275"/>
      <c r="AD390" s="1275"/>
      <c r="AE390" s="1275"/>
      <c r="AF390" s="1275"/>
      <c r="AG390" s="1275"/>
      <c r="AH390" s="1275"/>
      <c r="AI390" s="1275"/>
      <c r="AJ390" s="1275"/>
      <c r="AK390" s="1275"/>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1386</v>
      </c>
      <c r="F392" s="3"/>
      <c r="G392" s="2"/>
      <c r="I392" s="120"/>
      <c r="J392" s="3"/>
      <c r="K392" s="3"/>
      <c r="L392" s="3"/>
      <c r="M392" s="3"/>
      <c r="N392" s="3"/>
      <c r="O392" s="3"/>
      <c r="P392" s="3"/>
      <c r="Q392" s="3"/>
      <c r="R392" s="3"/>
      <c r="S392" s="3"/>
    </row>
    <row r="393" spans="1:38" ht="13.15" customHeight="1">
      <c r="B393" s="2"/>
      <c r="D393" s="2"/>
      <c r="E393" s="3" t="s">
        <v>1385</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1259</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265625" defaultRowHeight="15.75" customHeight="1"/>
  <cols>
    <col min="1" max="13" width="2.7265625" style="1200"/>
    <col min="14" max="14" width="4.7265625" style="1200" customWidth="1"/>
    <col min="15" max="37" width="2.7265625" style="1200"/>
    <col min="38" max="38" width="3" style="1200" customWidth="1"/>
    <col min="39" max="45" width="2.7265625" style="1200"/>
    <col min="46" max="46" width="4.7265625" style="1200" customWidth="1"/>
    <col min="47" max="64" width="2.7265625" style="1200"/>
    <col min="65" max="65" width="10.40625" style="1200" hidden="1" customWidth="1"/>
    <col min="66" max="70" width="5.54296875" style="1200" bestFit="1" customWidth="1"/>
    <col min="71" max="71" width="6.1328125" style="1200" bestFit="1" customWidth="1"/>
    <col min="72" max="76" width="5.54296875" style="1200" bestFit="1" customWidth="1"/>
    <col min="77" max="77" width="6.1328125" style="1200" bestFit="1" customWidth="1"/>
    <col min="78" max="78" width="5.54296875" style="1200" bestFit="1" customWidth="1"/>
    <col min="79" max="16384" width="2.7265625" style="1200"/>
  </cols>
  <sheetData>
    <row r="1" spans="1:65" ht="15.75" customHeight="1">
      <c r="A1" s="2241" t="s">
        <v>2414</v>
      </c>
      <c r="B1" s="2242"/>
      <c r="C1" s="2242"/>
      <c r="D1" s="2242"/>
      <c r="E1" s="2242"/>
      <c r="F1" s="2242"/>
      <c r="G1" s="2242"/>
      <c r="H1" s="2242"/>
      <c r="I1" s="2242"/>
      <c r="J1" s="2242"/>
      <c r="K1" s="2242"/>
      <c r="L1" s="2242"/>
      <c r="M1" s="2242"/>
      <c r="N1" s="2242"/>
      <c r="O1" s="2242"/>
      <c r="P1" s="2242"/>
      <c r="Q1" s="2242"/>
      <c r="R1" s="2242"/>
      <c r="S1" s="2242"/>
      <c r="T1" s="2242"/>
      <c r="U1" s="2242"/>
      <c r="V1" s="2242"/>
      <c r="W1" s="2242"/>
      <c r="X1" s="2242"/>
      <c r="Y1" s="2242"/>
      <c r="Z1" s="2242"/>
      <c r="AA1" s="2242"/>
      <c r="AB1" s="2242"/>
      <c r="AC1" s="2242"/>
      <c r="AD1" s="2242"/>
      <c r="AE1" s="2242"/>
      <c r="AF1" s="2242"/>
      <c r="AG1" s="2242"/>
      <c r="AH1" s="2242"/>
      <c r="AI1" s="2242"/>
      <c r="AJ1" s="2242"/>
      <c r="AK1" s="2242"/>
      <c r="AL1" s="2242"/>
      <c r="AM1" s="2242"/>
      <c r="AN1" s="2242"/>
      <c r="AO1" s="2242"/>
      <c r="AP1" s="2242"/>
      <c r="AQ1" s="2242"/>
      <c r="AR1" s="2242"/>
      <c r="AS1" s="2242"/>
      <c r="AT1" s="2242"/>
      <c r="AU1" s="2242"/>
      <c r="AV1" s="2242"/>
      <c r="AW1" s="2242"/>
      <c r="AX1" s="2242"/>
      <c r="AY1" s="2242"/>
      <c r="AZ1" s="2242"/>
      <c r="BA1" s="2242"/>
      <c r="BB1" s="2242"/>
      <c r="BC1" s="2242"/>
      <c r="BD1" s="2242"/>
      <c r="BE1" s="2243"/>
    </row>
    <row r="2" spans="1:65" ht="15.75" customHeight="1">
      <c r="A2" s="2244" t="s">
        <v>2461</v>
      </c>
      <c r="B2" s="2245"/>
      <c r="C2" s="2245"/>
      <c r="D2" s="2245"/>
      <c r="E2" s="2245"/>
      <c r="F2" s="2245"/>
      <c r="G2" s="2245"/>
      <c r="H2" s="2245"/>
      <c r="I2" s="2245"/>
      <c r="J2" s="2245"/>
      <c r="K2" s="2245"/>
      <c r="L2" s="2245"/>
      <c r="M2" s="2245"/>
      <c r="N2" s="2245"/>
      <c r="O2" s="2245"/>
      <c r="P2" s="2245"/>
      <c r="Q2" s="2245"/>
      <c r="R2" s="2245"/>
      <c r="S2" s="2245"/>
      <c r="T2" s="2245"/>
      <c r="U2" s="2245"/>
      <c r="V2" s="2245"/>
      <c r="W2" s="2245"/>
      <c r="X2" s="2245"/>
      <c r="Y2" s="2245"/>
      <c r="Z2" s="2245"/>
      <c r="AA2" s="2245"/>
      <c r="AB2" s="2245"/>
      <c r="AC2" s="2245"/>
      <c r="AD2" s="2245"/>
      <c r="AE2" s="2245"/>
      <c r="AF2" s="2245"/>
      <c r="AG2" s="2245"/>
      <c r="AH2" s="2245"/>
      <c r="AI2" s="2245"/>
      <c r="AJ2" s="2245"/>
      <c r="AK2" s="2245"/>
      <c r="AL2" s="2245"/>
      <c r="AM2" s="2245"/>
      <c r="AN2" s="2245"/>
      <c r="AO2" s="2245"/>
      <c r="AP2" s="2245"/>
      <c r="AQ2" s="2245"/>
      <c r="AR2" s="2245"/>
      <c r="AS2" s="2245"/>
      <c r="AT2" s="2245"/>
      <c r="AU2" s="2245"/>
      <c r="AV2" s="2245"/>
      <c r="AW2" s="2245"/>
      <c r="AX2" s="2245"/>
      <c r="AY2" s="2245"/>
      <c r="AZ2" s="2245"/>
      <c r="BA2" s="2245"/>
      <c r="BB2" s="2245"/>
      <c r="BC2" s="2245"/>
      <c r="BD2" s="2245"/>
      <c r="BE2" s="2246"/>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665</v>
      </c>
      <c r="C4" s="1217"/>
      <c r="D4" s="1217"/>
      <c r="E4" s="1217"/>
      <c r="F4" s="1217"/>
      <c r="G4" s="1209"/>
      <c r="H4" s="1209"/>
      <c r="I4" s="1209"/>
      <c r="J4" s="1209"/>
      <c r="K4" s="1209"/>
      <c r="L4" s="2247" t="str">
        <f>IF(Application!H18="","",Application!H18)</f>
        <v>Mariposa on Second</v>
      </c>
      <c r="M4" s="2248"/>
      <c r="N4" s="2248"/>
      <c r="O4" s="2248"/>
      <c r="P4" s="2248"/>
      <c r="Q4" s="2248"/>
      <c r="R4" s="2248"/>
      <c r="S4" s="2248"/>
      <c r="T4" s="2248"/>
      <c r="U4" s="2248"/>
      <c r="V4" s="2248"/>
      <c r="W4" s="2248"/>
      <c r="X4" s="2248"/>
      <c r="Y4" s="2248"/>
      <c r="Z4" s="2248"/>
      <c r="AA4" s="2248"/>
      <c r="AB4" s="2248"/>
      <c r="AC4" s="2249"/>
      <c r="AD4" s="1209"/>
      <c r="AE4" s="1209"/>
      <c r="AF4" s="2250" t="s">
        <v>2462</v>
      </c>
      <c r="AG4" s="2250"/>
      <c r="AH4" s="2250"/>
      <c r="AI4" s="2250"/>
      <c r="AJ4" s="2250"/>
      <c r="AK4" s="2250"/>
      <c r="AL4" s="2250"/>
      <c r="AM4" s="2250"/>
      <c r="AN4" s="2250"/>
      <c r="AO4" s="2250"/>
      <c r="AP4" s="2251"/>
      <c r="AQ4" s="2252"/>
      <c r="AR4" s="2252"/>
      <c r="AS4" s="2252"/>
      <c r="AT4" s="2252"/>
      <c r="AU4" s="2252"/>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50" t="s">
        <v>2463</v>
      </c>
      <c r="AG5" s="2250"/>
      <c r="AH5" s="2250"/>
      <c r="AI5" s="2250"/>
      <c r="AJ5" s="2250"/>
      <c r="AK5" s="2250"/>
      <c r="AL5" s="2250"/>
      <c r="AM5" s="2250"/>
      <c r="AN5" s="2250"/>
      <c r="AO5" s="2250"/>
      <c r="AP5" s="2251"/>
      <c r="AQ5" s="2252"/>
      <c r="AR5" s="2252"/>
      <c r="AS5" s="2252"/>
      <c r="AT5" s="2252"/>
      <c r="AU5" s="2252"/>
      <c r="AV5" s="1209"/>
      <c r="AW5" s="1209"/>
      <c r="AX5" s="1209"/>
      <c r="AY5" s="1209"/>
      <c r="AZ5" s="1209"/>
      <c r="BA5" s="1209"/>
      <c r="BB5" s="1209"/>
      <c r="BC5" s="1209"/>
      <c r="BD5" s="1209"/>
      <c r="BE5" s="1219"/>
    </row>
    <row r="6" spans="1:65" ht="15.75" customHeight="1" thickBot="1">
      <c r="A6" s="1215"/>
      <c r="B6" s="1217" t="s">
        <v>1791</v>
      </c>
      <c r="C6" s="1209"/>
      <c r="D6" s="1209"/>
      <c r="E6" s="1209"/>
      <c r="F6" s="1209"/>
      <c r="G6" s="1209"/>
      <c r="H6" s="1209"/>
      <c r="I6" s="1209"/>
      <c r="J6" s="1209"/>
      <c r="K6" s="1209"/>
      <c r="L6" s="2247" t="str">
        <f>IF(Application!H16="","",Application!H16)</f>
        <v>Alhambra Second Street LP</v>
      </c>
      <c r="M6" s="2248"/>
      <c r="N6" s="2248"/>
      <c r="O6" s="2248"/>
      <c r="P6" s="2248"/>
      <c r="Q6" s="2248"/>
      <c r="R6" s="2248"/>
      <c r="S6" s="2248"/>
      <c r="T6" s="2248"/>
      <c r="U6" s="2248"/>
      <c r="V6" s="2248"/>
      <c r="W6" s="2248"/>
      <c r="X6" s="2248"/>
      <c r="Y6" s="2248"/>
      <c r="Z6" s="2248"/>
      <c r="AA6" s="2248"/>
      <c r="AB6" s="2248"/>
      <c r="AC6" s="2249"/>
      <c r="AD6" s="1209"/>
      <c r="AE6" s="1209"/>
      <c r="AF6" s="2253" t="s">
        <v>2464</v>
      </c>
      <c r="AG6" s="2253"/>
      <c r="AH6" s="2253"/>
      <c r="AI6" s="2253"/>
      <c r="AJ6" s="2253"/>
      <c r="AK6" s="2253"/>
      <c r="AL6" s="2253"/>
      <c r="AM6" s="2253"/>
      <c r="AN6" s="2253"/>
      <c r="AO6" s="2253"/>
      <c r="AP6" s="2240">
        <v>0</v>
      </c>
      <c r="AQ6" s="2240"/>
      <c r="AR6" s="2240"/>
      <c r="AS6" s="2240"/>
      <c r="AT6" s="2240"/>
      <c r="AU6" s="2240"/>
      <c r="AV6" s="1209"/>
      <c r="AW6" s="1209"/>
      <c r="AX6" s="1209"/>
      <c r="AY6" s="1209"/>
      <c r="AZ6" s="1209"/>
      <c r="BA6" s="1209"/>
      <c r="BB6" s="1209"/>
      <c r="BC6" s="1209"/>
      <c r="BD6" s="1209"/>
      <c r="BE6" s="1219"/>
    </row>
    <row r="7" spans="1:65" ht="15.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253" t="s">
        <v>2465</v>
      </c>
      <c r="AG7" s="2253"/>
      <c r="AH7" s="2253"/>
      <c r="AI7" s="2253"/>
      <c r="AJ7" s="2253"/>
      <c r="AK7" s="2253"/>
      <c r="AL7" s="2253"/>
      <c r="AM7" s="2253"/>
      <c r="AN7" s="2253"/>
      <c r="AO7" s="2253"/>
      <c r="AP7" s="2240">
        <v>0</v>
      </c>
      <c r="AQ7" s="2240"/>
      <c r="AR7" s="2240"/>
      <c r="AS7" s="2240"/>
      <c r="AT7" s="2240"/>
      <c r="AU7" s="2240"/>
      <c r="AV7" s="1209"/>
      <c r="AW7" s="1209"/>
      <c r="AX7" s="1209"/>
      <c r="AY7" s="1209"/>
      <c r="AZ7" s="1209"/>
      <c r="BA7" s="1209"/>
      <c r="BB7" s="1209"/>
      <c r="BC7" s="1209"/>
      <c r="BD7" s="1209"/>
      <c r="BE7" s="1219"/>
    </row>
    <row r="8" spans="1:65" ht="15.5" thickBot="1">
      <c r="A8" s="1215"/>
      <c r="B8" s="1217" t="s">
        <v>1792</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254" t="str">
        <f>Application!T197</f>
        <v>No</v>
      </c>
      <c r="AC8" s="2255"/>
      <c r="AD8" s="2256"/>
      <c r="AE8" s="1209"/>
      <c r="AF8" s="2253" t="s">
        <v>2466</v>
      </c>
      <c r="AG8" s="2253"/>
      <c r="AH8" s="2253"/>
      <c r="AI8" s="2253"/>
      <c r="AJ8" s="2253"/>
      <c r="AK8" s="2253"/>
      <c r="AL8" s="2253"/>
      <c r="AM8" s="2253"/>
      <c r="AN8" s="2253"/>
      <c r="AO8" s="2253"/>
      <c r="AP8" s="2240" t="s">
        <v>2418</v>
      </c>
      <c r="AQ8" s="2240"/>
      <c r="AR8" s="2240"/>
      <c r="AS8" s="2240"/>
      <c r="AT8" s="2240"/>
      <c r="AU8" s="2240"/>
      <c r="AV8" s="1209"/>
      <c r="AW8" s="1209"/>
      <c r="AX8" s="1209"/>
      <c r="AY8" s="1209"/>
      <c r="AZ8" s="1209"/>
      <c r="BA8" s="1209"/>
      <c r="BB8" s="1209"/>
      <c r="BC8" s="1209"/>
      <c r="BD8" s="1209"/>
      <c r="BE8" s="1219"/>
      <c r="BM8" s="1200" t="s">
        <v>2294</v>
      </c>
    </row>
    <row r="9" spans="1:65" ht="14.7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50" t="s">
        <v>2626</v>
      </c>
      <c r="AG9" s="2250"/>
      <c r="AH9" s="2250"/>
      <c r="AI9" s="2250"/>
      <c r="AJ9" s="2250"/>
      <c r="AK9" s="2250"/>
      <c r="AL9" s="2250"/>
      <c r="AM9" s="2250"/>
      <c r="AN9" s="2250"/>
      <c r="AO9" s="2250"/>
      <c r="AP9" s="2251"/>
      <c r="AQ9" s="2252"/>
      <c r="AR9" s="2252"/>
      <c r="AS9" s="2252"/>
      <c r="AT9" s="2252"/>
      <c r="AU9" s="2252"/>
      <c r="AV9" s="1209"/>
      <c r="AW9" s="1209"/>
      <c r="AX9" s="1209"/>
      <c r="AY9" s="1209"/>
      <c r="AZ9" s="1209"/>
      <c r="BA9" s="1209"/>
      <c r="BB9" s="1209"/>
      <c r="BC9" s="1209"/>
      <c r="BD9" s="1209"/>
      <c r="BE9" s="1219"/>
      <c r="BM9" s="1200" t="s">
        <v>2467</v>
      </c>
    </row>
    <row r="10" spans="1:65" ht="14.75">
      <c r="A10" s="1215"/>
      <c r="B10" s="1217" t="s">
        <v>1793</v>
      </c>
      <c r="C10" s="1217"/>
      <c r="D10" s="1217"/>
      <c r="E10" s="1217"/>
      <c r="F10" s="1217"/>
      <c r="G10" s="1217"/>
      <c r="H10" s="1217"/>
      <c r="I10" s="1217"/>
      <c r="J10" s="1217"/>
      <c r="K10" s="1217"/>
      <c r="L10" s="1217"/>
      <c r="M10" s="1209"/>
      <c r="N10" s="2265">
        <f>Application!AO627</f>
        <v>7425000</v>
      </c>
      <c r="O10" s="2265"/>
      <c r="P10" s="2265"/>
      <c r="Q10" s="2265"/>
      <c r="R10" s="2265"/>
      <c r="S10" s="2265"/>
      <c r="T10" s="2265"/>
      <c r="U10" s="1209"/>
      <c r="V10" s="1209"/>
      <c r="W10" s="1209"/>
      <c r="X10" s="1258"/>
      <c r="Y10" s="1258"/>
      <c r="Z10" s="1258"/>
      <c r="AA10" s="1258"/>
      <c r="AB10" s="1258"/>
      <c r="AC10" s="1258"/>
      <c r="AD10" s="1258"/>
      <c r="AE10" s="1258"/>
      <c r="AF10" s="2250" t="s">
        <v>2625</v>
      </c>
      <c r="AG10" s="2250"/>
      <c r="AH10" s="2250"/>
      <c r="AI10" s="2250"/>
      <c r="AJ10" s="2250"/>
      <c r="AK10" s="2250"/>
      <c r="AL10" s="2250"/>
      <c r="AM10" s="2250"/>
      <c r="AN10" s="2250"/>
      <c r="AO10" s="2250"/>
      <c r="AP10" s="2251"/>
      <c r="AQ10" s="2252"/>
      <c r="AR10" s="2252"/>
      <c r="AS10" s="2252"/>
      <c r="AT10" s="2252"/>
      <c r="AU10" s="2252"/>
      <c r="AV10" s="1258"/>
      <c r="AW10" s="1258"/>
      <c r="AX10" s="1209"/>
      <c r="AY10" s="1209"/>
      <c r="AZ10" s="1209"/>
      <c r="BA10" s="1209"/>
      <c r="BB10" s="1209"/>
      <c r="BC10" s="1209"/>
      <c r="BD10" s="1209"/>
      <c r="BE10" s="1219"/>
      <c r="BM10" s="1200" t="s">
        <v>2469</v>
      </c>
    </row>
    <row r="11" spans="1:65" ht="14.75">
      <c r="A11" s="1215"/>
      <c r="B11" s="1217" t="s">
        <v>1794</v>
      </c>
      <c r="C11" s="1217"/>
      <c r="D11" s="1217"/>
      <c r="E11" s="1217"/>
      <c r="F11" s="1217"/>
      <c r="G11" s="1217"/>
      <c r="H11" s="1217"/>
      <c r="I11" s="1217"/>
      <c r="J11" s="1217"/>
      <c r="K11" s="1217"/>
      <c r="L11" s="1217"/>
      <c r="M11" s="1209"/>
      <c r="N11" s="2265">
        <f>Application!AA933</f>
        <v>0</v>
      </c>
      <c r="O11" s="2265"/>
      <c r="P11" s="2265"/>
      <c r="Q11" s="2265"/>
      <c r="R11" s="2265"/>
      <c r="S11" s="2265"/>
      <c r="T11" s="2265"/>
      <c r="U11" s="1209"/>
      <c r="V11" s="1209"/>
      <c r="W11" s="1209"/>
      <c r="X11" s="1258"/>
      <c r="Y11" s="1258"/>
      <c r="Z11" s="1258"/>
      <c r="AA11" s="1258"/>
      <c r="AB11" s="1258"/>
      <c r="AC11" s="1258"/>
      <c r="AD11" s="1258"/>
      <c r="AE11" s="1258"/>
      <c r="AF11" s="2250" t="s">
        <v>2624</v>
      </c>
      <c r="AG11" s="2250"/>
      <c r="AH11" s="2250"/>
      <c r="AI11" s="2250"/>
      <c r="AJ11" s="2250"/>
      <c r="AK11" s="2250"/>
      <c r="AL11" s="2250"/>
      <c r="AM11" s="2250"/>
      <c r="AN11" s="2250"/>
      <c r="AO11" s="2250"/>
      <c r="AP11" s="2251"/>
      <c r="AQ11" s="2252"/>
      <c r="AR11" s="2252"/>
      <c r="AS11" s="2252"/>
      <c r="AT11" s="2252"/>
      <c r="AU11" s="2252"/>
      <c r="AV11" s="1258"/>
      <c r="AW11" s="1258"/>
      <c r="AX11" s="1209"/>
      <c r="AY11" s="1209"/>
      <c r="AZ11" s="1209"/>
      <c r="BA11" s="1209"/>
      <c r="BB11" s="1209"/>
      <c r="BC11" s="1209"/>
      <c r="BD11" s="1209"/>
      <c r="BE11" s="1219"/>
      <c r="BM11" s="1200" t="s">
        <v>2418</v>
      </c>
    </row>
    <row r="12" spans="1:65" ht="15.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2472</v>
      </c>
    </row>
    <row r="13" spans="1:65" ht="15.5" thickBot="1">
      <c r="A13" s="1209"/>
      <c r="B13" s="2272" t="s">
        <v>1795</v>
      </c>
      <c r="C13" s="2273"/>
      <c r="D13" s="2273"/>
      <c r="E13" s="2273"/>
      <c r="F13" s="2273"/>
      <c r="G13" s="2273"/>
      <c r="H13" s="2273"/>
      <c r="I13" s="2273"/>
      <c r="J13" s="2273"/>
      <c r="K13" s="2273"/>
      <c r="L13" s="2273"/>
      <c r="M13" s="2273"/>
      <c r="N13" s="2273"/>
      <c r="O13" s="2273"/>
      <c r="P13" s="2274"/>
      <c r="Q13" s="2275" t="s">
        <v>678</v>
      </c>
      <c r="R13" s="2276"/>
      <c r="S13" s="2276"/>
      <c r="T13" s="2277"/>
      <c r="U13" s="1258"/>
      <c r="V13" s="1209"/>
      <c r="W13" s="1209"/>
      <c r="X13" s="1209"/>
      <c r="Y13" s="1209"/>
      <c r="Z13" s="1209"/>
      <c r="AA13" s="2266" t="s">
        <v>2468</v>
      </c>
      <c r="AB13" s="2266"/>
      <c r="AC13" s="2266"/>
      <c r="AD13" s="2266"/>
      <c r="AE13" s="2266"/>
      <c r="AF13" s="2266"/>
      <c r="AG13" s="2266"/>
      <c r="AH13" s="2266"/>
      <c r="AI13" s="2266"/>
      <c r="AJ13" s="2266"/>
      <c r="AK13" s="2266"/>
      <c r="AL13" s="2266"/>
      <c r="AM13" s="2266"/>
      <c r="AN13" s="2266"/>
      <c r="AO13" s="2267">
        <f>Application!W473</f>
        <v>3</v>
      </c>
      <c r="AP13" s="2268"/>
      <c r="AQ13" s="2268"/>
      <c r="AR13" s="2268"/>
      <c r="AS13" s="2268"/>
      <c r="AT13" s="1258"/>
      <c r="AU13" s="1258"/>
      <c r="AV13" s="1258"/>
      <c r="AW13" s="1258"/>
      <c r="AX13" s="1258"/>
      <c r="AY13" s="1258"/>
      <c r="AZ13" s="1258"/>
      <c r="BA13" s="1258"/>
      <c r="BB13" s="1258"/>
      <c r="BC13" s="1258"/>
      <c r="BD13" s="1258"/>
      <c r="BE13" s="1205"/>
      <c r="BM13" s="1200" t="s">
        <v>2473</v>
      </c>
    </row>
    <row r="14" spans="1:65" ht="15.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269" t="s">
        <v>2470</v>
      </c>
      <c r="AB14" s="2269"/>
      <c r="AC14" s="2269"/>
      <c r="AD14" s="2269"/>
      <c r="AE14" s="2269"/>
      <c r="AF14" s="2269"/>
      <c r="AG14" s="2269"/>
      <c r="AH14" s="2269"/>
      <c r="AI14" s="2269"/>
      <c r="AJ14" s="2269"/>
      <c r="AK14" s="2269"/>
      <c r="AL14" s="2269"/>
      <c r="AM14" s="2269"/>
      <c r="AN14" s="2269"/>
      <c r="AO14" s="2270"/>
      <c r="AP14" s="2271"/>
      <c r="AQ14" s="2271"/>
      <c r="AR14" s="2271"/>
      <c r="AS14" s="2271"/>
      <c r="AT14" s="1258"/>
      <c r="AU14" s="1258"/>
      <c r="AV14" s="1258"/>
      <c r="AW14" s="1258"/>
      <c r="AX14" s="1258"/>
      <c r="AY14" s="1258"/>
      <c r="AZ14" s="1258"/>
      <c r="BA14" s="1258"/>
      <c r="BB14" s="1258"/>
      <c r="BC14" s="1258"/>
      <c r="BD14" s="1258"/>
      <c r="BE14" s="1205"/>
    </row>
    <row r="15" spans="1:65" ht="15.5" thickBot="1">
      <c r="A15" s="1209"/>
      <c r="B15" s="2278" t="s">
        <v>1796</v>
      </c>
      <c r="C15" s="2279"/>
      <c r="D15" s="2279"/>
      <c r="E15" s="2279"/>
      <c r="F15" s="2279"/>
      <c r="G15" s="2279"/>
      <c r="H15" s="2279"/>
      <c r="I15" s="2279"/>
      <c r="J15" s="2279"/>
      <c r="K15" s="2279"/>
      <c r="L15" s="2279"/>
      <c r="M15" s="2279"/>
      <c r="N15" s="2279"/>
      <c r="O15" s="2279"/>
      <c r="P15" s="2279"/>
      <c r="Q15" s="2279"/>
      <c r="R15" s="2280"/>
      <c r="S15" s="2281" t="str">
        <f>IF(Application!AB214="","",Application!AB214)</f>
        <v/>
      </c>
      <c r="T15" s="2281"/>
      <c r="U15" s="2281"/>
      <c r="V15" s="2281"/>
      <c r="W15" s="2282"/>
      <c r="X15" s="1258"/>
      <c r="Y15" s="1209"/>
      <c r="Z15" s="1209"/>
      <c r="AA15" s="2266" t="s">
        <v>2471</v>
      </c>
      <c r="AB15" s="2266"/>
      <c r="AC15" s="2266"/>
      <c r="AD15" s="2266"/>
      <c r="AE15" s="2266"/>
      <c r="AF15" s="2266"/>
      <c r="AG15" s="2266"/>
      <c r="AH15" s="2266"/>
      <c r="AI15" s="2266"/>
      <c r="AJ15" s="2266"/>
      <c r="AK15" s="2266"/>
      <c r="AL15" s="2266"/>
      <c r="AM15" s="2266"/>
      <c r="AN15" s="2266"/>
      <c r="AO15" s="2270"/>
      <c r="AP15" s="2271"/>
      <c r="AQ15" s="2271"/>
      <c r="AR15" s="2271"/>
      <c r="AS15" s="2271"/>
      <c r="AT15" s="1258"/>
      <c r="AU15" s="1258"/>
      <c r="AV15" s="1258"/>
      <c r="AW15" s="1258"/>
      <c r="AX15" s="1258"/>
      <c r="AY15" s="1258"/>
      <c r="AZ15" s="1258"/>
      <c r="BA15" s="1258"/>
      <c r="BB15" s="1258"/>
      <c r="BC15" s="1258"/>
      <c r="BD15" s="1258"/>
      <c r="BE15" s="1205"/>
    </row>
    <row r="16" spans="1:65" ht="15.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4.75">
      <c r="A17" s="1209"/>
      <c r="B17" s="2283" t="s">
        <v>1797</v>
      </c>
      <c r="C17" s="2284"/>
      <c r="D17" s="2284"/>
      <c r="E17" s="2284"/>
      <c r="F17" s="2284"/>
      <c r="G17" s="2284"/>
      <c r="H17" s="2284"/>
      <c r="I17" s="2284"/>
      <c r="J17" s="2284"/>
      <c r="K17" s="2284"/>
      <c r="L17" s="2284"/>
      <c r="M17" s="2284"/>
      <c r="N17" s="2284"/>
      <c r="O17" s="2284"/>
      <c r="P17" s="2284"/>
      <c r="Q17" s="2284"/>
      <c r="R17" s="2284"/>
      <c r="S17" s="2284"/>
      <c r="T17" s="2284"/>
      <c r="U17" s="2284"/>
      <c r="V17" s="2284"/>
      <c r="W17" s="2284"/>
      <c r="X17" s="2284"/>
      <c r="Y17" s="2284"/>
      <c r="Z17" s="2284"/>
      <c r="AA17" s="2284"/>
      <c r="AB17" s="2284"/>
      <c r="AC17" s="2284"/>
      <c r="AD17" s="2284"/>
      <c r="AE17" s="2284"/>
      <c r="AF17" s="2284"/>
      <c r="AG17" s="2284"/>
      <c r="AH17" s="2284"/>
      <c r="AI17" s="2284"/>
      <c r="AJ17" s="2284"/>
      <c r="AK17" s="2284"/>
      <c r="AL17" s="2284"/>
      <c r="AM17" s="2284"/>
      <c r="AN17" s="2284"/>
      <c r="AO17" s="2284"/>
      <c r="AP17" s="2284"/>
      <c r="AQ17" s="2284"/>
      <c r="AR17" s="2284"/>
      <c r="AS17" s="2284"/>
      <c r="AT17" s="2284"/>
      <c r="AU17" s="2284"/>
      <c r="AV17" s="2284"/>
      <c r="AW17" s="2284"/>
      <c r="AX17" s="2284"/>
      <c r="AY17" s="2285"/>
      <c r="AZ17" s="1209"/>
      <c r="BA17" s="1209"/>
      <c r="BB17" s="1209"/>
      <c r="BC17" s="1209"/>
      <c r="BD17" s="1209"/>
      <c r="BE17" s="1205"/>
      <c r="BF17" s="1201"/>
    </row>
    <row r="18" spans="1:58" ht="15.75" customHeight="1">
      <c r="A18" s="1209"/>
      <c r="B18" s="2286" t="s">
        <v>1798</v>
      </c>
      <c r="C18" s="2287"/>
      <c r="D18" s="2287"/>
      <c r="E18" s="2287"/>
      <c r="F18" s="2287"/>
      <c r="G18" s="2287"/>
      <c r="H18" s="2287"/>
      <c r="I18" s="2288"/>
      <c r="J18" s="2289" t="s">
        <v>1699</v>
      </c>
      <c r="K18" s="2290"/>
      <c r="L18" s="2290"/>
      <c r="M18" s="2290"/>
      <c r="N18" s="2290"/>
      <c r="O18" s="2291"/>
      <c r="P18" s="2289" t="s">
        <v>325</v>
      </c>
      <c r="Q18" s="2290"/>
      <c r="R18" s="2290"/>
      <c r="S18" s="2290"/>
      <c r="T18" s="2290"/>
      <c r="U18" s="2291"/>
      <c r="V18" s="2289" t="s">
        <v>326</v>
      </c>
      <c r="W18" s="2290"/>
      <c r="X18" s="2290"/>
      <c r="Y18" s="2290"/>
      <c r="Z18" s="2290"/>
      <c r="AA18" s="2291"/>
      <c r="AB18" s="2289" t="s">
        <v>163</v>
      </c>
      <c r="AC18" s="2290"/>
      <c r="AD18" s="2290"/>
      <c r="AE18" s="2290"/>
      <c r="AF18" s="2290"/>
      <c r="AG18" s="2291"/>
      <c r="AH18" s="2289" t="s">
        <v>164</v>
      </c>
      <c r="AI18" s="2290"/>
      <c r="AJ18" s="2290"/>
      <c r="AK18" s="2290"/>
      <c r="AL18" s="2290"/>
      <c r="AM18" s="2291"/>
      <c r="AN18" s="2289" t="s">
        <v>165</v>
      </c>
      <c r="AO18" s="2290"/>
      <c r="AP18" s="2290"/>
      <c r="AQ18" s="2290"/>
      <c r="AR18" s="2290"/>
      <c r="AS18" s="2291"/>
      <c r="AT18" s="2289" t="s">
        <v>1799</v>
      </c>
      <c r="AU18" s="2290"/>
      <c r="AV18" s="2290"/>
      <c r="AW18" s="2290"/>
      <c r="AX18" s="2290"/>
      <c r="AY18" s="2292"/>
      <c r="AZ18" s="1209"/>
      <c r="BA18" s="1209"/>
      <c r="BB18" s="1209"/>
      <c r="BC18" s="1209"/>
      <c r="BD18" s="1209"/>
      <c r="BE18" s="1205"/>
    </row>
    <row r="19" spans="1:58" ht="14.75">
      <c r="A19" s="1209"/>
      <c r="B19" s="2293">
        <v>0.3</v>
      </c>
      <c r="C19" s="2294"/>
      <c r="D19" s="2294"/>
      <c r="E19" s="2294"/>
      <c r="F19" s="2294"/>
      <c r="G19" s="2294"/>
      <c r="H19" s="2294"/>
      <c r="I19" s="2295"/>
      <c r="J19" s="2296">
        <f t="shared" ref="J19:J28" si="0">SUM(P19:AS19)</f>
        <v>35</v>
      </c>
      <c r="K19" s="2297"/>
      <c r="L19" s="2297"/>
      <c r="M19" s="2297"/>
      <c r="N19" s="2297"/>
      <c r="O19" s="2298"/>
      <c r="P19" s="2296" cm="1">
        <f t="array" ref="P19">SUMPRODUCT((Application!$B$718:$B$752 = 'CalHFA Addendum'!P$18)*(Application!$AC$718:$AC$752 = 'CalHFA Addendum'!$B19),Application!$G$718:$G$752)</f>
        <v>0</v>
      </c>
      <c r="Q19" s="2297"/>
      <c r="R19" s="2297"/>
      <c r="S19" s="2297"/>
      <c r="T19" s="2297"/>
      <c r="U19" s="2298"/>
      <c r="V19" s="2296" cm="1">
        <f t="array" ref="V19">SUMPRODUCT((Application!$B$714:$B$738 = 'CalHFA Addendum'!V$18)*(Application!$AC$714:$AC$738 = 'CalHFA Addendum'!$B19),Application!$G$714:$G$738)</f>
        <v>20</v>
      </c>
      <c r="W19" s="2297"/>
      <c r="X19" s="2297"/>
      <c r="Y19" s="2297"/>
      <c r="Z19" s="2297"/>
      <c r="AA19" s="2298"/>
      <c r="AB19" s="2296" cm="1">
        <f t="array" ref="AB19">SUMPRODUCT((Application!$B$714:$B$738 = 'CalHFA Addendum'!AB$18)*(Application!$AC$714:$AC$738 = 'CalHFA Addendum'!$B19),Application!$G$714:$G$738)</f>
        <v>15</v>
      </c>
      <c r="AC19" s="2297"/>
      <c r="AD19" s="2297"/>
      <c r="AE19" s="2297"/>
      <c r="AF19" s="2297"/>
      <c r="AG19" s="2298"/>
      <c r="AH19" s="2296" cm="1">
        <f t="array" ref="AH19">SUMPRODUCT((Application!$B$714:$B$738 = 'CalHFA Addendum'!AH$18)*(Application!$AC$714:$AC$738 = 'CalHFA Addendum'!$B19),Application!$G$714:$G$738)</f>
        <v>0</v>
      </c>
      <c r="AI19" s="2297"/>
      <c r="AJ19" s="2297"/>
      <c r="AK19" s="2297"/>
      <c r="AL19" s="2297"/>
      <c r="AM19" s="2298"/>
      <c r="AN19" s="2296" cm="1">
        <f t="array" ref="AN19">SUMPRODUCT((Application!$B$714:$B$738 = 'CalHFA Addendum'!AN$18)*(Application!$AC$714:$AC$738 = 'CalHFA Addendum'!$B19),Application!$G$714:$G$738)</f>
        <v>0</v>
      </c>
      <c r="AO19" s="2297"/>
      <c r="AP19" s="2297"/>
      <c r="AQ19" s="2297"/>
      <c r="AR19" s="2297"/>
      <c r="AS19" s="2298"/>
      <c r="AT19" s="2299">
        <f t="shared" ref="AT19:AT29" si="1">J19/$J$29</f>
        <v>0.7142857142857143</v>
      </c>
      <c r="AU19" s="2300"/>
      <c r="AV19" s="2300"/>
      <c r="AW19" s="2300"/>
      <c r="AX19" s="2300"/>
      <c r="AY19" s="2301"/>
      <c r="AZ19" s="1220"/>
      <c r="BA19" s="1209"/>
      <c r="BB19" s="1209"/>
      <c r="BC19" s="1209"/>
      <c r="BD19" s="1209"/>
      <c r="BE19" s="1205"/>
    </row>
    <row r="20" spans="1:58" ht="15" customHeight="1">
      <c r="A20" s="1209"/>
      <c r="B20" s="2293">
        <v>0.4</v>
      </c>
      <c r="C20" s="2294"/>
      <c r="D20" s="2294"/>
      <c r="E20" s="2294"/>
      <c r="F20" s="2294"/>
      <c r="G20" s="2294"/>
      <c r="H20" s="2294"/>
      <c r="I20" s="2295"/>
      <c r="J20" s="2296">
        <f t="shared" si="0"/>
        <v>0</v>
      </c>
      <c r="K20" s="2297"/>
      <c r="L20" s="2297"/>
      <c r="M20" s="2297"/>
      <c r="N20" s="2297"/>
      <c r="O20" s="2298"/>
      <c r="P20" s="2296" cm="1">
        <f t="array" ref="P20">SUMPRODUCT((Application!$B$718:$B$752 = 'CalHFA Addendum'!P$18)*(Application!$AC$718:$AC$752 = 'CalHFA Addendum'!$B20),Application!$G$718:$G$752)</f>
        <v>0</v>
      </c>
      <c r="Q20" s="2297"/>
      <c r="R20" s="2297"/>
      <c r="S20" s="2297"/>
      <c r="T20" s="2297"/>
      <c r="U20" s="2298"/>
      <c r="V20" s="2296" cm="1">
        <f t="array" ref="V20">SUMPRODUCT((Application!$B$714:$B$738 = 'CalHFA Addendum'!V$18)*(Application!$AC$714:$AC$738 = 'CalHFA Addendum'!$B20),Application!$G$714:$G$738)</f>
        <v>0</v>
      </c>
      <c r="W20" s="2297"/>
      <c r="X20" s="2297"/>
      <c r="Y20" s="2297"/>
      <c r="Z20" s="2297"/>
      <c r="AA20" s="2298"/>
      <c r="AB20" s="2296" cm="1">
        <f t="array" ref="AB20">SUMPRODUCT((Application!$B$714:$B$738 = 'CalHFA Addendum'!AB$18)*(Application!$AC$714:$AC$738 = 'CalHFA Addendum'!$B20),Application!$G$714:$G$738)</f>
        <v>0</v>
      </c>
      <c r="AC20" s="2297"/>
      <c r="AD20" s="2297"/>
      <c r="AE20" s="2297"/>
      <c r="AF20" s="2297"/>
      <c r="AG20" s="2298"/>
      <c r="AH20" s="2296" cm="1">
        <f t="array" ref="AH20">SUMPRODUCT((Application!$B$714:$B$738 = 'CalHFA Addendum'!AH$18)*(Application!$AC$714:$AC$738 = 'CalHFA Addendum'!$B20),Application!$G$714:$G$738)</f>
        <v>0</v>
      </c>
      <c r="AI20" s="2297"/>
      <c r="AJ20" s="2297"/>
      <c r="AK20" s="2297"/>
      <c r="AL20" s="2297"/>
      <c r="AM20" s="2298"/>
      <c r="AN20" s="2296" cm="1">
        <f t="array" ref="AN20">SUMPRODUCT((Application!$B$714:$B$738 = 'CalHFA Addendum'!AN$18)*(Application!$AC$714:$AC$738 = 'CalHFA Addendum'!$B20),Application!$G$714:$G$738)</f>
        <v>0</v>
      </c>
      <c r="AO20" s="2297"/>
      <c r="AP20" s="2297"/>
      <c r="AQ20" s="2297"/>
      <c r="AR20" s="2297"/>
      <c r="AS20" s="2298"/>
      <c r="AT20" s="2299">
        <f t="shared" si="1"/>
        <v>0</v>
      </c>
      <c r="AU20" s="2300"/>
      <c r="AV20" s="2300"/>
      <c r="AW20" s="2300"/>
      <c r="AX20" s="2300"/>
      <c r="AY20" s="2301"/>
      <c r="AZ20" s="1209"/>
      <c r="BA20" s="1209"/>
      <c r="BB20" s="1209"/>
      <c r="BC20" s="1209"/>
      <c r="BD20" s="1209"/>
      <c r="BE20" s="1205"/>
    </row>
    <row r="21" spans="1:58" ht="14.75">
      <c r="A21" s="1209"/>
      <c r="B21" s="2293">
        <v>0.5</v>
      </c>
      <c r="C21" s="2294"/>
      <c r="D21" s="2294"/>
      <c r="E21" s="2294"/>
      <c r="F21" s="2294"/>
      <c r="G21" s="2294"/>
      <c r="H21" s="2294"/>
      <c r="I21" s="2295"/>
      <c r="J21" s="2296">
        <f t="shared" si="0"/>
        <v>14</v>
      </c>
      <c r="K21" s="2297"/>
      <c r="L21" s="2297"/>
      <c r="M21" s="2297"/>
      <c r="N21" s="2297"/>
      <c r="O21" s="2298"/>
      <c r="P21" s="2296" cm="1">
        <f t="array" ref="P21">SUMPRODUCT((Application!$B$714:$B$738 = 'CalHFA Addendum'!P$18)*(Application!$AC$714:$AC$738 = 'CalHFA Addendum'!$B21),Application!$G$714:$G$738)</f>
        <v>0</v>
      </c>
      <c r="Q21" s="2297"/>
      <c r="R21" s="2297"/>
      <c r="S21" s="2297"/>
      <c r="T21" s="2297"/>
      <c r="U21" s="2298"/>
      <c r="V21" s="2296" cm="1">
        <f t="array" ref="V21">SUMPRODUCT((Application!$B$714:$B$738 = 'CalHFA Addendum'!V$18)*(Application!$AC$714:$AC$738 = 'CalHFA Addendum'!$B21),Application!$G$714:$G$738)</f>
        <v>10</v>
      </c>
      <c r="W21" s="2297"/>
      <c r="X21" s="2297"/>
      <c r="Y21" s="2297"/>
      <c r="Z21" s="2297"/>
      <c r="AA21" s="2298"/>
      <c r="AB21" s="2296" cm="1">
        <f t="array" ref="AB21">SUMPRODUCT((Application!$B$714:$B$738 = 'CalHFA Addendum'!AB$18)*(Application!$AC$714:$AC$738 = 'CalHFA Addendum'!$B21),Application!$G$714:$G$738)</f>
        <v>4</v>
      </c>
      <c r="AC21" s="2297"/>
      <c r="AD21" s="2297"/>
      <c r="AE21" s="2297"/>
      <c r="AF21" s="2297"/>
      <c r="AG21" s="2298"/>
      <c r="AH21" s="2296" cm="1">
        <f t="array" ref="AH21">SUMPRODUCT((Application!$B$714:$B$738 = 'CalHFA Addendum'!AH$18)*(Application!$AC$714:$AC$738 = 'CalHFA Addendum'!$B21),Application!$G$714:$G$738)</f>
        <v>0</v>
      </c>
      <c r="AI21" s="2297"/>
      <c r="AJ21" s="2297"/>
      <c r="AK21" s="2297"/>
      <c r="AL21" s="2297"/>
      <c r="AM21" s="2298"/>
      <c r="AN21" s="2296" cm="1">
        <f t="array" ref="AN21">SUMPRODUCT((Application!$B$714:$B$738 = 'CalHFA Addendum'!AN$18)*(Application!$AC$714:$AC$738 = 'CalHFA Addendum'!$B21),Application!$G$714:$G$738)</f>
        <v>0</v>
      </c>
      <c r="AO21" s="2297"/>
      <c r="AP21" s="2297"/>
      <c r="AQ21" s="2297"/>
      <c r="AR21" s="2297"/>
      <c r="AS21" s="2298"/>
      <c r="AT21" s="2299">
        <f t="shared" si="1"/>
        <v>0.2857142857142857</v>
      </c>
      <c r="AU21" s="2300"/>
      <c r="AV21" s="2300"/>
      <c r="AW21" s="2300"/>
      <c r="AX21" s="2300"/>
      <c r="AY21" s="2301"/>
      <c r="AZ21" s="1209"/>
      <c r="BA21" s="1209"/>
      <c r="BB21" s="1209"/>
      <c r="BC21" s="1209"/>
      <c r="BD21" s="1209"/>
      <c r="BE21" s="1205"/>
    </row>
    <row r="22" spans="1:58" ht="14.75">
      <c r="A22" s="1209"/>
      <c r="B22" s="2293">
        <v>0.6</v>
      </c>
      <c r="C22" s="2294"/>
      <c r="D22" s="2294"/>
      <c r="E22" s="2294"/>
      <c r="F22" s="2294"/>
      <c r="G22" s="2294"/>
      <c r="H22" s="2294"/>
      <c r="I22" s="2295"/>
      <c r="J22" s="2296">
        <f t="shared" si="0"/>
        <v>0</v>
      </c>
      <c r="K22" s="2297"/>
      <c r="L22" s="2297"/>
      <c r="M22" s="2297"/>
      <c r="N22" s="2297"/>
      <c r="O22" s="2298"/>
      <c r="P22" s="2296" cm="1">
        <f t="array" ref="P22">SUMPRODUCT((Application!$B$714:$B$738 = 'CalHFA Addendum'!P$18)*(Application!$AC$714:$AC$738 = 'CalHFA Addendum'!$B22),Application!$G$714:$G$738)</f>
        <v>0</v>
      </c>
      <c r="Q22" s="2297"/>
      <c r="R22" s="2297"/>
      <c r="S22" s="2297"/>
      <c r="T22" s="2297"/>
      <c r="U22" s="2298"/>
      <c r="V22" s="2296" cm="1">
        <f t="array" ref="V22">SUMPRODUCT((Application!$B$714:$B$738 = 'CalHFA Addendum'!V$18)*(Application!$AC$714:$AC$738 = 'CalHFA Addendum'!$B22),Application!$G$714:$G$738)</f>
        <v>0</v>
      </c>
      <c r="W22" s="2297"/>
      <c r="X22" s="2297"/>
      <c r="Y22" s="2297"/>
      <c r="Z22" s="2297"/>
      <c r="AA22" s="2298"/>
      <c r="AB22" s="2296" cm="1">
        <f t="array" ref="AB22">SUMPRODUCT((Application!$B$714:$B$738 = 'CalHFA Addendum'!AB$18)*(Application!$AC$714:$AC$738 = 'CalHFA Addendum'!$B22),Application!$G$714:$G$738)</f>
        <v>0</v>
      </c>
      <c r="AC22" s="2297"/>
      <c r="AD22" s="2297"/>
      <c r="AE22" s="2297"/>
      <c r="AF22" s="2297"/>
      <c r="AG22" s="2298"/>
      <c r="AH22" s="2296" cm="1">
        <f t="array" ref="AH22">SUMPRODUCT((Application!$B$714:$B$738 = 'CalHFA Addendum'!AH$18)*(Application!$AC$714:$AC$738 = 'CalHFA Addendum'!$B22),Application!$G$714:$G$738)</f>
        <v>0</v>
      </c>
      <c r="AI22" s="2297"/>
      <c r="AJ22" s="2297"/>
      <c r="AK22" s="2297"/>
      <c r="AL22" s="2297"/>
      <c r="AM22" s="2298"/>
      <c r="AN22" s="2296" cm="1">
        <f t="array" ref="AN22">SUMPRODUCT((Application!$B$714:$B$738 = 'CalHFA Addendum'!AN$18)*(Application!$AC$714:$AC$738 = 'CalHFA Addendum'!$B22),Application!$G$714:$G$738)</f>
        <v>0</v>
      </c>
      <c r="AO22" s="2297"/>
      <c r="AP22" s="2297"/>
      <c r="AQ22" s="2297"/>
      <c r="AR22" s="2297"/>
      <c r="AS22" s="2298"/>
      <c r="AT22" s="2299">
        <f t="shared" si="1"/>
        <v>0</v>
      </c>
      <c r="AU22" s="2300"/>
      <c r="AV22" s="2300"/>
      <c r="AW22" s="2300"/>
      <c r="AX22" s="2300"/>
      <c r="AY22" s="2301"/>
      <c r="AZ22" s="1209"/>
      <c r="BA22" s="1209"/>
      <c r="BB22" s="1209"/>
      <c r="BC22" s="1209"/>
      <c r="BD22" s="1209"/>
      <c r="BE22" s="1205"/>
    </row>
    <row r="23" spans="1:58" ht="14.75">
      <c r="A23" s="1209"/>
      <c r="B23" s="2293">
        <v>0.7</v>
      </c>
      <c r="C23" s="2294"/>
      <c r="D23" s="2294"/>
      <c r="E23" s="2294"/>
      <c r="F23" s="2294"/>
      <c r="G23" s="2294"/>
      <c r="H23" s="2294"/>
      <c r="I23" s="2295"/>
      <c r="J23" s="2296">
        <f t="shared" si="0"/>
        <v>0</v>
      </c>
      <c r="K23" s="2297"/>
      <c r="L23" s="2297"/>
      <c r="M23" s="2297"/>
      <c r="N23" s="2297"/>
      <c r="O23" s="2298"/>
      <c r="P23" s="2296" cm="1">
        <f t="array" ref="P23">SUMPRODUCT((Application!$B$714:$B$738 = 'CalHFA Addendum'!P$18)*(Application!$AC$714:$AC$738 = 'CalHFA Addendum'!$B23),Application!$G$714:$G$738)</f>
        <v>0</v>
      </c>
      <c r="Q23" s="2297"/>
      <c r="R23" s="2297"/>
      <c r="S23" s="2297"/>
      <c r="T23" s="2297"/>
      <c r="U23" s="2298"/>
      <c r="V23" s="2296" cm="1">
        <f t="array" ref="V23">SUMPRODUCT((Application!$B$714:$B$738 = 'CalHFA Addendum'!V$18)*(Application!$AC$714:$AC$738 = 'CalHFA Addendum'!$B23),Application!$G$714:$G$738)</f>
        <v>0</v>
      </c>
      <c r="W23" s="2297"/>
      <c r="X23" s="2297"/>
      <c r="Y23" s="2297"/>
      <c r="Z23" s="2297"/>
      <c r="AA23" s="2298"/>
      <c r="AB23" s="2296" cm="1">
        <f t="array" ref="AB23">SUMPRODUCT((Application!$B$714:$B$738 = 'CalHFA Addendum'!AB$18)*(Application!$AC$714:$AC$738 = 'CalHFA Addendum'!$B23),Application!$G$714:$G$738)</f>
        <v>0</v>
      </c>
      <c r="AC23" s="2297"/>
      <c r="AD23" s="2297"/>
      <c r="AE23" s="2297"/>
      <c r="AF23" s="2297"/>
      <c r="AG23" s="2298"/>
      <c r="AH23" s="2296" cm="1">
        <f t="array" ref="AH23">SUMPRODUCT((Application!$B$714:$B$738 = 'CalHFA Addendum'!AH$18)*(Application!$AC$714:$AC$738 = 'CalHFA Addendum'!$B23),Application!$G$714:$G$738)</f>
        <v>0</v>
      </c>
      <c r="AI23" s="2297"/>
      <c r="AJ23" s="2297"/>
      <c r="AK23" s="2297"/>
      <c r="AL23" s="2297"/>
      <c r="AM23" s="2298"/>
      <c r="AN23" s="2296" cm="1">
        <f t="array" ref="AN23">SUMPRODUCT((Application!$B$714:$B$738 = 'CalHFA Addendum'!AN$18)*(Application!$AC$714:$AC$738 = 'CalHFA Addendum'!$B23),Application!$G$714:$G$738)</f>
        <v>0</v>
      </c>
      <c r="AO23" s="2297"/>
      <c r="AP23" s="2297"/>
      <c r="AQ23" s="2297"/>
      <c r="AR23" s="2297"/>
      <c r="AS23" s="2298"/>
      <c r="AT23" s="2299">
        <f t="shared" si="1"/>
        <v>0</v>
      </c>
      <c r="AU23" s="2300"/>
      <c r="AV23" s="2300"/>
      <c r="AW23" s="2300"/>
      <c r="AX23" s="2300"/>
      <c r="AY23" s="2301"/>
      <c r="AZ23" s="1209"/>
      <c r="BA23" s="1209"/>
      <c r="BB23" s="1209"/>
      <c r="BC23" s="1209"/>
      <c r="BD23" s="1209"/>
      <c r="BE23" s="1205"/>
    </row>
    <row r="24" spans="1:58" ht="14.75">
      <c r="A24" s="1209"/>
      <c r="B24" s="2293">
        <v>0.8</v>
      </c>
      <c r="C24" s="2294"/>
      <c r="D24" s="2294"/>
      <c r="E24" s="2294"/>
      <c r="F24" s="2294"/>
      <c r="G24" s="2294"/>
      <c r="H24" s="2294"/>
      <c r="I24" s="2295"/>
      <c r="J24" s="2296">
        <f t="shared" si="0"/>
        <v>0</v>
      </c>
      <c r="K24" s="2297"/>
      <c r="L24" s="2297"/>
      <c r="M24" s="2297"/>
      <c r="N24" s="2297"/>
      <c r="O24" s="2298"/>
      <c r="P24" s="2296" cm="1">
        <f t="array" ref="P24">SUMPRODUCT((Application!$B$714:$B$738 = 'CalHFA Addendum'!P$18)*(Application!$AC$714:$AC$738 = 'CalHFA Addendum'!$B24),Application!$G$714:$G$738)</f>
        <v>0</v>
      </c>
      <c r="Q24" s="2297"/>
      <c r="R24" s="2297"/>
      <c r="S24" s="2297"/>
      <c r="T24" s="2297"/>
      <c r="U24" s="2298"/>
      <c r="V24" s="2296" cm="1">
        <f t="array" ref="V24">SUMPRODUCT((Application!$B$714:$B$738 = 'CalHFA Addendum'!V$18)*(Application!$AC$714:$AC$738 = 'CalHFA Addendum'!$B24),Application!$G$714:$G$738)</f>
        <v>0</v>
      </c>
      <c r="W24" s="2297"/>
      <c r="X24" s="2297"/>
      <c r="Y24" s="2297"/>
      <c r="Z24" s="2297"/>
      <c r="AA24" s="2298"/>
      <c r="AB24" s="2296" cm="1">
        <f t="array" ref="AB24">SUMPRODUCT((Application!$B$714:$B$738 = 'CalHFA Addendum'!AB$18)*(Application!$AC$714:$AC$738 = 'CalHFA Addendum'!$B24),Application!$G$714:$G$738)</f>
        <v>0</v>
      </c>
      <c r="AC24" s="2297"/>
      <c r="AD24" s="2297"/>
      <c r="AE24" s="2297"/>
      <c r="AF24" s="2297"/>
      <c r="AG24" s="2298"/>
      <c r="AH24" s="2296" cm="1">
        <f t="array" ref="AH24">SUMPRODUCT((Application!$B$714:$B$738 = 'CalHFA Addendum'!AH$18)*(Application!$AC$714:$AC$738 = 'CalHFA Addendum'!$B24),Application!$G$714:$G$738)</f>
        <v>0</v>
      </c>
      <c r="AI24" s="2297"/>
      <c r="AJ24" s="2297"/>
      <c r="AK24" s="2297"/>
      <c r="AL24" s="2297"/>
      <c r="AM24" s="2298"/>
      <c r="AN24" s="2296" cm="1">
        <f t="array" ref="AN24">SUMPRODUCT((Application!$B$714:$B$738 = 'CalHFA Addendum'!AN$18)*(Application!$AC$714:$AC$738 = 'CalHFA Addendum'!$B24),Application!$G$714:$G$738)</f>
        <v>0</v>
      </c>
      <c r="AO24" s="2297"/>
      <c r="AP24" s="2297"/>
      <c r="AQ24" s="2297"/>
      <c r="AR24" s="2297"/>
      <c r="AS24" s="2298"/>
      <c r="AT24" s="2299">
        <f t="shared" si="1"/>
        <v>0</v>
      </c>
      <c r="AU24" s="2300"/>
      <c r="AV24" s="2300"/>
      <c r="AW24" s="2300"/>
      <c r="AX24" s="2300"/>
      <c r="AY24" s="2301"/>
      <c r="AZ24" s="1209"/>
      <c r="BA24" s="1209"/>
      <c r="BB24" s="1209"/>
      <c r="BC24" s="1209"/>
      <c r="BD24" s="1209"/>
      <c r="BE24" s="1205"/>
    </row>
    <row r="25" spans="1:58" ht="14.75">
      <c r="A25" s="1209"/>
      <c r="B25" s="2293">
        <v>0.9</v>
      </c>
      <c r="C25" s="2294"/>
      <c r="D25" s="2294"/>
      <c r="E25" s="2294"/>
      <c r="F25" s="2294"/>
      <c r="G25" s="2294"/>
      <c r="H25" s="2294"/>
      <c r="I25" s="2295"/>
      <c r="J25" s="2296">
        <f t="shared" si="0"/>
        <v>0</v>
      </c>
      <c r="K25" s="2297"/>
      <c r="L25" s="2297"/>
      <c r="M25" s="2297"/>
      <c r="N25" s="2297"/>
      <c r="O25" s="2298"/>
      <c r="P25" s="2296" cm="1">
        <f t="array" ref="P25">SUMPRODUCT((Application!$B$714:$B$738 = 'CalHFA Addendum'!P$18)*(Application!$AC$714:$AC$738 = 'CalHFA Addendum'!$B25),Application!$G$714:$G$738)</f>
        <v>0</v>
      </c>
      <c r="Q25" s="2297"/>
      <c r="R25" s="2297"/>
      <c r="S25" s="2297"/>
      <c r="T25" s="2297"/>
      <c r="U25" s="2298"/>
      <c r="V25" s="2296" cm="1">
        <f t="array" ref="V25">SUMPRODUCT((Application!$B$714:$B$738 = 'CalHFA Addendum'!V$18)*(Application!$AC$714:$AC$738 = 'CalHFA Addendum'!$B25),Application!$G$714:$G$738)</f>
        <v>0</v>
      </c>
      <c r="W25" s="2297"/>
      <c r="X25" s="2297"/>
      <c r="Y25" s="2297"/>
      <c r="Z25" s="2297"/>
      <c r="AA25" s="2298"/>
      <c r="AB25" s="2296" cm="1">
        <f t="array" ref="AB25">SUMPRODUCT((Application!$B$714:$B$738 = 'CalHFA Addendum'!AB$18)*(Application!$AC$714:$AC$738 = 'CalHFA Addendum'!$B25),Application!$G$714:$G$738)</f>
        <v>0</v>
      </c>
      <c r="AC25" s="2297"/>
      <c r="AD25" s="2297"/>
      <c r="AE25" s="2297"/>
      <c r="AF25" s="2297"/>
      <c r="AG25" s="2298"/>
      <c r="AH25" s="2296" cm="1">
        <f t="array" ref="AH25">SUMPRODUCT((Application!$B$714:$B$738 = 'CalHFA Addendum'!AH$18)*(Application!$AC$714:$AC$738 = 'CalHFA Addendum'!$B25),Application!$G$714:$G$738)</f>
        <v>0</v>
      </c>
      <c r="AI25" s="2297"/>
      <c r="AJ25" s="2297"/>
      <c r="AK25" s="2297"/>
      <c r="AL25" s="2297"/>
      <c r="AM25" s="2298"/>
      <c r="AN25" s="2296" cm="1">
        <f t="array" ref="AN25">SUMPRODUCT((Application!$B$714:$B$738 = 'CalHFA Addendum'!AN$18)*(Application!$AC$714:$AC$738 = 'CalHFA Addendum'!$B25),Application!$G$714:$G$738)</f>
        <v>0</v>
      </c>
      <c r="AO25" s="2297"/>
      <c r="AP25" s="2297"/>
      <c r="AQ25" s="2297"/>
      <c r="AR25" s="2297"/>
      <c r="AS25" s="2298"/>
      <c r="AT25" s="2299">
        <f t="shared" si="1"/>
        <v>0</v>
      </c>
      <c r="AU25" s="2300"/>
      <c r="AV25" s="2300"/>
      <c r="AW25" s="2300"/>
      <c r="AX25" s="2300"/>
      <c r="AY25" s="2301"/>
      <c r="AZ25" s="1209"/>
      <c r="BA25" s="1209"/>
      <c r="BB25" s="1209"/>
      <c r="BC25" s="1209"/>
      <c r="BD25" s="1209"/>
      <c r="BE25" s="1205"/>
    </row>
    <row r="26" spans="1:58" ht="14.75">
      <c r="A26" s="1209"/>
      <c r="B26" s="2293">
        <v>1</v>
      </c>
      <c r="C26" s="2294"/>
      <c r="D26" s="2294"/>
      <c r="E26" s="2294"/>
      <c r="F26" s="2294"/>
      <c r="G26" s="2294"/>
      <c r="H26" s="2294"/>
      <c r="I26" s="2295"/>
      <c r="J26" s="2296">
        <f t="shared" si="0"/>
        <v>0</v>
      </c>
      <c r="K26" s="2297"/>
      <c r="L26" s="2297"/>
      <c r="M26" s="2297"/>
      <c r="N26" s="2297"/>
      <c r="O26" s="2298"/>
      <c r="P26" s="2296" cm="1">
        <f t="array" ref="P26">SUMPRODUCT((Application!$B$714:$B$738 = 'CalHFA Addendum'!P$18)*(Application!$AC$714:$AC$738 = 'CalHFA Addendum'!$B26),Application!$G$714:$G$738)</f>
        <v>0</v>
      </c>
      <c r="Q26" s="2297"/>
      <c r="R26" s="2297"/>
      <c r="S26" s="2297"/>
      <c r="T26" s="2297"/>
      <c r="U26" s="2298"/>
      <c r="V26" s="2296" cm="1">
        <f t="array" ref="V26">SUMPRODUCT((Application!$B$714:$B$738 = 'CalHFA Addendum'!V$18)*(Application!$AC$714:$AC$738 = 'CalHFA Addendum'!$B26),Application!$G$714:$G$738)</f>
        <v>0</v>
      </c>
      <c r="W26" s="2297"/>
      <c r="X26" s="2297"/>
      <c r="Y26" s="2297"/>
      <c r="Z26" s="2297"/>
      <c r="AA26" s="2298"/>
      <c r="AB26" s="2296" cm="1">
        <f t="array" ref="AB26">SUMPRODUCT((Application!$B$714:$B$738 = 'CalHFA Addendum'!AB$18)*(Application!$AC$714:$AC$738 = 'CalHFA Addendum'!$B26),Application!$G$714:$G$738)</f>
        <v>0</v>
      </c>
      <c r="AC26" s="2297"/>
      <c r="AD26" s="2297"/>
      <c r="AE26" s="2297"/>
      <c r="AF26" s="2297"/>
      <c r="AG26" s="2298"/>
      <c r="AH26" s="2296" cm="1">
        <f t="array" ref="AH26">SUMPRODUCT((Application!$B$714:$B$738 = 'CalHFA Addendum'!AH$18)*(Application!$AC$714:$AC$738 = 'CalHFA Addendum'!$B26),Application!$G$714:$G$738)</f>
        <v>0</v>
      </c>
      <c r="AI26" s="2297"/>
      <c r="AJ26" s="2297"/>
      <c r="AK26" s="2297"/>
      <c r="AL26" s="2297"/>
      <c r="AM26" s="2298"/>
      <c r="AN26" s="2296" cm="1">
        <f t="array" ref="AN26">SUMPRODUCT((Application!$B$714:$B$738 = 'CalHFA Addendum'!AN$18)*(Application!$AC$714:$AC$738 = 'CalHFA Addendum'!$B26),Application!$G$714:$G$738)</f>
        <v>0</v>
      </c>
      <c r="AO26" s="2297"/>
      <c r="AP26" s="2297"/>
      <c r="AQ26" s="2297"/>
      <c r="AR26" s="2297"/>
      <c r="AS26" s="2298"/>
      <c r="AT26" s="2299">
        <f t="shared" si="1"/>
        <v>0</v>
      </c>
      <c r="AU26" s="2300"/>
      <c r="AV26" s="2300"/>
      <c r="AW26" s="2300"/>
      <c r="AX26" s="2300"/>
      <c r="AY26" s="2301"/>
      <c r="AZ26" s="1209"/>
      <c r="BA26" s="1209"/>
      <c r="BB26" s="1209"/>
      <c r="BC26" s="1209"/>
      <c r="BD26" s="1209"/>
      <c r="BE26" s="1205"/>
    </row>
    <row r="27" spans="1:58" ht="14.75">
      <c r="A27" s="1209"/>
      <c r="B27" s="2293">
        <v>1.1000000000000001</v>
      </c>
      <c r="C27" s="2294"/>
      <c r="D27" s="2294"/>
      <c r="E27" s="2294"/>
      <c r="F27" s="2294"/>
      <c r="G27" s="2294"/>
      <c r="H27" s="2294"/>
      <c r="I27" s="2295"/>
      <c r="J27" s="2296">
        <f t="shared" si="0"/>
        <v>0</v>
      </c>
      <c r="K27" s="2297"/>
      <c r="L27" s="2297"/>
      <c r="M27" s="2297"/>
      <c r="N27" s="2297"/>
      <c r="O27" s="2298"/>
      <c r="P27" s="2296" cm="1">
        <f t="array" ref="P27">SUMPRODUCT((Application!$B$714:$B$738 = 'CalHFA Addendum'!P$18)*(Application!$AC$714:$AC$738 = 'CalHFA Addendum'!$B27),Application!$G$714:$G$738)</f>
        <v>0</v>
      </c>
      <c r="Q27" s="2297"/>
      <c r="R27" s="2297"/>
      <c r="S27" s="2297"/>
      <c r="T27" s="2297"/>
      <c r="U27" s="2298"/>
      <c r="V27" s="2296" cm="1">
        <f t="array" ref="V27">SUMPRODUCT((Application!$B$714:$B$738 = 'CalHFA Addendum'!V$18)*(Application!$AC$714:$AC$738 = 'CalHFA Addendum'!$B27),Application!$G$714:$G$738)</f>
        <v>0</v>
      </c>
      <c r="W27" s="2297"/>
      <c r="X27" s="2297"/>
      <c r="Y27" s="2297"/>
      <c r="Z27" s="2297"/>
      <c r="AA27" s="2298"/>
      <c r="AB27" s="2296" cm="1">
        <f t="array" ref="AB27">SUMPRODUCT((Application!$B$714:$B$738 = 'CalHFA Addendum'!AB$18)*(Application!$AC$714:$AC$738 = 'CalHFA Addendum'!$B27),Application!$G$714:$G$738)</f>
        <v>0</v>
      </c>
      <c r="AC27" s="2297"/>
      <c r="AD27" s="2297"/>
      <c r="AE27" s="2297"/>
      <c r="AF27" s="2297"/>
      <c r="AG27" s="2298"/>
      <c r="AH27" s="2296" cm="1">
        <f t="array" ref="AH27">SUMPRODUCT((Application!$B$714:$B$738 = 'CalHFA Addendum'!AH$18)*(Application!$AC$714:$AC$738 = 'CalHFA Addendum'!$B27),Application!$G$714:$G$738)</f>
        <v>0</v>
      </c>
      <c r="AI27" s="2297"/>
      <c r="AJ27" s="2297"/>
      <c r="AK27" s="2297"/>
      <c r="AL27" s="2297"/>
      <c r="AM27" s="2298"/>
      <c r="AN27" s="2296" cm="1">
        <f t="array" ref="AN27">SUMPRODUCT((Application!$B$714:$B$738 = 'CalHFA Addendum'!AN$18)*(Application!$AC$714:$AC$738 = 'CalHFA Addendum'!$B27),Application!$G$714:$G$738)</f>
        <v>0</v>
      </c>
      <c r="AO27" s="2297"/>
      <c r="AP27" s="2297"/>
      <c r="AQ27" s="2297"/>
      <c r="AR27" s="2297"/>
      <c r="AS27" s="2298"/>
      <c r="AT27" s="2299">
        <f t="shared" si="1"/>
        <v>0</v>
      </c>
      <c r="AU27" s="2300"/>
      <c r="AV27" s="2300"/>
      <c r="AW27" s="2300"/>
      <c r="AX27" s="2300"/>
      <c r="AY27" s="2301"/>
      <c r="AZ27" s="1209"/>
      <c r="BA27" s="1209"/>
      <c r="BB27" s="1209"/>
      <c r="BC27" s="1209"/>
      <c r="BD27" s="1209"/>
      <c r="BE27" s="1205"/>
    </row>
    <row r="28" spans="1:58" ht="15.5" thickBot="1">
      <c r="A28" s="1209"/>
      <c r="B28" s="2312" t="s">
        <v>1800</v>
      </c>
      <c r="C28" s="2313"/>
      <c r="D28" s="2313"/>
      <c r="E28" s="2313"/>
      <c r="F28" s="2313"/>
      <c r="G28" s="2313"/>
      <c r="H28" s="2313"/>
      <c r="I28" s="2314"/>
      <c r="J28" s="2315">
        <f t="shared" si="0"/>
        <v>0</v>
      </c>
      <c r="K28" s="2316"/>
      <c r="L28" s="2316"/>
      <c r="M28" s="2316"/>
      <c r="N28" s="2316"/>
      <c r="O28" s="2317"/>
      <c r="P28" s="2315">
        <f>_xlfn.IFNA(VLOOKUP(P$18,Application!$J$758:$S$761,6,FALSE), 0)</f>
        <v>0</v>
      </c>
      <c r="Q28" s="2316"/>
      <c r="R28" s="2316"/>
      <c r="S28" s="2316"/>
      <c r="T28" s="2316"/>
      <c r="U28" s="2317"/>
      <c r="V28" s="2315">
        <f>_xlfn.IFNA(VLOOKUP(V$18,Application!$J$758:$S$761,6,FALSE), 0)</f>
        <v>0</v>
      </c>
      <c r="W28" s="2316"/>
      <c r="X28" s="2316"/>
      <c r="Y28" s="2316"/>
      <c r="Z28" s="2316"/>
      <c r="AA28" s="2317"/>
      <c r="AB28" s="2315">
        <f>_xlfn.IFNA(VLOOKUP(AB$18,Application!$J$758:$S$761,6,FALSE), 0)</f>
        <v>0</v>
      </c>
      <c r="AC28" s="2316"/>
      <c r="AD28" s="2316"/>
      <c r="AE28" s="2316"/>
      <c r="AF28" s="2316"/>
      <c r="AG28" s="2317"/>
      <c r="AH28" s="2315">
        <f>_xlfn.IFNA(VLOOKUP(AH$18,Application!$J$758:$S$761,6,FALSE), 0)</f>
        <v>0</v>
      </c>
      <c r="AI28" s="2316"/>
      <c r="AJ28" s="2316"/>
      <c r="AK28" s="2316"/>
      <c r="AL28" s="2316"/>
      <c r="AM28" s="2317"/>
      <c r="AN28" s="2315">
        <f>_xlfn.IFNA(VLOOKUP(AN$18,Application!$J$758:$S$761,6,FALSE), 0)</f>
        <v>0</v>
      </c>
      <c r="AO28" s="2316"/>
      <c r="AP28" s="2316"/>
      <c r="AQ28" s="2316"/>
      <c r="AR28" s="2316"/>
      <c r="AS28" s="2317"/>
      <c r="AT28" s="2318">
        <f t="shared" si="1"/>
        <v>0</v>
      </c>
      <c r="AU28" s="2319"/>
      <c r="AV28" s="2319"/>
      <c r="AW28" s="2319"/>
      <c r="AX28" s="2319"/>
      <c r="AY28" s="2320"/>
      <c r="AZ28" s="1209"/>
      <c r="BA28" s="1209"/>
      <c r="BB28" s="1209"/>
      <c r="BC28" s="1209"/>
      <c r="BD28" s="1209"/>
      <c r="BE28" s="1205"/>
    </row>
    <row r="29" spans="1:58" ht="15.5" thickBot="1">
      <c r="A29" s="1209"/>
      <c r="B29" s="2327" t="s">
        <v>1699</v>
      </c>
      <c r="C29" s="2328"/>
      <c r="D29" s="2328"/>
      <c r="E29" s="2328"/>
      <c r="F29" s="2328"/>
      <c r="G29" s="2328"/>
      <c r="H29" s="2328"/>
      <c r="I29" s="2329"/>
      <c r="J29" s="2330">
        <f>SUM(J19:O28)</f>
        <v>49</v>
      </c>
      <c r="K29" s="2328"/>
      <c r="L29" s="2328"/>
      <c r="M29" s="2328"/>
      <c r="N29" s="2328"/>
      <c r="O29" s="2329"/>
      <c r="P29" s="2330">
        <f>SUM(P19:U28)</f>
        <v>0</v>
      </c>
      <c r="Q29" s="2328"/>
      <c r="R29" s="2328"/>
      <c r="S29" s="2328"/>
      <c r="T29" s="2328"/>
      <c r="U29" s="2329"/>
      <c r="V29" s="2330">
        <f>SUM(V19:AA28)</f>
        <v>30</v>
      </c>
      <c r="W29" s="2328"/>
      <c r="X29" s="2328"/>
      <c r="Y29" s="2328"/>
      <c r="Z29" s="2328"/>
      <c r="AA29" s="2329"/>
      <c r="AB29" s="2330">
        <f>SUM(AB19:AG28)</f>
        <v>19</v>
      </c>
      <c r="AC29" s="2328"/>
      <c r="AD29" s="2328"/>
      <c r="AE29" s="2328"/>
      <c r="AF29" s="2328"/>
      <c r="AG29" s="2329"/>
      <c r="AH29" s="2330">
        <f>SUM(AH19:AM28)</f>
        <v>0</v>
      </c>
      <c r="AI29" s="2328"/>
      <c r="AJ29" s="2328"/>
      <c r="AK29" s="2328"/>
      <c r="AL29" s="2328"/>
      <c r="AM29" s="2329"/>
      <c r="AN29" s="2330">
        <f>SUM(AN19:AS28)</f>
        <v>0</v>
      </c>
      <c r="AO29" s="2328"/>
      <c r="AP29" s="2328"/>
      <c r="AQ29" s="2328"/>
      <c r="AR29" s="2328"/>
      <c r="AS29" s="2329"/>
      <c r="AT29" s="2347">
        <f t="shared" si="1"/>
        <v>1</v>
      </c>
      <c r="AU29" s="2348"/>
      <c r="AV29" s="2348"/>
      <c r="AW29" s="2348"/>
      <c r="AX29" s="2348"/>
      <c r="AY29" s="2349"/>
      <c r="AZ29" s="1209"/>
      <c r="BA29" s="1209"/>
      <c r="BB29" s="1209"/>
      <c r="BC29" s="1209"/>
      <c r="BD29" s="1209"/>
      <c r="BE29" s="1205"/>
    </row>
    <row r="30" spans="1:58" ht="15.5"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ht="15.5" thickBot="1">
      <c r="A31" s="1209"/>
      <c r="B31" s="2335" t="s">
        <v>1801</v>
      </c>
      <c r="C31" s="2336"/>
      <c r="D31" s="2336"/>
      <c r="E31" s="2336"/>
      <c r="F31" s="2336"/>
      <c r="G31" s="2336"/>
      <c r="H31" s="2336"/>
      <c r="I31" s="2336"/>
      <c r="J31" s="2336"/>
      <c r="K31" s="2336"/>
      <c r="L31" s="2336"/>
      <c r="M31" s="2336"/>
      <c r="N31" s="2336"/>
      <c r="O31" s="2336"/>
      <c r="P31" s="2336"/>
      <c r="Q31" s="2336"/>
      <c r="R31" s="2336"/>
      <c r="S31" s="2336"/>
      <c r="T31" s="2336"/>
      <c r="U31" s="2336"/>
      <c r="V31" s="2336"/>
      <c r="W31" s="2336"/>
      <c r="X31" s="2336"/>
      <c r="Y31" s="2336"/>
      <c r="Z31" s="2336"/>
      <c r="AA31" s="2336"/>
      <c r="AB31" s="2336"/>
      <c r="AC31" s="2336"/>
      <c r="AD31" s="2336"/>
      <c r="AE31" s="2336"/>
      <c r="AF31" s="2336"/>
      <c r="AG31" s="2336"/>
      <c r="AH31" s="2336"/>
      <c r="AI31" s="2336"/>
      <c r="AJ31" s="2336"/>
      <c r="AK31" s="2336"/>
      <c r="AL31" s="2336"/>
      <c r="AM31" s="2336"/>
      <c r="AN31" s="2336"/>
      <c r="AO31" s="2336"/>
      <c r="AP31" s="2336"/>
      <c r="AQ31" s="2336"/>
      <c r="AR31" s="2336"/>
      <c r="AS31" s="2336"/>
      <c r="AT31" s="2336"/>
      <c r="AU31" s="2336"/>
      <c r="AV31" s="2336"/>
      <c r="AW31" s="2336"/>
      <c r="AX31" s="2336"/>
      <c r="AY31" s="2336"/>
      <c r="AZ31" s="2336"/>
      <c r="BA31" s="2336"/>
      <c r="BB31" s="2336"/>
      <c r="BC31" s="2336"/>
      <c r="BD31" s="2337"/>
      <c r="BE31" s="1205"/>
    </row>
    <row r="32" spans="1:58" ht="15.5" thickBot="1">
      <c r="A32" s="1209"/>
      <c r="B32" s="2350" t="s">
        <v>2474</v>
      </c>
      <c r="C32" s="2351"/>
      <c r="D32" s="2351"/>
      <c r="E32" s="2351"/>
      <c r="F32" s="2351"/>
      <c r="G32" s="2351"/>
      <c r="H32" s="2351"/>
      <c r="I32" s="2351"/>
      <c r="J32" s="2321" t="s">
        <v>2475</v>
      </c>
      <c r="K32" s="2322"/>
      <c r="L32" s="2322"/>
      <c r="M32" s="2322"/>
      <c r="N32" s="2321" t="s">
        <v>1802</v>
      </c>
      <c r="O32" s="2322"/>
      <c r="P32" s="2322"/>
      <c r="Q32" s="2324"/>
      <c r="R32" s="2344" t="s">
        <v>1803</v>
      </c>
      <c r="S32" s="2345"/>
      <c r="T32" s="2345"/>
      <c r="U32" s="2345"/>
      <c r="V32" s="2345"/>
      <c r="W32" s="2345"/>
      <c r="X32" s="2345"/>
      <c r="Y32" s="2345"/>
      <c r="Z32" s="2345"/>
      <c r="AA32" s="2345"/>
      <c r="AB32" s="2345"/>
      <c r="AC32" s="2345"/>
      <c r="AD32" s="2345"/>
      <c r="AE32" s="2345"/>
      <c r="AF32" s="2345"/>
      <c r="AG32" s="2345"/>
      <c r="AH32" s="2345"/>
      <c r="AI32" s="2345"/>
      <c r="AJ32" s="2345"/>
      <c r="AK32" s="2345"/>
      <c r="AL32" s="2345"/>
      <c r="AM32" s="2345"/>
      <c r="AN32" s="2345"/>
      <c r="AO32" s="2345"/>
      <c r="AP32" s="2345"/>
      <c r="AQ32" s="2345"/>
      <c r="AR32" s="2345"/>
      <c r="AS32" s="2345"/>
      <c r="AT32" s="2345"/>
      <c r="AU32" s="2345"/>
      <c r="AV32" s="2345"/>
      <c r="AW32" s="2345"/>
      <c r="AX32" s="2345"/>
      <c r="AY32" s="2345"/>
      <c r="AZ32" s="2345"/>
      <c r="BA32" s="2345"/>
      <c r="BB32" s="2345"/>
      <c r="BC32" s="2345"/>
      <c r="BD32" s="2346"/>
      <c r="BE32" s="1205"/>
    </row>
    <row r="33" spans="1:58" ht="15" customHeight="1">
      <c r="A33" s="1209"/>
      <c r="B33" s="2352"/>
      <c r="C33" s="2353"/>
      <c r="D33" s="2353"/>
      <c r="E33" s="2353"/>
      <c r="F33" s="2353"/>
      <c r="G33" s="2353"/>
      <c r="H33" s="2353"/>
      <c r="I33" s="2353"/>
      <c r="J33" s="2323"/>
      <c r="K33" s="2323"/>
      <c r="L33" s="2323"/>
      <c r="M33" s="2323"/>
      <c r="N33" s="2323"/>
      <c r="O33" s="2323"/>
      <c r="P33" s="2323"/>
      <c r="Q33" s="2325"/>
      <c r="R33" s="2338" t="s">
        <v>1804</v>
      </c>
      <c r="S33" s="2339"/>
      <c r="T33" s="2339"/>
      <c r="U33" s="2339"/>
      <c r="V33" s="2339"/>
      <c r="W33" s="2339"/>
      <c r="X33" s="2339"/>
      <c r="Y33" s="2339"/>
      <c r="Z33" s="2339"/>
      <c r="AA33" s="2339"/>
      <c r="AB33" s="2339"/>
      <c r="AC33" s="2339"/>
      <c r="AD33" s="2339"/>
      <c r="AE33" s="2339"/>
      <c r="AF33" s="2339"/>
      <c r="AG33" s="2339"/>
      <c r="AH33" s="2339"/>
      <c r="AI33" s="2339"/>
      <c r="AJ33" s="2339"/>
      <c r="AK33" s="2339"/>
      <c r="AL33" s="2339"/>
      <c r="AM33" s="2339"/>
      <c r="AN33" s="2339"/>
      <c r="AO33" s="2339"/>
      <c r="AP33" s="2339"/>
      <c r="AQ33" s="2339"/>
      <c r="AR33" s="2339"/>
      <c r="AS33" s="2339"/>
      <c r="AT33" s="2339"/>
      <c r="AU33" s="2339"/>
      <c r="AV33" s="2339"/>
      <c r="AW33" s="2339"/>
      <c r="AX33" s="2339"/>
      <c r="AY33" s="2339"/>
      <c r="AZ33" s="2339"/>
      <c r="BA33" s="2339"/>
      <c r="BB33" s="2339"/>
      <c r="BC33" s="2339"/>
      <c r="BD33" s="2340"/>
      <c r="BE33" s="1205"/>
    </row>
    <row r="34" spans="1:58" ht="15.75" customHeight="1" thickBot="1">
      <c r="A34" s="1209"/>
      <c r="B34" s="2352"/>
      <c r="C34" s="2353"/>
      <c r="D34" s="2353"/>
      <c r="E34" s="2353"/>
      <c r="F34" s="2353"/>
      <c r="G34" s="2353"/>
      <c r="H34" s="2353"/>
      <c r="I34" s="2353"/>
      <c r="J34" s="2323"/>
      <c r="K34" s="2323"/>
      <c r="L34" s="2323"/>
      <c r="M34" s="2323"/>
      <c r="N34" s="2323"/>
      <c r="O34" s="2323"/>
      <c r="P34" s="2323"/>
      <c r="Q34" s="2325"/>
      <c r="R34" s="2341"/>
      <c r="S34" s="2342"/>
      <c r="T34" s="2342"/>
      <c r="U34" s="2342"/>
      <c r="V34" s="2342"/>
      <c r="W34" s="2342"/>
      <c r="X34" s="2342"/>
      <c r="Y34" s="2342"/>
      <c r="Z34" s="2342"/>
      <c r="AA34" s="2342"/>
      <c r="AB34" s="2342"/>
      <c r="AC34" s="2342"/>
      <c r="AD34" s="2342"/>
      <c r="AE34" s="2342"/>
      <c r="AF34" s="2342"/>
      <c r="AG34" s="2342"/>
      <c r="AH34" s="2342"/>
      <c r="AI34" s="2342"/>
      <c r="AJ34" s="2342"/>
      <c r="AK34" s="2342"/>
      <c r="AL34" s="2342"/>
      <c r="AM34" s="2342"/>
      <c r="AN34" s="2342"/>
      <c r="AO34" s="2342"/>
      <c r="AP34" s="2342"/>
      <c r="AQ34" s="2342"/>
      <c r="AR34" s="2342"/>
      <c r="AS34" s="2342"/>
      <c r="AT34" s="2342"/>
      <c r="AU34" s="2342"/>
      <c r="AV34" s="2342"/>
      <c r="AW34" s="2342"/>
      <c r="AX34" s="2342"/>
      <c r="AY34" s="2342"/>
      <c r="AZ34" s="2342"/>
      <c r="BA34" s="2342"/>
      <c r="BB34" s="2342"/>
      <c r="BC34" s="2342"/>
      <c r="BD34" s="2343"/>
      <c r="BE34" s="1205"/>
    </row>
    <row r="35" spans="1:58" ht="15.75" customHeight="1">
      <c r="A35" s="1209"/>
      <c r="B35" s="2352"/>
      <c r="C35" s="2353"/>
      <c r="D35" s="2353"/>
      <c r="E35" s="2353"/>
      <c r="F35" s="2353"/>
      <c r="G35" s="2353"/>
      <c r="H35" s="2353"/>
      <c r="I35" s="2353"/>
      <c r="J35" s="2323"/>
      <c r="K35" s="2323"/>
      <c r="L35" s="2323"/>
      <c r="M35" s="2323"/>
      <c r="N35" s="2323"/>
      <c r="O35" s="2323"/>
      <c r="P35" s="2323"/>
      <c r="Q35" s="2323"/>
      <c r="R35" s="2326">
        <v>0.3</v>
      </c>
      <c r="S35" s="2326"/>
      <c r="T35" s="2326"/>
      <c r="U35" s="2326"/>
      <c r="V35" s="2326">
        <v>0.4</v>
      </c>
      <c r="W35" s="2326"/>
      <c r="X35" s="2326"/>
      <c r="Y35" s="2326"/>
      <c r="Z35" s="2326">
        <v>0.5</v>
      </c>
      <c r="AA35" s="2326"/>
      <c r="AB35" s="2326"/>
      <c r="AC35" s="2326"/>
      <c r="AD35" s="2326">
        <v>0.6</v>
      </c>
      <c r="AE35" s="2326"/>
      <c r="AF35" s="2326"/>
      <c r="AG35" s="2326"/>
      <c r="AH35" s="2326">
        <v>0.7</v>
      </c>
      <c r="AI35" s="2326"/>
      <c r="AJ35" s="2326"/>
      <c r="AK35" s="2326"/>
      <c r="AL35" s="2302">
        <v>0.8</v>
      </c>
      <c r="AM35" s="2303"/>
      <c r="AN35" s="2303"/>
      <c r="AO35" s="2304"/>
      <c r="AP35" s="2305">
        <v>1.2</v>
      </c>
      <c r="AQ35" s="2306"/>
      <c r="AR35" s="2307"/>
      <c r="AS35" s="2308" t="s">
        <v>1805</v>
      </c>
      <c r="AT35" s="2309"/>
      <c r="AU35" s="2309"/>
      <c r="AV35" s="2309"/>
      <c r="AW35" s="2309"/>
      <c r="AX35" s="2310"/>
      <c r="AY35" s="2308" t="s">
        <v>1806</v>
      </c>
      <c r="AZ35" s="2309"/>
      <c r="BA35" s="2309"/>
      <c r="BB35" s="2309"/>
      <c r="BC35" s="2309"/>
      <c r="BD35" s="2311"/>
      <c r="BE35" s="1205"/>
    </row>
    <row r="36" spans="1:58" ht="15.75" customHeight="1">
      <c r="A36" s="1209"/>
      <c r="B36" s="2331" t="s">
        <v>1807</v>
      </c>
      <c r="C36" s="2332"/>
      <c r="D36" s="2332"/>
      <c r="E36" s="2332"/>
      <c r="F36" s="2332"/>
      <c r="G36" s="2332"/>
      <c r="H36" s="2332"/>
      <c r="I36" s="2332"/>
      <c r="J36" s="2333" t="s">
        <v>1808</v>
      </c>
      <c r="K36" s="2333"/>
      <c r="L36" s="2333"/>
      <c r="M36" s="2333"/>
      <c r="N36" s="2333">
        <v>55</v>
      </c>
      <c r="O36" s="2333"/>
      <c r="P36" s="2333"/>
      <c r="Q36" s="2333"/>
      <c r="R36" s="2334">
        <v>0</v>
      </c>
      <c r="S36" s="2334"/>
      <c r="T36" s="2334"/>
      <c r="U36" s="2334"/>
      <c r="V36" s="2334">
        <v>0</v>
      </c>
      <c r="W36" s="2334"/>
      <c r="X36" s="2334"/>
      <c r="Y36" s="2334"/>
      <c r="Z36" s="2334">
        <v>10</v>
      </c>
      <c r="AA36" s="2334"/>
      <c r="AB36" s="2334"/>
      <c r="AC36" s="2334"/>
      <c r="AD36" s="2334">
        <v>10</v>
      </c>
      <c r="AE36" s="2334"/>
      <c r="AF36" s="2334"/>
      <c r="AG36" s="2334"/>
      <c r="AH36" s="2334">
        <v>30</v>
      </c>
      <c r="AI36" s="2334"/>
      <c r="AJ36" s="2334"/>
      <c r="AK36" s="2334"/>
      <c r="AL36" s="2354">
        <v>0</v>
      </c>
      <c r="AM36" s="2355"/>
      <c r="AN36" s="2355"/>
      <c r="AO36" s="2356"/>
      <c r="AP36" s="2354">
        <v>0</v>
      </c>
      <c r="AQ36" s="2355"/>
      <c r="AR36" s="2356"/>
      <c r="AS36" s="2357">
        <f t="shared" ref="AS36:AS47" si="2">SUM(R36:AR36)</f>
        <v>50</v>
      </c>
      <c r="AT36" s="2358"/>
      <c r="AU36" s="2358"/>
      <c r="AV36" s="2358"/>
      <c r="AW36" s="2358"/>
      <c r="AX36" s="2359"/>
      <c r="AY36" s="2360">
        <f t="shared" ref="AY36:AY47" si="3">AS36/$J$29</f>
        <v>1.0204081632653061</v>
      </c>
      <c r="AZ36" s="2361"/>
      <c r="BA36" s="2361"/>
      <c r="BB36" s="2361"/>
      <c r="BC36" s="2361"/>
      <c r="BD36" s="2362"/>
      <c r="BE36" s="1205"/>
    </row>
    <row r="37" spans="1:58" ht="15.75" customHeight="1">
      <c r="A37" s="1209"/>
      <c r="B37" s="2331" t="s">
        <v>2476</v>
      </c>
      <c r="C37" s="2332"/>
      <c r="D37" s="2332"/>
      <c r="E37" s="2332"/>
      <c r="F37" s="2332"/>
      <c r="G37" s="2332"/>
      <c r="H37" s="2332"/>
      <c r="I37" s="2332"/>
      <c r="J37" s="2333" t="s">
        <v>1809</v>
      </c>
      <c r="K37" s="2333"/>
      <c r="L37" s="2333"/>
      <c r="M37" s="2333"/>
      <c r="N37" s="2333">
        <v>55</v>
      </c>
      <c r="O37" s="2333"/>
      <c r="P37" s="2333"/>
      <c r="Q37" s="2333"/>
      <c r="R37" s="2334">
        <v>10</v>
      </c>
      <c r="S37" s="2334"/>
      <c r="T37" s="2334"/>
      <c r="U37" s="2334"/>
      <c r="V37" s="2334"/>
      <c r="W37" s="2334"/>
      <c r="X37" s="2334"/>
      <c r="Y37" s="2334"/>
      <c r="Z37" s="2334"/>
      <c r="AA37" s="2334"/>
      <c r="AB37" s="2334"/>
      <c r="AC37" s="2334"/>
      <c r="AD37" s="2334"/>
      <c r="AE37" s="2334"/>
      <c r="AF37" s="2334"/>
      <c r="AG37" s="2334"/>
      <c r="AH37" s="2334"/>
      <c r="AI37" s="2334"/>
      <c r="AJ37" s="2334"/>
      <c r="AK37" s="2334"/>
      <c r="AL37" s="2354"/>
      <c r="AM37" s="2355"/>
      <c r="AN37" s="2355"/>
      <c r="AO37" s="2356"/>
      <c r="AP37" s="2354"/>
      <c r="AQ37" s="2355"/>
      <c r="AR37" s="2356"/>
      <c r="AS37" s="2357">
        <f t="shared" si="2"/>
        <v>10</v>
      </c>
      <c r="AT37" s="2358"/>
      <c r="AU37" s="2358"/>
      <c r="AV37" s="2358"/>
      <c r="AW37" s="2358"/>
      <c r="AX37" s="2359"/>
      <c r="AY37" s="2360">
        <f t="shared" si="3"/>
        <v>0.20408163265306123</v>
      </c>
      <c r="AZ37" s="2361"/>
      <c r="BA37" s="2361"/>
      <c r="BB37" s="2361"/>
      <c r="BC37" s="2361"/>
      <c r="BD37" s="2362"/>
      <c r="BE37" s="1205"/>
    </row>
    <row r="38" spans="1:58" ht="15.75" customHeight="1">
      <c r="A38" s="1209"/>
      <c r="B38" s="2331" t="s">
        <v>2415</v>
      </c>
      <c r="C38" s="2332"/>
      <c r="D38" s="2332"/>
      <c r="E38" s="2332"/>
      <c r="F38" s="2332"/>
      <c r="G38" s="2332"/>
      <c r="H38" s="2332"/>
      <c r="I38" s="2332"/>
      <c r="J38" s="2333" t="s">
        <v>1810</v>
      </c>
      <c r="K38" s="2333"/>
      <c r="L38" s="2333"/>
      <c r="M38" s="2333"/>
      <c r="N38" s="2333">
        <v>55</v>
      </c>
      <c r="O38" s="2333"/>
      <c r="P38" s="2333"/>
      <c r="Q38" s="2333"/>
      <c r="R38" s="2334"/>
      <c r="S38" s="2334"/>
      <c r="T38" s="2334"/>
      <c r="U38" s="2334"/>
      <c r="V38" s="2334"/>
      <c r="W38" s="2334"/>
      <c r="X38" s="2334"/>
      <c r="Y38" s="2334"/>
      <c r="Z38" s="2334"/>
      <c r="AA38" s="2334"/>
      <c r="AB38" s="2334"/>
      <c r="AC38" s="2334"/>
      <c r="AD38" s="2334"/>
      <c r="AE38" s="2334"/>
      <c r="AF38" s="2334"/>
      <c r="AG38" s="2334"/>
      <c r="AH38" s="2334"/>
      <c r="AI38" s="2334"/>
      <c r="AJ38" s="2334"/>
      <c r="AK38" s="2334"/>
      <c r="AL38" s="2354"/>
      <c r="AM38" s="2355"/>
      <c r="AN38" s="2355"/>
      <c r="AO38" s="2356"/>
      <c r="AP38" s="2354"/>
      <c r="AQ38" s="2355"/>
      <c r="AR38" s="2356"/>
      <c r="AS38" s="2357">
        <f t="shared" si="2"/>
        <v>0</v>
      </c>
      <c r="AT38" s="2358"/>
      <c r="AU38" s="2358"/>
      <c r="AV38" s="2358"/>
      <c r="AW38" s="2358"/>
      <c r="AX38" s="2359"/>
      <c r="AY38" s="2360">
        <f t="shared" si="3"/>
        <v>0</v>
      </c>
      <c r="AZ38" s="2361"/>
      <c r="BA38" s="2361"/>
      <c r="BB38" s="2361"/>
      <c r="BC38" s="2361"/>
      <c r="BD38" s="2362"/>
      <c r="BE38" s="1205"/>
    </row>
    <row r="39" spans="1:58" ht="15.75" customHeight="1">
      <c r="A39" s="1209"/>
      <c r="B39" s="2331" t="s">
        <v>1811</v>
      </c>
      <c r="C39" s="2332"/>
      <c r="D39" s="2332"/>
      <c r="E39" s="2332"/>
      <c r="F39" s="2332"/>
      <c r="G39" s="2332"/>
      <c r="H39" s="2332"/>
      <c r="I39" s="2332"/>
      <c r="J39" s="2333"/>
      <c r="K39" s="2333"/>
      <c r="L39" s="2333"/>
      <c r="M39" s="2333"/>
      <c r="N39" s="2333"/>
      <c r="O39" s="2333"/>
      <c r="P39" s="2333"/>
      <c r="Q39" s="2333"/>
      <c r="R39" s="2334"/>
      <c r="S39" s="2334"/>
      <c r="T39" s="2334"/>
      <c r="U39" s="2334"/>
      <c r="V39" s="2334"/>
      <c r="W39" s="2334"/>
      <c r="X39" s="2334"/>
      <c r="Y39" s="2334"/>
      <c r="Z39" s="2334"/>
      <c r="AA39" s="2334"/>
      <c r="AB39" s="2334"/>
      <c r="AC39" s="2334"/>
      <c r="AD39" s="2334"/>
      <c r="AE39" s="2334"/>
      <c r="AF39" s="2334"/>
      <c r="AG39" s="2334"/>
      <c r="AH39" s="2334"/>
      <c r="AI39" s="2334"/>
      <c r="AJ39" s="2334"/>
      <c r="AK39" s="2334"/>
      <c r="AL39" s="2354"/>
      <c r="AM39" s="2355"/>
      <c r="AN39" s="2355"/>
      <c r="AO39" s="2356"/>
      <c r="AP39" s="2354"/>
      <c r="AQ39" s="2355"/>
      <c r="AR39" s="2356"/>
      <c r="AS39" s="2357">
        <f t="shared" si="2"/>
        <v>0</v>
      </c>
      <c r="AT39" s="2358"/>
      <c r="AU39" s="2358"/>
      <c r="AV39" s="2358"/>
      <c r="AW39" s="2358"/>
      <c r="AX39" s="2359"/>
      <c r="AY39" s="2360">
        <f t="shared" si="3"/>
        <v>0</v>
      </c>
      <c r="AZ39" s="2361"/>
      <c r="BA39" s="2361"/>
      <c r="BB39" s="2361"/>
      <c r="BC39" s="2361"/>
      <c r="BD39" s="2362"/>
      <c r="BE39" s="1205"/>
    </row>
    <row r="40" spans="1:58" ht="15.75" customHeight="1">
      <c r="A40" s="1209"/>
      <c r="B40" s="2331" t="s">
        <v>1811</v>
      </c>
      <c r="C40" s="2332"/>
      <c r="D40" s="2332"/>
      <c r="E40" s="2332"/>
      <c r="F40" s="2332"/>
      <c r="G40" s="2332"/>
      <c r="H40" s="2332"/>
      <c r="I40" s="2332"/>
      <c r="J40" s="2333"/>
      <c r="K40" s="2333"/>
      <c r="L40" s="2333"/>
      <c r="M40" s="2333"/>
      <c r="N40" s="2333"/>
      <c r="O40" s="2333"/>
      <c r="P40" s="2333"/>
      <c r="Q40" s="2333"/>
      <c r="R40" s="2334"/>
      <c r="S40" s="2334"/>
      <c r="T40" s="2334"/>
      <c r="U40" s="2334"/>
      <c r="V40" s="2334"/>
      <c r="W40" s="2334"/>
      <c r="X40" s="2334"/>
      <c r="Y40" s="2334"/>
      <c r="Z40" s="2334"/>
      <c r="AA40" s="2334"/>
      <c r="AB40" s="2334"/>
      <c r="AC40" s="2334"/>
      <c r="AD40" s="2334"/>
      <c r="AE40" s="2334"/>
      <c r="AF40" s="2334"/>
      <c r="AG40" s="2334"/>
      <c r="AH40" s="2334"/>
      <c r="AI40" s="2334"/>
      <c r="AJ40" s="2334"/>
      <c r="AK40" s="2334"/>
      <c r="AL40" s="2354"/>
      <c r="AM40" s="2355"/>
      <c r="AN40" s="2355"/>
      <c r="AO40" s="2356"/>
      <c r="AP40" s="2354"/>
      <c r="AQ40" s="2355"/>
      <c r="AR40" s="2356"/>
      <c r="AS40" s="2357">
        <f t="shared" si="2"/>
        <v>0</v>
      </c>
      <c r="AT40" s="2358"/>
      <c r="AU40" s="2358"/>
      <c r="AV40" s="2358"/>
      <c r="AW40" s="2358"/>
      <c r="AX40" s="2359"/>
      <c r="AY40" s="2360">
        <f t="shared" si="3"/>
        <v>0</v>
      </c>
      <c r="AZ40" s="2361"/>
      <c r="BA40" s="2361"/>
      <c r="BB40" s="2361"/>
      <c r="BC40" s="2361"/>
      <c r="BD40" s="2362"/>
      <c r="BE40" s="1205"/>
    </row>
    <row r="41" spans="1:58" ht="15.75" customHeight="1">
      <c r="A41" s="1209"/>
      <c r="B41" s="2331" t="s">
        <v>1812</v>
      </c>
      <c r="C41" s="2332"/>
      <c r="D41" s="2332"/>
      <c r="E41" s="2332"/>
      <c r="F41" s="2332"/>
      <c r="G41" s="2332"/>
      <c r="H41" s="2332"/>
      <c r="I41" s="2332"/>
      <c r="J41" s="2333"/>
      <c r="K41" s="2333"/>
      <c r="L41" s="2333"/>
      <c r="M41" s="2333"/>
      <c r="N41" s="2333"/>
      <c r="O41" s="2333"/>
      <c r="P41" s="2333"/>
      <c r="Q41" s="2333"/>
      <c r="R41" s="2334"/>
      <c r="S41" s="2334"/>
      <c r="T41" s="2334"/>
      <c r="U41" s="2334"/>
      <c r="V41" s="2334"/>
      <c r="W41" s="2334"/>
      <c r="X41" s="2334"/>
      <c r="Y41" s="2334"/>
      <c r="Z41" s="2334"/>
      <c r="AA41" s="2334"/>
      <c r="AB41" s="2334"/>
      <c r="AC41" s="2334"/>
      <c r="AD41" s="2334"/>
      <c r="AE41" s="2334"/>
      <c r="AF41" s="2334"/>
      <c r="AG41" s="2334"/>
      <c r="AH41" s="2334"/>
      <c r="AI41" s="2334"/>
      <c r="AJ41" s="2334"/>
      <c r="AK41" s="2334"/>
      <c r="AL41" s="2354"/>
      <c r="AM41" s="2355"/>
      <c r="AN41" s="2355"/>
      <c r="AO41" s="2356"/>
      <c r="AP41" s="2354"/>
      <c r="AQ41" s="2355"/>
      <c r="AR41" s="2356"/>
      <c r="AS41" s="2357">
        <f t="shared" si="2"/>
        <v>0</v>
      </c>
      <c r="AT41" s="2358"/>
      <c r="AU41" s="2358"/>
      <c r="AV41" s="2358"/>
      <c r="AW41" s="2358"/>
      <c r="AX41" s="2359"/>
      <c r="AY41" s="2360">
        <f t="shared" si="3"/>
        <v>0</v>
      </c>
      <c r="AZ41" s="2361"/>
      <c r="BA41" s="2361"/>
      <c r="BB41" s="2361"/>
      <c r="BC41" s="2361"/>
      <c r="BD41" s="2362"/>
      <c r="BE41" s="1205"/>
    </row>
    <row r="42" spans="1:58" ht="15.75" customHeight="1">
      <c r="A42" s="1209"/>
      <c r="B42" s="2331" t="s">
        <v>1812</v>
      </c>
      <c r="C42" s="2332"/>
      <c r="D42" s="2332"/>
      <c r="E42" s="2332"/>
      <c r="F42" s="2332"/>
      <c r="G42" s="2332"/>
      <c r="H42" s="2332"/>
      <c r="I42" s="2332"/>
      <c r="J42" s="2333"/>
      <c r="K42" s="2333"/>
      <c r="L42" s="2333"/>
      <c r="M42" s="2333"/>
      <c r="N42" s="2333"/>
      <c r="O42" s="2333"/>
      <c r="P42" s="2333"/>
      <c r="Q42" s="2333"/>
      <c r="R42" s="2334"/>
      <c r="S42" s="2334"/>
      <c r="T42" s="2334"/>
      <c r="U42" s="2334"/>
      <c r="V42" s="2334"/>
      <c r="W42" s="2334"/>
      <c r="X42" s="2334"/>
      <c r="Y42" s="2334"/>
      <c r="Z42" s="2334"/>
      <c r="AA42" s="2334"/>
      <c r="AB42" s="2334"/>
      <c r="AC42" s="2334"/>
      <c r="AD42" s="2334"/>
      <c r="AE42" s="2334"/>
      <c r="AF42" s="2334"/>
      <c r="AG42" s="2334"/>
      <c r="AH42" s="2334"/>
      <c r="AI42" s="2334"/>
      <c r="AJ42" s="2334"/>
      <c r="AK42" s="2334"/>
      <c r="AL42" s="2354"/>
      <c r="AM42" s="2355"/>
      <c r="AN42" s="2355"/>
      <c r="AO42" s="2356"/>
      <c r="AP42" s="2354"/>
      <c r="AQ42" s="2355"/>
      <c r="AR42" s="2356"/>
      <c r="AS42" s="2357">
        <f t="shared" si="2"/>
        <v>0</v>
      </c>
      <c r="AT42" s="2358"/>
      <c r="AU42" s="2358"/>
      <c r="AV42" s="2358"/>
      <c r="AW42" s="2358"/>
      <c r="AX42" s="2359"/>
      <c r="AY42" s="2360">
        <f t="shared" si="3"/>
        <v>0</v>
      </c>
      <c r="AZ42" s="2361"/>
      <c r="BA42" s="2361"/>
      <c r="BB42" s="2361"/>
      <c r="BC42" s="2361"/>
      <c r="BD42" s="2362"/>
      <c r="BE42" s="1205"/>
    </row>
    <row r="43" spans="1:58" ht="15.75" customHeight="1">
      <c r="A43" s="1209"/>
      <c r="B43" s="2363" t="s">
        <v>1813</v>
      </c>
      <c r="C43" s="2364"/>
      <c r="D43" s="2364"/>
      <c r="E43" s="2364"/>
      <c r="F43" s="2364"/>
      <c r="G43" s="2364"/>
      <c r="H43" s="2364"/>
      <c r="I43" s="2364"/>
      <c r="J43" s="2333"/>
      <c r="K43" s="2333"/>
      <c r="L43" s="2333"/>
      <c r="M43" s="2333"/>
      <c r="N43" s="2333"/>
      <c r="O43" s="2333"/>
      <c r="P43" s="2333"/>
      <c r="Q43" s="2333"/>
      <c r="R43" s="2334"/>
      <c r="S43" s="2334"/>
      <c r="T43" s="2334"/>
      <c r="U43" s="2334"/>
      <c r="V43" s="2334"/>
      <c r="W43" s="2334"/>
      <c r="X43" s="2334"/>
      <c r="Y43" s="2334"/>
      <c r="Z43" s="2334"/>
      <c r="AA43" s="2334"/>
      <c r="AB43" s="2334"/>
      <c r="AC43" s="2334"/>
      <c r="AD43" s="2334"/>
      <c r="AE43" s="2334"/>
      <c r="AF43" s="2334"/>
      <c r="AG43" s="2334"/>
      <c r="AH43" s="2334"/>
      <c r="AI43" s="2334"/>
      <c r="AJ43" s="2334"/>
      <c r="AK43" s="2334"/>
      <c r="AL43" s="2354"/>
      <c r="AM43" s="2355"/>
      <c r="AN43" s="2355"/>
      <c r="AO43" s="2356"/>
      <c r="AP43" s="2354"/>
      <c r="AQ43" s="2355"/>
      <c r="AR43" s="2356"/>
      <c r="AS43" s="2357">
        <f t="shared" si="2"/>
        <v>0</v>
      </c>
      <c r="AT43" s="2358"/>
      <c r="AU43" s="2358"/>
      <c r="AV43" s="2358"/>
      <c r="AW43" s="2358"/>
      <c r="AX43" s="2359"/>
      <c r="AY43" s="2360">
        <f t="shared" si="3"/>
        <v>0</v>
      </c>
      <c r="AZ43" s="2361"/>
      <c r="BA43" s="2361"/>
      <c r="BB43" s="2361"/>
      <c r="BC43" s="2361"/>
      <c r="BD43" s="2362"/>
      <c r="BE43" s="1205"/>
    </row>
    <row r="44" spans="1:58" ht="15.75" customHeight="1">
      <c r="A44" s="1209"/>
      <c r="B44" s="2363" t="s">
        <v>1814</v>
      </c>
      <c r="C44" s="2364"/>
      <c r="D44" s="2364"/>
      <c r="E44" s="2364"/>
      <c r="F44" s="2364"/>
      <c r="G44" s="2364"/>
      <c r="H44" s="2364"/>
      <c r="I44" s="2364"/>
      <c r="J44" s="2333"/>
      <c r="K44" s="2333"/>
      <c r="L44" s="2333"/>
      <c r="M44" s="2333"/>
      <c r="N44" s="2333"/>
      <c r="O44" s="2333"/>
      <c r="P44" s="2333"/>
      <c r="Q44" s="2333"/>
      <c r="R44" s="2334"/>
      <c r="S44" s="2334"/>
      <c r="T44" s="2334"/>
      <c r="U44" s="2334"/>
      <c r="V44" s="2334"/>
      <c r="W44" s="2334"/>
      <c r="X44" s="2334"/>
      <c r="Y44" s="2334"/>
      <c r="Z44" s="2334"/>
      <c r="AA44" s="2334"/>
      <c r="AB44" s="2334"/>
      <c r="AC44" s="2334"/>
      <c r="AD44" s="2334"/>
      <c r="AE44" s="2334"/>
      <c r="AF44" s="2334"/>
      <c r="AG44" s="2334"/>
      <c r="AH44" s="2334"/>
      <c r="AI44" s="2334"/>
      <c r="AJ44" s="2334"/>
      <c r="AK44" s="2334"/>
      <c r="AL44" s="2354"/>
      <c r="AM44" s="2355"/>
      <c r="AN44" s="2355"/>
      <c r="AO44" s="2356"/>
      <c r="AP44" s="2354"/>
      <c r="AQ44" s="2355"/>
      <c r="AR44" s="2356"/>
      <c r="AS44" s="2357">
        <f t="shared" si="2"/>
        <v>0</v>
      </c>
      <c r="AT44" s="2358"/>
      <c r="AU44" s="2358"/>
      <c r="AV44" s="2358"/>
      <c r="AW44" s="2358"/>
      <c r="AX44" s="2359"/>
      <c r="AY44" s="2360">
        <f t="shared" si="3"/>
        <v>0</v>
      </c>
      <c r="AZ44" s="2361"/>
      <c r="BA44" s="2361"/>
      <c r="BB44" s="2361"/>
      <c r="BC44" s="2361"/>
      <c r="BD44" s="2362"/>
      <c r="BE44" s="1205"/>
    </row>
    <row r="45" spans="1:58" ht="15.75" customHeight="1">
      <c r="A45" s="1209"/>
      <c r="B45" s="2363" t="s">
        <v>1815</v>
      </c>
      <c r="C45" s="2364"/>
      <c r="D45" s="2364"/>
      <c r="E45" s="2364"/>
      <c r="F45" s="2364"/>
      <c r="G45" s="2364"/>
      <c r="H45" s="2364"/>
      <c r="I45" s="2364"/>
      <c r="J45" s="2333"/>
      <c r="K45" s="2333"/>
      <c r="L45" s="2333"/>
      <c r="M45" s="2333"/>
      <c r="N45" s="2333"/>
      <c r="O45" s="2333"/>
      <c r="P45" s="2333"/>
      <c r="Q45" s="2333"/>
      <c r="R45" s="2334"/>
      <c r="S45" s="2334"/>
      <c r="T45" s="2334"/>
      <c r="U45" s="2334"/>
      <c r="V45" s="2334"/>
      <c r="W45" s="2334"/>
      <c r="X45" s="2334"/>
      <c r="Y45" s="2334"/>
      <c r="Z45" s="2334"/>
      <c r="AA45" s="2334"/>
      <c r="AB45" s="2334"/>
      <c r="AC45" s="2334"/>
      <c r="AD45" s="2334"/>
      <c r="AE45" s="2334"/>
      <c r="AF45" s="2334"/>
      <c r="AG45" s="2334"/>
      <c r="AH45" s="2334"/>
      <c r="AI45" s="2334"/>
      <c r="AJ45" s="2334"/>
      <c r="AK45" s="2334"/>
      <c r="AL45" s="2354"/>
      <c r="AM45" s="2355"/>
      <c r="AN45" s="2355"/>
      <c r="AO45" s="2356"/>
      <c r="AP45" s="2354"/>
      <c r="AQ45" s="2355"/>
      <c r="AR45" s="2356"/>
      <c r="AS45" s="2357">
        <f t="shared" si="2"/>
        <v>0</v>
      </c>
      <c r="AT45" s="2358"/>
      <c r="AU45" s="2358"/>
      <c r="AV45" s="2358"/>
      <c r="AW45" s="2358"/>
      <c r="AX45" s="2359"/>
      <c r="AY45" s="2360">
        <f t="shared" si="3"/>
        <v>0</v>
      </c>
      <c r="AZ45" s="2361"/>
      <c r="BA45" s="2361"/>
      <c r="BB45" s="2361"/>
      <c r="BC45" s="2361"/>
      <c r="BD45" s="2362"/>
      <c r="BE45" s="1205"/>
    </row>
    <row r="46" spans="1:58" ht="15.75" customHeight="1">
      <c r="A46" s="1209"/>
      <c r="B46" s="2363" t="s">
        <v>1816</v>
      </c>
      <c r="C46" s="2364"/>
      <c r="D46" s="2364"/>
      <c r="E46" s="2364"/>
      <c r="F46" s="2364"/>
      <c r="G46" s="2364"/>
      <c r="H46" s="2364"/>
      <c r="I46" s="2364"/>
      <c r="J46" s="2333"/>
      <c r="K46" s="2333"/>
      <c r="L46" s="2333"/>
      <c r="M46" s="2333"/>
      <c r="N46" s="2333">
        <v>99</v>
      </c>
      <c r="O46" s="2333"/>
      <c r="P46" s="2333"/>
      <c r="Q46" s="2333"/>
      <c r="R46" s="2334"/>
      <c r="S46" s="2334"/>
      <c r="T46" s="2334"/>
      <c r="U46" s="2334"/>
      <c r="V46" s="2334"/>
      <c r="W46" s="2334"/>
      <c r="X46" s="2334"/>
      <c r="Y46" s="2334"/>
      <c r="Z46" s="2334"/>
      <c r="AA46" s="2334"/>
      <c r="AB46" s="2334"/>
      <c r="AC46" s="2334"/>
      <c r="AD46" s="2334"/>
      <c r="AE46" s="2334"/>
      <c r="AF46" s="2334"/>
      <c r="AG46" s="2334"/>
      <c r="AH46" s="2334"/>
      <c r="AI46" s="2334"/>
      <c r="AJ46" s="2334"/>
      <c r="AK46" s="2334"/>
      <c r="AL46" s="2354"/>
      <c r="AM46" s="2355"/>
      <c r="AN46" s="2355"/>
      <c r="AO46" s="2356"/>
      <c r="AP46" s="2354"/>
      <c r="AQ46" s="2355"/>
      <c r="AR46" s="2356"/>
      <c r="AS46" s="2357">
        <f t="shared" si="2"/>
        <v>0</v>
      </c>
      <c r="AT46" s="2358"/>
      <c r="AU46" s="2358"/>
      <c r="AV46" s="2358"/>
      <c r="AW46" s="2358"/>
      <c r="AX46" s="2359"/>
      <c r="AY46" s="2360">
        <f t="shared" si="3"/>
        <v>0</v>
      </c>
      <c r="AZ46" s="2361"/>
      <c r="BA46" s="2361"/>
      <c r="BB46" s="2361"/>
      <c r="BC46" s="2361"/>
      <c r="BD46" s="2362"/>
      <c r="BE46" s="1205"/>
    </row>
    <row r="47" spans="1:58" ht="15.75" customHeight="1" thickBot="1">
      <c r="A47" s="1209"/>
      <c r="B47" s="2377" t="s">
        <v>301</v>
      </c>
      <c r="C47" s="2378"/>
      <c r="D47" s="2378"/>
      <c r="E47" s="2378"/>
      <c r="F47" s="2378"/>
      <c r="G47" s="2378"/>
      <c r="H47" s="2378"/>
      <c r="I47" s="2378"/>
      <c r="J47" s="2379"/>
      <c r="K47" s="2379"/>
      <c r="L47" s="2379"/>
      <c r="M47" s="2379"/>
      <c r="N47" s="2379"/>
      <c r="O47" s="2379"/>
      <c r="P47" s="2379"/>
      <c r="Q47" s="2379"/>
      <c r="R47" s="2376"/>
      <c r="S47" s="2376"/>
      <c r="T47" s="2376"/>
      <c r="U47" s="2376"/>
      <c r="V47" s="2376"/>
      <c r="W47" s="2376"/>
      <c r="X47" s="2376"/>
      <c r="Y47" s="2376"/>
      <c r="Z47" s="2376"/>
      <c r="AA47" s="2376"/>
      <c r="AB47" s="2376"/>
      <c r="AC47" s="2376"/>
      <c r="AD47" s="2376"/>
      <c r="AE47" s="2376"/>
      <c r="AF47" s="2376"/>
      <c r="AG47" s="2376"/>
      <c r="AH47" s="2376"/>
      <c r="AI47" s="2376"/>
      <c r="AJ47" s="2376"/>
      <c r="AK47" s="2376"/>
      <c r="AL47" s="2365"/>
      <c r="AM47" s="2366"/>
      <c r="AN47" s="2366"/>
      <c r="AO47" s="2367"/>
      <c r="AP47" s="2365"/>
      <c r="AQ47" s="2366"/>
      <c r="AR47" s="2367"/>
      <c r="AS47" s="2357">
        <f t="shared" si="2"/>
        <v>0</v>
      </c>
      <c r="AT47" s="2358"/>
      <c r="AU47" s="2358"/>
      <c r="AV47" s="2358"/>
      <c r="AW47" s="2358"/>
      <c r="AX47" s="2359"/>
      <c r="AY47" s="2368">
        <f t="shared" si="3"/>
        <v>0</v>
      </c>
      <c r="AZ47" s="2369"/>
      <c r="BA47" s="2369"/>
      <c r="BB47" s="2369"/>
      <c r="BC47" s="2369"/>
      <c r="BD47" s="2370"/>
      <c r="BE47" s="1205"/>
    </row>
    <row r="48" spans="1:58" ht="15.75" customHeight="1">
      <c r="A48" s="1209"/>
      <c r="B48" s="1257" t="s">
        <v>2477</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2185</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371" t="s">
        <v>1817</v>
      </c>
      <c r="C50" s="2372"/>
      <c r="D50" s="2372"/>
      <c r="E50" s="2372"/>
      <c r="F50" s="2372"/>
      <c r="G50" s="2372"/>
      <c r="H50" s="2372"/>
      <c r="I50" s="2372"/>
      <c r="J50" s="2372"/>
      <c r="K50" s="2372"/>
      <c r="L50" s="2372"/>
      <c r="M50" s="2372"/>
      <c r="N50" s="2372"/>
      <c r="O50" s="2372"/>
      <c r="P50" s="2372"/>
      <c r="Q50" s="2372"/>
      <c r="R50" s="2372"/>
      <c r="S50" s="2372"/>
      <c r="T50" s="2372"/>
      <c r="U50" s="2372"/>
      <c r="V50" s="2372"/>
      <c r="W50" s="2372"/>
      <c r="X50" s="2372"/>
      <c r="Y50" s="2372"/>
      <c r="Z50" s="2372"/>
      <c r="AA50" s="2372"/>
      <c r="AB50" s="2372"/>
      <c r="AC50" s="2372"/>
      <c r="AD50" s="2372"/>
      <c r="AE50" s="2372"/>
      <c r="AF50" s="2372"/>
      <c r="AG50" s="2372"/>
      <c r="AH50" s="2372"/>
      <c r="AI50" s="2372"/>
      <c r="AJ50" s="2372"/>
      <c r="AK50" s="2372"/>
      <c r="AL50" s="2372"/>
      <c r="AM50" s="2372"/>
      <c r="AN50" s="2372"/>
      <c r="AO50" s="2373"/>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216" t="s">
        <v>1818</v>
      </c>
      <c r="C51" s="2217"/>
      <c r="D51" s="2217"/>
      <c r="E51" s="2217"/>
      <c r="F51" s="2217"/>
      <c r="G51" s="2217"/>
      <c r="H51" s="2217"/>
      <c r="I51" s="2217"/>
      <c r="J51" s="2217" t="s">
        <v>2478</v>
      </c>
      <c r="K51" s="2217"/>
      <c r="L51" s="2217"/>
      <c r="M51" s="2217"/>
      <c r="N51" s="2217"/>
      <c r="O51" s="2217"/>
      <c r="P51" s="2217"/>
      <c r="Q51" s="2217"/>
      <c r="R51" s="2374" t="s">
        <v>2479</v>
      </c>
      <c r="S51" s="2374"/>
      <c r="T51" s="2374"/>
      <c r="U51" s="2374"/>
      <c r="V51" s="2374"/>
      <c r="W51" s="2374"/>
      <c r="X51" s="2374"/>
      <c r="Y51" s="2374"/>
      <c r="Z51" s="2374" t="s">
        <v>1819</v>
      </c>
      <c r="AA51" s="2374"/>
      <c r="AB51" s="2374"/>
      <c r="AC51" s="2374"/>
      <c r="AD51" s="2374"/>
      <c r="AE51" s="2374"/>
      <c r="AF51" s="2374"/>
      <c r="AG51" s="2374"/>
      <c r="AH51" s="2374" t="s">
        <v>1820</v>
      </c>
      <c r="AI51" s="2374"/>
      <c r="AJ51" s="2374"/>
      <c r="AK51" s="2374"/>
      <c r="AL51" s="2374"/>
      <c r="AM51" s="2374"/>
      <c r="AN51" s="2374"/>
      <c r="AO51" s="2375"/>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363" t="s">
        <v>2186</v>
      </c>
      <c r="C52" s="2364"/>
      <c r="D52" s="2364"/>
      <c r="E52" s="2364"/>
      <c r="F52" s="2364"/>
      <c r="G52" s="2364"/>
      <c r="H52" s="2364"/>
      <c r="I52" s="2364"/>
      <c r="J52" s="2380">
        <v>0</v>
      </c>
      <c r="K52" s="2380"/>
      <c r="L52" s="2380"/>
      <c r="M52" s="2380"/>
      <c r="N52" s="2380"/>
      <c r="O52" s="2380"/>
      <c r="P52" s="2380"/>
      <c r="Q52" s="2380"/>
      <c r="R52" s="2381">
        <v>0</v>
      </c>
      <c r="S52" s="2381"/>
      <c r="T52" s="2381"/>
      <c r="U52" s="2381"/>
      <c r="V52" s="2381"/>
      <c r="W52" s="2381"/>
      <c r="X52" s="2381"/>
      <c r="Y52" s="2381"/>
      <c r="Z52" s="2382">
        <v>0</v>
      </c>
      <c r="AA52" s="2382"/>
      <c r="AB52" s="2382"/>
      <c r="AC52" s="2382"/>
      <c r="AD52" s="2382"/>
      <c r="AE52" s="2382"/>
      <c r="AF52" s="2382"/>
      <c r="AG52" s="2382"/>
      <c r="AH52" s="2383"/>
      <c r="AI52" s="2383"/>
      <c r="AJ52" s="2383"/>
      <c r="AK52" s="2383"/>
      <c r="AL52" s="2383"/>
      <c r="AM52" s="2383"/>
      <c r="AN52" s="2383"/>
      <c r="AO52" s="2384"/>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363" t="s">
        <v>2187</v>
      </c>
      <c r="C53" s="2364"/>
      <c r="D53" s="2364"/>
      <c r="E53" s="2364"/>
      <c r="F53" s="2364"/>
      <c r="G53" s="2364"/>
      <c r="H53" s="2364"/>
      <c r="I53" s="2364"/>
      <c r="J53" s="2380">
        <v>0</v>
      </c>
      <c r="K53" s="2380"/>
      <c r="L53" s="2380"/>
      <c r="M53" s="2380"/>
      <c r="N53" s="2380"/>
      <c r="O53" s="2380"/>
      <c r="P53" s="2380"/>
      <c r="Q53" s="2380"/>
      <c r="R53" s="2381">
        <v>0</v>
      </c>
      <c r="S53" s="2381"/>
      <c r="T53" s="2381"/>
      <c r="U53" s="2381"/>
      <c r="V53" s="2381"/>
      <c r="W53" s="2381"/>
      <c r="X53" s="2381"/>
      <c r="Y53" s="2381"/>
      <c r="Z53" s="2382">
        <v>0</v>
      </c>
      <c r="AA53" s="2382"/>
      <c r="AB53" s="2382"/>
      <c r="AC53" s="2382"/>
      <c r="AD53" s="2382"/>
      <c r="AE53" s="2382"/>
      <c r="AF53" s="2382"/>
      <c r="AG53" s="2382"/>
      <c r="AH53" s="2383"/>
      <c r="AI53" s="2383"/>
      <c r="AJ53" s="2383"/>
      <c r="AK53" s="2383"/>
      <c r="AL53" s="2383"/>
      <c r="AM53" s="2383"/>
      <c r="AN53" s="2383"/>
      <c r="AO53" s="2384"/>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363"/>
      <c r="C54" s="2364"/>
      <c r="D54" s="2364"/>
      <c r="E54" s="2364"/>
      <c r="F54" s="2364"/>
      <c r="G54" s="2364"/>
      <c r="H54" s="2364"/>
      <c r="I54" s="2364"/>
      <c r="J54" s="2380"/>
      <c r="K54" s="2380"/>
      <c r="L54" s="2380"/>
      <c r="M54" s="2380"/>
      <c r="N54" s="2380"/>
      <c r="O54" s="2380"/>
      <c r="P54" s="2380"/>
      <c r="Q54" s="2380"/>
      <c r="R54" s="2381"/>
      <c r="S54" s="2381"/>
      <c r="T54" s="2381"/>
      <c r="U54" s="2381"/>
      <c r="V54" s="2381"/>
      <c r="W54" s="2381"/>
      <c r="X54" s="2381"/>
      <c r="Y54" s="2381"/>
      <c r="Z54" s="2382"/>
      <c r="AA54" s="2382"/>
      <c r="AB54" s="2382"/>
      <c r="AC54" s="2382"/>
      <c r="AD54" s="2382"/>
      <c r="AE54" s="2382"/>
      <c r="AF54" s="2382"/>
      <c r="AG54" s="2382"/>
      <c r="AH54" s="2383"/>
      <c r="AI54" s="2383"/>
      <c r="AJ54" s="2383"/>
      <c r="AK54" s="2383"/>
      <c r="AL54" s="2383"/>
      <c r="AM54" s="2383"/>
      <c r="AN54" s="2383"/>
      <c r="AO54" s="2384"/>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363"/>
      <c r="C55" s="2364"/>
      <c r="D55" s="2364"/>
      <c r="E55" s="2364"/>
      <c r="F55" s="2364"/>
      <c r="G55" s="2364"/>
      <c r="H55" s="2364"/>
      <c r="I55" s="2364"/>
      <c r="J55" s="2380"/>
      <c r="K55" s="2380"/>
      <c r="L55" s="2380"/>
      <c r="M55" s="2380"/>
      <c r="N55" s="2380"/>
      <c r="O55" s="2380"/>
      <c r="P55" s="2380"/>
      <c r="Q55" s="2380"/>
      <c r="R55" s="2381"/>
      <c r="S55" s="2381"/>
      <c r="T55" s="2381"/>
      <c r="U55" s="2381"/>
      <c r="V55" s="2381"/>
      <c r="W55" s="2381"/>
      <c r="X55" s="2381"/>
      <c r="Y55" s="2381"/>
      <c r="Z55" s="2382"/>
      <c r="AA55" s="2382"/>
      <c r="AB55" s="2382"/>
      <c r="AC55" s="2382"/>
      <c r="AD55" s="2382"/>
      <c r="AE55" s="2382"/>
      <c r="AF55" s="2382"/>
      <c r="AG55" s="2382"/>
      <c r="AH55" s="2383"/>
      <c r="AI55" s="2383"/>
      <c r="AJ55" s="2383"/>
      <c r="AK55" s="2383"/>
      <c r="AL55" s="2383"/>
      <c r="AM55" s="2383"/>
      <c r="AN55" s="2383"/>
      <c r="AO55" s="2384"/>
      <c r="AP55" s="1217"/>
      <c r="AQ55" s="1217"/>
      <c r="AR55" s="1217"/>
      <c r="AS55" s="1217"/>
      <c r="AT55" s="1217" t="s">
        <v>251</v>
      </c>
      <c r="AU55" s="1217"/>
      <c r="AV55" s="1217"/>
      <c r="AW55" s="1217"/>
      <c r="AX55" s="1209"/>
      <c r="AY55" s="1209"/>
      <c r="AZ55" s="1209"/>
      <c r="BA55" s="1209"/>
      <c r="BB55" s="1209"/>
      <c r="BC55" s="1209"/>
      <c r="BD55" s="1209"/>
      <c r="BE55" s="1205"/>
    </row>
    <row r="56" spans="1:58" ht="15.75" customHeight="1">
      <c r="A56" s="1209"/>
      <c r="B56" s="2363"/>
      <c r="C56" s="2364"/>
      <c r="D56" s="2364"/>
      <c r="E56" s="2364"/>
      <c r="F56" s="2364"/>
      <c r="G56" s="2364"/>
      <c r="H56" s="2364"/>
      <c r="I56" s="2364"/>
      <c r="J56" s="2380"/>
      <c r="K56" s="2380"/>
      <c r="L56" s="2380"/>
      <c r="M56" s="2380"/>
      <c r="N56" s="2380"/>
      <c r="O56" s="2380"/>
      <c r="P56" s="2380"/>
      <c r="Q56" s="2380"/>
      <c r="R56" s="2381"/>
      <c r="S56" s="2381"/>
      <c r="T56" s="2381"/>
      <c r="U56" s="2381"/>
      <c r="V56" s="2381"/>
      <c r="W56" s="2381"/>
      <c r="X56" s="2381"/>
      <c r="Y56" s="2381"/>
      <c r="Z56" s="2382"/>
      <c r="AA56" s="2382"/>
      <c r="AB56" s="2382"/>
      <c r="AC56" s="2382"/>
      <c r="AD56" s="2382"/>
      <c r="AE56" s="2382"/>
      <c r="AF56" s="2382"/>
      <c r="AG56" s="2382"/>
      <c r="AH56" s="2383"/>
      <c r="AI56" s="2383"/>
      <c r="AJ56" s="2383"/>
      <c r="AK56" s="2383"/>
      <c r="AL56" s="2383"/>
      <c r="AM56" s="2383"/>
      <c r="AN56" s="2383"/>
      <c r="AO56" s="2384"/>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236" t="s">
        <v>1699</v>
      </c>
      <c r="C57" s="2237"/>
      <c r="D57" s="2237"/>
      <c r="E57" s="2237"/>
      <c r="F57" s="2237"/>
      <c r="G57" s="2237"/>
      <c r="H57" s="2237"/>
      <c r="I57" s="2237"/>
      <c r="J57" s="2237"/>
      <c r="K57" s="2237"/>
      <c r="L57" s="2237"/>
      <c r="M57" s="2237"/>
      <c r="N57" s="2237"/>
      <c r="O57" s="2237"/>
      <c r="P57" s="2237"/>
      <c r="Q57" s="2237"/>
      <c r="R57" s="2394">
        <f>SUM(R52:Y56)</f>
        <v>0</v>
      </c>
      <c r="S57" s="2394"/>
      <c r="T57" s="2394"/>
      <c r="U57" s="2394"/>
      <c r="V57" s="2394"/>
      <c r="W57" s="2394"/>
      <c r="X57" s="2394"/>
      <c r="Y57" s="2394"/>
      <c r="Z57" s="2395">
        <f>SUM(Z52:AG56)</f>
        <v>0</v>
      </c>
      <c r="AA57" s="2395"/>
      <c r="AB57" s="2395"/>
      <c r="AC57" s="2395"/>
      <c r="AD57" s="2395"/>
      <c r="AE57" s="2395"/>
      <c r="AF57" s="2395"/>
      <c r="AG57" s="2395"/>
      <c r="AH57" s="2396"/>
      <c r="AI57" s="2396"/>
      <c r="AJ57" s="2396"/>
      <c r="AK57" s="2396"/>
      <c r="AL57" s="2396"/>
      <c r="AM57" s="2396"/>
      <c r="AN57" s="2396"/>
      <c r="AO57" s="2397"/>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398" t="s">
        <v>1818</v>
      </c>
      <c r="C59" s="2399"/>
      <c r="D59" s="2399"/>
      <c r="E59" s="2399"/>
      <c r="F59" s="2399"/>
      <c r="G59" s="2399"/>
      <c r="H59" s="2399"/>
      <c r="I59" s="2400"/>
      <c r="J59" s="2284" t="s">
        <v>2480</v>
      </c>
      <c r="K59" s="2284"/>
      <c r="L59" s="2284"/>
      <c r="M59" s="2284"/>
      <c r="N59" s="2284"/>
      <c r="O59" s="2284"/>
      <c r="P59" s="2284"/>
      <c r="Q59" s="2284"/>
      <c r="R59" s="2284"/>
      <c r="S59" s="2284"/>
      <c r="T59" s="2284"/>
      <c r="U59" s="2284"/>
      <c r="V59" s="2284"/>
      <c r="W59" s="2284"/>
      <c r="X59" s="2284"/>
      <c r="Y59" s="2284"/>
      <c r="Z59" s="2284"/>
      <c r="AA59" s="2284"/>
      <c r="AB59" s="2284"/>
      <c r="AC59" s="2284"/>
      <c r="AD59" s="2284"/>
      <c r="AE59" s="2284"/>
      <c r="AF59" s="2284"/>
      <c r="AG59" s="2284"/>
      <c r="AH59" s="2284"/>
      <c r="AI59" s="2284"/>
      <c r="AJ59" s="2284"/>
      <c r="AK59" s="2284"/>
      <c r="AL59" s="2284"/>
      <c r="AM59" s="2284"/>
      <c r="AN59" s="2284"/>
      <c r="AO59" s="2284"/>
      <c r="AP59" s="2284"/>
      <c r="AQ59" s="2284"/>
      <c r="AR59" s="2284"/>
      <c r="AS59" s="2284"/>
      <c r="AT59" s="2284"/>
      <c r="AU59" s="2284"/>
      <c r="AV59" s="2284"/>
      <c r="AW59" s="2285"/>
      <c r="AX59" s="1209"/>
      <c r="AY59" s="1209"/>
      <c r="AZ59" s="1209"/>
      <c r="BA59" s="1209"/>
      <c r="BB59" s="1209"/>
      <c r="BC59" s="1209"/>
      <c r="BD59" s="1209"/>
      <c r="BE59" s="1205"/>
    </row>
    <row r="60" spans="1:58" ht="15.75" customHeight="1">
      <c r="A60" s="1209"/>
      <c r="B60" s="2385" t="str">
        <f>IF(B52="", "", B52)</f>
        <v>Services Company 1</v>
      </c>
      <c r="C60" s="2386"/>
      <c r="D60" s="2386"/>
      <c r="E60" s="2386"/>
      <c r="F60" s="2386"/>
      <c r="G60" s="2386"/>
      <c r="H60" s="2386"/>
      <c r="I60" s="2387"/>
      <c r="J60" s="2388"/>
      <c r="K60" s="2389"/>
      <c r="L60" s="2389"/>
      <c r="M60" s="2389"/>
      <c r="N60" s="2389"/>
      <c r="O60" s="2389"/>
      <c r="P60" s="2389"/>
      <c r="Q60" s="2389"/>
      <c r="R60" s="2389"/>
      <c r="S60" s="2389"/>
      <c r="T60" s="2389"/>
      <c r="U60" s="2389"/>
      <c r="V60" s="2389"/>
      <c r="W60" s="2389"/>
      <c r="X60" s="2389"/>
      <c r="Y60" s="2389"/>
      <c r="Z60" s="2389"/>
      <c r="AA60" s="2389"/>
      <c r="AB60" s="2389"/>
      <c r="AC60" s="2389"/>
      <c r="AD60" s="2389"/>
      <c r="AE60" s="2389"/>
      <c r="AF60" s="2389"/>
      <c r="AG60" s="2389"/>
      <c r="AH60" s="2389"/>
      <c r="AI60" s="2389"/>
      <c r="AJ60" s="2389"/>
      <c r="AK60" s="2389"/>
      <c r="AL60" s="2389"/>
      <c r="AM60" s="2389"/>
      <c r="AN60" s="2389"/>
      <c r="AO60" s="2389"/>
      <c r="AP60" s="2389"/>
      <c r="AQ60" s="2389"/>
      <c r="AR60" s="2389"/>
      <c r="AS60" s="2389"/>
      <c r="AT60" s="2389"/>
      <c r="AU60" s="2389"/>
      <c r="AV60" s="2389"/>
      <c r="AW60" s="2390"/>
      <c r="AX60" s="1209"/>
      <c r="AY60" s="1209"/>
      <c r="AZ60" s="1209"/>
      <c r="BA60" s="1209"/>
      <c r="BB60" s="1209"/>
      <c r="BC60" s="1209"/>
      <c r="BD60" s="1209"/>
      <c r="BE60" s="1205"/>
    </row>
    <row r="61" spans="1:58" ht="15.75" customHeight="1">
      <c r="A61" s="1209"/>
      <c r="B61" s="2385" t="str">
        <f>IF(B53="", "", B53)</f>
        <v>Services Company 2</v>
      </c>
      <c r="C61" s="2386"/>
      <c r="D61" s="2386"/>
      <c r="E61" s="2386"/>
      <c r="F61" s="2386"/>
      <c r="G61" s="2386"/>
      <c r="H61" s="2386"/>
      <c r="I61" s="2387"/>
      <c r="J61" s="2388"/>
      <c r="K61" s="2389"/>
      <c r="L61" s="2389"/>
      <c r="M61" s="2389"/>
      <c r="N61" s="2389"/>
      <c r="O61" s="2389"/>
      <c r="P61" s="2389"/>
      <c r="Q61" s="2389"/>
      <c r="R61" s="2389"/>
      <c r="S61" s="2389"/>
      <c r="T61" s="2389"/>
      <c r="U61" s="2389"/>
      <c r="V61" s="2389"/>
      <c r="W61" s="2389"/>
      <c r="X61" s="2389"/>
      <c r="Y61" s="2389"/>
      <c r="Z61" s="2389"/>
      <c r="AA61" s="2389"/>
      <c r="AB61" s="2389"/>
      <c r="AC61" s="2389"/>
      <c r="AD61" s="2389"/>
      <c r="AE61" s="2389"/>
      <c r="AF61" s="2389"/>
      <c r="AG61" s="2389"/>
      <c r="AH61" s="2389"/>
      <c r="AI61" s="2389"/>
      <c r="AJ61" s="2389"/>
      <c r="AK61" s="2389"/>
      <c r="AL61" s="2389"/>
      <c r="AM61" s="2389"/>
      <c r="AN61" s="2389"/>
      <c r="AO61" s="2389"/>
      <c r="AP61" s="2389"/>
      <c r="AQ61" s="2389"/>
      <c r="AR61" s="2389"/>
      <c r="AS61" s="2389"/>
      <c r="AT61" s="2389"/>
      <c r="AU61" s="2389"/>
      <c r="AV61" s="2389"/>
      <c r="AW61" s="2390"/>
      <c r="AX61" s="1209"/>
      <c r="AY61" s="1209"/>
      <c r="AZ61" s="1209"/>
      <c r="BA61" s="1209"/>
      <c r="BB61" s="1209"/>
      <c r="BC61" s="1209"/>
      <c r="BD61" s="1209"/>
      <c r="BE61" s="1205"/>
    </row>
    <row r="62" spans="1:58" ht="15.75" customHeight="1">
      <c r="A62" s="1209"/>
      <c r="B62" s="2385" t="str">
        <f>IF(B54="", "", B54)</f>
        <v/>
      </c>
      <c r="C62" s="2386"/>
      <c r="D62" s="2386"/>
      <c r="E62" s="2386"/>
      <c r="F62" s="2386"/>
      <c r="G62" s="2386"/>
      <c r="H62" s="2386"/>
      <c r="I62" s="2387"/>
      <c r="J62" s="2388"/>
      <c r="K62" s="2389"/>
      <c r="L62" s="2389"/>
      <c r="M62" s="2389"/>
      <c r="N62" s="2389"/>
      <c r="O62" s="2389"/>
      <c r="P62" s="2389"/>
      <c r="Q62" s="2389"/>
      <c r="R62" s="2389"/>
      <c r="S62" s="2389"/>
      <c r="T62" s="2389"/>
      <c r="U62" s="2389"/>
      <c r="V62" s="2389"/>
      <c r="W62" s="2389"/>
      <c r="X62" s="2389"/>
      <c r="Y62" s="2389"/>
      <c r="Z62" s="2389"/>
      <c r="AA62" s="2389"/>
      <c r="AB62" s="2389"/>
      <c r="AC62" s="2389"/>
      <c r="AD62" s="2389"/>
      <c r="AE62" s="2389"/>
      <c r="AF62" s="2389"/>
      <c r="AG62" s="2389"/>
      <c r="AH62" s="2389"/>
      <c r="AI62" s="2389"/>
      <c r="AJ62" s="2389"/>
      <c r="AK62" s="2389"/>
      <c r="AL62" s="2389"/>
      <c r="AM62" s="2389"/>
      <c r="AN62" s="2389"/>
      <c r="AO62" s="2389"/>
      <c r="AP62" s="2389"/>
      <c r="AQ62" s="2389"/>
      <c r="AR62" s="2389"/>
      <c r="AS62" s="2389"/>
      <c r="AT62" s="2389"/>
      <c r="AU62" s="2389"/>
      <c r="AV62" s="2389"/>
      <c r="AW62" s="2390"/>
      <c r="AX62" s="1209"/>
      <c r="AY62" s="1209"/>
      <c r="AZ62" s="1209"/>
      <c r="BA62" s="1209"/>
      <c r="BB62" s="1209"/>
      <c r="BC62" s="1209"/>
      <c r="BD62" s="1209"/>
      <c r="BE62" s="1205"/>
    </row>
    <row r="63" spans="1:58" ht="15.75" customHeight="1">
      <c r="A63" s="1209"/>
      <c r="B63" s="2385" t="str">
        <f>IF(B55="", "", B55)</f>
        <v/>
      </c>
      <c r="C63" s="2386"/>
      <c r="D63" s="2386"/>
      <c r="E63" s="2386"/>
      <c r="F63" s="2386"/>
      <c r="G63" s="2386"/>
      <c r="H63" s="2386"/>
      <c r="I63" s="2387"/>
      <c r="J63" s="2388"/>
      <c r="K63" s="2389"/>
      <c r="L63" s="2389"/>
      <c r="M63" s="2389"/>
      <c r="N63" s="2389"/>
      <c r="O63" s="2389"/>
      <c r="P63" s="2389"/>
      <c r="Q63" s="2389"/>
      <c r="R63" s="2389"/>
      <c r="S63" s="2389"/>
      <c r="T63" s="2389"/>
      <c r="U63" s="2389"/>
      <c r="V63" s="2389"/>
      <c r="W63" s="2389"/>
      <c r="X63" s="2389"/>
      <c r="Y63" s="2389"/>
      <c r="Z63" s="2389"/>
      <c r="AA63" s="2389"/>
      <c r="AB63" s="2389"/>
      <c r="AC63" s="2389"/>
      <c r="AD63" s="2389"/>
      <c r="AE63" s="2389"/>
      <c r="AF63" s="2389"/>
      <c r="AG63" s="2389"/>
      <c r="AH63" s="2389"/>
      <c r="AI63" s="2389"/>
      <c r="AJ63" s="2389"/>
      <c r="AK63" s="2389"/>
      <c r="AL63" s="2389"/>
      <c r="AM63" s="2389"/>
      <c r="AN63" s="2389"/>
      <c r="AO63" s="2389"/>
      <c r="AP63" s="2389"/>
      <c r="AQ63" s="2389"/>
      <c r="AR63" s="2389"/>
      <c r="AS63" s="2389"/>
      <c r="AT63" s="2389"/>
      <c r="AU63" s="2389"/>
      <c r="AV63" s="2389"/>
      <c r="AW63" s="2390"/>
      <c r="AX63" s="1209"/>
      <c r="AY63" s="1209"/>
      <c r="AZ63" s="1209"/>
      <c r="BA63" s="1209"/>
      <c r="BB63" s="1209"/>
      <c r="BC63" s="1209"/>
      <c r="BD63" s="1209"/>
      <c r="BE63" s="1205"/>
    </row>
    <row r="64" spans="1:58" ht="15.75" customHeight="1" thickBot="1">
      <c r="A64" s="1209"/>
      <c r="B64" s="2391" t="str">
        <f>IF(B56="", "", B56)</f>
        <v/>
      </c>
      <c r="C64" s="2392"/>
      <c r="D64" s="2392"/>
      <c r="E64" s="2392"/>
      <c r="F64" s="2392"/>
      <c r="G64" s="2392"/>
      <c r="H64" s="2392"/>
      <c r="I64" s="2393"/>
      <c r="J64" s="2401"/>
      <c r="K64" s="2402"/>
      <c r="L64" s="2402"/>
      <c r="M64" s="2402"/>
      <c r="N64" s="2402"/>
      <c r="O64" s="2402"/>
      <c r="P64" s="2402"/>
      <c r="Q64" s="2402"/>
      <c r="R64" s="2402"/>
      <c r="S64" s="2402"/>
      <c r="T64" s="2402"/>
      <c r="U64" s="2402"/>
      <c r="V64" s="2402"/>
      <c r="W64" s="2402"/>
      <c r="X64" s="2402"/>
      <c r="Y64" s="2402"/>
      <c r="Z64" s="2402"/>
      <c r="AA64" s="2402"/>
      <c r="AB64" s="2402"/>
      <c r="AC64" s="2402"/>
      <c r="AD64" s="2402"/>
      <c r="AE64" s="2402"/>
      <c r="AF64" s="2402"/>
      <c r="AG64" s="2402"/>
      <c r="AH64" s="2402"/>
      <c r="AI64" s="2402"/>
      <c r="AJ64" s="2402"/>
      <c r="AK64" s="2402"/>
      <c r="AL64" s="2402"/>
      <c r="AM64" s="2402"/>
      <c r="AN64" s="2402"/>
      <c r="AO64" s="2402"/>
      <c r="AP64" s="2402"/>
      <c r="AQ64" s="2402"/>
      <c r="AR64" s="2402"/>
      <c r="AS64" s="2402"/>
      <c r="AT64" s="2402"/>
      <c r="AU64" s="2402"/>
      <c r="AV64" s="2402"/>
      <c r="AW64" s="2403"/>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1821</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283" t="s">
        <v>1822</v>
      </c>
      <c r="C68" s="2284"/>
      <c r="D68" s="2284"/>
      <c r="E68" s="2284"/>
      <c r="F68" s="2284"/>
      <c r="G68" s="2284"/>
      <c r="H68" s="2284"/>
      <c r="I68" s="2284"/>
      <c r="J68" s="2284"/>
      <c r="K68" s="2284"/>
      <c r="L68" s="2284"/>
      <c r="M68" s="2284"/>
      <c r="N68" s="2284"/>
      <c r="O68" s="2284"/>
      <c r="P68" s="2284"/>
      <c r="Q68" s="2284"/>
      <c r="R68" s="2284"/>
      <c r="S68" s="2284"/>
      <c r="T68" s="2284"/>
      <c r="U68" s="2284"/>
      <c r="V68" s="2284"/>
      <c r="W68" s="2284"/>
      <c r="X68" s="2284"/>
      <c r="Y68" s="2284"/>
      <c r="Z68" s="2284"/>
      <c r="AA68" s="2285"/>
      <c r="AB68" s="1209"/>
      <c r="AC68" s="2476" t="s">
        <v>1823</v>
      </c>
      <c r="AD68" s="2477"/>
      <c r="AE68" s="2477"/>
      <c r="AF68" s="2477"/>
      <c r="AG68" s="2477"/>
      <c r="AH68" s="2477"/>
      <c r="AI68" s="2477"/>
      <c r="AJ68" s="2477"/>
      <c r="AK68" s="2477"/>
      <c r="AL68" s="2477"/>
      <c r="AM68" s="2477"/>
      <c r="AN68" s="2477"/>
      <c r="AO68" s="2477"/>
      <c r="AP68" s="2477"/>
      <c r="AQ68" s="2477"/>
      <c r="AR68" s="2477"/>
      <c r="AS68" s="2477"/>
      <c r="AT68" s="2477"/>
      <c r="AU68" s="2477"/>
      <c r="AV68" s="2603" t="s">
        <v>678</v>
      </c>
      <c r="AW68" s="2436"/>
      <c r="AX68" s="2436"/>
      <c r="AY68" s="2436"/>
      <c r="AZ68" s="2436"/>
      <c r="BA68" s="2436"/>
      <c r="BB68" s="2436"/>
      <c r="BC68" s="2437"/>
      <c r="BD68" s="1209"/>
      <c r="BE68" s="1205"/>
      <c r="BM68" s="1254" t="s">
        <v>2481</v>
      </c>
    </row>
    <row r="69" spans="1:65" ht="15.75" customHeight="1" thickTop="1" thickBot="1">
      <c r="A69" s="1209"/>
      <c r="B69" s="2604" t="s">
        <v>1824</v>
      </c>
      <c r="C69" s="2605"/>
      <c r="D69" s="2605"/>
      <c r="E69" s="2605"/>
      <c r="F69" s="2605"/>
      <c r="G69" s="2605"/>
      <c r="H69" s="2605"/>
      <c r="I69" s="2605"/>
      <c r="J69" s="2605"/>
      <c r="K69" s="2605"/>
      <c r="L69" s="2605"/>
      <c r="M69" s="2605"/>
      <c r="N69" s="2605"/>
      <c r="O69" s="2606" t="s">
        <v>1825</v>
      </c>
      <c r="P69" s="2607"/>
      <c r="Q69" s="2607"/>
      <c r="R69" s="2607"/>
      <c r="S69" s="2607"/>
      <c r="T69" s="2607"/>
      <c r="U69" s="2607"/>
      <c r="V69" s="2607"/>
      <c r="W69" s="2607"/>
      <c r="X69" s="2607"/>
      <c r="Y69" s="2607"/>
      <c r="Z69" s="2607"/>
      <c r="AA69" s="2608"/>
      <c r="AB69" s="1209"/>
      <c r="AC69" s="2609" t="s">
        <v>1826</v>
      </c>
      <c r="AD69" s="2610"/>
      <c r="AE69" s="2610"/>
      <c r="AF69" s="2610"/>
      <c r="AG69" s="2610"/>
      <c r="AH69" s="2610"/>
      <c r="AI69" s="2610"/>
      <c r="AJ69" s="2610"/>
      <c r="AK69" s="2610"/>
      <c r="AL69" s="2610"/>
      <c r="AM69" s="2610"/>
      <c r="AN69" s="2610"/>
      <c r="AO69" s="2610"/>
      <c r="AP69" s="2610"/>
      <c r="AQ69" s="2610"/>
      <c r="AR69" s="2610"/>
      <c r="AS69" s="2610"/>
      <c r="AT69" s="2610"/>
      <c r="AU69" s="2610"/>
      <c r="AV69" s="2611"/>
      <c r="AW69" s="2612"/>
      <c r="AX69" s="2612"/>
      <c r="AY69" s="2612"/>
      <c r="AZ69" s="2612"/>
      <c r="BA69" s="2612"/>
      <c r="BB69" s="2612"/>
      <c r="BC69" s="2613"/>
      <c r="BD69" s="1209"/>
      <c r="BE69" s="1205"/>
      <c r="BM69" s="1253" t="s">
        <v>554</v>
      </c>
    </row>
    <row r="70" spans="1:65" ht="15.75" customHeight="1">
      <c r="A70" s="1209"/>
      <c r="B70" s="2331" t="s">
        <v>2482</v>
      </c>
      <c r="C70" s="2332"/>
      <c r="D70" s="2332"/>
      <c r="E70" s="2332"/>
      <c r="F70" s="2332"/>
      <c r="G70" s="2332"/>
      <c r="H70" s="2332"/>
      <c r="I70" s="2332"/>
      <c r="J70" s="2332"/>
      <c r="K70" s="2332"/>
      <c r="L70" s="2332"/>
      <c r="M70" s="2332"/>
      <c r="N70" s="2332"/>
      <c r="O70" s="2411">
        <v>0</v>
      </c>
      <c r="P70" s="2411"/>
      <c r="Q70" s="2411"/>
      <c r="R70" s="2411"/>
      <c r="S70" s="2411"/>
      <c r="T70" s="2411"/>
      <c r="U70" s="2411"/>
      <c r="V70" s="2411"/>
      <c r="W70" s="2411"/>
      <c r="X70" s="2411"/>
      <c r="Y70" s="2411"/>
      <c r="Z70" s="2411"/>
      <c r="AA70" s="2412"/>
      <c r="AB70" s="1209"/>
      <c r="AC70" s="2371" t="s">
        <v>1827</v>
      </c>
      <c r="AD70" s="2372"/>
      <c r="AE70" s="2372"/>
      <c r="AF70" s="2415"/>
      <c r="AG70" s="2415"/>
      <c r="AH70" s="2415"/>
      <c r="AI70" s="2415"/>
      <c r="AJ70" s="2415"/>
      <c r="AK70" s="2415"/>
      <c r="AL70" s="2415"/>
      <c r="AM70" s="2415"/>
      <c r="AN70" s="2415"/>
      <c r="AO70" s="2415"/>
      <c r="AP70" s="2415"/>
      <c r="AQ70" s="2415"/>
      <c r="AR70" s="2415"/>
      <c r="AS70" s="2415"/>
      <c r="AT70" s="2415"/>
      <c r="AU70" s="2416"/>
      <c r="AV70" s="1209"/>
      <c r="AW70" s="1209"/>
      <c r="AX70" s="1209"/>
      <c r="AY70" s="1209"/>
      <c r="AZ70" s="1209"/>
      <c r="BA70" s="1209"/>
      <c r="BB70" s="1209"/>
      <c r="BC70" s="1209"/>
      <c r="BD70" s="1209"/>
      <c r="BE70" s="1205"/>
      <c r="BM70" s="1252" t="s">
        <v>678</v>
      </c>
    </row>
    <row r="71" spans="1:65" ht="15.75" customHeight="1" thickBot="1">
      <c r="A71" s="1209"/>
      <c r="B71" s="2331" t="s">
        <v>2483</v>
      </c>
      <c r="C71" s="2332"/>
      <c r="D71" s="2332"/>
      <c r="E71" s="2332"/>
      <c r="F71" s="2332"/>
      <c r="G71" s="2332"/>
      <c r="H71" s="2332"/>
      <c r="I71" s="2332"/>
      <c r="J71" s="2332"/>
      <c r="K71" s="2332"/>
      <c r="L71" s="2332"/>
      <c r="M71" s="2332"/>
      <c r="N71" s="2332"/>
      <c r="O71" s="2411">
        <v>0</v>
      </c>
      <c r="P71" s="2411"/>
      <c r="Q71" s="2411"/>
      <c r="R71" s="2411"/>
      <c r="S71" s="2411"/>
      <c r="T71" s="2411"/>
      <c r="U71" s="2411"/>
      <c r="V71" s="2411"/>
      <c r="W71" s="2411"/>
      <c r="X71" s="2411"/>
      <c r="Y71" s="2411"/>
      <c r="Z71" s="2411"/>
      <c r="AA71" s="2412"/>
      <c r="AB71" s="1209"/>
      <c r="AC71" s="2417" t="s">
        <v>1828</v>
      </c>
      <c r="AD71" s="2418"/>
      <c r="AE71" s="2418"/>
      <c r="AF71" s="2402"/>
      <c r="AG71" s="2402"/>
      <c r="AH71" s="2402"/>
      <c r="AI71" s="2402"/>
      <c r="AJ71" s="2402"/>
      <c r="AK71" s="2402"/>
      <c r="AL71" s="2402"/>
      <c r="AM71" s="2402"/>
      <c r="AN71" s="2402"/>
      <c r="AO71" s="2402"/>
      <c r="AP71" s="2402"/>
      <c r="AQ71" s="2402"/>
      <c r="AR71" s="2402"/>
      <c r="AS71" s="2402"/>
      <c r="AT71" s="2402"/>
      <c r="AU71" s="2403"/>
      <c r="AV71" s="1209"/>
      <c r="AW71" s="1209"/>
      <c r="AX71" s="1209"/>
      <c r="AY71" s="1209"/>
      <c r="AZ71" s="1209"/>
      <c r="BA71" s="1209"/>
      <c r="BB71" s="1209"/>
      <c r="BC71" s="1209"/>
      <c r="BD71" s="1209"/>
      <c r="BE71" s="1205"/>
      <c r="BM71" s="1200" t="s">
        <v>2484</v>
      </c>
    </row>
    <row r="72" spans="1:65" ht="15.75" customHeight="1">
      <c r="A72" s="1209"/>
      <c r="B72" s="2331" t="s">
        <v>2485</v>
      </c>
      <c r="C72" s="2332"/>
      <c r="D72" s="2332"/>
      <c r="E72" s="2332"/>
      <c r="F72" s="2332"/>
      <c r="G72" s="2332"/>
      <c r="H72" s="2332"/>
      <c r="I72" s="2332"/>
      <c r="J72" s="2332"/>
      <c r="K72" s="2332"/>
      <c r="L72" s="2332"/>
      <c r="M72" s="2332"/>
      <c r="N72" s="2332"/>
      <c r="O72" s="2411">
        <v>0</v>
      </c>
      <c r="P72" s="2411"/>
      <c r="Q72" s="2411"/>
      <c r="R72" s="2411"/>
      <c r="S72" s="2411"/>
      <c r="T72" s="2411"/>
      <c r="U72" s="2411"/>
      <c r="V72" s="2411"/>
      <c r="W72" s="2411"/>
      <c r="X72" s="2411"/>
      <c r="Y72" s="2411"/>
      <c r="Z72" s="2411"/>
      <c r="AA72" s="2412"/>
      <c r="AB72" s="1209"/>
      <c r="AC72" s="2618" t="s">
        <v>2486</v>
      </c>
      <c r="AD72" s="2619"/>
      <c r="AE72" s="2619"/>
      <c r="AF72" s="2619"/>
      <c r="AG72" s="2619"/>
      <c r="AH72" s="2619"/>
      <c r="AI72" s="2619"/>
      <c r="AJ72" s="2619"/>
      <c r="AK72" s="2619"/>
      <c r="AL72" s="2619"/>
      <c r="AM72" s="2619"/>
      <c r="AN72" s="2619"/>
      <c r="AO72" s="2619"/>
      <c r="AP72" s="2619"/>
      <c r="AQ72" s="2619"/>
      <c r="AR72" s="2619"/>
      <c r="AS72" s="2619"/>
      <c r="AT72" s="2619"/>
      <c r="AU72" s="2619"/>
      <c r="AV72" s="2372"/>
      <c r="AW72" s="2372"/>
      <c r="AX72" s="2372"/>
      <c r="AY72" s="2372"/>
      <c r="AZ72" s="2372"/>
      <c r="BA72" s="2372"/>
      <c r="BB72" s="2372"/>
      <c r="BC72" s="2373"/>
      <c r="BD72" s="1209"/>
      <c r="BE72" s="1205"/>
    </row>
    <row r="73" spans="1:65" ht="15.75" customHeight="1">
      <c r="A73" s="1209"/>
      <c r="B73" s="2363" t="s">
        <v>2487</v>
      </c>
      <c r="C73" s="2364"/>
      <c r="D73" s="2364"/>
      <c r="E73" s="2364"/>
      <c r="F73" s="2364"/>
      <c r="G73" s="2364"/>
      <c r="H73" s="2364"/>
      <c r="I73" s="2364"/>
      <c r="J73" s="2364"/>
      <c r="K73" s="2364"/>
      <c r="L73" s="2364"/>
      <c r="M73" s="2364"/>
      <c r="N73" s="2364"/>
      <c r="O73" s="2411">
        <v>0</v>
      </c>
      <c r="P73" s="2411"/>
      <c r="Q73" s="2411"/>
      <c r="R73" s="2411"/>
      <c r="S73" s="2411"/>
      <c r="T73" s="2411"/>
      <c r="U73" s="2411"/>
      <c r="V73" s="2411"/>
      <c r="W73" s="2411"/>
      <c r="X73" s="2411"/>
      <c r="Y73" s="2411"/>
      <c r="Z73" s="2411"/>
      <c r="AA73" s="2412"/>
      <c r="AB73" s="1209"/>
      <c r="AC73" s="2404" t="s">
        <v>2188</v>
      </c>
      <c r="AD73" s="2405"/>
      <c r="AE73" s="2405"/>
      <c r="AF73" s="2405"/>
      <c r="AG73" s="2405"/>
      <c r="AH73" s="2405"/>
      <c r="AI73" s="2405"/>
      <c r="AJ73" s="2405"/>
      <c r="AK73" s="2405"/>
      <c r="AL73" s="2405"/>
      <c r="AM73" s="2405"/>
      <c r="AN73" s="2405"/>
      <c r="AO73" s="2405"/>
      <c r="AP73" s="2405"/>
      <c r="AQ73" s="2405"/>
      <c r="AR73" s="2405"/>
      <c r="AS73" s="2405"/>
      <c r="AT73" s="2405"/>
      <c r="AU73" s="2405"/>
      <c r="AV73" s="2405"/>
      <c r="AW73" s="2405"/>
      <c r="AX73" s="2405"/>
      <c r="AY73" s="2405"/>
      <c r="AZ73" s="2405"/>
      <c r="BA73" s="2405"/>
      <c r="BB73" s="2405"/>
      <c r="BC73" s="2406"/>
      <c r="BD73" s="1209"/>
      <c r="BE73" s="1205"/>
    </row>
    <row r="74" spans="1:65" ht="15.75" customHeight="1">
      <c r="A74" s="1209"/>
      <c r="B74" s="2410"/>
      <c r="C74" s="2380"/>
      <c r="D74" s="2380"/>
      <c r="E74" s="2380"/>
      <c r="F74" s="2380"/>
      <c r="G74" s="2380"/>
      <c r="H74" s="2380"/>
      <c r="I74" s="2380"/>
      <c r="J74" s="2380"/>
      <c r="K74" s="2380"/>
      <c r="L74" s="2380"/>
      <c r="M74" s="2380"/>
      <c r="N74" s="2380"/>
      <c r="O74" s="2411"/>
      <c r="P74" s="2411"/>
      <c r="Q74" s="2411"/>
      <c r="R74" s="2411"/>
      <c r="S74" s="2411"/>
      <c r="T74" s="2411"/>
      <c r="U74" s="2411"/>
      <c r="V74" s="2411"/>
      <c r="W74" s="2411"/>
      <c r="X74" s="2411"/>
      <c r="Y74" s="2411"/>
      <c r="Z74" s="2411"/>
      <c r="AA74" s="2412"/>
      <c r="AB74" s="1209"/>
      <c r="AC74" s="2404"/>
      <c r="AD74" s="2405"/>
      <c r="AE74" s="2405"/>
      <c r="AF74" s="2405"/>
      <c r="AG74" s="2405"/>
      <c r="AH74" s="2405"/>
      <c r="AI74" s="2405"/>
      <c r="AJ74" s="2405"/>
      <c r="AK74" s="2405"/>
      <c r="AL74" s="2405"/>
      <c r="AM74" s="2405"/>
      <c r="AN74" s="2405"/>
      <c r="AO74" s="2405"/>
      <c r="AP74" s="2405"/>
      <c r="AQ74" s="2405"/>
      <c r="AR74" s="2405"/>
      <c r="AS74" s="2405"/>
      <c r="AT74" s="2405"/>
      <c r="AU74" s="2405"/>
      <c r="AV74" s="2405"/>
      <c r="AW74" s="2405"/>
      <c r="AX74" s="2405"/>
      <c r="AY74" s="2405"/>
      <c r="AZ74" s="2405"/>
      <c r="BA74" s="2405"/>
      <c r="BB74" s="2405"/>
      <c r="BC74" s="2406"/>
      <c r="BD74" s="1209"/>
      <c r="BE74" s="1205"/>
    </row>
    <row r="75" spans="1:65" ht="15.75" customHeight="1" thickBot="1">
      <c r="A75" s="1209"/>
      <c r="B75" s="2413" t="s">
        <v>124</v>
      </c>
      <c r="C75" s="2414"/>
      <c r="D75" s="2414"/>
      <c r="E75" s="2414"/>
      <c r="F75" s="2414"/>
      <c r="G75" s="2414"/>
      <c r="H75" s="2414"/>
      <c r="I75" s="2414"/>
      <c r="J75" s="2414"/>
      <c r="K75" s="2414"/>
      <c r="L75" s="2414"/>
      <c r="M75" s="2414"/>
      <c r="N75" s="2414"/>
      <c r="O75" s="2594">
        <f>SUM(O70:AA74)</f>
        <v>0</v>
      </c>
      <c r="P75" s="2594"/>
      <c r="Q75" s="2594"/>
      <c r="R75" s="2594"/>
      <c r="S75" s="2594"/>
      <c r="T75" s="2594"/>
      <c r="U75" s="2594"/>
      <c r="V75" s="2594"/>
      <c r="W75" s="2594"/>
      <c r="X75" s="2594"/>
      <c r="Y75" s="2594"/>
      <c r="Z75" s="2594"/>
      <c r="AA75" s="2595"/>
      <c r="AB75" s="1209"/>
      <c r="AC75" s="2404"/>
      <c r="AD75" s="2405"/>
      <c r="AE75" s="2405"/>
      <c r="AF75" s="2405"/>
      <c r="AG75" s="2405"/>
      <c r="AH75" s="2405"/>
      <c r="AI75" s="2405"/>
      <c r="AJ75" s="2405"/>
      <c r="AK75" s="2405"/>
      <c r="AL75" s="2405"/>
      <c r="AM75" s="2405"/>
      <c r="AN75" s="2405"/>
      <c r="AO75" s="2405"/>
      <c r="AP75" s="2405"/>
      <c r="AQ75" s="2405"/>
      <c r="AR75" s="2405"/>
      <c r="AS75" s="2405"/>
      <c r="AT75" s="2405"/>
      <c r="AU75" s="2405"/>
      <c r="AV75" s="2405"/>
      <c r="AW75" s="2405"/>
      <c r="AX75" s="2405"/>
      <c r="AY75" s="2405"/>
      <c r="AZ75" s="2405"/>
      <c r="BA75" s="2405"/>
      <c r="BB75" s="2405"/>
      <c r="BC75" s="2406"/>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404"/>
      <c r="AD76" s="2405"/>
      <c r="AE76" s="2405"/>
      <c r="AF76" s="2405"/>
      <c r="AG76" s="2405"/>
      <c r="AH76" s="2405"/>
      <c r="AI76" s="2405"/>
      <c r="AJ76" s="2405"/>
      <c r="AK76" s="2405"/>
      <c r="AL76" s="2405"/>
      <c r="AM76" s="2405"/>
      <c r="AN76" s="2405"/>
      <c r="AO76" s="2405"/>
      <c r="AP76" s="2405"/>
      <c r="AQ76" s="2405"/>
      <c r="AR76" s="2405"/>
      <c r="AS76" s="2405"/>
      <c r="AT76" s="2405"/>
      <c r="AU76" s="2405"/>
      <c r="AV76" s="2405"/>
      <c r="AW76" s="2405"/>
      <c r="AX76" s="2405"/>
      <c r="AY76" s="2405"/>
      <c r="AZ76" s="2405"/>
      <c r="BA76" s="2405"/>
      <c r="BB76" s="2405"/>
      <c r="BC76" s="2406"/>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407"/>
      <c r="AD77" s="2408"/>
      <c r="AE77" s="2408"/>
      <c r="AF77" s="2408"/>
      <c r="AG77" s="2408"/>
      <c r="AH77" s="2408"/>
      <c r="AI77" s="2408"/>
      <c r="AJ77" s="2408"/>
      <c r="AK77" s="2408"/>
      <c r="AL77" s="2408"/>
      <c r="AM77" s="2408"/>
      <c r="AN77" s="2408"/>
      <c r="AO77" s="2408"/>
      <c r="AP77" s="2408"/>
      <c r="AQ77" s="2408"/>
      <c r="AR77" s="2408"/>
      <c r="AS77" s="2408"/>
      <c r="AT77" s="2408"/>
      <c r="AU77" s="2408"/>
      <c r="AV77" s="2408"/>
      <c r="AW77" s="2408"/>
      <c r="AX77" s="2408"/>
      <c r="AY77" s="2408"/>
      <c r="AZ77" s="2408"/>
      <c r="BA77" s="2408"/>
      <c r="BB77" s="2408"/>
      <c r="BC77" s="2409"/>
      <c r="BD77" s="1209"/>
      <c r="BE77" s="1205"/>
    </row>
    <row r="78" spans="1:65" ht="15.75" customHeight="1" thickBot="1">
      <c r="A78" s="1209"/>
      <c r="B78" s="1240" t="s">
        <v>2623</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1863</v>
      </c>
      <c r="C79" s="1239"/>
      <c r="D79" s="1239"/>
      <c r="E79" s="1251"/>
      <c r="F79" s="2596"/>
      <c r="G79" s="2597"/>
      <c r="H79" s="2597"/>
      <c r="I79" s="2597"/>
      <c r="J79" s="2597"/>
      <c r="K79" s="2597"/>
      <c r="L79" s="2597"/>
      <c r="M79" s="2598"/>
      <c r="N79" s="2598"/>
      <c r="O79" s="2598"/>
      <c r="P79" s="2598"/>
      <c r="Q79" s="2599"/>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2615</v>
      </c>
      <c r="C80" s="1243"/>
      <c r="D80" s="1242"/>
      <c r="E80" s="1242"/>
      <c r="F80" s="1242"/>
      <c r="G80" s="1242"/>
      <c r="H80" s="1242"/>
      <c r="I80" s="1242"/>
      <c r="J80" s="1242"/>
      <c r="K80" s="1242"/>
      <c r="L80" s="1241"/>
      <c r="M80" s="1242"/>
      <c r="N80" s="1241"/>
      <c r="O80" s="2600" t="e">
        <f>BR96/SUM($BR$96:$BR$98)</f>
        <v>#DIV/0!</v>
      </c>
      <c r="P80" s="2601"/>
      <c r="Q80" s="2602"/>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2622</v>
      </c>
      <c r="C81" s="1247"/>
      <c r="D81" s="1229"/>
      <c r="E81" s="1229"/>
      <c r="F81" s="1229"/>
      <c r="G81" s="1229"/>
      <c r="H81" s="1229"/>
      <c r="I81" s="1229"/>
      <c r="J81" s="1229"/>
      <c r="K81" s="1229"/>
      <c r="L81" s="1229"/>
      <c r="M81" s="1229"/>
      <c r="N81" s="1249"/>
      <c r="O81" s="2614" t="s">
        <v>2554</v>
      </c>
      <c r="P81" s="2615"/>
      <c r="Q81" s="2616"/>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221" t="s">
        <v>2171</v>
      </c>
      <c r="C83" s="2222"/>
      <c r="D83" s="2222"/>
      <c r="E83" s="2222"/>
      <c r="F83" s="2222"/>
      <c r="G83" s="2222"/>
      <c r="H83" s="2222"/>
      <c r="I83" s="2222"/>
      <c r="J83" s="2222"/>
      <c r="K83" s="2222"/>
      <c r="L83" s="2222"/>
      <c r="M83" s="2222"/>
      <c r="N83" s="2222"/>
      <c r="O83" s="2222"/>
      <c r="P83" s="2222"/>
      <c r="Q83" s="2222"/>
      <c r="R83" s="2222"/>
      <c r="S83" s="2222"/>
      <c r="T83" s="2222"/>
      <c r="U83" s="2222"/>
      <c r="V83" s="2222"/>
      <c r="W83" s="2222"/>
      <c r="X83" s="2222"/>
      <c r="Y83" s="2222"/>
      <c r="Z83" s="2222"/>
      <c r="AA83" s="2222"/>
      <c r="AB83" s="2222"/>
      <c r="AC83" s="2222"/>
      <c r="AD83" s="2222"/>
      <c r="AE83" s="2222"/>
      <c r="AF83" s="2222"/>
      <c r="AG83" s="2222"/>
      <c r="AH83" s="2223"/>
      <c r="AI83" s="1209"/>
      <c r="AJ83" s="2257" t="s">
        <v>2621</v>
      </c>
      <c r="AK83" s="2258"/>
      <c r="AL83" s="2258"/>
      <c r="AM83" s="2258"/>
      <c r="AN83" s="2258"/>
      <c r="AO83" s="2258"/>
      <c r="AP83" s="2258"/>
      <c r="AQ83" s="2258"/>
      <c r="AR83" s="2258"/>
      <c r="AS83" s="2258"/>
      <c r="AT83" s="2258"/>
      <c r="AU83" s="2258"/>
      <c r="AV83" s="2258"/>
      <c r="AW83" s="2258"/>
      <c r="AX83" s="2258"/>
      <c r="AY83" s="2261" t="s">
        <v>554</v>
      </c>
      <c r="AZ83" s="2261"/>
      <c r="BA83" s="2261"/>
      <c r="BB83" s="2262"/>
      <c r="BC83" s="1209"/>
      <c r="BD83" s="1209"/>
      <c r="BE83" s="1205"/>
    </row>
    <row r="84" spans="1:70" ht="15.75" customHeight="1">
      <c r="A84" s="1209"/>
      <c r="B84" s="2216"/>
      <c r="C84" s="2217"/>
      <c r="D84" s="2217"/>
      <c r="E84" s="2217"/>
      <c r="F84" s="2217"/>
      <c r="G84" s="2217"/>
      <c r="H84" s="2217"/>
      <c r="I84" s="2217" t="s">
        <v>1829</v>
      </c>
      <c r="J84" s="2217"/>
      <c r="K84" s="2217"/>
      <c r="L84" s="2217"/>
      <c r="M84" s="2217"/>
      <c r="N84" s="2217"/>
      <c r="O84" s="2217" t="s">
        <v>1830</v>
      </c>
      <c r="P84" s="2217"/>
      <c r="Q84" s="2217"/>
      <c r="R84" s="2217"/>
      <c r="S84" s="2217"/>
      <c r="T84" s="2217"/>
      <c r="U84" s="2217"/>
      <c r="V84" s="2213" t="s">
        <v>2189</v>
      </c>
      <c r="W84" s="2213"/>
      <c r="X84" s="2213"/>
      <c r="Y84" s="2213"/>
      <c r="Z84" s="2213"/>
      <c r="AA84" s="2213"/>
      <c r="AB84" s="2214" t="s">
        <v>1831</v>
      </c>
      <c r="AC84" s="2214"/>
      <c r="AD84" s="2214"/>
      <c r="AE84" s="2214"/>
      <c r="AF84" s="2214"/>
      <c r="AG84" s="2214"/>
      <c r="AH84" s="2215"/>
      <c r="AI84" s="1209"/>
      <c r="AJ84" s="2259"/>
      <c r="AK84" s="2260"/>
      <c r="AL84" s="2260"/>
      <c r="AM84" s="2260"/>
      <c r="AN84" s="2260"/>
      <c r="AO84" s="2260"/>
      <c r="AP84" s="2260"/>
      <c r="AQ84" s="2260"/>
      <c r="AR84" s="2260"/>
      <c r="AS84" s="2260"/>
      <c r="AT84" s="2260"/>
      <c r="AU84" s="2260"/>
      <c r="AV84" s="2260"/>
      <c r="AW84" s="2260"/>
      <c r="AX84" s="2260"/>
      <c r="AY84" s="2263"/>
      <c r="AZ84" s="2263"/>
      <c r="BA84" s="2263"/>
      <c r="BB84" s="2264"/>
      <c r="BC84" s="1209"/>
      <c r="BD84" s="1209"/>
      <c r="BE84" s="1205"/>
    </row>
    <row r="85" spans="1:70" ht="15.75" customHeight="1">
      <c r="A85" s="1209"/>
      <c r="B85" s="2216"/>
      <c r="C85" s="2217"/>
      <c r="D85" s="2217"/>
      <c r="E85" s="2217"/>
      <c r="F85" s="2217"/>
      <c r="G85" s="2217"/>
      <c r="H85" s="2217"/>
      <c r="I85" s="2217"/>
      <c r="J85" s="2217"/>
      <c r="K85" s="2217"/>
      <c r="L85" s="2217"/>
      <c r="M85" s="2217"/>
      <c r="N85" s="2217"/>
      <c r="O85" s="2217"/>
      <c r="P85" s="2217"/>
      <c r="Q85" s="2217"/>
      <c r="R85" s="2217"/>
      <c r="S85" s="2217"/>
      <c r="T85" s="2217"/>
      <c r="U85" s="2217"/>
      <c r="V85" s="2213"/>
      <c r="W85" s="2213"/>
      <c r="X85" s="2213"/>
      <c r="Y85" s="2213"/>
      <c r="Z85" s="2213"/>
      <c r="AA85" s="2213"/>
      <c r="AB85" s="2214"/>
      <c r="AC85" s="2214"/>
      <c r="AD85" s="2214"/>
      <c r="AE85" s="2214"/>
      <c r="AF85" s="2214"/>
      <c r="AG85" s="2214"/>
      <c r="AH85" s="2215"/>
      <c r="AI85" s="1209"/>
      <c r="AJ85" s="2259"/>
      <c r="AK85" s="2260"/>
      <c r="AL85" s="2260"/>
      <c r="AM85" s="2260"/>
      <c r="AN85" s="2260"/>
      <c r="AO85" s="2260"/>
      <c r="AP85" s="2260"/>
      <c r="AQ85" s="2260"/>
      <c r="AR85" s="2260"/>
      <c r="AS85" s="2260"/>
      <c r="AT85" s="2260"/>
      <c r="AU85" s="2260"/>
      <c r="AV85" s="2260"/>
      <c r="AW85" s="2260"/>
      <c r="AX85" s="2260"/>
      <c r="AY85" s="2263"/>
      <c r="AZ85" s="2263"/>
      <c r="BA85" s="2263"/>
      <c r="BB85" s="2264"/>
      <c r="BC85" s="1209"/>
      <c r="BD85" s="1209"/>
      <c r="BE85" s="1205"/>
    </row>
    <row r="86" spans="1:70" ht="15.75" customHeight="1">
      <c r="A86" s="1209"/>
      <c r="B86" s="2216" t="s">
        <v>2172</v>
      </c>
      <c r="C86" s="2217"/>
      <c r="D86" s="2217"/>
      <c r="E86" s="2217"/>
      <c r="F86" s="2217"/>
      <c r="G86" s="2217"/>
      <c r="H86" s="2217"/>
      <c r="I86" s="2218">
        <v>0</v>
      </c>
      <c r="J86" s="2218"/>
      <c r="K86" s="2218"/>
      <c r="L86" s="2218"/>
      <c r="M86" s="2218"/>
      <c r="N86" s="2218"/>
      <c r="O86" s="2218">
        <v>0</v>
      </c>
      <c r="P86" s="2218"/>
      <c r="Q86" s="2218"/>
      <c r="R86" s="2218"/>
      <c r="S86" s="2218"/>
      <c r="T86" s="2218"/>
      <c r="U86" s="2218"/>
      <c r="V86" s="2218">
        <v>0</v>
      </c>
      <c r="W86" s="2218"/>
      <c r="X86" s="2218"/>
      <c r="Y86" s="2218"/>
      <c r="Z86" s="2218"/>
      <c r="AA86" s="2218"/>
      <c r="AB86" s="2218">
        <v>0</v>
      </c>
      <c r="AC86" s="2218"/>
      <c r="AD86" s="2218"/>
      <c r="AE86" s="2218"/>
      <c r="AF86" s="2218"/>
      <c r="AG86" s="2218"/>
      <c r="AH86" s="2224"/>
      <c r="AI86" s="1209"/>
      <c r="AJ86" s="2259"/>
      <c r="AK86" s="2260"/>
      <c r="AL86" s="2260"/>
      <c r="AM86" s="2260"/>
      <c r="AN86" s="2260"/>
      <c r="AO86" s="2260"/>
      <c r="AP86" s="2260"/>
      <c r="AQ86" s="2260"/>
      <c r="AR86" s="2260"/>
      <c r="AS86" s="2260"/>
      <c r="AT86" s="2260"/>
      <c r="AU86" s="2260"/>
      <c r="AV86" s="2260"/>
      <c r="AW86" s="2260"/>
      <c r="AX86" s="2260"/>
      <c r="AY86" s="2263"/>
      <c r="AZ86" s="2263"/>
      <c r="BA86" s="2263"/>
      <c r="BB86" s="2264"/>
      <c r="BC86" s="1209"/>
      <c r="BD86" s="1209"/>
      <c r="BE86" s="1205"/>
    </row>
    <row r="87" spans="1:70" ht="15.75" customHeight="1">
      <c r="A87" s="1209"/>
      <c r="B87" s="2216" t="s">
        <v>2173</v>
      </c>
      <c r="C87" s="2217"/>
      <c r="D87" s="2217"/>
      <c r="E87" s="2217"/>
      <c r="F87" s="2217"/>
      <c r="G87" s="2217"/>
      <c r="H87" s="2217"/>
      <c r="I87" s="2218">
        <v>0</v>
      </c>
      <c r="J87" s="2218"/>
      <c r="K87" s="2218"/>
      <c r="L87" s="2218"/>
      <c r="M87" s="2218"/>
      <c r="N87" s="2218"/>
      <c r="O87" s="2218">
        <v>0</v>
      </c>
      <c r="P87" s="2218"/>
      <c r="Q87" s="2218"/>
      <c r="R87" s="2218"/>
      <c r="S87" s="2218"/>
      <c r="T87" s="2218"/>
      <c r="U87" s="2218"/>
      <c r="V87" s="2218">
        <v>0</v>
      </c>
      <c r="W87" s="2218"/>
      <c r="X87" s="2218"/>
      <c r="Y87" s="2218"/>
      <c r="Z87" s="2218"/>
      <c r="AA87" s="2218"/>
      <c r="AB87" s="2218">
        <v>0</v>
      </c>
      <c r="AC87" s="2218"/>
      <c r="AD87" s="2218"/>
      <c r="AE87" s="2218"/>
      <c r="AF87" s="2218"/>
      <c r="AG87" s="2218"/>
      <c r="AH87" s="2224"/>
      <c r="AI87" s="1209"/>
      <c r="AJ87" s="2230" t="s">
        <v>2488</v>
      </c>
      <c r="AK87" s="2231"/>
      <c r="AL87" s="2231"/>
      <c r="AM87" s="2231"/>
      <c r="AN87" s="2231"/>
      <c r="AO87" s="2231"/>
      <c r="AP87" s="2231"/>
      <c r="AQ87" s="2231"/>
      <c r="AR87" s="2231"/>
      <c r="AS87" s="2231"/>
      <c r="AT87" s="2231"/>
      <c r="AU87" s="2231"/>
      <c r="AV87" s="2231"/>
      <c r="AW87" s="2231"/>
      <c r="AX87" s="2231"/>
      <c r="AY87" s="2231"/>
      <c r="AZ87" s="2231"/>
      <c r="BA87" s="2231"/>
      <c r="BB87" s="2232"/>
      <c r="BC87" s="1209"/>
      <c r="BD87" s="1209"/>
      <c r="BE87" s="1205"/>
    </row>
    <row r="88" spans="1:70" ht="15.75" customHeight="1" thickBot="1">
      <c r="A88" s="1209"/>
      <c r="B88" s="2236" t="s">
        <v>1832</v>
      </c>
      <c r="C88" s="2237"/>
      <c r="D88" s="2237"/>
      <c r="E88" s="2237"/>
      <c r="F88" s="2237"/>
      <c r="G88" s="2237"/>
      <c r="H88" s="2237"/>
      <c r="I88" s="2238">
        <v>0</v>
      </c>
      <c r="J88" s="2238"/>
      <c r="K88" s="2238"/>
      <c r="L88" s="2238"/>
      <c r="M88" s="2238"/>
      <c r="N88" s="2238"/>
      <c r="O88" s="2238">
        <v>0</v>
      </c>
      <c r="P88" s="2238"/>
      <c r="Q88" s="2238"/>
      <c r="R88" s="2238"/>
      <c r="S88" s="2238"/>
      <c r="T88" s="2238"/>
      <c r="U88" s="2238"/>
      <c r="V88" s="2238">
        <v>0</v>
      </c>
      <c r="W88" s="2238"/>
      <c r="X88" s="2238"/>
      <c r="Y88" s="2238"/>
      <c r="Z88" s="2238"/>
      <c r="AA88" s="2238"/>
      <c r="AB88" s="2238">
        <v>0</v>
      </c>
      <c r="AC88" s="2238"/>
      <c r="AD88" s="2238"/>
      <c r="AE88" s="2238"/>
      <c r="AF88" s="2238"/>
      <c r="AG88" s="2238"/>
      <c r="AH88" s="2239"/>
      <c r="AI88" s="1209"/>
      <c r="AJ88" s="2233"/>
      <c r="AK88" s="2234"/>
      <c r="AL88" s="2234"/>
      <c r="AM88" s="2234"/>
      <c r="AN88" s="2234"/>
      <c r="AO88" s="2234"/>
      <c r="AP88" s="2234"/>
      <c r="AQ88" s="2234"/>
      <c r="AR88" s="2234"/>
      <c r="AS88" s="2234"/>
      <c r="AT88" s="2234"/>
      <c r="AU88" s="2234"/>
      <c r="AV88" s="2234"/>
      <c r="AW88" s="2234"/>
      <c r="AX88" s="2234"/>
      <c r="AY88" s="2234"/>
      <c r="AZ88" s="2234"/>
      <c r="BA88" s="2234"/>
      <c r="BB88" s="2235"/>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2620</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1863</v>
      </c>
      <c r="C92" s="1237"/>
      <c r="D92" s="1236"/>
      <c r="E92" s="1235"/>
      <c r="F92" s="2617"/>
      <c r="G92" s="2598"/>
      <c r="H92" s="2598"/>
      <c r="I92" s="2598"/>
      <c r="J92" s="2598"/>
      <c r="K92" s="2598"/>
      <c r="L92" s="2598"/>
      <c r="M92" s="2598"/>
      <c r="N92" s="2598"/>
      <c r="O92" s="2598"/>
      <c r="P92" s="2598"/>
      <c r="Q92" s="2599"/>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2615</v>
      </c>
      <c r="C93" s="1243"/>
      <c r="D93" s="1242"/>
      <c r="E93" s="1242"/>
      <c r="F93" s="1242"/>
      <c r="G93" s="1242"/>
      <c r="H93" s="1242"/>
      <c r="I93" s="1242"/>
      <c r="J93" s="1242"/>
      <c r="K93" s="1242"/>
      <c r="L93" s="1241"/>
      <c r="M93" s="1242"/>
      <c r="N93" s="1241"/>
      <c r="O93" s="2600" t="e">
        <f>BR97/SUM($BR$96:$BR$98)</f>
        <v>#DIV/0!</v>
      </c>
      <c r="P93" s="2601"/>
      <c r="Q93" s="2602"/>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2619</v>
      </c>
      <c r="C94" s="1247"/>
      <c r="D94" s="1229"/>
      <c r="E94" s="1229"/>
      <c r="F94" s="1229"/>
      <c r="G94" s="1229"/>
      <c r="H94" s="1229"/>
      <c r="I94" s="1229"/>
      <c r="J94" s="1229"/>
      <c r="K94" s="1229"/>
      <c r="L94" s="1229"/>
      <c r="M94" s="1229"/>
      <c r="N94" s="1249"/>
      <c r="O94" s="2614" t="s">
        <v>2554</v>
      </c>
      <c r="P94" s="2615"/>
      <c r="Q94" s="2616"/>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221" t="s">
        <v>2618</v>
      </c>
      <c r="C96" s="2222"/>
      <c r="D96" s="2222"/>
      <c r="E96" s="2222"/>
      <c r="F96" s="2222"/>
      <c r="G96" s="2222"/>
      <c r="H96" s="2222"/>
      <c r="I96" s="2222"/>
      <c r="J96" s="2222"/>
      <c r="K96" s="2222"/>
      <c r="L96" s="2222"/>
      <c r="M96" s="2222"/>
      <c r="N96" s="2222"/>
      <c r="O96" s="2222"/>
      <c r="P96" s="2222"/>
      <c r="Q96" s="2222"/>
      <c r="R96" s="2222"/>
      <c r="S96" s="2222"/>
      <c r="T96" s="2222"/>
      <c r="U96" s="2222"/>
      <c r="V96" s="2222"/>
      <c r="W96" s="2222"/>
      <c r="X96" s="2222"/>
      <c r="Y96" s="2222"/>
      <c r="Z96" s="2222"/>
      <c r="AA96" s="2222"/>
      <c r="AB96" s="2222"/>
      <c r="AC96" s="2222"/>
      <c r="AD96" s="2222"/>
      <c r="AE96" s="2222"/>
      <c r="AF96" s="2222"/>
      <c r="AG96" s="2222"/>
      <c r="AH96" s="2223"/>
      <c r="AI96" s="1209"/>
      <c r="AJ96" s="2257" t="s">
        <v>2617</v>
      </c>
      <c r="AK96" s="2258"/>
      <c r="AL96" s="2258"/>
      <c r="AM96" s="2258"/>
      <c r="AN96" s="2258"/>
      <c r="AO96" s="2258"/>
      <c r="AP96" s="2258"/>
      <c r="AQ96" s="2258"/>
      <c r="AR96" s="2258"/>
      <c r="AS96" s="2258"/>
      <c r="AT96" s="2258"/>
      <c r="AU96" s="2258"/>
      <c r="AV96" s="2258"/>
      <c r="AW96" s="2258"/>
      <c r="AX96" s="2258"/>
      <c r="AY96" s="2261" t="s">
        <v>554</v>
      </c>
      <c r="AZ96" s="2261"/>
      <c r="BA96" s="2261"/>
      <c r="BB96" s="2262"/>
      <c r="BC96" s="1209"/>
      <c r="BD96" s="1209"/>
      <c r="BE96" s="1205"/>
      <c r="BQ96" s="1248" t="str">
        <f>Application!M243</f>
        <v>AFH Alhambra LLC</v>
      </c>
      <c r="BR96" s="1248">
        <f>Application!AH245</f>
        <v>0</v>
      </c>
    </row>
    <row r="97" spans="1:70" ht="15.75" customHeight="1">
      <c r="A97" s="1209"/>
      <c r="B97" s="2216"/>
      <c r="C97" s="2217"/>
      <c r="D97" s="2217"/>
      <c r="E97" s="2217"/>
      <c r="F97" s="2217"/>
      <c r="G97" s="2217"/>
      <c r="H97" s="2217"/>
      <c r="I97" s="2217" t="s">
        <v>1829</v>
      </c>
      <c r="J97" s="2217"/>
      <c r="K97" s="2217"/>
      <c r="L97" s="2217"/>
      <c r="M97" s="2217"/>
      <c r="N97" s="2217"/>
      <c r="O97" s="2217" t="s">
        <v>1830</v>
      </c>
      <c r="P97" s="2217"/>
      <c r="Q97" s="2217"/>
      <c r="R97" s="2217"/>
      <c r="S97" s="2217"/>
      <c r="T97" s="2217"/>
      <c r="U97" s="2217"/>
      <c r="V97" s="2213" t="s">
        <v>2189</v>
      </c>
      <c r="W97" s="2213"/>
      <c r="X97" s="2213"/>
      <c r="Y97" s="2213"/>
      <c r="Z97" s="2213"/>
      <c r="AA97" s="2213"/>
      <c r="AB97" s="2214" t="s">
        <v>1831</v>
      </c>
      <c r="AC97" s="2214"/>
      <c r="AD97" s="2214"/>
      <c r="AE97" s="2214"/>
      <c r="AF97" s="2214"/>
      <c r="AG97" s="2214"/>
      <c r="AH97" s="2215"/>
      <c r="AI97" s="1209"/>
      <c r="AJ97" s="2259"/>
      <c r="AK97" s="2260"/>
      <c r="AL97" s="2260"/>
      <c r="AM97" s="2260"/>
      <c r="AN97" s="2260"/>
      <c r="AO97" s="2260"/>
      <c r="AP97" s="2260"/>
      <c r="AQ97" s="2260"/>
      <c r="AR97" s="2260"/>
      <c r="AS97" s="2260"/>
      <c r="AT97" s="2260"/>
      <c r="AU97" s="2260"/>
      <c r="AV97" s="2260"/>
      <c r="AW97" s="2260"/>
      <c r="AX97" s="2260"/>
      <c r="AY97" s="2263"/>
      <c r="AZ97" s="2263"/>
      <c r="BA97" s="2263"/>
      <c r="BB97" s="2264"/>
      <c r="BC97" s="1209"/>
      <c r="BD97" s="1209"/>
      <c r="BE97" s="1205"/>
      <c r="BQ97" s="1248" t="str">
        <f>Application!M251</f>
        <v>VP Mariposa LLC</v>
      </c>
      <c r="BR97" s="1248">
        <f>Application!AH253</f>
        <v>0</v>
      </c>
    </row>
    <row r="98" spans="1:70" ht="15.75" customHeight="1">
      <c r="A98" s="1209"/>
      <c r="B98" s="2216"/>
      <c r="C98" s="2217"/>
      <c r="D98" s="2217"/>
      <c r="E98" s="2217"/>
      <c r="F98" s="2217"/>
      <c r="G98" s="2217"/>
      <c r="H98" s="2217"/>
      <c r="I98" s="2217"/>
      <c r="J98" s="2217"/>
      <c r="K98" s="2217"/>
      <c r="L98" s="2217"/>
      <c r="M98" s="2217"/>
      <c r="N98" s="2217"/>
      <c r="O98" s="2217"/>
      <c r="P98" s="2217"/>
      <c r="Q98" s="2217"/>
      <c r="R98" s="2217"/>
      <c r="S98" s="2217"/>
      <c r="T98" s="2217"/>
      <c r="U98" s="2217"/>
      <c r="V98" s="2213"/>
      <c r="W98" s="2213"/>
      <c r="X98" s="2213"/>
      <c r="Y98" s="2213"/>
      <c r="Z98" s="2213"/>
      <c r="AA98" s="2213"/>
      <c r="AB98" s="2214"/>
      <c r="AC98" s="2214"/>
      <c r="AD98" s="2214"/>
      <c r="AE98" s="2214"/>
      <c r="AF98" s="2214"/>
      <c r="AG98" s="2214"/>
      <c r="AH98" s="2215"/>
      <c r="AI98" s="1209"/>
      <c r="AJ98" s="2259"/>
      <c r="AK98" s="2260"/>
      <c r="AL98" s="2260"/>
      <c r="AM98" s="2260"/>
      <c r="AN98" s="2260"/>
      <c r="AO98" s="2260"/>
      <c r="AP98" s="2260"/>
      <c r="AQ98" s="2260"/>
      <c r="AR98" s="2260"/>
      <c r="AS98" s="2260"/>
      <c r="AT98" s="2260"/>
      <c r="AU98" s="2260"/>
      <c r="AV98" s="2260"/>
      <c r="AW98" s="2260"/>
      <c r="AX98" s="2260"/>
      <c r="AY98" s="2263"/>
      <c r="AZ98" s="2263"/>
      <c r="BA98" s="2263"/>
      <c r="BB98" s="2264"/>
      <c r="BC98" s="1209"/>
      <c r="BD98" s="1209"/>
      <c r="BE98" s="1205"/>
      <c r="BQ98" s="1248">
        <f>Application!M259</f>
        <v>0</v>
      </c>
      <c r="BR98" s="1248">
        <f>Application!AH261</f>
        <v>0</v>
      </c>
    </row>
    <row r="99" spans="1:70" ht="15.75" customHeight="1">
      <c r="A99" s="1209"/>
      <c r="B99" s="2216" t="s">
        <v>2172</v>
      </c>
      <c r="C99" s="2217"/>
      <c r="D99" s="2217"/>
      <c r="E99" s="2217"/>
      <c r="F99" s="2217"/>
      <c r="G99" s="2217"/>
      <c r="H99" s="2217"/>
      <c r="I99" s="2218">
        <v>0</v>
      </c>
      <c r="J99" s="2218"/>
      <c r="K99" s="2218"/>
      <c r="L99" s="2218"/>
      <c r="M99" s="2218"/>
      <c r="N99" s="2218"/>
      <c r="O99" s="2218">
        <v>0</v>
      </c>
      <c r="P99" s="2218"/>
      <c r="Q99" s="2218"/>
      <c r="R99" s="2218"/>
      <c r="S99" s="2218"/>
      <c r="T99" s="2218"/>
      <c r="U99" s="2218"/>
      <c r="V99" s="2218">
        <v>0</v>
      </c>
      <c r="W99" s="2218"/>
      <c r="X99" s="2218"/>
      <c r="Y99" s="2218"/>
      <c r="Z99" s="2218"/>
      <c r="AA99" s="2218"/>
      <c r="AB99" s="2218">
        <v>0</v>
      </c>
      <c r="AC99" s="2218"/>
      <c r="AD99" s="2218"/>
      <c r="AE99" s="2218"/>
      <c r="AF99" s="2218"/>
      <c r="AG99" s="2218"/>
      <c r="AH99" s="2224"/>
      <c r="AI99" s="1209"/>
      <c r="AJ99" s="2259"/>
      <c r="AK99" s="2260"/>
      <c r="AL99" s="2260"/>
      <c r="AM99" s="2260"/>
      <c r="AN99" s="2260"/>
      <c r="AO99" s="2260"/>
      <c r="AP99" s="2260"/>
      <c r="AQ99" s="2260"/>
      <c r="AR99" s="2260"/>
      <c r="AS99" s="2260"/>
      <c r="AT99" s="2260"/>
      <c r="AU99" s="2260"/>
      <c r="AV99" s="2260"/>
      <c r="AW99" s="2260"/>
      <c r="AX99" s="2260"/>
      <c r="AY99" s="2263"/>
      <c r="AZ99" s="2263"/>
      <c r="BA99" s="2263"/>
      <c r="BB99" s="2264"/>
      <c r="BC99" s="1209"/>
      <c r="BD99" s="1209"/>
      <c r="BE99" s="1205"/>
    </row>
    <row r="100" spans="1:70" ht="15.75" customHeight="1">
      <c r="A100" s="1209"/>
      <c r="B100" s="2216" t="s">
        <v>2173</v>
      </c>
      <c r="C100" s="2217"/>
      <c r="D100" s="2217"/>
      <c r="E100" s="2217"/>
      <c r="F100" s="2217"/>
      <c r="G100" s="2217"/>
      <c r="H100" s="2217"/>
      <c r="I100" s="2218">
        <v>0</v>
      </c>
      <c r="J100" s="2218"/>
      <c r="K100" s="2218"/>
      <c r="L100" s="2218"/>
      <c r="M100" s="2218"/>
      <c r="N100" s="2218"/>
      <c r="O100" s="2218">
        <v>0</v>
      </c>
      <c r="P100" s="2218"/>
      <c r="Q100" s="2218"/>
      <c r="R100" s="2218"/>
      <c r="S100" s="2218"/>
      <c r="T100" s="2218"/>
      <c r="U100" s="2218"/>
      <c r="V100" s="2218">
        <v>0</v>
      </c>
      <c r="W100" s="2218"/>
      <c r="X100" s="2218"/>
      <c r="Y100" s="2218"/>
      <c r="Z100" s="2218"/>
      <c r="AA100" s="2218"/>
      <c r="AB100" s="2218">
        <v>0</v>
      </c>
      <c r="AC100" s="2218"/>
      <c r="AD100" s="2218"/>
      <c r="AE100" s="2218"/>
      <c r="AF100" s="2218"/>
      <c r="AG100" s="2218"/>
      <c r="AH100" s="2224"/>
      <c r="AI100" s="1209"/>
      <c r="AJ100" s="2230" t="s">
        <v>2488</v>
      </c>
      <c r="AK100" s="2231"/>
      <c r="AL100" s="2231"/>
      <c r="AM100" s="2231"/>
      <c r="AN100" s="2231"/>
      <c r="AO100" s="2231"/>
      <c r="AP100" s="2231"/>
      <c r="AQ100" s="2231"/>
      <c r="AR100" s="2231"/>
      <c r="AS100" s="2231"/>
      <c r="AT100" s="2231"/>
      <c r="AU100" s="2231"/>
      <c r="AV100" s="2231"/>
      <c r="AW100" s="2231"/>
      <c r="AX100" s="2231"/>
      <c r="AY100" s="2231"/>
      <c r="AZ100" s="2231"/>
      <c r="BA100" s="2231"/>
      <c r="BB100" s="2232"/>
      <c r="BC100" s="1209"/>
      <c r="BD100" s="1209"/>
      <c r="BE100" s="1205"/>
    </row>
    <row r="101" spans="1:70" ht="15.75" customHeight="1" thickBot="1">
      <c r="A101" s="1209"/>
      <c r="B101" s="2236" t="s">
        <v>1832</v>
      </c>
      <c r="C101" s="2237"/>
      <c r="D101" s="2237"/>
      <c r="E101" s="2237"/>
      <c r="F101" s="2237"/>
      <c r="G101" s="2237"/>
      <c r="H101" s="2237"/>
      <c r="I101" s="2238">
        <v>0</v>
      </c>
      <c r="J101" s="2238"/>
      <c r="K101" s="2238"/>
      <c r="L101" s="2238"/>
      <c r="M101" s="2238"/>
      <c r="N101" s="2238"/>
      <c r="O101" s="2238">
        <v>0</v>
      </c>
      <c r="P101" s="2238"/>
      <c r="Q101" s="2238"/>
      <c r="R101" s="2238"/>
      <c r="S101" s="2238"/>
      <c r="T101" s="2238"/>
      <c r="U101" s="2238"/>
      <c r="V101" s="2238">
        <v>0</v>
      </c>
      <c r="W101" s="2238"/>
      <c r="X101" s="2238"/>
      <c r="Y101" s="2238"/>
      <c r="Z101" s="2238"/>
      <c r="AA101" s="2238"/>
      <c r="AB101" s="2238">
        <v>0</v>
      </c>
      <c r="AC101" s="2238"/>
      <c r="AD101" s="2238"/>
      <c r="AE101" s="2238"/>
      <c r="AF101" s="2238"/>
      <c r="AG101" s="2238"/>
      <c r="AH101" s="2239"/>
      <c r="AI101" s="1209"/>
      <c r="AJ101" s="2233"/>
      <c r="AK101" s="2234"/>
      <c r="AL101" s="2234"/>
      <c r="AM101" s="2234"/>
      <c r="AN101" s="2234"/>
      <c r="AO101" s="2234"/>
      <c r="AP101" s="2234"/>
      <c r="AQ101" s="2234"/>
      <c r="AR101" s="2234"/>
      <c r="AS101" s="2234"/>
      <c r="AT101" s="2234"/>
      <c r="AU101" s="2234"/>
      <c r="AV101" s="2234"/>
      <c r="AW101" s="2234"/>
      <c r="AX101" s="2234"/>
      <c r="AY101" s="2234"/>
      <c r="AZ101" s="2234"/>
      <c r="BA101" s="2234"/>
      <c r="BB101" s="2235"/>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2616</v>
      </c>
      <c r="C103" s="1247"/>
      <c r="D103" s="1229"/>
      <c r="E103" s="1229"/>
      <c r="F103" s="1246"/>
      <c r="G103" s="1246"/>
      <c r="H103" s="1246"/>
      <c r="I103" s="1246"/>
      <c r="J103" s="1246"/>
      <c r="K103" s="1246"/>
      <c r="L103" s="1246"/>
      <c r="M103" s="1246"/>
      <c r="N103" s="1246"/>
      <c r="O103" s="1245"/>
      <c r="P103" s="1246"/>
      <c r="Q103" s="1246"/>
      <c r="R103" s="1245"/>
      <c r="S103" s="1209" t="s">
        <v>251</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1863</v>
      </c>
      <c r="C104" s="1237"/>
      <c r="D104" s="1236"/>
      <c r="E104" s="1235"/>
      <c r="F104" s="2555"/>
      <c r="G104" s="2556"/>
      <c r="H104" s="2556"/>
      <c r="I104" s="2556"/>
      <c r="J104" s="2556"/>
      <c r="K104" s="2556"/>
      <c r="L104" s="2556"/>
      <c r="M104" s="2556"/>
      <c r="N104" s="2556"/>
      <c r="O104" s="2556"/>
      <c r="P104" s="2556"/>
      <c r="Q104" s="2556"/>
      <c r="R104" s="2557"/>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2615</v>
      </c>
      <c r="C105" s="1243"/>
      <c r="D105" s="1242"/>
      <c r="E105" s="1242"/>
      <c r="F105" s="1242"/>
      <c r="G105" s="1242"/>
      <c r="H105" s="1242"/>
      <c r="I105" s="1242"/>
      <c r="J105" s="1242"/>
      <c r="K105" s="1242"/>
      <c r="L105" s="1241"/>
      <c r="M105" s="1242"/>
      <c r="N105" s="1241"/>
      <c r="O105" s="2614" t="e">
        <f>BR98/SUM(BR96:BR98)</f>
        <v>#DIV/0!</v>
      </c>
      <c r="P105" s="2615"/>
      <c r="Q105" s="2615"/>
      <c r="R105" s="2616"/>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476" t="s">
        <v>2614</v>
      </c>
      <c r="C107" s="2477"/>
      <c r="D107" s="2477"/>
      <c r="E107" s="2477"/>
      <c r="F107" s="2477"/>
      <c r="G107" s="2477"/>
      <c r="H107" s="2477"/>
      <c r="I107" s="2477"/>
      <c r="J107" s="2477"/>
      <c r="K107" s="2477"/>
      <c r="L107" s="2477"/>
      <c r="M107" s="2477"/>
      <c r="N107" s="2477"/>
      <c r="O107" s="2477"/>
      <c r="P107" s="2477"/>
      <c r="Q107" s="2477"/>
      <c r="R107" s="2477"/>
      <c r="S107" s="2477"/>
      <c r="T107" s="2477"/>
      <c r="U107" s="2477"/>
      <c r="V107" s="2477"/>
      <c r="W107" s="2477"/>
      <c r="X107" s="2477"/>
      <c r="Y107" s="2477"/>
      <c r="Z107" s="2477"/>
      <c r="AA107" s="2477"/>
      <c r="AB107" s="2477"/>
      <c r="AC107" s="2477"/>
      <c r="AD107" s="2477"/>
      <c r="AE107" s="2477"/>
      <c r="AF107" s="2477"/>
      <c r="AG107" s="2477"/>
      <c r="AH107" s="2478"/>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216"/>
      <c r="C108" s="2217"/>
      <c r="D108" s="2217"/>
      <c r="E108" s="2217"/>
      <c r="F108" s="2217"/>
      <c r="G108" s="2217"/>
      <c r="H108" s="2217"/>
      <c r="I108" s="2217" t="s">
        <v>1829</v>
      </c>
      <c r="J108" s="2217"/>
      <c r="K108" s="2217"/>
      <c r="L108" s="2217"/>
      <c r="M108" s="2217"/>
      <c r="N108" s="2217"/>
      <c r="O108" s="2217" t="s">
        <v>1830</v>
      </c>
      <c r="P108" s="2217"/>
      <c r="Q108" s="2217"/>
      <c r="R108" s="2217"/>
      <c r="S108" s="2217"/>
      <c r="T108" s="2217"/>
      <c r="U108" s="2217"/>
      <c r="V108" s="2213" t="s">
        <v>2189</v>
      </c>
      <c r="W108" s="2213"/>
      <c r="X108" s="2213"/>
      <c r="Y108" s="2213"/>
      <c r="Z108" s="2213"/>
      <c r="AA108" s="2213"/>
      <c r="AB108" s="2214" t="s">
        <v>1831</v>
      </c>
      <c r="AC108" s="2214"/>
      <c r="AD108" s="2214"/>
      <c r="AE108" s="2214"/>
      <c r="AF108" s="2214"/>
      <c r="AG108" s="2214"/>
      <c r="AH108" s="2215"/>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216"/>
      <c r="C109" s="2217"/>
      <c r="D109" s="2217"/>
      <c r="E109" s="2217"/>
      <c r="F109" s="2217"/>
      <c r="G109" s="2217"/>
      <c r="H109" s="2217"/>
      <c r="I109" s="2217"/>
      <c r="J109" s="2217"/>
      <c r="K109" s="2217"/>
      <c r="L109" s="2217"/>
      <c r="M109" s="2217"/>
      <c r="N109" s="2217"/>
      <c r="O109" s="2217"/>
      <c r="P109" s="2217"/>
      <c r="Q109" s="2217"/>
      <c r="R109" s="2217"/>
      <c r="S109" s="2217"/>
      <c r="T109" s="2217"/>
      <c r="U109" s="2217"/>
      <c r="V109" s="2213"/>
      <c r="W109" s="2213"/>
      <c r="X109" s="2213"/>
      <c r="Y109" s="2213"/>
      <c r="Z109" s="2213"/>
      <c r="AA109" s="2213"/>
      <c r="AB109" s="2214"/>
      <c r="AC109" s="2214"/>
      <c r="AD109" s="2214"/>
      <c r="AE109" s="2214"/>
      <c r="AF109" s="2214"/>
      <c r="AG109" s="2214"/>
      <c r="AH109" s="2215"/>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216" t="s">
        <v>2172</v>
      </c>
      <c r="C110" s="2217"/>
      <c r="D110" s="2217"/>
      <c r="E110" s="2217"/>
      <c r="F110" s="2217"/>
      <c r="G110" s="2217"/>
      <c r="H110" s="2217"/>
      <c r="I110" s="2218">
        <v>0</v>
      </c>
      <c r="J110" s="2218"/>
      <c r="K110" s="2218"/>
      <c r="L110" s="2218"/>
      <c r="M110" s="2218"/>
      <c r="N110" s="2218"/>
      <c r="O110" s="2218">
        <v>0</v>
      </c>
      <c r="P110" s="2218"/>
      <c r="Q110" s="2218"/>
      <c r="R110" s="2218"/>
      <c r="S110" s="2218"/>
      <c r="T110" s="2218"/>
      <c r="U110" s="2218"/>
      <c r="V110" s="2218">
        <v>0</v>
      </c>
      <c r="W110" s="2218"/>
      <c r="X110" s="2218"/>
      <c r="Y110" s="2218"/>
      <c r="Z110" s="2218"/>
      <c r="AA110" s="2218"/>
      <c r="AB110" s="2218">
        <v>0</v>
      </c>
      <c r="AC110" s="2218"/>
      <c r="AD110" s="2218"/>
      <c r="AE110" s="2218"/>
      <c r="AF110" s="2218"/>
      <c r="AG110" s="2218"/>
      <c r="AH110" s="2224"/>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216" t="s">
        <v>2173</v>
      </c>
      <c r="C111" s="2217"/>
      <c r="D111" s="2217"/>
      <c r="E111" s="2217"/>
      <c r="F111" s="2217"/>
      <c r="G111" s="2217"/>
      <c r="H111" s="2217"/>
      <c r="I111" s="2218">
        <v>0</v>
      </c>
      <c r="J111" s="2218"/>
      <c r="K111" s="2218"/>
      <c r="L111" s="2218"/>
      <c r="M111" s="2218"/>
      <c r="N111" s="2218"/>
      <c r="O111" s="2218">
        <v>0</v>
      </c>
      <c r="P111" s="2218"/>
      <c r="Q111" s="2218"/>
      <c r="R111" s="2218"/>
      <c r="S111" s="2218"/>
      <c r="T111" s="2218"/>
      <c r="U111" s="2218"/>
      <c r="V111" s="2218">
        <v>0</v>
      </c>
      <c r="W111" s="2218"/>
      <c r="X111" s="2218"/>
      <c r="Y111" s="2218"/>
      <c r="Z111" s="2218"/>
      <c r="AA111" s="2218"/>
      <c r="AB111" s="2218">
        <v>0</v>
      </c>
      <c r="AC111" s="2218"/>
      <c r="AD111" s="2218"/>
      <c r="AE111" s="2218"/>
      <c r="AF111" s="2218"/>
      <c r="AG111" s="2218"/>
      <c r="AH111" s="2224"/>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236" t="s">
        <v>1832</v>
      </c>
      <c r="C112" s="2237"/>
      <c r="D112" s="2237"/>
      <c r="E112" s="2237"/>
      <c r="F112" s="2237"/>
      <c r="G112" s="2237"/>
      <c r="H112" s="2237"/>
      <c r="I112" s="2238">
        <v>0</v>
      </c>
      <c r="J112" s="2238"/>
      <c r="K112" s="2238"/>
      <c r="L112" s="2238"/>
      <c r="M112" s="2238"/>
      <c r="N112" s="2238"/>
      <c r="O112" s="2238">
        <v>0</v>
      </c>
      <c r="P112" s="2238"/>
      <c r="Q112" s="2238"/>
      <c r="R112" s="2238"/>
      <c r="S112" s="2238"/>
      <c r="T112" s="2238"/>
      <c r="U112" s="2238"/>
      <c r="V112" s="2238">
        <v>0</v>
      </c>
      <c r="W112" s="2238"/>
      <c r="X112" s="2238"/>
      <c r="Y112" s="2238"/>
      <c r="Z112" s="2238"/>
      <c r="AA112" s="2238"/>
      <c r="AB112" s="2238">
        <v>0</v>
      </c>
      <c r="AC112" s="2238"/>
      <c r="AD112" s="2238"/>
      <c r="AE112" s="2238"/>
      <c r="AF112" s="2238"/>
      <c r="AG112" s="2238"/>
      <c r="AH112" s="2239"/>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251</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2613</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1863</v>
      </c>
      <c r="C115" s="1237"/>
      <c r="D115" s="1236"/>
      <c r="E115" s="1235"/>
      <c r="F115" s="2555"/>
      <c r="G115" s="2556"/>
      <c r="H115" s="2556"/>
      <c r="I115" s="2556"/>
      <c r="J115" s="2556"/>
      <c r="K115" s="2556"/>
      <c r="L115" s="2556"/>
      <c r="M115" s="2556"/>
      <c r="N115" s="2556"/>
      <c r="O115" s="2556"/>
      <c r="P115" s="2556"/>
      <c r="Q115" s="2556"/>
      <c r="R115" s="2557"/>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257" t="s">
        <v>2489</v>
      </c>
      <c r="C117" s="2258"/>
      <c r="D117" s="2258"/>
      <c r="E117" s="2258"/>
      <c r="F117" s="2258"/>
      <c r="G117" s="2258"/>
      <c r="H117" s="2258"/>
      <c r="I117" s="2258"/>
      <c r="J117" s="2258"/>
      <c r="K117" s="2258"/>
      <c r="L117" s="2258"/>
      <c r="M117" s="2258"/>
      <c r="N117" s="2258"/>
      <c r="O117" s="2258"/>
      <c r="P117" s="2258"/>
      <c r="Q117" s="2261" t="s">
        <v>554</v>
      </c>
      <c r="R117" s="2261"/>
      <c r="S117" s="2261"/>
      <c r="T117" s="2262"/>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259"/>
      <c r="C118" s="2260"/>
      <c r="D118" s="2260"/>
      <c r="E118" s="2260"/>
      <c r="F118" s="2260"/>
      <c r="G118" s="2260"/>
      <c r="H118" s="2260"/>
      <c r="I118" s="2260"/>
      <c r="J118" s="2260"/>
      <c r="K118" s="2260"/>
      <c r="L118" s="2260"/>
      <c r="M118" s="2260"/>
      <c r="N118" s="2260"/>
      <c r="O118" s="2260"/>
      <c r="P118" s="2260"/>
      <c r="Q118" s="2263"/>
      <c r="R118" s="2263"/>
      <c r="S118" s="2263"/>
      <c r="T118" s="2264"/>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259"/>
      <c r="C119" s="2260"/>
      <c r="D119" s="2260"/>
      <c r="E119" s="2260"/>
      <c r="F119" s="2260"/>
      <c r="G119" s="2260"/>
      <c r="H119" s="2260"/>
      <c r="I119" s="2260"/>
      <c r="J119" s="2260"/>
      <c r="K119" s="2260"/>
      <c r="L119" s="2260"/>
      <c r="M119" s="2260"/>
      <c r="N119" s="2260"/>
      <c r="O119" s="2260"/>
      <c r="P119" s="2260"/>
      <c r="Q119" s="2263"/>
      <c r="R119" s="2263"/>
      <c r="S119" s="2263"/>
      <c r="T119" s="2264"/>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259"/>
      <c r="C120" s="2260"/>
      <c r="D120" s="2260"/>
      <c r="E120" s="2260"/>
      <c r="F120" s="2260"/>
      <c r="G120" s="2260"/>
      <c r="H120" s="2260"/>
      <c r="I120" s="2260"/>
      <c r="J120" s="2260"/>
      <c r="K120" s="2260"/>
      <c r="L120" s="2260"/>
      <c r="M120" s="2260"/>
      <c r="N120" s="2260"/>
      <c r="O120" s="2260"/>
      <c r="P120" s="2260"/>
      <c r="Q120" s="2263"/>
      <c r="R120" s="2263"/>
      <c r="S120" s="2263"/>
      <c r="T120" s="2264"/>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230" t="s">
        <v>2190</v>
      </c>
      <c r="C121" s="2231"/>
      <c r="D121" s="2231"/>
      <c r="E121" s="2231"/>
      <c r="F121" s="2231"/>
      <c r="G121" s="2231"/>
      <c r="H121" s="2231"/>
      <c r="I121" s="2231"/>
      <c r="J121" s="2231"/>
      <c r="K121" s="2231"/>
      <c r="L121" s="2231"/>
      <c r="M121" s="2231"/>
      <c r="N121" s="2231"/>
      <c r="O121" s="2231"/>
      <c r="P121" s="2231"/>
      <c r="Q121" s="2231"/>
      <c r="R121" s="2231"/>
      <c r="S121" s="2231"/>
      <c r="T121" s="2232"/>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233"/>
      <c r="C122" s="2234"/>
      <c r="D122" s="2234"/>
      <c r="E122" s="2234"/>
      <c r="F122" s="2234"/>
      <c r="G122" s="2234"/>
      <c r="H122" s="2234"/>
      <c r="I122" s="2234"/>
      <c r="J122" s="2234"/>
      <c r="K122" s="2234"/>
      <c r="L122" s="2234"/>
      <c r="M122" s="2234"/>
      <c r="N122" s="2234"/>
      <c r="O122" s="2234"/>
      <c r="P122" s="2234"/>
      <c r="Q122" s="2234"/>
      <c r="R122" s="2234"/>
      <c r="S122" s="2234"/>
      <c r="T122" s="2235"/>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1833</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257" t="s">
        <v>2174</v>
      </c>
      <c r="Y125" s="2258"/>
      <c r="Z125" s="2258"/>
      <c r="AA125" s="2258"/>
      <c r="AB125" s="2258"/>
      <c r="AC125" s="2258"/>
      <c r="AD125" s="2258"/>
      <c r="AE125" s="2258"/>
      <c r="AF125" s="2258"/>
      <c r="AG125" s="2258"/>
      <c r="AH125" s="2258"/>
      <c r="AI125" s="2258"/>
      <c r="AJ125" s="2258"/>
      <c r="AK125" s="2258"/>
      <c r="AL125" s="2258"/>
      <c r="AM125" s="2258"/>
      <c r="AN125" s="2258"/>
      <c r="AO125" s="2258"/>
      <c r="AP125" s="2258"/>
      <c r="AQ125" s="2258"/>
      <c r="AR125" s="2258"/>
      <c r="AS125" s="2258"/>
      <c r="AT125" s="2258"/>
      <c r="AU125" s="2258"/>
      <c r="AV125" s="2258"/>
      <c r="AW125" s="2258"/>
      <c r="AX125" s="2258"/>
      <c r="AY125" s="2258"/>
      <c r="AZ125" s="2258"/>
      <c r="BA125" s="2258"/>
      <c r="BB125" s="2258"/>
      <c r="BC125" s="2258"/>
      <c r="BD125" s="2419"/>
      <c r="BE125" s="1205"/>
    </row>
    <row r="126" spans="1:57" ht="15.75" customHeight="1">
      <c r="A126" s="1209"/>
      <c r="B126" s="2421" t="s">
        <v>1689</v>
      </c>
      <c r="C126" s="2422"/>
      <c r="D126" s="2422"/>
      <c r="E126" s="2422"/>
      <c r="F126" s="2422"/>
      <c r="G126" s="2422"/>
      <c r="H126" s="2422"/>
      <c r="I126" s="2422"/>
      <c r="J126" s="2422"/>
      <c r="K126" s="2422"/>
      <c r="L126" s="2422"/>
      <c r="M126" s="2422"/>
      <c r="N126" s="2422"/>
      <c r="O126" s="2422"/>
      <c r="P126" s="2422"/>
      <c r="Q126" s="2422"/>
      <c r="R126" s="2422"/>
      <c r="S126" s="2422"/>
      <c r="T126" s="2422"/>
      <c r="U126" s="2423"/>
      <c r="V126" s="1209"/>
      <c r="W126" s="1209"/>
      <c r="X126" s="2259"/>
      <c r="Y126" s="2260"/>
      <c r="Z126" s="2260"/>
      <c r="AA126" s="2260"/>
      <c r="AB126" s="2260"/>
      <c r="AC126" s="2260"/>
      <c r="AD126" s="2260"/>
      <c r="AE126" s="2260"/>
      <c r="AF126" s="2260"/>
      <c r="AG126" s="2260"/>
      <c r="AH126" s="2260"/>
      <c r="AI126" s="2260"/>
      <c r="AJ126" s="2260"/>
      <c r="AK126" s="2260"/>
      <c r="AL126" s="2260"/>
      <c r="AM126" s="2260"/>
      <c r="AN126" s="2260"/>
      <c r="AO126" s="2260"/>
      <c r="AP126" s="2260"/>
      <c r="AQ126" s="2260"/>
      <c r="AR126" s="2260"/>
      <c r="AS126" s="2260"/>
      <c r="AT126" s="2260"/>
      <c r="AU126" s="2260"/>
      <c r="AV126" s="2260"/>
      <c r="AW126" s="2260"/>
      <c r="AX126" s="2260"/>
      <c r="AY126" s="2260"/>
      <c r="AZ126" s="2260"/>
      <c r="BA126" s="2260"/>
      <c r="BB126" s="2260"/>
      <c r="BC126" s="2260"/>
      <c r="BD126" s="2420"/>
      <c r="BE126" s="1205"/>
    </row>
    <row r="127" spans="1:57" ht="15.75" customHeight="1">
      <c r="A127" s="1209"/>
      <c r="B127" s="2424"/>
      <c r="C127" s="2425"/>
      <c r="D127" s="2425"/>
      <c r="E127" s="2425"/>
      <c r="F127" s="2425"/>
      <c r="G127" s="2425"/>
      <c r="H127" s="2425"/>
      <c r="I127" s="2217" t="s">
        <v>2175</v>
      </c>
      <c r="J127" s="2217"/>
      <c r="K127" s="2217"/>
      <c r="L127" s="2217"/>
      <c r="M127" s="2217"/>
      <c r="N127" s="2217"/>
      <c r="O127" s="2426" t="s">
        <v>2176</v>
      </c>
      <c r="P127" s="2426"/>
      <c r="Q127" s="2426"/>
      <c r="R127" s="2426"/>
      <c r="S127" s="2426"/>
      <c r="T127" s="2426"/>
      <c r="U127" s="2427"/>
      <c r="V127" s="1209"/>
      <c r="W127" s="1209"/>
      <c r="X127" s="2404" t="s">
        <v>2188</v>
      </c>
      <c r="Y127" s="2405"/>
      <c r="Z127" s="2405"/>
      <c r="AA127" s="2405"/>
      <c r="AB127" s="2405"/>
      <c r="AC127" s="2405"/>
      <c r="AD127" s="2405"/>
      <c r="AE127" s="2405"/>
      <c r="AF127" s="2405"/>
      <c r="AG127" s="2405"/>
      <c r="AH127" s="2405"/>
      <c r="AI127" s="2405"/>
      <c r="AJ127" s="2405"/>
      <c r="AK127" s="2405"/>
      <c r="AL127" s="2405"/>
      <c r="AM127" s="2405"/>
      <c r="AN127" s="2405"/>
      <c r="AO127" s="2405"/>
      <c r="AP127" s="2405"/>
      <c r="AQ127" s="2405"/>
      <c r="AR127" s="2405"/>
      <c r="AS127" s="2405"/>
      <c r="AT127" s="2405"/>
      <c r="AU127" s="2405"/>
      <c r="AV127" s="2405"/>
      <c r="AW127" s="2405"/>
      <c r="AX127" s="2405"/>
      <c r="AY127" s="2405"/>
      <c r="AZ127" s="2405"/>
      <c r="BA127" s="2405"/>
      <c r="BB127" s="2405"/>
      <c r="BC127" s="2405"/>
      <c r="BD127" s="2406"/>
      <c r="BE127" s="1205"/>
    </row>
    <row r="128" spans="1:57" ht="15.75" customHeight="1">
      <c r="A128" s="1209"/>
      <c r="B128" s="2430" t="s">
        <v>2177</v>
      </c>
      <c r="C128" s="2431"/>
      <c r="D128" s="2431"/>
      <c r="E128" s="2431"/>
      <c r="F128" s="2431"/>
      <c r="G128" s="2431"/>
      <c r="H128" s="2431"/>
      <c r="I128" s="2218">
        <v>0</v>
      </c>
      <c r="J128" s="2218"/>
      <c r="K128" s="2218"/>
      <c r="L128" s="2218"/>
      <c r="M128" s="2218"/>
      <c r="N128" s="2218"/>
      <c r="O128" s="2218">
        <v>0</v>
      </c>
      <c r="P128" s="2218"/>
      <c r="Q128" s="2218"/>
      <c r="R128" s="2218"/>
      <c r="S128" s="2218"/>
      <c r="T128" s="2218"/>
      <c r="U128" s="2224"/>
      <c r="V128" s="1209"/>
      <c r="W128" s="1209"/>
      <c r="X128" s="2404"/>
      <c r="Y128" s="2405"/>
      <c r="Z128" s="2405"/>
      <c r="AA128" s="2405"/>
      <c r="AB128" s="2405"/>
      <c r="AC128" s="2405"/>
      <c r="AD128" s="2405"/>
      <c r="AE128" s="2405"/>
      <c r="AF128" s="2405"/>
      <c r="AG128" s="2405"/>
      <c r="AH128" s="2405"/>
      <c r="AI128" s="2405"/>
      <c r="AJ128" s="2405"/>
      <c r="AK128" s="2405"/>
      <c r="AL128" s="2405"/>
      <c r="AM128" s="2405"/>
      <c r="AN128" s="2405"/>
      <c r="AO128" s="2405"/>
      <c r="AP128" s="2405"/>
      <c r="AQ128" s="2405"/>
      <c r="AR128" s="2405"/>
      <c r="AS128" s="2405"/>
      <c r="AT128" s="2405"/>
      <c r="AU128" s="2405"/>
      <c r="AV128" s="2405"/>
      <c r="AW128" s="2405"/>
      <c r="AX128" s="2405"/>
      <c r="AY128" s="2405"/>
      <c r="AZ128" s="2405"/>
      <c r="BA128" s="2405"/>
      <c r="BB128" s="2405"/>
      <c r="BC128" s="2405"/>
      <c r="BD128" s="2406"/>
      <c r="BE128" s="1205"/>
    </row>
    <row r="129" spans="1:57" ht="15.75" customHeight="1" thickBot="1">
      <c r="A129" s="1209"/>
      <c r="B129" s="2432" t="s">
        <v>2178</v>
      </c>
      <c r="C129" s="2433"/>
      <c r="D129" s="2433"/>
      <c r="E129" s="2433"/>
      <c r="F129" s="2433"/>
      <c r="G129" s="2433"/>
      <c r="H129" s="2433"/>
      <c r="I129" s="2238">
        <v>0</v>
      </c>
      <c r="J129" s="2238"/>
      <c r="K129" s="2238"/>
      <c r="L129" s="2238"/>
      <c r="M129" s="2238"/>
      <c r="N129" s="2238"/>
      <c r="O129" s="2428"/>
      <c r="P129" s="2428"/>
      <c r="Q129" s="2428"/>
      <c r="R129" s="2428"/>
      <c r="S129" s="2428"/>
      <c r="T129" s="2428"/>
      <c r="U129" s="2429"/>
      <c r="V129" s="1209"/>
      <c r="W129" s="1209"/>
      <c r="X129" s="2404"/>
      <c r="Y129" s="2405"/>
      <c r="Z129" s="2405"/>
      <c r="AA129" s="2405"/>
      <c r="AB129" s="2405"/>
      <c r="AC129" s="2405"/>
      <c r="AD129" s="2405"/>
      <c r="AE129" s="2405"/>
      <c r="AF129" s="2405"/>
      <c r="AG129" s="2405"/>
      <c r="AH129" s="2405"/>
      <c r="AI129" s="2405"/>
      <c r="AJ129" s="2405"/>
      <c r="AK129" s="2405"/>
      <c r="AL129" s="2405"/>
      <c r="AM129" s="2405"/>
      <c r="AN129" s="2405"/>
      <c r="AO129" s="2405"/>
      <c r="AP129" s="2405"/>
      <c r="AQ129" s="2405"/>
      <c r="AR129" s="2405"/>
      <c r="AS129" s="2405"/>
      <c r="AT129" s="2405"/>
      <c r="AU129" s="2405"/>
      <c r="AV129" s="2405"/>
      <c r="AW129" s="2405"/>
      <c r="AX129" s="2405"/>
      <c r="AY129" s="2405"/>
      <c r="AZ129" s="2405"/>
      <c r="BA129" s="2405"/>
      <c r="BB129" s="2405"/>
      <c r="BC129" s="2405"/>
      <c r="BD129" s="2406"/>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404"/>
      <c r="Y130" s="2405"/>
      <c r="Z130" s="2405"/>
      <c r="AA130" s="2405"/>
      <c r="AB130" s="2405"/>
      <c r="AC130" s="2405"/>
      <c r="AD130" s="2405"/>
      <c r="AE130" s="2405"/>
      <c r="AF130" s="2405"/>
      <c r="AG130" s="2405"/>
      <c r="AH130" s="2405"/>
      <c r="AI130" s="2405"/>
      <c r="AJ130" s="2405"/>
      <c r="AK130" s="2405"/>
      <c r="AL130" s="2405"/>
      <c r="AM130" s="2405"/>
      <c r="AN130" s="2405"/>
      <c r="AO130" s="2405"/>
      <c r="AP130" s="2405"/>
      <c r="AQ130" s="2405"/>
      <c r="AR130" s="2405"/>
      <c r="AS130" s="2405"/>
      <c r="AT130" s="2405"/>
      <c r="AU130" s="2405"/>
      <c r="AV130" s="2405"/>
      <c r="AW130" s="2405"/>
      <c r="AX130" s="2405"/>
      <c r="AY130" s="2405"/>
      <c r="AZ130" s="2405"/>
      <c r="BA130" s="2405"/>
      <c r="BB130" s="2405"/>
      <c r="BC130" s="2405"/>
      <c r="BD130" s="2406"/>
      <c r="BE130" s="1205"/>
    </row>
    <row r="131" spans="1:57" ht="15.75" customHeight="1" thickBot="1">
      <c r="A131" s="1209"/>
      <c r="B131" s="1231" t="s">
        <v>1834</v>
      </c>
      <c r="C131" s="1230"/>
      <c r="D131" s="1230"/>
      <c r="E131" s="1230"/>
      <c r="F131" s="1230"/>
      <c r="G131" s="1230"/>
      <c r="H131" s="1230"/>
      <c r="I131" s="1230"/>
      <c r="J131" s="1230"/>
      <c r="K131" s="1230"/>
      <c r="L131" s="1230"/>
      <c r="M131" s="1230"/>
      <c r="N131" s="1230"/>
      <c r="O131" s="1230"/>
      <c r="P131" s="1232"/>
      <c r="Q131" s="1220" t="s">
        <v>251</v>
      </c>
      <c r="R131" s="1220" t="s">
        <v>251</v>
      </c>
      <c r="S131" s="1209"/>
      <c r="T131" s="1209"/>
      <c r="U131" s="1209"/>
      <c r="V131" s="1209" t="s">
        <v>251</v>
      </c>
      <c r="W131" s="1209"/>
      <c r="X131" s="2404"/>
      <c r="Y131" s="2405"/>
      <c r="Z131" s="2405"/>
      <c r="AA131" s="2405"/>
      <c r="AB131" s="2405"/>
      <c r="AC131" s="2405"/>
      <c r="AD131" s="2405"/>
      <c r="AE131" s="2405"/>
      <c r="AF131" s="2405"/>
      <c r="AG131" s="2405"/>
      <c r="AH131" s="2405"/>
      <c r="AI131" s="2405"/>
      <c r="AJ131" s="2405"/>
      <c r="AK131" s="2405"/>
      <c r="AL131" s="2405"/>
      <c r="AM131" s="2405"/>
      <c r="AN131" s="2405"/>
      <c r="AO131" s="2405"/>
      <c r="AP131" s="2405"/>
      <c r="AQ131" s="2405"/>
      <c r="AR131" s="2405"/>
      <c r="AS131" s="2405"/>
      <c r="AT131" s="2405"/>
      <c r="AU131" s="2405"/>
      <c r="AV131" s="2405"/>
      <c r="AW131" s="2405"/>
      <c r="AX131" s="2405"/>
      <c r="AY131" s="2405"/>
      <c r="AZ131" s="2405"/>
      <c r="BA131" s="2405"/>
      <c r="BB131" s="2405"/>
      <c r="BC131" s="2405"/>
      <c r="BD131" s="2406"/>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404"/>
      <c r="Y132" s="2405"/>
      <c r="Z132" s="2405"/>
      <c r="AA132" s="2405"/>
      <c r="AB132" s="2405"/>
      <c r="AC132" s="2405"/>
      <c r="AD132" s="2405"/>
      <c r="AE132" s="2405"/>
      <c r="AF132" s="2405"/>
      <c r="AG132" s="2405"/>
      <c r="AH132" s="2405"/>
      <c r="AI132" s="2405"/>
      <c r="AJ132" s="2405"/>
      <c r="AK132" s="2405"/>
      <c r="AL132" s="2405"/>
      <c r="AM132" s="2405"/>
      <c r="AN132" s="2405"/>
      <c r="AO132" s="2405"/>
      <c r="AP132" s="2405"/>
      <c r="AQ132" s="2405"/>
      <c r="AR132" s="2405"/>
      <c r="AS132" s="2405"/>
      <c r="AT132" s="2405"/>
      <c r="AU132" s="2405"/>
      <c r="AV132" s="2405"/>
      <c r="AW132" s="2405"/>
      <c r="AX132" s="2405"/>
      <c r="AY132" s="2405"/>
      <c r="AZ132" s="2405"/>
      <c r="BA132" s="2405"/>
      <c r="BB132" s="2405"/>
      <c r="BC132" s="2405"/>
      <c r="BD132" s="2406"/>
      <c r="BE132" s="1205"/>
    </row>
    <row r="133" spans="1:57" ht="15.75" customHeight="1">
      <c r="A133" s="1209"/>
      <c r="B133" s="2283" t="s">
        <v>1835</v>
      </c>
      <c r="C133" s="2284"/>
      <c r="D133" s="2284"/>
      <c r="E133" s="2284"/>
      <c r="F133" s="2284"/>
      <c r="G133" s="2284"/>
      <c r="H133" s="2284"/>
      <c r="I133" s="2284"/>
      <c r="J133" s="2284"/>
      <c r="K133" s="2284"/>
      <c r="L133" s="2284"/>
      <c r="M133" s="2284"/>
      <c r="N133" s="2284"/>
      <c r="O133" s="2284"/>
      <c r="P133" s="2284"/>
      <c r="Q133" s="2284"/>
      <c r="R133" s="2284"/>
      <c r="S133" s="2284"/>
      <c r="T133" s="2284"/>
      <c r="U133" s="2285"/>
      <c r="V133" s="1209"/>
      <c r="W133" s="1209"/>
      <c r="X133" s="2404"/>
      <c r="Y133" s="2405"/>
      <c r="Z133" s="2405"/>
      <c r="AA133" s="2405"/>
      <c r="AB133" s="2405"/>
      <c r="AC133" s="2405"/>
      <c r="AD133" s="2405"/>
      <c r="AE133" s="2405"/>
      <c r="AF133" s="2405"/>
      <c r="AG133" s="2405"/>
      <c r="AH133" s="2405"/>
      <c r="AI133" s="2405"/>
      <c r="AJ133" s="2405"/>
      <c r="AK133" s="2405"/>
      <c r="AL133" s="2405"/>
      <c r="AM133" s="2405"/>
      <c r="AN133" s="2405"/>
      <c r="AO133" s="2405"/>
      <c r="AP133" s="2405"/>
      <c r="AQ133" s="2405"/>
      <c r="AR133" s="2405"/>
      <c r="AS133" s="2405"/>
      <c r="AT133" s="2405"/>
      <c r="AU133" s="2405"/>
      <c r="AV133" s="2405"/>
      <c r="AW133" s="2405"/>
      <c r="AX133" s="2405"/>
      <c r="AY133" s="2405"/>
      <c r="AZ133" s="2405"/>
      <c r="BA133" s="2405"/>
      <c r="BB133" s="2405"/>
      <c r="BC133" s="2405"/>
      <c r="BD133" s="2406"/>
      <c r="BE133" s="1205"/>
    </row>
    <row r="134" spans="1:57" ht="15.75" customHeight="1">
      <c r="A134" s="1209"/>
      <c r="B134" s="2424"/>
      <c r="C134" s="2425"/>
      <c r="D134" s="2425"/>
      <c r="E134" s="2425"/>
      <c r="F134" s="2425"/>
      <c r="G134" s="2425"/>
      <c r="H134" s="2425"/>
      <c r="I134" s="2448" t="s">
        <v>1830</v>
      </c>
      <c r="J134" s="2448"/>
      <c r="K134" s="2448"/>
      <c r="L134" s="2448"/>
      <c r="M134" s="2448"/>
      <c r="N134" s="2448"/>
      <c r="O134" s="2448"/>
      <c r="P134" s="2448" t="s">
        <v>2189</v>
      </c>
      <c r="Q134" s="2448"/>
      <c r="R134" s="2448"/>
      <c r="S134" s="2448"/>
      <c r="T134" s="2448"/>
      <c r="U134" s="2449"/>
      <c r="V134" s="1209"/>
      <c r="W134" s="1209"/>
      <c r="X134" s="2404"/>
      <c r="Y134" s="2405"/>
      <c r="Z134" s="2405"/>
      <c r="AA134" s="2405"/>
      <c r="AB134" s="2405"/>
      <c r="AC134" s="2405"/>
      <c r="AD134" s="2405"/>
      <c r="AE134" s="2405"/>
      <c r="AF134" s="2405"/>
      <c r="AG134" s="2405"/>
      <c r="AH134" s="2405"/>
      <c r="AI134" s="2405"/>
      <c r="AJ134" s="2405"/>
      <c r="AK134" s="2405"/>
      <c r="AL134" s="2405"/>
      <c r="AM134" s="2405"/>
      <c r="AN134" s="2405"/>
      <c r="AO134" s="2405"/>
      <c r="AP134" s="2405"/>
      <c r="AQ134" s="2405"/>
      <c r="AR134" s="2405"/>
      <c r="AS134" s="2405"/>
      <c r="AT134" s="2405"/>
      <c r="AU134" s="2405"/>
      <c r="AV134" s="2405"/>
      <c r="AW134" s="2405"/>
      <c r="AX134" s="2405"/>
      <c r="AY134" s="2405"/>
      <c r="AZ134" s="2405"/>
      <c r="BA134" s="2405"/>
      <c r="BB134" s="2405"/>
      <c r="BC134" s="2405"/>
      <c r="BD134" s="2406"/>
      <c r="BE134" s="1205"/>
    </row>
    <row r="135" spans="1:57" ht="15.75" customHeight="1">
      <c r="A135" s="1209"/>
      <c r="B135" s="2424"/>
      <c r="C135" s="2425"/>
      <c r="D135" s="2425"/>
      <c r="E135" s="2425"/>
      <c r="F135" s="2425"/>
      <c r="G135" s="2425"/>
      <c r="H135" s="2425"/>
      <c r="I135" s="2448"/>
      <c r="J135" s="2448"/>
      <c r="K135" s="2448"/>
      <c r="L135" s="2448"/>
      <c r="M135" s="2448"/>
      <c r="N135" s="2448"/>
      <c r="O135" s="2448"/>
      <c r="P135" s="2448"/>
      <c r="Q135" s="2448"/>
      <c r="R135" s="2448"/>
      <c r="S135" s="2448"/>
      <c r="T135" s="2448"/>
      <c r="U135" s="2449"/>
      <c r="V135" s="1209"/>
      <c r="W135" s="1209"/>
      <c r="X135" s="2404"/>
      <c r="Y135" s="2405"/>
      <c r="Z135" s="2405"/>
      <c r="AA135" s="2405"/>
      <c r="AB135" s="2405"/>
      <c r="AC135" s="2405"/>
      <c r="AD135" s="2405"/>
      <c r="AE135" s="2405"/>
      <c r="AF135" s="2405"/>
      <c r="AG135" s="2405"/>
      <c r="AH135" s="2405"/>
      <c r="AI135" s="2405"/>
      <c r="AJ135" s="2405"/>
      <c r="AK135" s="2405"/>
      <c r="AL135" s="2405"/>
      <c r="AM135" s="2405"/>
      <c r="AN135" s="2405"/>
      <c r="AO135" s="2405"/>
      <c r="AP135" s="2405"/>
      <c r="AQ135" s="2405"/>
      <c r="AR135" s="2405"/>
      <c r="AS135" s="2405"/>
      <c r="AT135" s="2405"/>
      <c r="AU135" s="2405"/>
      <c r="AV135" s="2405"/>
      <c r="AW135" s="2405"/>
      <c r="AX135" s="2405"/>
      <c r="AY135" s="2405"/>
      <c r="AZ135" s="2405"/>
      <c r="BA135" s="2405"/>
      <c r="BB135" s="2405"/>
      <c r="BC135" s="2405"/>
      <c r="BD135" s="2406"/>
      <c r="BE135" s="1205"/>
    </row>
    <row r="136" spans="1:57" ht="15.75" customHeight="1">
      <c r="A136" s="1209"/>
      <c r="B136" s="2430" t="s">
        <v>2177</v>
      </c>
      <c r="C136" s="2431"/>
      <c r="D136" s="2431"/>
      <c r="E136" s="2431"/>
      <c r="F136" s="2431"/>
      <c r="G136" s="2431"/>
      <c r="H136" s="2431"/>
      <c r="I136" s="2218">
        <v>0</v>
      </c>
      <c r="J136" s="2218"/>
      <c r="K136" s="2218"/>
      <c r="L136" s="2218"/>
      <c r="M136" s="2218"/>
      <c r="N136" s="2218"/>
      <c r="O136" s="2218"/>
      <c r="P136" s="2218">
        <v>0</v>
      </c>
      <c r="Q136" s="2218"/>
      <c r="R136" s="2218"/>
      <c r="S136" s="2218"/>
      <c r="T136" s="2218"/>
      <c r="U136" s="2224"/>
      <c r="V136" s="1209"/>
      <c r="W136" s="1209"/>
      <c r="X136" s="2404"/>
      <c r="Y136" s="2405"/>
      <c r="Z136" s="2405"/>
      <c r="AA136" s="2405"/>
      <c r="AB136" s="2405"/>
      <c r="AC136" s="2405"/>
      <c r="AD136" s="2405"/>
      <c r="AE136" s="2405"/>
      <c r="AF136" s="2405"/>
      <c r="AG136" s="2405"/>
      <c r="AH136" s="2405"/>
      <c r="AI136" s="2405"/>
      <c r="AJ136" s="2405"/>
      <c r="AK136" s="2405"/>
      <c r="AL136" s="2405"/>
      <c r="AM136" s="2405"/>
      <c r="AN136" s="2405"/>
      <c r="AO136" s="2405"/>
      <c r="AP136" s="2405"/>
      <c r="AQ136" s="2405"/>
      <c r="AR136" s="2405"/>
      <c r="AS136" s="2405"/>
      <c r="AT136" s="2405"/>
      <c r="AU136" s="2405"/>
      <c r="AV136" s="2405"/>
      <c r="AW136" s="2405"/>
      <c r="AX136" s="2405"/>
      <c r="AY136" s="2405"/>
      <c r="AZ136" s="2405"/>
      <c r="BA136" s="2405"/>
      <c r="BB136" s="2405"/>
      <c r="BC136" s="2405"/>
      <c r="BD136" s="2406"/>
      <c r="BE136" s="1205"/>
    </row>
    <row r="137" spans="1:57" ht="15.75" customHeight="1" thickBot="1">
      <c r="A137" s="1209"/>
      <c r="B137" s="2432" t="s">
        <v>2178</v>
      </c>
      <c r="C137" s="2433"/>
      <c r="D137" s="2433"/>
      <c r="E137" s="2433"/>
      <c r="F137" s="2433"/>
      <c r="G137" s="2433"/>
      <c r="H137" s="2433"/>
      <c r="I137" s="2238">
        <v>0</v>
      </c>
      <c r="J137" s="2238"/>
      <c r="K137" s="2238"/>
      <c r="L137" s="2238"/>
      <c r="M137" s="2238"/>
      <c r="N137" s="2238"/>
      <c r="O137" s="2238"/>
      <c r="P137" s="2238">
        <v>0</v>
      </c>
      <c r="Q137" s="2238"/>
      <c r="R137" s="2238"/>
      <c r="S137" s="2238"/>
      <c r="T137" s="2238"/>
      <c r="U137" s="2239"/>
      <c r="V137" s="1209"/>
      <c r="W137" s="1209"/>
      <c r="X137" s="2407"/>
      <c r="Y137" s="2408"/>
      <c r="Z137" s="2408"/>
      <c r="AA137" s="2408"/>
      <c r="AB137" s="2408"/>
      <c r="AC137" s="2408"/>
      <c r="AD137" s="2408"/>
      <c r="AE137" s="2408"/>
      <c r="AF137" s="2408"/>
      <c r="AG137" s="2408"/>
      <c r="AH137" s="2408"/>
      <c r="AI137" s="2408"/>
      <c r="AJ137" s="2408"/>
      <c r="AK137" s="2408"/>
      <c r="AL137" s="2408"/>
      <c r="AM137" s="2408"/>
      <c r="AN137" s="2408"/>
      <c r="AO137" s="2408"/>
      <c r="AP137" s="2408"/>
      <c r="AQ137" s="2408"/>
      <c r="AR137" s="2408"/>
      <c r="AS137" s="2408"/>
      <c r="AT137" s="2408"/>
      <c r="AU137" s="2408"/>
      <c r="AV137" s="2408"/>
      <c r="AW137" s="2408"/>
      <c r="AX137" s="2408"/>
      <c r="AY137" s="2408"/>
      <c r="AZ137" s="2408"/>
      <c r="BA137" s="2408"/>
      <c r="BB137" s="2408"/>
      <c r="BC137" s="2408"/>
      <c r="BD137" s="2409"/>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434" t="s">
        <v>1836</v>
      </c>
      <c r="C139" s="2435"/>
      <c r="D139" s="2435"/>
      <c r="E139" s="2435"/>
      <c r="F139" s="2435"/>
      <c r="G139" s="2435"/>
      <c r="H139" s="2435"/>
      <c r="I139" s="2435"/>
      <c r="J139" s="2435"/>
      <c r="K139" s="2435"/>
      <c r="L139" s="2435"/>
      <c r="M139" s="2435"/>
      <c r="N139" s="2435"/>
      <c r="O139" s="2435"/>
      <c r="P139" s="2435"/>
      <c r="Q139" s="2435"/>
      <c r="R139" s="2435"/>
      <c r="S139" s="2435"/>
      <c r="T139" s="2435"/>
      <c r="U139" s="2435"/>
      <c r="V139" s="2435"/>
      <c r="W139" s="2435"/>
      <c r="X139" s="2435"/>
      <c r="Y139" s="2435"/>
      <c r="Z139" s="2435"/>
      <c r="AA139" s="2435"/>
      <c r="AB139" s="2435"/>
      <c r="AC139" s="2435"/>
      <c r="AD139" s="2435"/>
      <c r="AE139" s="2435"/>
      <c r="AF139" s="2435"/>
      <c r="AG139" s="2435"/>
      <c r="AH139" s="2436" t="s">
        <v>554</v>
      </c>
      <c r="AI139" s="2436"/>
      <c r="AJ139" s="2436"/>
      <c r="AK139" s="2436"/>
      <c r="AL139" s="2436"/>
      <c r="AM139" s="2436"/>
      <c r="AN139" s="2436"/>
      <c r="AO139" s="2436"/>
      <c r="AP139" s="2436"/>
      <c r="AQ139" s="2436"/>
      <c r="AR139" s="2436"/>
      <c r="AS139" s="2436"/>
      <c r="AT139" s="2436"/>
      <c r="AU139" s="2436"/>
      <c r="AV139" s="2436"/>
      <c r="AW139" s="2436"/>
      <c r="AX139" s="2437"/>
      <c r="AY139" s="1209"/>
      <c r="AZ139" s="1209"/>
      <c r="BA139" s="1209"/>
      <c r="BB139" s="1209"/>
      <c r="BC139" s="1209"/>
      <c r="BD139" s="1209"/>
      <c r="BE139" s="1205"/>
    </row>
    <row r="140" spans="1:57" ht="15.75" customHeight="1">
      <c r="A140" s="1209"/>
      <c r="B140" s="2438" t="s">
        <v>1837</v>
      </c>
      <c r="C140" s="2439"/>
      <c r="D140" s="2439"/>
      <c r="E140" s="2439"/>
      <c r="F140" s="2439"/>
      <c r="G140" s="2439"/>
      <c r="H140" s="2439"/>
      <c r="I140" s="2439"/>
      <c r="J140" s="2439"/>
      <c r="K140" s="2439"/>
      <c r="L140" s="2439"/>
      <c r="M140" s="2439"/>
      <c r="N140" s="2439"/>
      <c r="O140" s="2439"/>
      <c r="P140" s="2439"/>
      <c r="Q140" s="2439"/>
      <c r="R140" s="2440" t="s">
        <v>2191</v>
      </c>
      <c r="S140" s="2440"/>
      <c r="T140" s="2440"/>
      <c r="U140" s="2440"/>
      <c r="V140" s="2440"/>
      <c r="W140" s="2440"/>
      <c r="X140" s="2440"/>
      <c r="Y140" s="2440"/>
      <c r="Z140" s="2440"/>
      <c r="AA140" s="2440"/>
      <c r="AB140" s="2440"/>
      <c r="AC140" s="2440"/>
      <c r="AD140" s="2440"/>
      <c r="AE140" s="2440"/>
      <c r="AF140" s="2440"/>
      <c r="AG140" s="2440"/>
      <c r="AH140" s="2440"/>
      <c r="AI140" s="2440"/>
      <c r="AJ140" s="2440"/>
      <c r="AK140" s="2440"/>
      <c r="AL140" s="2440"/>
      <c r="AM140" s="2440"/>
      <c r="AN140" s="2440"/>
      <c r="AO140" s="2440"/>
      <c r="AP140" s="2440"/>
      <c r="AQ140" s="2440"/>
      <c r="AR140" s="2440"/>
      <c r="AS140" s="2440"/>
      <c r="AT140" s="2440"/>
      <c r="AU140" s="2440"/>
      <c r="AV140" s="2440"/>
      <c r="AW140" s="2440"/>
      <c r="AX140" s="2441"/>
      <c r="AY140" s="1209"/>
      <c r="AZ140" s="1209"/>
      <c r="BA140" s="1209"/>
      <c r="BB140" s="1209"/>
      <c r="BC140" s="1209" t="s">
        <v>251</v>
      </c>
      <c r="BD140" s="1209"/>
      <c r="BE140" s="1205"/>
    </row>
    <row r="141" spans="1:57" ht="15.75" customHeight="1">
      <c r="A141" s="1209"/>
      <c r="B141" s="2442" t="s">
        <v>2192</v>
      </c>
      <c r="C141" s="2443"/>
      <c r="D141" s="2443"/>
      <c r="E141" s="2443"/>
      <c r="F141" s="2443"/>
      <c r="G141" s="2443"/>
      <c r="H141" s="2443"/>
      <c r="I141" s="2443"/>
      <c r="J141" s="2443"/>
      <c r="K141" s="2443"/>
      <c r="L141" s="2443"/>
      <c r="M141" s="2443"/>
      <c r="N141" s="2443"/>
      <c r="O141" s="2443"/>
      <c r="P141" s="2443"/>
      <c r="Q141" s="2443"/>
      <c r="R141" s="2443"/>
      <c r="S141" s="2443"/>
      <c r="T141" s="2443"/>
      <c r="U141" s="2443"/>
      <c r="V141" s="2443"/>
      <c r="W141" s="2443"/>
      <c r="X141" s="2443"/>
      <c r="Y141" s="2443"/>
      <c r="Z141" s="2443"/>
      <c r="AA141" s="2443"/>
      <c r="AB141" s="2443"/>
      <c r="AC141" s="2443"/>
      <c r="AD141" s="2443"/>
      <c r="AE141" s="2443"/>
      <c r="AF141" s="2443"/>
      <c r="AG141" s="2443"/>
      <c r="AH141" s="2443"/>
      <c r="AI141" s="2443"/>
      <c r="AJ141" s="2443"/>
      <c r="AK141" s="2443"/>
      <c r="AL141" s="2443"/>
      <c r="AM141" s="2443"/>
      <c r="AN141" s="2443"/>
      <c r="AO141" s="2443"/>
      <c r="AP141" s="2443"/>
      <c r="AQ141" s="2443"/>
      <c r="AR141" s="2443"/>
      <c r="AS141" s="2443"/>
      <c r="AT141" s="2443"/>
      <c r="AU141" s="2443"/>
      <c r="AV141" s="2443"/>
      <c r="AW141" s="2443"/>
      <c r="AX141" s="2444"/>
      <c r="AY141" s="1209"/>
      <c r="AZ141" s="1209"/>
      <c r="BA141" s="1209"/>
      <c r="BB141" s="1209"/>
      <c r="BC141" s="1209"/>
      <c r="BD141" s="1209"/>
      <c r="BE141" s="1205"/>
    </row>
    <row r="142" spans="1:57" ht="15.75" customHeight="1">
      <c r="A142" s="1209"/>
      <c r="B142" s="2442"/>
      <c r="C142" s="2443"/>
      <c r="D142" s="2443"/>
      <c r="E142" s="2443"/>
      <c r="F142" s="2443"/>
      <c r="G142" s="2443"/>
      <c r="H142" s="2443"/>
      <c r="I142" s="2443"/>
      <c r="J142" s="2443"/>
      <c r="K142" s="2443"/>
      <c r="L142" s="2443"/>
      <c r="M142" s="2443"/>
      <c r="N142" s="2443"/>
      <c r="O142" s="2443"/>
      <c r="P142" s="2443"/>
      <c r="Q142" s="2443"/>
      <c r="R142" s="2443"/>
      <c r="S142" s="2443"/>
      <c r="T142" s="2443"/>
      <c r="U142" s="2443"/>
      <c r="V142" s="2443"/>
      <c r="W142" s="2443"/>
      <c r="X142" s="2443"/>
      <c r="Y142" s="2443"/>
      <c r="Z142" s="2443"/>
      <c r="AA142" s="2443"/>
      <c r="AB142" s="2443"/>
      <c r="AC142" s="2443"/>
      <c r="AD142" s="2443"/>
      <c r="AE142" s="2443"/>
      <c r="AF142" s="2443"/>
      <c r="AG142" s="2443"/>
      <c r="AH142" s="2443"/>
      <c r="AI142" s="2443"/>
      <c r="AJ142" s="2443"/>
      <c r="AK142" s="2443"/>
      <c r="AL142" s="2443"/>
      <c r="AM142" s="2443"/>
      <c r="AN142" s="2443"/>
      <c r="AO142" s="2443"/>
      <c r="AP142" s="2443"/>
      <c r="AQ142" s="2443"/>
      <c r="AR142" s="2443"/>
      <c r="AS142" s="2443"/>
      <c r="AT142" s="2443"/>
      <c r="AU142" s="2443"/>
      <c r="AV142" s="2443"/>
      <c r="AW142" s="2443"/>
      <c r="AX142" s="2444"/>
      <c r="AY142" s="1209"/>
      <c r="AZ142" s="1209"/>
      <c r="BA142" s="1209"/>
      <c r="BB142" s="1209"/>
      <c r="BC142" s="1209"/>
      <c r="BD142" s="1209"/>
      <c r="BE142" s="1205"/>
    </row>
    <row r="143" spans="1:57" ht="15.75" customHeight="1">
      <c r="A143" s="1209"/>
      <c r="B143" s="2442"/>
      <c r="C143" s="2443"/>
      <c r="D143" s="2443"/>
      <c r="E143" s="2443"/>
      <c r="F143" s="2443"/>
      <c r="G143" s="2443"/>
      <c r="H143" s="2443"/>
      <c r="I143" s="2443"/>
      <c r="J143" s="2443"/>
      <c r="K143" s="2443"/>
      <c r="L143" s="2443"/>
      <c r="M143" s="2443"/>
      <c r="N143" s="2443"/>
      <c r="O143" s="2443"/>
      <c r="P143" s="2443"/>
      <c r="Q143" s="2443"/>
      <c r="R143" s="2443"/>
      <c r="S143" s="2443"/>
      <c r="T143" s="2443"/>
      <c r="U143" s="2443"/>
      <c r="V143" s="2443"/>
      <c r="W143" s="2443"/>
      <c r="X143" s="2443"/>
      <c r="Y143" s="2443"/>
      <c r="Z143" s="2443"/>
      <c r="AA143" s="2443"/>
      <c r="AB143" s="2443"/>
      <c r="AC143" s="2443"/>
      <c r="AD143" s="2443"/>
      <c r="AE143" s="2443"/>
      <c r="AF143" s="2443"/>
      <c r="AG143" s="2443"/>
      <c r="AH143" s="2443"/>
      <c r="AI143" s="2443"/>
      <c r="AJ143" s="2443"/>
      <c r="AK143" s="2443"/>
      <c r="AL143" s="2443"/>
      <c r="AM143" s="2443"/>
      <c r="AN143" s="2443"/>
      <c r="AO143" s="2443"/>
      <c r="AP143" s="2443"/>
      <c r="AQ143" s="2443"/>
      <c r="AR143" s="2443"/>
      <c r="AS143" s="2443"/>
      <c r="AT143" s="2443"/>
      <c r="AU143" s="2443"/>
      <c r="AV143" s="2443"/>
      <c r="AW143" s="2443"/>
      <c r="AX143" s="2444"/>
      <c r="AY143" s="1209"/>
      <c r="AZ143" s="1209"/>
      <c r="BA143" s="1209"/>
      <c r="BB143" s="1209"/>
      <c r="BC143" s="1209"/>
      <c r="BD143" s="1209"/>
      <c r="BE143" s="1205"/>
    </row>
    <row r="144" spans="1:57" ht="15.75" customHeight="1">
      <c r="A144" s="1209"/>
      <c r="B144" s="2442"/>
      <c r="C144" s="2443"/>
      <c r="D144" s="2443"/>
      <c r="E144" s="2443"/>
      <c r="F144" s="2443"/>
      <c r="G144" s="2443"/>
      <c r="H144" s="2443"/>
      <c r="I144" s="2443"/>
      <c r="J144" s="2443"/>
      <c r="K144" s="2443"/>
      <c r="L144" s="2443"/>
      <c r="M144" s="2443"/>
      <c r="N144" s="2443"/>
      <c r="O144" s="2443"/>
      <c r="P144" s="2443"/>
      <c r="Q144" s="2443"/>
      <c r="R144" s="2443"/>
      <c r="S144" s="2443"/>
      <c r="T144" s="2443"/>
      <c r="U144" s="2443"/>
      <c r="V144" s="2443"/>
      <c r="W144" s="2443"/>
      <c r="X144" s="2443"/>
      <c r="Y144" s="2443"/>
      <c r="Z144" s="2443"/>
      <c r="AA144" s="2443"/>
      <c r="AB144" s="2443"/>
      <c r="AC144" s="2443"/>
      <c r="AD144" s="2443"/>
      <c r="AE144" s="2443"/>
      <c r="AF144" s="2443"/>
      <c r="AG144" s="2443"/>
      <c r="AH144" s="2443"/>
      <c r="AI144" s="2443"/>
      <c r="AJ144" s="2443"/>
      <c r="AK144" s="2443"/>
      <c r="AL144" s="2443"/>
      <c r="AM144" s="2443"/>
      <c r="AN144" s="2443"/>
      <c r="AO144" s="2443"/>
      <c r="AP144" s="2443"/>
      <c r="AQ144" s="2443"/>
      <c r="AR144" s="2443"/>
      <c r="AS144" s="2443"/>
      <c r="AT144" s="2443"/>
      <c r="AU144" s="2443"/>
      <c r="AV144" s="2443"/>
      <c r="AW144" s="2443"/>
      <c r="AX144" s="2444"/>
      <c r="AY144" s="1209"/>
      <c r="AZ144" s="1209"/>
      <c r="BA144" s="1209"/>
      <c r="BB144" s="1209"/>
      <c r="BC144" s="1209"/>
      <c r="BD144" s="1209"/>
      <c r="BE144" s="1205"/>
    </row>
    <row r="145" spans="1:57" ht="15.75" customHeight="1">
      <c r="A145" s="1209"/>
      <c r="B145" s="2442"/>
      <c r="C145" s="2443"/>
      <c r="D145" s="2443"/>
      <c r="E145" s="2443"/>
      <c r="F145" s="2443"/>
      <c r="G145" s="2443"/>
      <c r="H145" s="2443"/>
      <c r="I145" s="2443"/>
      <c r="J145" s="2443"/>
      <c r="K145" s="2443"/>
      <c r="L145" s="2443"/>
      <c r="M145" s="2443"/>
      <c r="N145" s="2443"/>
      <c r="O145" s="2443"/>
      <c r="P145" s="2443"/>
      <c r="Q145" s="2443"/>
      <c r="R145" s="2443"/>
      <c r="S145" s="2443"/>
      <c r="T145" s="2443"/>
      <c r="U145" s="2443"/>
      <c r="V145" s="2443"/>
      <c r="W145" s="2443"/>
      <c r="X145" s="2443"/>
      <c r="Y145" s="2443"/>
      <c r="Z145" s="2443"/>
      <c r="AA145" s="2443"/>
      <c r="AB145" s="2443"/>
      <c r="AC145" s="2443"/>
      <c r="AD145" s="2443"/>
      <c r="AE145" s="2443"/>
      <c r="AF145" s="2443"/>
      <c r="AG145" s="2443"/>
      <c r="AH145" s="2443"/>
      <c r="AI145" s="2443"/>
      <c r="AJ145" s="2443"/>
      <c r="AK145" s="2443"/>
      <c r="AL145" s="2443"/>
      <c r="AM145" s="2443"/>
      <c r="AN145" s="2443"/>
      <c r="AO145" s="2443"/>
      <c r="AP145" s="2443"/>
      <c r="AQ145" s="2443"/>
      <c r="AR145" s="2443"/>
      <c r="AS145" s="2443"/>
      <c r="AT145" s="2443"/>
      <c r="AU145" s="2443"/>
      <c r="AV145" s="2443"/>
      <c r="AW145" s="2443"/>
      <c r="AX145" s="2444"/>
      <c r="AY145" s="1209"/>
      <c r="AZ145" s="1209"/>
      <c r="BA145" s="1209"/>
      <c r="BB145" s="1209"/>
      <c r="BC145" s="1209"/>
      <c r="BD145" s="1209"/>
      <c r="BE145" s="1205"/>
    </row>
    <row r="146" spans="1:57" ht="15.75" customHeight="1">
      <c r="A146" s="1209"/>
      <c r="B146" s="2442"/>
      <c r="C146" s="2443"/>
      <c r="D146" s="2443"/>
      <c r="E146" s="2443"/>
      <c r="F146" s="2443"/>
      <c r="G146" s="2443"/>
      <c r="H146" s="2443"/>
      <c r="I146" s="2443"/>
      <c r="J146" s="2443"/>
      <c r="K146" s="2443"/>
      <c r="L146" s="2443"/>
      <c r="M146" s="2443"/>
      <c r="N146" s="2443"/>
      <c r="O146" s="2443"/>
      <c r="P146" s="2443"/>
      <c r="Q146" s="2443"/>
      <c r="R146" s="2443"/>
      <c r="S146" s="2443"/>
      <c r="T146" s="2443"/>
      <c r="U146" s="2443"/>
      <c r="V146" s="2443"/>
      <c r="W146" s="2443"/>
      <c r="X146" s="2443"/>
      <c r="Y146" s="2443"/>
      <c r="Z146" s="2443"/>
      <c r="AA146" s="2443"/>
      <c r="AB146" s="2443"/>
      <c r="AC146" s="2443"/>
      <c r="AD146" s="2443"/>
      <c r="AE146" s="2443"/>
      <c r="AF146" s="2443"/>
      <c r="AG146" s="2443"/>
      <c r="AH146" s="2443"/>
      <c r="AI146" s="2443"/>
      <c r="AJ146" s="2443"/>
      <c r="AK146" s="2443"/>
      <c r="AL146" s="2443"/>
      <c r="AM146" s="2443"/>
      <c r="AN146" s="2443"/>
      <c r="AO146" s="2443"/>
      <c r="AP146" s="2443"/>
      <c r="AQ146" s="2443"/>
      <c r="AR146" s="2443"/>
      <c r="AS146" s="2443"/>
      <c r="AT146" s="2443"/>
      <c r="AU146" s="2443"/>
      <c r="AV146" s="2443"/>
      <c r="AW146" s="2443"/>
      <c r="AX146" s="2444"/>
      <c r="AY146" s="1209"/>
      <c r="AZ146" s="1209"/>
      <c r="BA146" s="1209"/>
      <c r="BB146" s="1209"/>
      <c r="BC146" s="1209"/>
      <c r="BD146" s="1209"/>
      <c r="BE146" s="1205"/>
    </row>
    <row r="147" spans="1:57" ht="15.75" customHeight="1">
      <c r="A147" s="1209"/>
      <c r="B147" s="2442"/>
      <c r="C147" s="2443"/>
      <c r="D147" s="2443"/>
      <c r="E147" s="2443"/>
      <c r="F147" s="2443"/>
      <c r="G147" s="2443"/>
      <c r="H147" s="2443"/>
      <c r="I147" s="2443"/>
      <c r="J147" s="2443"/>
      <c r="K147" s="2443"/>
      <c r="L147" s="2443"/>
      <c r="M147" s="2443"/>
      <c r="N147" s="2443"/>
      <c r="O147" s="2443"/>
      <c r="P147" s="2443"/>
      <c r="Q147" s="2443"/>
      <c r="R147" s="2443"/>
      <c r="S147" s="2443"/>
      <c r="T147" s="2443"/>
      <c r="U147" s="2443"/>
      <c r="V147" s="2443"/>
      <c r="W147" s="2443"/>
      <c r="X147" s="2443"/>
      <c r="Y147" s="2443"/>
      <c r="Z147" s="2443"/>
      <c r="AA147" s="2443"/>
      <c r="AB147" s="2443"/>
      <c r="AC147" s="2443"/>
      <c r="AD147" s="2443"/>
      <c r="AE147" s="2443"/>
      <c r="AF147" s="2443"/>
      <c r="AG147" s="2443"/>
      <c r="AH147" s="2443"/>
      <c r="AI147" s="2443"/>
      <c r="AJ147" s="2443"/>
      <c r="AK147" s="2443"/>
      <c r="AL147" s="2443"/>
      <c r="AM147" s="2443"/>
      <c r="AN147" s="2443"/>
      <c r="AO147" s="2443"/>
      <c r="AP147" s="2443"/>
      <c r="AQ147" s="2443"/>
      <c r="AR147" s="2443"/>
      <c r="AS147" s="2443"/>
      <c r="AT147" s="2443"/>
      <c r="AU147" s="2443"/>
      <c r="AV147" s="2443"/>
      <c r="AW147" s="2443"/>
      <c r="AX147" s="2444"/>
      <c r="AY147" s="1209"/>
      <c r="AZ147" s="1209"/>
      <c r="BA147" s="1209"/>
      <c r="BB147" s="1209"/>
      <c r="BC147" s="1209"/>
      <c r="BD147" s="1209"/>
      <c r="BE147" s="1205"/>
    </row>
    <row r="148" spans="1:57" ht="15.75" customHeight="1">
      <c r="A148" s="1209"/>
      <c r="B148" s="2442"/>
      <c r="C148" s="2443"/>
      <c r="D148" s="2443"/>
      <c r="E148" s="2443"/>
      <c r="F148" s="2443"/>
      <c r="G148" s="2443"/>
      <c r="H148" s="2443"/>
      <c r="I148" s="2443"/>
      <c r="J148" s="2443"/>
      <c r="K148" s="2443"/>
      <c r="L148" s="2443"/>
      <c r="M148" s="2443"/>
      <c r="N148" s="2443"/>
      <c r="O148" s="2443"/>
      <c r="P148" s="2443"/>
      <c r="Q148" s="2443"/>
      <c r="R148" s="2443"/>
      <c r="S148" s="2443"/>
      <c r="T148" s="2443"/>
      <c r="U148" s="2443"/>
      <c r="V148" s="2443"/>
      <c r="W148" s="2443"/>
      <c r="X148" s="2443"/>
      <c r="Y148" s="2443"/>
      <c r="Z148" s="2443"/>
      <c r="AA148" s="2443"/>
      <c r="AB148" s="2443"/>
      <c r="AC148" s="2443"/>
      <c r="AD148" s="2443"/>
      <c r="AE148" s="2443"/>
      <c r="AF148" s="2443"/>
      <c r="AG148" s="2443"/>
      <c r="AH148" s="2443"/>
      <c r="AI148" s="2443"/>
      <c r="AJ148" s="2443"/>
      <c r="AK148" s="2443"/>
      <c r="AL148" s="2443"/>
      <c r="AM148" s="2443"/>
      <c r="AN148" s="2443"/>
      <c r="AO148" s="2443"/>
      <c r="AP148" s="2443"/>
      <c r="AQ148" s="2443"/>
      <c r="AR148" s="2443"/>
      <c r="AS148" s="2443"/>
      <c r="AT148" s="2443"/>
      <c r="AU148" s="2443"/>
      <c r="AV148" s="2443"/>
      <c r="AW148" s="2443"/>
      <c r="AX148" s="2444"/>
      <c r="AY148" s="1209"/>
      <c r="AZ148" s="1209"/>
      <c r="BA148" s="1209"/>
      <c r="BB148" s="1209"/>
      <c r="BC148" s="1209"/>
      <c r="BD148" s="1209"/>
      <c r="BE148" s="1205"/>
    </row>
    <row r="149" spans="1:57" ht="15.75" customHeight="1">
      <c r="A149" s="1209"/>
      <c r="B149" s="2442"/>
      <c r="C149" s="2443"/>
      <c r="D149" s="2443"/>
      <c r="E149" s="2443"/>
      <c r="F149" s="2443"/>
      <c r="G149" s="2443"/>
      <c r="H149" s="2443"/>
      <c r="I149" s="2443"/>
      <c r="J149" s="2443"/>
      <c r="K149" s="2443"/>
      <c r="L149" s="2443"/>
      <c r="M149" s="2443"/>
      <c r="N149" s="2443"/>
      <c r="O149" s="2443"/>
      <c r="P149" s="2443"/>
      <c r="Q149" s="2443"/>
      <c r="R149" s="2443"/>
      <c r="S149" s="2443"/>
      <c r="T149" s="2443"/>
      <c r="U149" s="2443"/>
      <c r="V149" s="2443"/>
      <c r="W149" s="2443"/>
      <c r="X149" s="2443"/>
      <c r="Y149" s="2443"/>
      <c r="Z149" s="2443"/>
      <c r="AA149" s="2443"/>
      <c r="AB149" s="2443"/>
      <c r="AC149" s="2443"/>
      <c r="AD149" s="2443"/>
      <c r="AE149" s="2443"/>
      <c r="AF149" s="2443"/>
      <c r="AG149" s="2443"/>
      <c r="AH149" s="2443"/>
      <c r="AI149" s="2443"/>
      <c r="AJ149" s="2443"/>
      <c r="AK149" s="2443"/>
      <c r="AL149" s="2443"/>
      <c r="AM149" s="2443"/>
      <c r="AN149" s="2443"/>
      <c r="AO149" s="2443"/>
      <c r="AP149" s="2443"/>
      <c r="AQ149" s="2443"/>
      <c r="AR149" s="2443"/>
      <c r="AS149" s="2443"/>
      <c r="AT149" s="2443"/>
      <c r="AU149" s="2443"/>
      <c r="AV149" s="2443"/>
      <c r="AW149" s="2443"/>
      <c r="AX149" s="2444"/>
      <c r="AY149" s="1209"/>
      <c r="AZ149" s="1209"/>
      <c r="BA149" s="1209"/>
      <c r="BB149" s="1209"/>
      <c r="BC149" s="1209"/>
      <c r="BD149" s="1209"/>
      <c r="BE149" s="1205"/>
    </row>
    <row r="150" spans="1:57" ht="15.75" customHeight="1" thickBot="1">
      <c r="A150" s="1209"/>
      <c r="B150" s="2445"/>
      <c r="C150" s="2446"/>
      <c r="D150" s="2446"/>
      <c r="E150" s="2446"/>
      <c r="F150" s="2446"/>
      <c r="G150" s="2446"/>
      <c r="H150" s="2446"/>
      <c r="I150" s="2446"/>
      <c r="J150" s="2446"/>
      <c r="K150" s="2446"/>
      <c r="L150" s="2446"/>
      <c r="M150" s="2446"/>
      <c r="N150" s="2446"/>
      <c r="O150" s="2446"/>
      <c r="P150" s="2446"/>
      <c r="Q150" s="2446"/>
      <c r="R150" s="2446"/>
      <c r="S150" s="2446"/>
      <c r="T150" s="2446"/>
      <c r="U150" s="2446"/>
      <c r="V150" s="2446"/>
      <c r="W150" s="2446"/>
      <c r="X150" s="2446"/>
      <c r="Y150" s="2446"/>
      <c r="Z150" s="2446"/>
      <c r="AA150" s="2446"/>
      <c r="AB150" s="2446"/>
      <c r="AC150" s="2446"/>
      <c r="AD150" s="2446"/>
      <c r="AE150" s="2446"/>
      <c r="AF150" s="2446"/>
      <c r="AG150" s="2446"/>
      <c r="AH150" s="2446"/>
      <c r="AI150" s="2446"/>
      <c r="AJ150" s="2446"/>
      <c r="AK150" s="2446"/>
      <c r="AL150" s="2446"/>
      <c r="AM150" s="2446"/>
      <c r="AN150" s="2446"/>
      <c r="AO150" s="2446"/>
      <c r="AP150" s="2446"/>
      <c r="AQ150" s="2446"/>
      <c r="AR150" s="2446"/>
      <c r="AS150" s="2446"/>
      <c r="AT150" s="2446"/>
      <c r="AU150" s="2446"/>
      <c r="AV150" s="2446"/>
      <c r="AW150" s="2446"/>
      <c r="AX150" s="2447"/>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1838</v>
      </c>
      <c r="C152" s="1230"/>
      <c r="D152" s="1230"/>
      <c r="E152" s="1230"/>
      <c r="F152" s="1230"/>
      <c r="G152" s="1230"/>
      <c r="H152" s="1230"/>
      <c r="I152" s="1230"/>
      <c r="J152" s="1230"/>
      <c r="K152" s="1230"/>
      <c r="L152" s="1230"/>
      <c r="M152" s="1232"/>
      <c r="N152" s="1220"/>
      <c r="O152" s="1220"/>
      <c r="P152" s="1209"/>
      <c r="Q152" s="1209"/>
      <c r="R152" s="1209"/>
      <c r="S152" s="1209"/>
      <c r="T152" s="1209"/>
      <c r="U152" s="1209" t="s">
        <v>251</v>
      </c>
      <c r="V152" s="1209"/>
      <c r="W152" s="1209"/>
      <c r="X152" s="1231" t="s">
        <v>2193</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371" t="s">
        <v>1839</v>
      </c>
      <c r="C154" s="2372"/>
      <c r="D154" s="2372"/>
      <c r="E154" s="2372"/>
      <c r="F154" s="2372"/>
      <c r="G154" s="2372"/>
      <c r="H154" s="2372"/>
      <c r="I154" s="2372"/>
      <c r="J154" s="2372"/>
      <c r="K154" s="2372"/>
      <c r="L154" s="2372"/>
      <c r="M154" s="2372"/>
      <c r="N154" s="2372"/>
      <c r="O154" s="2372"/>
      <c r="P154" s="2372"/>
      <c r="Q154" s="2372"/>
      <c r="R154" s="2372"/>
      <c r="S154" s="2372"/>
      <c r="T154" s="2372"/>
      <c r="U154" s="2373"/>
      <c r="V154" s="1209"/>
      <c r="W154" s="1217"/>
      <c r="X154" s="2371" t="s">
        <v>2194</v>
      </c>
      <c r="Y154" s="2372"/>
      <c r="Z154" s="2372"/>
      <c r="AA154" s="2372"/>
      <c r="AB154" s="2372"/>
      <c r="AC154" s="2372"/>
      <c r="AD154" s="2372"/>
      <c r="AE154" s="2372"/>
      <c r="AF154" s="2372"/>
      <c r="AG154" s="2372"/>
      <c r="AH154" s="2372"/>
      <c r="AI154" s="2372"/>
      <c r="AJ154" s="2372"/>
      <c r="AK154" s="2372"/>
      <c r="AL154" s="2372"/>
      <c r="AM154" s="2372"/>
      <c r="AN154" s="2372"/>
      <c r="AO154" s="2372"/>
      <c r="AP154" s="2372"/>
      <c r="AQ154" s="2373"/>
      <c r="AR154" s="1209"/>
      <c r="AS154" s="1209"/>
      <c r="AT154" s="1209"/>
      <c r="AU154" s="1209"/>
      <c r="AV154" s="1209"/>
      <c r="AW154" s="1209"/>
      <c r="AX154" s="1209"/>
      <c r="AY154" s="1209"/>
      <c r="AZ154" s="1209"/>
      <c r="BA154" s="1209"/>
      <c r="BB154" s="1209"/>
      <c r="BC154" s="1209"/>
      <c r="BD154" s="1209"/>
      <c r="BE154" s="1205"/>
    </row>
    <row r="155" spans="1:57" ht="15.75" customHeight="1">
      <c r="A155" s="1209"/>
      <c r="B155" s="2424"/>
      <c r="C155" s="2425"/>
      <c r="D155" s="2425"/>
      <c r="E155" s="2425"/>
      <c r="F155" s="2425"/>
      <c r="G155" s="2425"/>
      <c r="H155" s="2425"/>
      <c r="I155" s="2448" t="s">
        <v>1830</v>
      </c>
      <c r="J155" s="2448"/>
      <c r="K155" s="2448"/>
      <c r="L155" s="2448"/>
      <c r="M155" s="2448"/>
      <c r="N155" s="2448"/>
      <c r="O155" s="2448"/>
      <c r="P155" s="2448" t="s">
        <v>2195</v>
      </c>
      <c r="Q155" s="2448"/>
      <c r="R155" s="2448"/>
      <c r="S155" s="2448"/>
      <c r="T155" s="2448"/>
      <c r="U155" s="2449"/>
      <c r="V155" s="1209"/>
      <c r="W155" s="1209"/>
      <c r="X155" s="2424"/>
      <c r="Y155" s="2425"/>
      <c r="Z155" s="2425"/>
      <c r="AA155" s="2425"/>
      <c r="AB155" s="2425"/>
      <c r="AC155" s="2425"/>
      <c r="AD155" s="2425"/>
      <c r="AE155" s="2448" t="s">
        <v>1830</v>
      </c>
      <c r="AF155" s="2448"/>
      <c r="AG155" s="2448"/>
      <c r="AH155" s="2448"/>
      <c r="AI155" s="2448"/>
      <c r="AJ155" s="2448"/>
      <c r="AK155" s="2448"/>
      <c r="AL155" s="2448" t="s">
        <v>2189</v>
      </c>
      <c r="AM155" s="2448"/>
      <c r="AN155" s="2448"/>
      <c r="AO155" s="2448"/>
      <c r="AP155" s="2448"/>
      <c r="AQ155" s="2449"/>
      <c r="AR155" s="1209"/>
      <c r="AS155" s="1209"/>
      <c r="AT155" s="1209"/>
      <c r="AU155" s="1209"/>
      <c r="AV155" s="1209"/>
      <c r="AW155" s="1209"/>
      <c r="AX155" s="1209"/>
      <c r="AY155" s="1209"/>
      <c r="AZ155" s="1209"/>
      <c r="BA155" s="1209"/>
      <c r="BB155" s="1209"/>
      <c r="BC155" s="1209"/>
      <c r="BD155" s="1209"/>
      <c r="BE155" s="1205"/>
    </row>
    <row r="156" spans="1:57" ht="15.75" customHeight="1">
      <c r="A156" s="1209"/>
      <c r="B156" s="2424"/>
      <c r="C156" s="2425"/>
      <c r="D156" s="2425"/>
      <c r="E156" s="2425"/>
      <c r="F156" s="2425"/>
      <c r="G156" s="2425"/>
      <c r="H156" s="2425"/>
      <c r="I156" s="2448"/>
      <c r="J156" s="2448"/>
      <c r="K156" s="2448"/>
      <c r="L156" s="2448"/>
      <c r="M156" s="2448"/>
      <c r="N156" s="2448"/>
      <c r="O156" s="2448"/>
      <c r="P156" s="2448"/>
      <c r="Q156" s="2448"/>
      <c r="R156" s="2448"/>
      <c r="S156" s="2448"/>
      <c r="T156" s="2448"/>
      <c r="U156" s="2449"/>
      <c r="V156" s="1209"/>
      <c r="W156" s="1209"/>
      <c r="X156" s="2424"/>
      <c r="Y156" s="2425"/>
      <c r="Z156" s="2425"/>
      <c r="AA156" s="2425"/>
      <c r="AB156" s="2425"/>
      <c r="AC156" s="2425"/>
      <c r="AD156" s="2425"/>
      <c r="AE156" s="2448"/>
      <c r="AF156" s="2448"/>
      <c r="AG156" s="2448"/>
      <c r="AH156" s="2448"/>
      <c r="AI156" s="2448"/>
      <c r="AJ156" s="2448"/>
      <c r="AK156" s="2448"/>
      <c r="AL156" s="2448"/>
      <c r="AM156" s="2448"/>
      <c r="AN156" s="2448"/>
      <c r="AO156" s="2448"/>
      <c r="AP156" s="2448"/>
      <c r="AQ156" s="2449"/>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30" t="s">
        <v>2177</v>
      </c>
      <c r="C157" s="2431"/>
      <c r="D157" s="2431"/>
      <c r="E157" s="2431"/>
      <c r="F157" s="2431"/>
      <c r="G157" s="2431"/>
      <c r="H157" s="2431"/>
      <c r="I157" s="2218">
        <v>0</v>
      </c>
      <c r="J157" s="2218"/>
      <c r="K157" s="2218"/>
      <c r="L157" s="2218"/>
      <c r="M157" s="2218"/>
      <c r="N157" s="2218"/>
      <c r="O157" s="2218"/>
      <c r="P157" s="2218">
        <v>0</v>
      </c>
      <c r="Q157" s="2218"/>
      <c r="R157" s="2218"/>
      <c r="S157" s="2218"/>
      <c r="T157" s="2218"/>
      <c r="U157" s="2224"/>
      <c r="V157" s="1209"/>
      <c r="W157" s="1209"/>
      <c r="X157" s="2432" t="s">
        <v>2177</v>
      </c>
      <c r="Y157" s="2433"/>
      <c r="Z157" s="2433"/>
      <c r="AA157" s="2433"/>
      <c r="AB157" s="2433"/>
      <c r="AC157" s="2433"/>
      <c r="AD157" s="2433"/>
      <c r="AE157" s="2238">
        <v>0</v>
      </c>
      <c r="AF157" s="2238"/>
      <c r="AG157" s="2238"/>
      <c r="AH157" s="2238"/>
      <c r="AI157" s="2238"/>
      <c r="AJ157" s="2238"/>
      <c r="AK157" s="2238"/>
      <c r="AL157" s="2238">
        <v>0</v>
      </c>
      <c r="AM157" s="2238"/>
      <c r="AN157" s="2238"/>
      <c r="AO157" s="2238"/>
      <c r="AP157" s="2238"/>
      <c r="AQ157" s="2239"/>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32" t="s">
        <v>2178</v>
      </c>
      <c r="C158" s="2433"/>
      <c r="D158" s="2433"/>
      <c r="E158" s="2433"/>
      <c r="F158" s="2433"/>
      <c r="G158" s="2433"/>
      <c r="H158" s="2433"/>
      <c r="I158" s="2238">
        <v>0</v>
      </c>
      <c r="J158" s="2238"/>
      <c r="K158" s="2238"/>
      <c r="L158" s="2238"/>
      <c r="M158" s="2238"/>
      <c r="N158" s="2238"/>
      <c r="O158" s="2238"/>
      <c r="P158" s="2238">
        <v>0</v>
      </c>
      <c r="Q158" s="2238"/>
      <c r="R158" s="2238"/>
      <c r="S158" s="2238"/>
      <c r="T158" s="2238"/>
      <c r="U158" s="2239"/>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371" t="s">
        <v>2179</v>
      </c>
      <c r="D160" s="2372"/>
      <c r="E160" s="2372"/>
      <c r="F160" s="2372"/>
      <c r="G160" s="2372"/>
      <c r="H160" s="2372"/>
      <c r="I160" s="2372"/>
      <c r="J160" s="2372"/>
      <c r="K160" s="2372"/>
      <c r="L160" s="2372"/>
      <c r="M160" s="2372"/>
      <c r="N160" s="2372"/>
      <c r="O160" s="2372"/>
      <c r="P160" s="2372"/>
      <c r="Q160" s="2372"/>
      <c r="R160" s="2372"/>
      <c r="S160" s="2372"/>
      <c r="T160" s="2372"/>
      <c r="U160" s="2372"/>
      <c r="V160" s="2372"/>
      <c r="W160" s="2372"/>
      <c r="X160" s="2372"/>
      <c r="Y160" s="2372"/>
      <c r="Z160" s="2372"/>
      <c r="AA160" s="2372"/>
      <c r="AB160" s="2372"/>
      <c r="AC160" s="2372"/>
      <c r="AD160" s="2372"/>
      <c r="AE160" s="2372"/>
      <c r="AF160" s="2372"/>
      <c r="AG160" s="2373"/>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424" t="s">
        <v>1840</v>
      </c>
      <c r="D161" s="2425"/>
      <c r="E161" s="2425"/>
      <c r="F161" s="2425"/>
      <c r="G161" s="2425"/>
      <c r="H161" s="2425"/>
      <c r="I161" s="2425"/>
      <c r="J161" s="2425"/>
      <c r="K161" s="2425"/>
      <c r="L161" s="2425"/>
      <c r="M161" s="2425"/>
      <c r="N161" s="2425"/>
      <c r="O161" s="2425"/>
      <c r="P161" s="2425"/>
      <c r="Q161" s="2425" t="s">
        <v>1841</v>
      </c>
      <c r="R161" s="2425"/>
      <c r="S161" s="2425"/>
      <c r="T161" s="2214" t="s">
        <v>2180</v>
      </c>
      <c r="U161" s="2214"/>
      <c r="V161" s="2214"/>
      <c r="W161" s="2214"/>
      <c r="X161" s="2214"/>
      <c r="Y161" s="2214"/>
      <c r="Z161" s="2214"/>
      <c r="AA161" s="2214"/>
      <c r="AB161" s="2425" t="s">
        <v>1842</v>
      </c>
      <c r="AC161" s="2425"/>
      <c r="AD161" s="2425"/>
      <c r="AE161" s="2425"/>
      <c r="AF161" s="2425"/>
      <c r="AG161" s="2450"/>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51" t="s">
        <v>1843</v>
      </c>
      <c r="D162" s="2452"/>
      <c r="E162" s="2452"/>
      <c r="F162" s="2452"/>
      <c r="G162" s="2452"/>
      <c r="H162" s="2452"/>
      <c r="I162" s="2452"/>
      <c r="J162" s="2452"/>
      <c r="K162" s="2452"/>
      <c r="L162" s="2452"/>
      <c r="M162" s="2452"/>
      <c r="N162" s="2452"/>
      <c r="O162" s="2452"/>
      <c r="P162" s="2452"/>
      <c r="Q162" s="2453">
        <v>55</v>
      </c>
      <c r="R162" s="2453"/>
      <c r="S162" s="2453"/>
      <c r="T162" s="2454"/>
      <c r="U162" s="2454"/>
      <c r="V162" s="2454"/>
      <c r="W162" s="2454"/>
      <c r="X162" s="2454"/>
      <c r="Y162" s="2454"/>
      <c r="Z162" s="2454"/>
      <c r="AA162" s="2454"/>
      <c r="AB162" s="1227"/>
      <c r="AC162" s="1227"/>
      <c r="AD162" s="1227"/>
      <c r="AE162" s="1227"/>
      <c r="AF162" s="1227"/>
      <c r="AG162" s="1226"/>
      <c r="AH162" s="1209"/>
      <c r="AI162" s="1209"/>
      <c r="AJ162" s="1209"/>
      <c r="AK162" s="1209"/>
      <c r="AL162" s="1209"/>
      <c r="AM162" s="1209"/>
      <c r="AN162" s="1209"/>
      <c r="AO162" s="1209"/>
      <c r="AP162" s="1209" t="s">
        <v>251</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51" t="s">
        <v>1844</v>
      </c>
      <c r="D163" s="2452"/>
      <c r="E163" s="2452"/>
      <c r="F163" s="2452"/>
      <c r="G163" s="2452"/>
      <c r="H163" s="2452"/>
      <c r="I163" s="2452"/>
      <c r="J163" s="2452"/>
      <c r="K163" s="2452"/>
      <c r="L163" s="2452"/>
      <c r="M163" s="2452"/>
      <c r="N163" s="2452"/>
      <c r="O163" s="2452"/>
      <c r="P163" s="2452"/>
      <c r="Q163" s="2453">
        <v>55</v>
      </c>
      <c r="R163" s="2453"/>
      <c r="S163" s="2453"/>
      <c r="T163" s="2457"/>
      <c r="U163" s="2457"/>
      <c r="V163" s="2457"/>
      <c r="W163" s="2457"/>
      <c r="X163" s="2457"/>
      <c r="Y163" s="2457"/>
      <c r="Z163" s="2457"/>
      <c r="AA163" s="2457"/>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51" t="s">
        <v>1845</v>
      </c>
      <c r="D164" s="2452"/>
      <c r="E164" s="2452"/>
      <c r="F164" s="2452"/>
      <c r="G164" s="2452"/>
      <c r="H164" s="2452"/>
      <c r="I164" s="2452"/>
      <c r="J164" s="2452"/>
      <c r="K164" s="2452"/>
      <c r="L164" s="2452"/>
      <c r="M164" s="2452"/>
      <c r="N164" s="2452"/>
      <c r="O164" s="2452"/>
      <c r="P164" s="2452"/>
      <c r="Q164" s="2453">
        <v>55</v>
      </c>
      <c r="R164" s="2453"/>
      <c r="S164" s="2453"/>
      <c r="T164" s="2454"/>
      <c r="U164" s="2454"/>
      <c r="V164" s="2454"/>
      <c r="W164" s="2454"/>
      <c r="X164" s="2454"/>
      <c r="Y164" s="2454"/>
      <c r="Z164" s="2454"/>
      <c r="AA164" s="2454"/>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51" t="s">
        <v>1816</v>
      </c>
      <c r="D165" s="2452"/>
      <c r="E165" s="2452"/>
      <c r="F165" s="2452"/>
      <c r="G165" s="2452"/>
      <c r="H165" s="2452"/>
      <c r="I165" s="2452"/>
      <c r="J165" s="2452"/>
      <c r="K165" s="2452"/>
      <c r="L165" s="2452"/>
      <c r="M165" s="2452"/>
      <c r="N165" s="2452"/>
      <c r="O165" s="2452"/>
      <c r="P165" s="2452"/>
      <c r="Q165" s="2453">
        <v>55</v>
      </c>
      <c r="R165" s="2453"/>
      <c r="S165" s="2453"/>
      <c r="T165" s="2454"/>
      <c r="U165" s="2454"/>
      <c r="V165" s="2454"/>
      <c r="W165" s="2454"/>
      <c r="X165" s="2454"/>
      <c r="Y165" s="2454"/>
      <c r="Z165" s="2454"/>
      <c r="AA165" s="2454"/>
      <c r="AB165" s="2455">
        <v>0</v>
      </c>
      <c r="AC165" s="2455"/>
      <c r="AD165" s="2455"/>
      <c r="AE165" s="2455"/>
      <c r="AF165" s="2455"/>
      <c r="AG165" s="2456"/>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51" t="s">
        <v>170</v>
      </c>
      <c r="D166" s="2452"/>
      <c r="E166" s="2452"/>
      <c r="F166" s="2458" t="s">
        <v>1846</v>
      </c>
      <c r="G166" s="2458"/>
      <c r="H166" s="2458"/>
      <c r="I166" s="2458"/>
      <c r="J166" s="2458"/>
      <c r="K166" s="2458"/>
      <c r="L166" s="2458"/>
      <c r="M166" s="2458"/>
      <c r="N166" s="2458"/>
      <c r="O166" s="2458"/>
      <c r="P166" s="2458"/>
      <c r="Q166" s="2453">
        <v>55</v>
      </c>
      <c r="R166" s="2453"/>
      <c r="S166" s="2453"/>
      <c r="T166" s="2457"/>
      <c r="U166" s="2457"/>
      <c r="V166" s="2457"/>
      <c r="W166" s="2457"/>
      <c r="X166" s="2457"/>
      <c r="Y166" s="2457"/>
      <c r="Z166" s="2457"/>
      <c r="AA166" s="2457"/>
      <c r="AB166" s="2455">
        <v>0</v>
      </c>
      <c r="AC166" s="2455"/>
      <c r="AD166" s="2455"/>
      <c r="AE166" s="2455"/>
      <c r="AF166" s="2455"/>
      <c r="AG166" s="2456"/>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51" t="s">
        <v>170</v>
      </c>
      <c r="D167" s="2452"/>
      <c r="E167" s="2452"/>
      <c r="F167" s="2458" t="s">
        <v>1846</v>
      </c>
      <c r="G167" s="2458"/>
      <c r="H167" s="2458"/>
      <c r="I167" s="2458"/>
      <c r="J167" s="2458"/>
      <c r="K167" s="2458"/>
      <c r="L167" s="2458"/>
      <c r="M167" s="2458"/>
      <c r="N167" s="2458"/>
      <c r="O167" s="2458"/>
      <c r="P167" s="2458"/>
      <c r="Q167" s="2453">
        <v>55</v>
      </c>
      <c r="R167" s="2453"/>
      <c r="S167" s="2453"/>
      <c r="T167" s="2457"/>
      <c r="U167" s="2457"/>
      <c r="V167" s="2457"/>
      <c r="W167" s="2457"/>
      <c r="X167" s="2457"/>
      <c r="Y167" s="2457"/>
      <c r="Z167" s="2457"/>
      <c r="AA167" s="2457"/>
      <c r="AB167" s="2455">
        <v>0</v>
      </c>
      <c r="AC167" s="2455"/>
      <c r="AD167" s="2455"/>
      <c r="AE167" s="2455"/>
      <c r="AF167" s="2455"/>
      <c r="AG167" s="2456"/>
      <c r="AH167" s="1209"/>
      <c r="AI167" s="1209"/>
      <c r="AJ167" s="1209"/>
      <c r="AK167" s="1209" t="s">
        <v>251</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459" t="s">
        <v>170</v>
      </c>
      <c r="D168" s="2460"/>
      <c r="E168" s="2460"/>
      <c r="F168" s="2461" t="s">
        <v>1846</v>
      </c>
      <c r="G168" s="2461"/>
      <c r="H168" s="2461"/>
      <c r="I168" s="2461"/>
      <c r="J168" s="2461"/>
      <c r="K168" s="2461"/>
      <c r="L168" s="2461"/>
      <c r="M168" s="2461"/>
      <c r="N168" s="2461"/>
      <c r="O168" s="2461"/>
      <c r="P168" s="2461"/>
      <c r="Q168" s="2462">
        <v>55</v>
      </c>
      <c r="R168" s="2462"/>
      <c r="S168" s="2462"/>
      <c r="T168" s="2463"/>
      <c r="U168" s="2463"/>
      <c r="V168" s="2463"/>
      <c r="W168" s="2463"/>
      <c r="X168" s="2463"/>
      <c r="Y168" s="2463"/>
      <c r="Z168" s="2463"/>
      <c r="AA168" s="2463"/>
      <c r="AB168" s="2464">
        <v>0</v>
      </c>
      <c r="AC168" s="2464"/>
      <c r="AD168" s="2464"/>
      <c r="AE168" s="2464"/>
      <c r="AF168" s="2464"/>
      <c r="AG168" s="2465"/>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476" t="s">
        <v>1847</v>
      </c>
      <c r="D170" s="2477"/>
      <c r="E170" s="2477"/>
      <c r="F170" s="2477"/>
      <c r="G170" s="2477"/>
      <c r="H170" s="2477"/>
      <c r="I170" s="2477"/>
      <c r="J170" s="2477"/>
      <c r="K170" s="2477"/>
      <c r="L170" s="2477"/>
      <c r="M170" s="2477"/>
      <c r="N170" s="2478"/>
      <c r="O170" s="1209"/>
      <c r="P170" s="2434" t="s">
        <v>1848</v>
      </c>
      <c r="Q170" s="2435"/>
      <c r="R170" s="2435"/>
      <c r="S170" s="2435"/>
      <c r="T170" s="2435"/>
      <c r="U170" s="2435"/>
      <c r="V170" s="2435"/>
      <c r="W170" s="2435"/>
      <c r="X170" s="2435"/>
      <c r="Y170" s="2435"/>
      <c r="Z170" s="2435"/>
      <c r="AA170" s="2435"/>
      <c r="AB170" s="2435"/>
      <c r="AC170" s="2435"/>
      <c r="AD170" s="2435"/>
      <c r="AE170" s="2435"/>
      <c r="AF170" s="2435"/>
      <c r="AG170" s="2435"/>
      <c r="AH170" s="2435"/>
      <c r="AI170" s="2435"/>
      <c r="AJ170" s="2435"/>
      <c r="AK170" s="2435"/>
      <c r="AL170" s="2435"/>
      <c r="AM170" s="2435"/>
      <c r="AN170" s="2435"/>
      <c r="AO170" s="2479"/>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424" t="s">
        <v>1849</v>
      </c>
      <c r="D171" s="2425"/>
      <c r="E171" s="2425"/>
      <c r="F171" s="2425"/>
      <c r="G171" s="2425"/>
      <c r="H171" s="2425"/>
      <c r="I171" s="2425" t="s">
        <v>1850</v>
      </c>
      <c r="J171" s="2425"/>
      <c r="K171" s="2425"/>
      <c r="L171" s="2425"/>
      <c r="M171" s="2425"/>
      <c r="N171" s="2450"/>
      <c r="O171" s="1209"/>
      <c r="P171" s="2404" t="s">
        <v>2188</v>
      </c>
      <c r="Q171" s="2405"/>
      <c r="R171" s="2405"/>
      <c r="S171" s="2405"/>
      <c r="T171" s="2405"/>
      <c r="U171" s="2405"/>
      <c r="V171" s="2405"/>
      <c r="W171" s="2405"/>
      <c r="X171" s="2405"/>
      <c r="Y171" s="2405"/>
      <c r="Z171" s="2405"/>
      <c r="AA171" s="2405"/>
      <c r="AB171" s="2405"/>
      <c r="AC171" s="2405"/>
      <c r="AD171" s="2405"/>
      <c r="AE171" s="2405"/>
      <c r="AF171" s="2405"/>
      <c r="AG171" s="2405"/>
      <c r="AH171" s="2405"/>
      <c r="AI171" s="2405"/>
      <c r="AJ171" s="2405"/>
      <c r="AK171" s="2405"/>
      <c r="AL171" s="2405"/>
      <c r="AM171" s="2405"/>
      <c r="AN171" s="2405"/>
      <c r="AO171" s="2406"/>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410"/>
      <c r="D172" s="2380"/>
      <c r="E172" s="2380"/>
      <c r="F172" s="2380"/>
      <c r="G172" s="2380"/>
      <c r="H172" s="2380"/>
      <c r="I172" s="2454"/>
      <c r="J172" s="2454"/>
      <c r="K172" s="2454"/>
      <c r="L172" s="2454"/>
      <c r="M172" s="2454"/>
      <c r="N172" s="2480"/>
      <c r="O172" s="1209"/>
      <c r="P172" s="2404"/>
      <c r="Q172" s="2405"/>
      <c r="R172" s="2405"/>
      <c r="S172" s="2405"/>
      <c r="T172" s="2405"/>
      <c r="U172" s="2405"/>
      <c r="V172" s="2405"/>
      <c r="W172" s="2405"/>
      <c r="X172" s="2405"/>
      <c r="Y172" s="2405"/>
      <c r="Z172" s="2405"/>
      <c r="AA172" s="2405"/>
      <c r="AB172" s="2405"/>
      <c r="AC172" s="2405"/>
      <c r="AD172" s="2405"/>
      <c r="AE172" s="2405"/>
      <c r="AF172" s="2405"/>
      <c r="AG172" s="2405"/>
      <c r="AH172" s="2405"/>
      <c r="AI172" s="2405"/>
      <c r="AJ172" s="2405"/>
      <c r="AK172" s="2405"/>
      <c r="AL172" s="2405"/>
      <c r="AM172" s="2405"/>
      <c r="AN172" s="2405"/>
      <c r="AO172" s="2406"/>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410"/>
      <c r="D173" s="2380"/>
      <c r="E173" s="2380"/>
      <c r="F173" s="2380"/>
      <c r="G173" s="2380"/>
      <c r="H173" s="2380"/>
      <c r="I173" s="2454"/>
      <c r="J173" s="2454"/>
      <c r="K173" s="2454"/>
      <c r="L173" s="2454"/>
      <c r="M173" s="2454"/>
      <c r="N173" s="2480"/>
      <c r="O173" s="1209"/>
      <c r="P173" s="2404"/>
      <c r="Q173" s="2405"/>
      <c r="R173" s="2405"/>
      <c r="S173" s="2405"/>
      <c r="T173" s="2405"/>
      <c r="U173" s="2405"/>
      <c r="V173" s="2405"/>
      <c r="W173" s="2405"/>
      <c r="X173" s="2405"/>
      <c r="Y173" s="2405"/>
      <c r="Z173" s="2405"/>
      <c r="AA173" s="2405"/>
      <c r="AB173" s="2405"/>
      <c r="AC173" s="2405"/>
      <c r="AD173" s="2405"/>
      <c r="AE173" s="2405"/>
      <c r="AF173" s="2405"/>
      <c r="AG173" s="2405"/>
      <c r="AH173" s="2405"/>
      <c r="AI173" s="2405"/>
      <c r="AJ173" s="2405"/>
      <c r="AK173" s="2405"/>
      <c r="AL173" s="2405"/>
      <c r="AM173" s="2405"/>
      <c r="AN173" s="2405"/>
      <c r="AO173" s="2406"/>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410"/>
      <c r="D174" s="2380"/>
      <c r="E174" s="2380"/>
      <c r="F174" s="2380"/>
      <c r="G174" s="2380"/>
      <c r="H174" s="2380"/>
      <c r="I174" s="2454"/>
      <c r="J174" s="2454"/>
      <c r="K174" s="2454"/>
      <c r="L174" s="2454"/>
      <c r="M174" s="2454"/>
      <c r="N174" s="2480"/>
      <c r="O174" s="1209"/>
      <c r="P174" s="2404"/>
      <c r="Q174" s="2405"/>
      <c r="R174" s="2405"/>
      <c r="S174" s="2405"/>
      <c r="T174" s="2405"/>
      <c r="U174" s="2405"/>
      <c r="V174" s="2405"/>
      <c r="W174" s="2405"/>
      <c r="X174" s="2405"/>
      <c r="Y174" s="2405"/>
      <c r="Z174" s="2405"/>
      <c r="AA174" s="2405"/>
      <c r="AB174" s="2405"/>
      <c r="AC174" s="2405"/>
      <c r="AD174" s="2405"/>
      <c r="AE174" s="2405"/>
      <c r="AF174" s="2405"/>
      <c r="AG174" s="2405"/>
      <c r="AH174" s="2405"/>
      <c r="AI174" s="2405"/>
      <c r="AJ174" s="2405"/>
      <c r="AK174" s="2405"/>
      <c r="AL174" s="2405"/>
      <c r="AM174" s="2405"/>
      <c r="AN174" s="2405"/>
      <c r="AO174" s="2406"/>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410"/>
      <c r="D175" s="2380"/>
      <c r="E175" s="2380"/>
      <c r="F175" s="2380"/>
      <c r="G175" s="2380"/>
      <c r="H175" s="2380"/>
      <c r="I175" s="2454"/>
      <c r="J175" s="2454"/>
      <c r="K175" s="2454"/>
      <c r="L175" s="2454"/>
      <c r="M175" s="2454"/>
      <c r="N175" s="2480"/>
      <c r="O175" s="1209"/>
      <c r="P175" s="2404"/>
      <c r="Q175" s="2405"/>
      <c r="R175" s="2405"/>
      <c r="S175" s="2405"/>
      <c r="T175" s="2405"/>
      <c r="U175" s="2405"/>
      <c r="V175" s="2405"/>
      <c r="W175" s="2405"/>
      <c r="X175" s="2405"/>
      <c r="Y175" s="2405"/>
      <c r="Z175" s="2405"/>
      <c r="AA175" s="2405"/>
      <c r="AB175" s="2405"/>
      <c r="AC175" s="2405"/>
      <c r="AD175" s="2405"/>
      <c r="AE175" s="2405"/>
      <c r="AF175" s="2405"/>
      <c r="AG175" s="2405"/>
      <c r="AH175" s="2405"/>
      <c r="AI175" s="2405"/>
      <c r="AJ175" s="2405"/>
      <c r="AK175" s="2405"/>
      <c r="AL175" s="2405"/>
      <c r="AM175" s="2405"/>
      <c r="AN175" s="2405"/>
      <c r="AO175" s="2406"/>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410"/>
      <c r="D176" s="2380"/>
      <c r="E176" s="2380"/>
      <c r="F176" s="2380"/>
      <c r="G176" s="2380"/>
      <c r="H176" s="2380"/>
      <c r="I176" s="2454"/>
      <c r="J176" s="2454"/>
      <c r="K176" s="2454"/>
      <c r="L176" s="2454"/>
      <c r="M176" s="2454"/>
      <c r="N176" s="2480"/>
      <c r="O176" s="1209"/>
      <c r="P176" s="2404"/>
      <c r="Q176" s="2405"/>
      <c r="R176" s="2405"/>
      <c r="S176" s="2405"/>
      <c r="T176" s="2405"/>
      <c r="U176" s="2405"/>
      <c r="V176" s="2405"/>
      <c r="W176" s="2405"/>
      <c r="X176" s="2405"/>
      <c r="Y176" s="2405"/>
      <c r="Z176" s="2405"/>
      <c r="AA176" s="2405"/>
      <c r="AB176" s="2405"/>
      <c r="AC176" s="2405"/>
      <c r="AD176" s="2405"/>
      <c r="AE176" s="2405"/>
      <c r="AF176" s="2405"/>
      <c r="AG176" s="2405"/>
      <c r="AH176" s="2405"/>
      <c r="AI176" s="2405"/>
      <c r="AJ176" s="2405"/>
      <c r="AK176" s="2405"/>
      <c r="AL176" s="2405"/>
      <c r="AM176" s="2405"/>
      <c r="AN176" s="2405"/>
      <c r="AO176" s="2406"/>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410"/>
      <c r="D177" s="2380"/>
      <c r="E177" s="2380"/>
      <c r="F177" s="2380"/>
      <c r="G177" s="2380"/>
      <c r="H177" s="2380"/>
      <c r="I177" s="2454"/>
      <c r="J177" s="2454"/>
      <c r="K177" s="2454"/>
      <c r="L177" s="2454"/>
      <c r="M177" s="2454"/>
      <c r="N177" s="2480"/>
      <c r="O177" s="1209"/>
      <c r="P177" s="2404"/>
      <c r="Q177" s="2405"/>
      <c r="R177" s="2405"/>
      <c r="S177" s="2405"/>
      <c r="T177" s="2405"/>
      <c r="U177" s="2405"/>
      <c r="V177" s="2405"/>
      <c r="W177" s="2405"/>
      <c r="X177" s="2405"/>
      <c r="Y177" s="2405"/>
      <c r="Z177" s="2405"/>
      <c r="AA177" s="2405"/>
      <c r="AB177" s="2405"/>
      <c r="AC177" s="2405"/>
      <c r="AD177" s="2405"/>
      <c r="AE177" s="2405"/>
      <c r="AF177" s="2405"/>
      <c r="AG177" s="2405"/>
      <c r="AH177" s="2405"/>
      <c r="AI177" s="2405"/>
      <c r="AJ177" s="2405"/>
      <c r="AK177" s="2405"/>
      <c r="AL177" s="2405"/>
      <c r="AM177" s="2405"/>
      <c r="AN177" s="2405"/>
      <c r="AO177" s="2406"/>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466"/>
      <c r="D178" s="2467"/>
      <c r="E178" s="2467"/>
      <c r="F178" s="2467"/>
      <c r="G178" s="2467"/>
      <c r="H178" s="2467"/>
      <c r="I178" s="2468"/>
      <c r="J178" s="2468"/>
      <c r="K178" s="2468"/>
      <c r="L178" s="2468"/>
      <c r="M178" s="2468"/>
      <c r="N178" s="2469"/>
      <c r="O178" s="1209"/>
      <c r="P178" s="2407"/>
      <c r="Q178" s="2408"/>
      <c r="R178" s="2408"/>
      <c r="S178" s="2408"/>
      <c r="T178" s="2408"/>
      <c r="U178" s="2408"/>
      <c r="V178" s="2408"/>
      <c r="W178" s="2408"/>
      <c r="X178" s="2408"/>
      <c r="Y178" s="2408"/>
      <c r="Z178" s="2408"/>
      <c r="AA178" s="2408"/>
      <c r="AB178" s="2408"/>
      <c r="AC178" s="2408"/>
      <c r="AD178" s="2408"/>
      <c r="AE178" s="2408"/>
      <c r="AF178" s="2408"/>
      <c r="AG178" s="2408"/>
      <c r="AH178" s="2408"/>
      <c r="AI178" s="2408"/>
      <c r="AJ178" s="2408"/>
      <c r="AK178" s="2408"/>
      <c r="AL178" s="2408"/>
      <c r="AM178" s="2408"/>
      <c r="AN178" s="2408"/>
      <c r="AO178" s="2409"/>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470" t="s">
        <v>2490</v>
      </c>
      <c r="D180" s="2471"/>
      <c r="E180" s="2471"/>
      <c r="F180" s="2471"/>
      <c r="G180" s="2471"/>
      <c r="H180" s="2471"/>
      <c r="I180" s="2471"/>
      <c r="J180" s="2471"/>
      <c r="K180" s="2471"/>
      <c r="L180" s="2471"/>
      <c r="M180" s="2471"/>
      <c r="N180" s="2471"/>
      <c r="O180" s="2471"/>
      <c r="P180" s="2471"/>
      <c r="Q180" s="2471"/>
      <c r="R180" s="2471"/>
      <c r="S180" s="2471"/>
      <c r="T180" s="2471"/>
      <c r="U180" s="2471"/>
      <c r="V180" s="2471"/>
      <c r="W180" s="2471"/>
      <c r="X180" s="2471"/>
      <c r="Y180" s="2471"/>
      <c r="Z180" s="2471"/>
      <c r="AA180" s="2471"/>
      <c r="AB180" s="2471"/>
      <c r="AC180" s="2471"/>
      <c r="AD180" s="2471"/>
      <c r="AE180" s="2472"/>
      <c r="AF180" s="1209"/>
      <c r="AG180" s="1209"/>
      <c r="AH180" s="2225" t="s">
        <v>2607</v>
      </c>
      <c r="AI180" s="2226"/>
      <c r="AJ180" s="2226"/>
      <c r="AK180" s="2226"/>
      <c r="AL180" s="2226"/>
      <c r="AM180" s="2226"/>
      <c r="AN180" s="2226"/>
      <c r="AO180" s="2226"/>
      <c r="AP180" s="2226"/>
      <c r="AQ180" s="2226"/>
      <c r="AR180" s="2226"/>
      <c r="AS180" s="2226"/>
      <c r="AT180" s="2226"/>
      <c r="AU180" s="2226"/>
      <c r="AV180" s="2226"/>
      <c r="AW180" s="2226"/>
      <c r="AX180" s="2226"/>
      <c r="AY180" s="2226"/>
      <c r="AZ180" s="2226"/>
      <c r="BA180" s="2226"/>
      <c r="BB180" s="2226"/>
      <c r="BC180" s="2226"/>
      <c r="BD180" s="2226"/>
      <c r="BE180" s="2227"/>
    </row>
    <row r="181" spans="1:57" ht="15.75" customHeight="1" thickBot="1">
      <c r="A181" s="1209"/>
      <c r="B181" s="1209"/>
      <c r="C181" s="2473"/>
      <c r="D181" s="2474"/>
      <c r="E181" s="2474"/>
      <c r="F181" s="2474"/>
      <c r="G181" s="2474"/>
      <c r="H181" s="2474"/>
      <c r="I181" s="2474"/>
      <c r="J181" s="2474"/>
      <c r="K181" s="2474"/>
      <c r="L181" s="2474"/>
      <c r="M181" s="2474"/>
      <c r="N181" s="2474"/>
      <c r="O181" s="2474"/>
      <c r="P181" s="2474"/>
      <c r="Q181" s="2474"/>
      <c r="R181" s="2474"/>
      <c r="S181" s="2474"/>
      <c r="T181" s="2474"/>
      <c r="U181" s="2474"/>
      <c r="V181" s="2474"/>
      <c r="W181" s="2474"/>
      <c r="X181" s="2474"/>
      <c r="Y181" s="2474"/>
      <c r="Z181" s="2474"/>
      <c r="AA181" s="2474"/>
      <c r="AB181" s="2474"/>
      <c r="AC181" s="2474"/>
      <c r="AD181" s="2474"/>
      <c r="AE181" s="2475"/>
      <c r="AF181" s="1209"/>
      <c r="AG181" s="1209"/>
      <c r="AH181" s="2228" t="s">
        <v>2628</v>
      </c>
      <c r="AI181" s="2228"/>
      <c r="AJ181" s="2228"/>
      <c r="AK181" s="2228"/>
      <c r="AL181" s="2228"/>
      <c r="AM181" s="2228"/>
      <c r="AN181" s="2228"/>
      <c r="AO181" s="2228"/>
      <c r="AP181" s="2228"/>
      <c r="AQ181" s="2228"/>
      <c r="AR181" s="2228"/>
      <c r="AS181" s="2228"/>
      <c r="AT181" s="2228"/>
      <c r="AU181" s="2228"/>
      <c r="AV181" s="2228"/>
      <c r="AW181" s="2228"/>
      <c r="AX181" s="2228"/>
      <c r="AY181" s="2228"/>
      <c r="AZ181" s="2228"/>
      <c r="BA181" s="2228"/>
      <c r="BB181" s="2228"/>
      <c r="BC181" s="2228"/>
      <c r="BD181" s="2228"/>
      <c r="BE181" s="2228"/>
    </row>
    <row r="182" spans="1:57" ht="15.75" customHeight="1">
      <c r="A182" s="1209"/>
      <c r="B182" s="1209"/>
      <c r="C182" s="2476" t="s">
        <v>1840</v>
      </c>
      <c r="D182" s="2477"/>
      <c r="E182" s="2477"/>
      <c r="F182" s="2477"/>
      <c r="G182" s="2477"/>
      <c r="H182" s="2477"/>
      <c r="I182" s="2477"/>
      <c r="J182" s="2477"/>
      <c r="K182" s="2477"/>
      <c r="L182" s="2477"/>
      <c r="M182" s="2477"/>
      <c r="N182" s="2477" t="s">
        <v>1851</v>
      </c>
      <c r="O182" s="2477"/>
      <c r="P182" s="2477"/>
      <c r="Q182" s="2477"/>
      <c r="R182" s="2477"/>
      <c r="S182" s="2477"/>
      <c r="T182" s="2477"/>
      <c r="U182" s="2372" t="s">
        <v>1840</v>
      </c>
      <c r="V182" s="2372"/>
      <c r="W182" s="2372"/>
      <c r="X182" s="2372"/>
      <c r="Y182" s="2372"/>
      <c r="Z182" s="2372"/>
      <c r="AA182" s="2372"/>
      <c r="AB182" s="2372"/>
      <c r="AC182" s="2372"/>
      <c r="AD182" s="2372"/>
      <c r="AE182" s="2373"/>
      <c r="AF182" s="1209"/>
      <c r="AG182" s="1209"/>
      <c r="AH182" s="2229" t="s">
        <v>2612</v>
      </c>
      <c r="AI182" s="2229"/>
      <c r="AJ182" s="2229"/>
      <c r="AK182" s="2229"/>
      <c r="AL182" s="2229"/>
      <c r="AM182" s="2229"/>
      <c r="AN182" s="2229"/>
      <c r="AO182" s="2229"/>
      <c r="AP182" s="2229"/>
      <c r="AQ182" s="2229"/>
      <c r="AR182" s="2229"/>
      <c r="AS182" s="2229"/>
      <c r="AT182" s="2229"/>
      <c r="AU182" s="2195">
        <v>2500000</v>
      </c>
      <c r="AV182" s="2195"/>
      <c r="AW182" s="2195"/>
      <c r="AX182" s="2195"/>
      <c r="AY182" s="2195"/>
      <c r="AZ182" s="2195"/>
      <c r="BA182" s="2195"/>
      <c r="BB182" s="2195"/>
      <c r="BC182" s="2203"/>
      <c r="BD182" s="2204"/>
      <c r="BE182" s="2205"/>
    </row>
    <row r="183" spans="1:57" ht="15.75" customHeight="1">
      <c r="A183" s="1209"/>
      <c r="B183" s="1209"/>
      <c r="C183" s="2219" t="s">
        <v>2491</v>
      </c>
      <c r="D183" s="2220"/>
      <c r="E183" s="2220"/>
      <c r="F183" s="2220"/>
      <c r="G183" s="2220"/>
      <c r="H183" s="2220"/>
      <c r="I183" s="2220"/>
      <c r="J183" s="2220"/>
      <c r="K183" s="2220"/>
      <c r="L183" s="2220"/>
      <c r="M183" s="2220"/>
      <c r="N183" s="2482">
        <f>'Sources and Uses Budget'!B105</f>
        <v>43370882</v>
      </c>
      <c r="O183" s="2482"/>
      <c r="P183" s="2482"/>
      <c r="Q183" s="2482"/>
      <c r="R183" s="2482"/>
      <c r="S183" s="2482"/>
      <c r="T183" s="2482"/>
      <c r="U183" s="2483"/>
      <c r="V183" s="2483"/>
      <c r="W183" s="2483"/>
      <c r="X183" s="2483"/>
      <c r="Y183" s="2483"/>
      <c r="Z183" s="2483"/>
      <c r="AA183" s="2483"/>
      <c r="AB183" s="2483"/>
      <c r="AC183" s="2483"/>
      <c r="AD183" s="2483"/>
      <c r="AE183" s="2484"/>
      <c r="AF183" s="1209"/>
      <c r="AG183" s="1209"/>
      <c r="AH183" s="2229" t="s">
        <v>2611</v>
      </c>
      <c r="AI183" s="2229"/>
      <c r="AJ183" s="2229"/>
      <c r="AK183" s="2229"/>
      <c r="AL183" s="2229"/>
      <c r="AM183" s="2229"/>
      <c r="AN183" s="2229"/>
      <c r="AO183" s="2229"/>
      <c r="AP183" s="2229"/>
      <c r="AQ183" s="2229"/>
      <c r="AR183" s="2229"/>
      <c r="AS183" s="2229"/>
      <c r="AT183" s="2229"/>
      <c r="AU183" s="2196">
        <f>MAX(0,Application!AG439-100)*20000</f>
        <v>0</v>
      </c>
      <c r="AV183" s="2196"/>
      <c r="AW183" s="2196"/>
      <c r="AX183" s="2196"/>
      <c r="AY183" s="2196"/>
      <c r="AZ183" s="2196"/>
      <c r="BA183" s="2196"/>
      <c r="BB183" s="2196"/>
      <c r="BC183" s="2200"/>
      <c r="BD183" s="2201"/>
      <c r="BE183" s="2202"/>
    </row>
    <row r="184" spans="1:57" ht="15.75" customHeight="1">
      <c r="A184" s="1209"/>
      <c r="B184" s="1209"/>
      <c r="C184" s="2219" t="s">
        <v>2492</v>
      </c>
      <c r="D184" s="2220"/>
      <c r="E184" s="2220"/>
      <c r="F184" s="2220"/>
      <c r="G184" s="2220"/>
      <c r="H184" s="2220"/>
      <c r="I184" s="2220"/>
      <c r="J184" s="2220"/>
      <c r="K184" s="2220"/>
      <c r="L184" s="2220"/>
      <c r="M184" s="2220"/>
      <c r="N184" s="2482">
        <f>N183/J29</f>
        <v>885120.04081632651</v>
      </c>
      <c r="O184" s="2482"/>
      <c r="P184" s="2482"/>
      <c r="Q184" s="2482"/>
      <c r="R184" s="2482"/>
      <c r="S184" s="2482"/>
      <c r="T184" s="2482"/>
      <c r="U184" s="1225"/>
      <c r="V184" s="1225"/>
      <c r="W184" s="1225"/>
      <c r="X184" s="1225"/>
      <c r="Y184" s="1225"/>
      <c r="Z184" s="1225"/>
      <c r="AA184" s="1225"/>
      <c r="AB184" s="1225"/>
      <c r="AC184" s="1225"/>
      <c r="AD184" s="1225"/>
      <c r="AE184" s="1224"/>
      <c r="AF184" s="1209"/>
      <c r="AG184" s="1209"/>
      <c r="AH184" s="2206" t="s">
        <v>2610</v>
      </c>
      <c r="AI184" s="2206"/>
      <c r="AJ184" s="2206"/>
      <c r="AK184" s="2206"/>
      <c r="AL184" s="2206"/>
      <c r="AM184" s="2206"/>
      <c r="AN184" s="2206"/>
      <c r="AO184" s="2206"/>
      <c r="AP184" s="2206"/>
      <c r="AQ184" s="2206"/>
      <c r="AR184" s="2206"/>
      <c r="AS184" s="2206"/>
      <c r="AT184" s="2206"/>
      <c r="AU184" s="2197">
        <f>AU182+AU183</f>
        <v>2500000</v>
      </c>
      <c r="AV184" s="2197"/>
      <c r="AW184" s="2197"/>
      <c r="AX184" s="2197"/>
      <c r="AY184" s="2197"/>
      <c r="AZ184" s="2197"/>
      <c r="BA184" s="2197"/>
      <c r="BB184" s="2197"/>
      <c r="BC184" s="2200"/>
      <c r="BD184" s="2201"/>
      <c r="BE184" s="2202"/>
    </row>
    <row r="185" spans="1:57" ht="15.75" customHeight="1">
      <c r="A185" s="1209"/>
      <c r="B185" s="1209"/>
      <c r="C185" s="2485" t="s">
        <v>2493</v>
      </c>
      <c r="D185" s="2486"/>
      <c r="E185" s="2486"/>
      <c r="F185" s="2486"/>
      <c r="G185" s="2486"/>
      <c r="H185" s="2486"/>
      <c r="I185" s="2486"/>
      <c r="J185" s="2486"/>
      <c r="K185" s="2486"/>
      <c r="L185" s="2486"/>
      <c r="M185" s="2486"/>
      <c r="N185" s="2411">
        <v>0</v>
      </c>
      <c r="O185" s="2411"/>
      <c r="P185" s="2411"/>
      <c r="Q185" s="2411"/>
      <c r="R185" s="2411"/>
      <c r="S185" s="2411"/>
      <c r="T185" s="2411"/>
      <c r="U185" s="2389"/>
      <c r="V185" s="2389"/>
      <c r="W185" s="2389"/>
      <c r="X185" s="2389"/>
      <c r="Y185" s="2389"/>
      <c r="Z185" s="2389"/>
      <c r="AA185" s="2389"/>
      <c r="AB185" s="2389"/>
      <c r="AC185" s="2389"/>
      <c r="AD185" s="2389"/>
      <c r="AE185" s="2390"/>
      <c r="AF185" s="1209"/>
      <c r="AG185" s="1209"/>
      <c r="AH185" s="2199" t="s">
        <v>2609</v>
      </c>
      <c r="AI185" s="2199"/>
      <c r="AJ185" s="2199"/>
      <c r="AK185" s="2199"/>
      <c r="AL185" s="2199"/>
      <c r="AM185" s="2199"/>
      <c r="AN185" s="2199"/>
      <c r="AO185" s="2199"/>
      <c r="AP185" s="2199"/>
      <c r="AQ185" s="2199"/>
      <c r="AR185" s="2199"/>
      <c r="AS185" s="2199"/>
      <c r="AT185" s="2199"/>
      <c r="AU185" s="2198" t="str">
        <f>IF(AU189-AU192&lt;=AU184,"Y","N")</f>
        <v>Y</v>
      </c>
      <c r="AV185" s="2198"/>
      <c r="AW185" s="2198"/>
      <c r="AX185" s="2198"/>
      <c r="AY185" s="2198"/>
      <c r="AZ185" s="2198"/>
      <c r="BA185" s="2198"/>
      <c r="BB185" s="2198"/>
      <c r="BC185" s="2200"/>
      <c r="BD185" s="2201"/>
      <c r="BE185" s="2202"/>
    </row>
    <row r="186" spans="1:57" ht="15.75" customHeight="1" thickBot="1">
      <c r="A186" s="1209"/>
      <c r="B186" s="1209"/>
      <c r="C186" s="2219" t="s">
        <v>2494</v>
      </c>
      <c r="D186" s="2220"/>
      <c r="E186" s="2220"/>
      <c r="F186" s="2220"/>
      <c r="G186" s="2220"/>
      <c r="H186" s="2220"/>
      <c r="I186" s="2220"/>
      <c r="J186" s="2220"/>
      <c r="K186" s="2220"/>
      <c r="L186" s="2220"/>
      <c r="M186" s="2220"/>
      <c r="N186" s="2481">
        <f>SUM('Sources and Uses Budget'!B85:B86)</f>
        <v>713918</v>
      </c>
      <c r="O186" s="2481"/>
      <c r="P186" s="2481"/>
      <c r="Q186" s="2481"/>
      <c r="R186" s="2481"/>
      <c r="S186" s="2481"/>
      <c r="T186" s="2481"/>
      <c r="U186" s="2389"/>
      <c r="V186" s="2389"/>
      <c r="W186" s="2389"/>
      <c r="X186" s="2389"/>
      <c r="Y186" s="2389"/>
      <c r="Z186" s="2389"/>
      <c r="AA186" s="2389"/>
      <c r="AB186" s="2389"/>
      <c r="AC186" s="2389"/>
      <c r="AD186" s="2389"/>
      <c r="AE186" s="2390"/>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219" t="s">
        <v>2495</v>
      </c>
      <c r="D187" s="2220"/>
      <c r="E187" s="2220"/>
      <c r="F187" s="2220"/>
      <c r="G187" s="2220"/>
      <c r="H187" s="2220"/>
      <c r="I187" s="2220"/>
      <c r="J187" s="2220"/>
      <c r="K187" s="2220"/>
      <c r="L187" s="2220"/>
      <c r="M187" s="2220"/>
      <c r="N187" s="2481">
        <f>'Sources and Uses Budget'!B8</f>
        <v>2359919</v>
      </c>
      <c r="O187" s="2481"/>
      <c r="P187" s="2481"/>
      <c r="Q187" s="2481"/>
      <c r="R187" s="2481"/>
      <c r="S187" s="2481"/>
      <c r="T187" s="2481"/>
      <c r="U187" s="2389"/>
      <c r="V187" s="2389"/>
      <c r="W187" s="2389"/>
      <c r="X187" s="2389"/>
      <c r="Y187" s="2389"/>
      <c r="Z187" s="2389"/>
      <c r="AA187" s="2389"/>
      <c r="AB187" s="2389"/>
      <c r="AC187" s="2389"/>
      <c r="AD187" s="2389"/>
      <c r="AE187" s="2390"/>
      <c r="AF187" s="1209"/>
      <c r="AG187" s="1209"/>
      <c r="AH187" s="2488" t="s">
        <v>1852</v>
      </c>
      <c r="AI187" s="2489"/>
      <c r="AJ187" s="2489"/>
      <c r="AK187" s="2489"/>
      <c r="AL187" s="2489"/>
      <c r="AM187" s="2489"/>
      <c r="AN187" s="2489"/>
      <c r="AO187" s="2489"/>
      <c r="AP187" s="2489"/>
      <c r="AQ187" s="2489"/>
      <c r="AR187" s="2489"/>
      <c r="AS187" s="2489"/>
      <c r="AT187" s="2489"/>
      <c r="AU187" s="2489"/>
      <c r="AV187" s="2489"/>
      <c r="AW187" s="2489"/>
      <c r="AX187" s="2489"/>
      <c r="AY187" s="2489"/>
      <c r="AZ187" s="2489"/>
      <c r="BA187" s="2489"/>
      <c r="BB187" s="2489"/>
      <c r="BC187" s="2489"/>
      <c r="BD187" s="2489"/>
      <c r="BE187" s="2490"/>
    </row>
    <row r="188" spans="1:57" ht="15.75" customHeight="1">
      <c r="A188" s="1209"/>
      <c r="B188" s="1209"/>
      <c r="C188" s="2219" t="s">
        <v>2496</v>
      </c>
      <c r="D188" s="2220"/>
      <c r="E188" s="2220"/>
      <c r="F188" s="2220"/>
      <c r="G188" s="2220"/>
      <c r="H188" s="2220"/>
      <c r="I188" s="2220"/>
      <c r="J188" s="2220"/>
      <c r="K188" s="2220"/>
      <c r="L188" s="2220"/>
      <c r="M188" s="2220"/>
      <c r="N188" s="2496">
        <v>0</v>
      </c>
      <c r="O188" s="2496"/>
      <c r="P188" s="2496"/>
      <c r="Q188" s="2496"/>
      <c r="R188" s="2496"/>
      <c r="S188" s="2496"/>
      <c r="T188" s="2496"/>
      <c r="U188" s="2389"/>
      <c r="V188" s="2389"/>
      <c r="W188" s="2389"/>
      <c r="X188" s="2389"/>
      <c r="Y188" s="2389"/>
      <c r="Z188" s="2389"/>
      <c r="AA188" s="2389"/>
      <c r="AB188" s="2389"/>
      <c r="AC188" s="2389"/>
      <c r="AD188" s="2389"/>
      <c r="AE188" s="2390"/>
      <c r="AF188" s="1209"/>
      <c r="AG188" s="1209"/>
      <c r="AH188" s="2491" t="s">
        <v>1852</v>
      </c>
      <c r="AI188" s="2491"/>
      <c r="AJ188" s="2491"/>
      <c r="AK188" s="2491"/>
      <c r="AL188" s="2491"/>
      <c r="AM188" s="2491"/>
      <c r="AN188" s="2491"/>
      <c r="AO188" s="2491"/>
      <c r="AP188" s="2491"/>
      <c r="AQ188" s="2491"/>
      <c r="AR188" s="2491"/>
      <c r="AS188" s="2491"/>
      <c r="AT188" s="2491"/>
      <c r="AU188" s="2492">
        <v>0</v>
      </c>
      <c r="AV188" s="2492"/>
      <c r="AW188" s="2492"/>
      <c r="AX188" s="2492"/>
      <c r="AY188" s="2492"/>
      <c r="AZ188" s="2492"/>
      <c r="BA188" s="2492"/>
      <c r="BB188" s="2492"/>
      <c r="BC188" s="2493"/>
      <c r="BD188" s="2494"/>
      <c r="BE188" s="2495"/>
    </row>
    <row r="189" spans="1:57" ht="15.75" customHeight="1">
      <c r="A189" s="1209"/>
      <c r="B189" s="1209"/>
      <c r="C189" s="2219" t="s">
        <v>2497</v>
      </c>
      <c r="D189" s="2220"/>
      <c r="E189" s="2220"/>
      <c r="F189" s="2220"/>
      <c r="G189" s="2220"/>
      <c r="H189" s="2220"/>
      <c r="I189" s="2220"/>
      <c r="J189" s="2220"/>
      <c r="K189" s="2220"/>
      <c r="L189" s="2220"/>
      <c r="M189" s="2220"/>
      <c r="N189" s="2496">
        <v>0</v>
      </c>
      <c r="O189" s="2496"/>
      <c r="P189" s="2496"/>
      <c r="Q189" s="2496"/>
      <c r="R189" s="2496"/>
      <c r="S189" s="2496"/>
      <c r="T189" s="2496"/>
      <c r="U189" s="2389"/>
      <c r="V189" s="2389"/>
      <c r="W189" s="2389"/>
      <c r="X189" s="2389"/>
      <c r="Y189" s="2389"/>
      <c r="Z189" s="2389"/>
      <c r="AA189" s="2389"/>
      <c r="AB189" s="2389"/>
      <c r="AC189" s="2389"/>
      <c r="AD189" s="2389"/>
      <c r="AE189" s="2390"/>
      <c r="AF189" s="1209"/>
      <c r="AG189" s="1209"/>
      <c r="AH189" s="2229" t="s">
        <v>2608</v>
      </c>
      <c r="AI189" s="2229"/>
      <c r="AJ189" s="2229"/>
      <c r="AK189" s="2229"/>
      <c r="AL189" s="2229"/>
      <c r="AM189" s="2229"/>
      <c r="AN189" s="2229"/>
      <c r="AO189" s="2229"/>
      <c r="AP189" s="2229"/>
      <c r="AQ189" s="2229"/>
      <c r="AR189" s="2229"/>
      <c r="AS189" s="2229"/>
      <c r="AT189" s="2229"/>
      <c r="AU189" s="2487"/>
      <c r="AV189" s="2487"/>
      <c r="AW189" s="2487"/>
      <c r="AX189" s="2487"/>
      <c r="AY189" s="2487"/>
      <c r="AZ189" s="2487"/>
      <c r="BA189" s="2487"/>
      <c r="BB189" s="2487"/>
      <c r="BC189" s="2200"/>
      <c r="BD189" s="2201"/>
      <c r="BE189" s="2202"/>
    </row>
    <row r="190" spans="1:57" ht="15.75" customHeight="1">
      <c r="A190" s="1209"/>
      <c r="B190" s="1209"/>
      <c r="C190" s="2522" t="s">
        <v>301</v>
      </c>
      <c r="D190" s="2453"/>
      <c r="E190" s="2521" t="s">
        <v>1846</v>
      </c>
      <c r="F190" s="2521"/>
      <c r="G190" s="2521"/>
      <c r="H190" s="2521"/>
      <c r="I190" s="2521"/>
      <c r="J190" s="2521"/>
      <c r="K190" s="2521"/>
      <c r="L190" s="2521"/>
      <c r="M190" s="2521"/>
      <c r="N190" s="2496">
        <v>0</v>
      </c>
      <c r="O190" s="2496"/>
      <c r="P190" s="2496"/>
      <c r="Q190" s="2496"/>
      <c r="R190" s="2496"/>
      <c r="S190" s="2496"/>
      <c r="T190" s="2496"/>
      <c r="U190" s="2389"/>
      <c r="V190" s="2389"/>
      <c r="W190" s="2389"/>
      <c r="X190" s="2389"/>
      <c r="Y190" s="2389"/>
      <c r="Z190" s="2389"/>
      <c r="AA190" s="2389"/>
      <c r="AB190" s="2389"/>
      <c r="AC190" s="2389"/>
      <c r="AD190" s="2389"/>
      <c r="AE190" s="2390"/>
      <c r="AF190" s="1209"/>
      <c r="AG190" s="1209"/>
      <c r="AH190" s="2206" t="s">
        <v>2607</v>
      </c>
      <c r="AI190" s="2206"/>
      <c r="AJ190" s="2206"/>
      <c r="AK190" s="2206"/>
      <c r="AL190" s="2206"/>
      <c r="AM190" s="2206"/>
      <c r="AN190" s="2206"/>
      <c r="AO190" s="2206"/>
      <c r="AP190" s="2206"/>
      <c r="AQ190" s="2206"/>
      <c r="AR190" s="2206"/>
      <c r="AS190" s="2206"/>
      <c r="AT190" s="2206"/>
      <c r="AU190" s="2197">
        <f>SUM(AU188:BB189)</f>
        <v>0</v>
      </c>
      <c r="AV190" s="2197"/>
      <c r="AW190" s="2197"/>
      <c r="AX190" s="2197"/>
      <c r="AY190" s="2197"/>
      <c r="AZ190" s="2197"/>
      <c r="BA190" s="2197"/>
      <c r="BB190" s="2197"/>
      <c r="BC190" s="2200"/>
      <c r="BD190" s="2201"/>
      <c r="BE190" s="2202"/>
    </row>
    <row r="191" spans="1:57" ht="15.75" customHeight="1" thickBot="1">
      <c r="A191" s="1209"/>
      <c r="B191" s="1209"/>
      <c r="C191" s="2410" t="s">
        <v>301</v>
      </c>
      <c r="D191" s="2380"/>
      <c r="E191" s="2521" t="s">
        <v>1846</v>
      </c>
      <c r="F191" s="2521"/>
      <c r="G191" s="2521"/>
      <c r="H191" s="2521"/>
      <c r="I191" s="2521"/>
      <c r="J191" s="2521"/>
      <c r="K191" s="2521"/>
      <c r="L191" s="2521"/>
      <c r="M191" s="2521"/>
      <c r="N191" s="2496">
        <v>0</v>
      </c>
      <c r="O191" s="2496"/>
      <c r="P191" s="2496"/>
      <c r="Q191" s="2496"/>
      <c r="R191" s="2496"/>
      <c r="S191" s="2496"/>
      <c r="T191" s="2496"/>
      <c r="U191" s="2389"/>
      <c r="V191" s="2389"/>
      <c r="W191" s="2389"/>
      <c r="X191" s="2389"/>
      <c r="Y191" s="2389"/>
      <c r="Z191" s="2389"/>
      <c r="AA191" s="2389"/>
      <c r="AB191" s="2389"/>
      <c r="AC191" s="2389"/>
      <c r="AD191" s="2389"/>
      <c r="AE191" s="2390"/>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503"/>
      <c r="BD191" s="2504"/>
      <c r="BE191" s="2505"/>
    </row>
    <row r="192" spans="1:57" ht="15.75" customHeight="1" thickBot="1">
      <c r="A192" s="1209"/>
      <c r="B192" s="1209"/>
      <c r="C192" s="2510" t="s">
        <v>301</v>
      </c>
      <c r="D192" s="2511"/>
      <c r="E192" s="2512" t="s">
        <v>1846</v>
      </c>
      <c r="F192" s="2512"/>
      <c r="G192" s="2512"/>
      <c r="H192" s="2512"/>
      <c r="I192" s="2512"/>
      <c r="J192" s="2512"/>
      <c r="K192" s="2512"/>
      <c r="L192" s="2512"/>
      <c r="M192" s="2513"/>
      <c r="N192" s="2514">
        <v>0</v>
      </c>
      <c r="O192" s="2514"/>
      <c r="P192" s="2514"/>
      <c r="Q192" s="2514"/>
      <c r="R192" s="2514"/>
      <c r="S192" s="2514"/>
      <c r="T192" s="2515"/>
      <c r="U192" s="2516"/>
      <c r="V192" s="2517"/>
      <c r="W192" s="2517"/>
      <c r="X192" s="2517"/>
      <c r="Y192" s="2517"/>
      <c r="Z192" s="2517"/>
      <c r="AA192" s="2517"/>
      <c r="AB192" s="2517"/>
      <c r="AC192" s="2517"/>
      <c r="AD192" s="2517"/>
      <c r="AE192" s="2518"/>
      <c r="AF192" s="1209"/>
      <c r="AG192" s="1209"/>
      <c r="AH192" s="2547" t="s">
        <v>1853</v>
      </c>
      <c r="AI192" s="2548"/>
      <c r="AJ192" s="2548"/>
      <c r="AK192" s="2548"/>
      <c r="AL192" s="2548"/>
      <c r="AM192" s="2548"/>
      <c r="AN192" s="2548"/>
      <c r="AO192" s="2548"/>
      <c r="AP192" s="2548"/>
      <c r="AQ192" s="2548"/>
      <c r="AR192" s="2548"/>
      <c r="AS192" s="2548"/>
      <c r="AT192" s="2548"/>
      <c r="AU192" s="2497"/>
      <c r="AV192" s="2497"/>
      <c r="AW192" s="2497"/>
      <c r="AX192" s="2497"/>
      <c r="AY192" s="2497"/>
      <c r="AZ192" s="2497"/>
      <c r="BA192" s="2497"/>
      <c r="BB192" s="2497"/>
      <c r="BC192" s="1222"/>
      <c r="BD192" s="1222"/>
      <c r="BE192" s="1221"/>
    </row>
    <row r="193" spans="1:57" ht="15.75" customHeight="1">
      <c r="A193" s="1209"/>
      <c r="B193" s="1209"/>
      <c r="C193" s="2506" t="s">
        <v>1854</v>
      </c>
      <c r="D193" s="2507"/>
      <c r="E193" s="2507"/>
      <c r="F193" s="2507"/>
      <c r="G193" s="2507"/>
      <c r="H193" s="2507"/>
      <c r="I193" s="2507"/>
      <c r="J193" s="2507"/>
      <c r="K193" s="2507"/>
      <c r="L193" s="2507"/>
      <c r="M193" s="2507"/>
      <c r="N193" s="2508">
        <f>SUM(N185:T192)</f>
        <v>3073837</v>
      </c>
      <c r="O193" s="2508"/>
      <c r="P193" s="2508"/>
      <c r="Q193" s="2508"/>
      <c r="R193" s="2508"/>
      <c r="S193" s="2508"/>
      <c r="T193" s="2509"/>
      <c r="U193" s="1209"/>
      <c r="V193" s="1209"/>
      <c r="W193" s="1209"/>
      <c r="X193" s="1209"/>
      <c r="Y193" s="1209"/>
      <c r="Z193" s="1209"/>
      <c r="AA193" s="1209"/>
      <c r="AB193" s="1209"/>
      <c r="AC193" s="1209"/>
      <c r="AD193" s="1209"/>
      <c r="AE193" s="1209"/>
      <c r="AF193" s="1209"/>
      <c r="AG193" s="1209"/>
      <c r="AH193" s="2519" t="s">
        <v>2606</v>
      </c>
      <c r="AI193" s="2519"/>
      <c r="AJ193" s="2519"/>
      <c r="AK193" s="2519"/>
      <c r="AL193" s="2519"/>
      <c r="AM193" s="2519"/>
      <c r="AN193" s="2519"/>
      <c r="AO193" s="2519"/>
      <c r="AP193" s="2519"/>
      <c r="AQ193" s="2519"/>
      <c r="AR193" s="2519"/>
      <c r="AS193" s="2519"/>
      <c r="AT193" s="2519"/>
      <c r="AU193" s="2519"/>
      <c r="AV193" s="2519"/>
      <c r="AW193" s="2519"/>
      <c r="AX193" s="2519"/>
      <c r="AY193" s="2519"/>
      <c r="AZ193" s="2519"/>
      <c r="BA193" s="2519"/>
      <c r="BB193" s="2519"/>
      <c r="BC193" s="2519"/>
      <c r="BD193" s="2519"/>
      <c r="BE193" s="2520"/>
    </row>
    <row r="194" spans="1:57" ht="15.75" customHeight="1" thickBot="1">
      <c r="A194" s="1209"/>
      <c r="B194" s="1209"/>
      <c r="C194" s="2549" t="s">
        <v>2498</v>
      </c>
      <c r="D194" s="2550"/>
      <c r="E194" s="2550"/>
      <c r="F194" s="2550"/>
      <c r="G194" s="2550"/>
      <c r="H194" s="2550"/>
      <c r="I194" s="2550"/>
      <c r="J194" s="2550"/>
      <c r="K194" s="2550"/>
      <c r="L194" s="2550"/>
      <c r="M194" s="2550"/>
      <c r="N194" s="2551">
        <f>(N183-N193)/J29</f>
        <v>822388.67346938781</v>
      </c>
      <c r="O194" s="2552"/>
      <c r="P194" s="2552"/>
      <c r="Q194" s="2552"/>
      <c r="R194" s="2552"/>
      <c r="S194" s="2552"/>
      <c r="T194" s="2553"/>
      <c r="U194" s="1220"/>
      <c r="V194" s="1209"/>
      <c r="W194" s="1209"/>
      <c r="X194" s="1209"/>
      <c r="Y194" s="1209"/>
      <c r="Z194" s="1209"/>
      <c r="AA194" s="1209"/>
      <c r="AB194" s="1209"/>
      <c r="AC194" s="1209"/>
      <c r="AD194" s="1209"/>
      <c r="AE194" s="1209"/>
      <c r="AF194" s="1209"/>
      <c r="AG194" s="1209"/>
      <c r="AH194" s="2519"/>
      <c r="AI194" s="2519"/>
      <c r="AJ194" s="2519"/>
      <c r="AK194" s="2519"/>
      <c r="AL194" s="2519"/>
      <c r="AM194" s="2519"/>
      <c r="AN194" s="2519"/>
      <c r="AO194" s="2519"/>
      <c r="AP194" s="2519"/>
      <c r="AQ194" s="2519"/>
      <c r="AR194" s="2519"/>
      <c r="AS194" s="2519"/>
      <c r="AT194" s="2519"/>
      <c r="AU194" s="2519"/>
      <c r="AV194" s="2519"/>
      <c r="AW194" s="2519"/>
      <c r="AX194" s="2519"/>
      <c r="AY194" s="2519"/>
      <c r="AZ194" s="2519"/>
      <c r="BA194" s="2519"/>
      <c r="BB194" s="2519"/>
      <c r="BC194" s="2519"/>
      <c r="BD194" s="2519"/>
      <c r="BE194" s="2520"/>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554"/>
      <c r="AI195" s="2554"/>
      <c r="AJ195" s="2554"/>
      <c r="AK195" s="2554"/>
      <c r="AL195" s="2554"/>
      <c r="AM195" s="2554"/>
      <c r="AN195" s="2554"/>
      <c r="AO195" s="2554"/>
      <c r="AP195" s="2554"/>
      <c r="AQ195" s="2554"/>
      <c r="AR195" s="2554"/>
      <c r="AS195" s="2498"/>
      <c r="AT195" s="2498"/>
      <c r="AU195" s="2498"/>
      <c r="AV195" s="2498"/>
      <c r="AW195" s="2498"/>
      <c r="AX195" s="2498"/>
      <c r="AY195" s="2498"/>
      <c r="AZ195" s="2498"/>
      <c r="BA195" s="2498"/>
      <c r="BB195" s="2498"/>
      <c r="BC195" s="2498"/>
      <c r="BD195" s="2498"/>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499" t="s">
        <v>2605</v>
      </c>
      <c r="D197" s="2500"/>
      <c r="E197" s="2500"/>
      <c r="F197" s="2500"/>
      <c r="G197" s="2500"/>
      <c r="H197" s="2500"/>
      <c r="I197" s="2500"/>
      <c r="J197" s="2500"/>
      <c r="K197" s="2500"/>
      <c r="L197" s="2500"/>
      <c r="M197" s="2500"/>
      <c r="N197" s="2500"/>
      <c r="O197" s="2500"/>
      <c r="P197" s="2500"/>
      <c r="Q197" s="2500"/>
      <c r="R197" s="2500"/>
      <c r="S197" s="2500"/>
      <c r="T197" s="2500"/>
      <c r="U197" s="2500"/>
      <c r="V197" s="2500"/>
      <c r="W197" s="2500"/>
      <c r="X197" s="2500"/>
      <c r="Y197" s="2500"/>
      <c r="Z197" s="2500"/>
      <c r="AA197" s="2500"/>
      <c r="AB197" s="2500"/>
      <c r="AC197" s="2500"/>
      <c r="AD197" s="2500"/>
      <c r="AE197" s="2501"/>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209" t="s">
        <v>2604</v>
      </c>
      <c r="D198" s="2209"/>
      <c r="E198" s="2209"/>
      <c r="F198" s="2209"/>
      <c r="G198" s="2209"/>
      <c r="H198" s="2209"/>
      <c r="I198" s="2209"/>
      <c r="J198" s="2209"/>
      <c r="K198" s="2209"/>
      <c r="L198" s="2209"/>
      <c r="M198" s="2209"/>
      <c r="N198" s="2209"/>
      <c r="O198" s="2210" t="s">
        <v>2603</v>
      </c>
      <c r="P198" s="2210"/>
      <c r="Q198" s="2210"/>
      <c r="R198" s="2210"/>
      <c r="S198" s="2210"/>
      <c r="T198" s="2210"/>
      <c r="U198" s="2210"/>
      <c r="V198" s="2210"/>
      <c r="W198" s="2210"/>
      <c r="X198" s="2210" t="s">
        <v>2602</v>
      </c>
      <c r="Y198" s="2210"/>
      <c r="Z198" s="2210"/>
      <c r="AA198" s="2210"/>
      <c r="AB198" s="2210"/>
      <c r="AC198" s="2210"/>
      <c r="AD198" s="2210"/>
      <c r="AE198" s="2210"/>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207" t="s">
        <v>2601</v>
      </c>
      <c r="D199" s="2207"/>
      <c r="E199" s="2207"/>
      <c r="F199" s="2207"/>
      <c r="G199" s="2207"/>
      <c r="H199" s="2207"/>
      <c r="I199" s="2207"/>
      <c r="J199" s="2207"/>
      <c r="K199" s="2207"/>
      <c r="L199" s="2207"/>
      <c r="M199" s="2207"/>
      <c r="N199" s="2207"/>
      <c r="O199" s="2502" t="s">
        <v>2600</v>
      </c>
      <c r="P199" s="2502"/>
      <c r="Q199" s="2502"/>
      <c r="R199" s="2502"/>
      <c r="S199" s="2502"/>
      <c r="T199" s="2502"/>
      <c r="U199" s="2502"/>
      <c r="V199" s="2502"/>
      <c r="W199" s="2502"/>
      <c r="X199" s="2523">
        <v>0.03</v>
      </c>
      <c r="Y199" s="2523"/>
      <c r="Z199" s="2523"/>
      <c r="AA199" s="2523"/>
      <c r="AB199" s="2523"/>
      <c r="AC199" s="2523"/>
      <c r="AD199" s="2523"/>
      <c r="AE199" s="2523"/>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207" t="s">
        <v>866</v>
      </c>
      <c r="D200" s="2207"/>
      <c r="E200" s="2207"/>
      <c r="F200" s="2207"/>
      <c r="G200" s="2207"/>
      <c r="H200" s="2207"/>
      <c r="I200" s="2207"/>
      <c r="J200" s="2207"/>
      <c r="K200" s="2207"/>
      <c r="L200" s="2207"/>
      <c r="M200" s="2207"/>
      <c r="N200" s="2207"/>
      <c r="O200" s="2502" t="s">
        <v>2600</v>
      </c>
      <c r="P200" s="2502"/>
      <c r="Q200" s="2502"/>
      <c r="R200" s="2502"/>
      <c r="S200" s="2502"/>
      <c r="T200" s="2502"/>
      <c r="U200" s="2502"/>
      <c r="V200" s="2502"/>
      <c r="W200" s="2502"/>
      <c r="X200" s="2523">
        <v>0.03</v>
      </c>
      <c r="Y200" s="2523"/>
      <c r="Z200" s="2523"/>
      <c r="AA200" s="2523"/>
      <c r="AB200" s="2523"/>
      <c r="AC200" s="2523"/>
      <c r="AD200" s="2523"/>
      <c r="AE200" s="2523"/>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207" t="s">
        <v>2599</v>
      </c>
      <c r="D201" s="2207"/>
      <c r="E201" s="2207"/>
      <c r="F201" s="2207"/>
      <c r="G201" s="2207"/>
      <c r="H201" s="2207"/>
      <c r="I201" s="2207"/>
      <c r="J201" s="2207"/>
      <c r="K201" s="2207"/>
      <c r="L201" s="2207"/>
      <c r="M201" s="2207"/>
      <c r="N201" s="2207"/>
      <c r="O201" s="2211">
        <f>SUM(O199:W200)</f>
        <v>0</v>
      </c>
      <c r="P201" s="2212"/>
      <c r="Q201" s="2212"/>
      <c r="R201" s="2212"/>
      <c r="S201" s="2212"/>
      <c r="T201" s="2212"/>
      <c r="U201" s="2212"/>
      <c r="V201" s="2212"/>
      <c r="W201" s="2212"/>
      <c r="X201" s="2212" t="s">
        <v>2598</v>
      </c>
      <c r="Y201" s="2212"/>
      <c r="Z201" s="2212"/>
      <c r="AA201" s="2212"/>
      <c r="AB201" s="2212"/>
      <c r="AC201" s="2212"/>
      <c r="AD201" s="2212"/>
      <c r="AE201" s="2212"/>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208" t="s">
        <v>2597</v>
      </c>
      <c r="D202" s="2208"/>
      <c r="E202" s="2208"/>
      <c r="F202" s="2208"/>
      <c r="G202" s="2208"/>
      <c r="H202" s="2208"/>
      <c r="I202" s="2208"/>
      <c r="J202" s="2208"/>
      <c r="K202" s="2208"/>
      <c r="L202" s="2208"/>
      <c r="M202" s="2208"/>
      <c r="N202" s="2208"/>
      <c r="O202" s="2208"/>
      <c r="P202" s="2208"/>
      <c r="Q202" s="2208"/>
      <c r="R202" s="2208"/>
      <c r="S202" s="2208"/>
      <c r="T202" s="2208"/>
      <c r="U202" s="2208"/>
      <c r="V202" s="2208"/>
      <c r="W202" s="2208"/>
      <c r="X202" s="2208"/>
      <c r="Y202" s="2208"/>
      <c r="Z202" s="2208"/>
      <c r="AA202" s="2208"/>
      <c r="AB202" s="2208"/>
      <c r="AC202" s="2208"/>
      <c r="AD202" s="2208"/>
      <c r="AE202" s="2208"/>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524" t="s">
        <v>2596</v>
      </c>
      <c r="D204" s="2525"/>
      <c r="E204" s="2525"/>
      <c r="F204" s="2525"/>
      <c r="G204" s="2525"/>
      <c r="H204" s="2525"/>
      <c r="I204" s="2525"/>
      <c r="J204" s="2525"/>
      <c r="K204" s="2525"/>
      <c r="L204" s="2525"/>
      <c r="M204" s="2525"/>
      <c r="N204" s="2525"/>
      <c r="O204" s="2525"/>
      <c r="P204" s="2525"/>
      <c r="Q204" s="2525"/>
      <c r="R204" s="2525"/>
      <c r="S204" s="2525"/>
      <c r="T204" s="2525"/>
      <c r="U204" s="2525"/>
      <c r="V204" s="2525"/>
      <c r="W204" s="2525"/>
      <c r="X204" s="2525"/>
      <c r="Y204" s="2525"/>
      <c r="Z204" s="2525"/>
      <c r="AA204" s="2525"/>
      <c r="AB204" s="2525"/>
      <c r="AC204" s="2525"/>
      <c r="AD204" s="2525"/>
      <c r="AE204" s="2525"/>
      <c r="AF204" s="2525"/>
      <c r="AG204" s="2525"/>
      <c r="AH204" s="2525"/>
      <c r="AI204" s="2525"/>
      <c r="AJ204" s="2525"/>
      <c r="AK204" s="2526"/>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527" t="s">
        <v>2595</v>
      </c>
      <c r="D205" s="2528"/>
      <c r="E205" s="2528"/>
      <c r="F205" s="2529"/>
      <c r="G205" s="2533" t="s">
        <v>2594</v>
      </c>
      <c r="H205" s="2528"/>
      <c r="I205" s="2528"/>
      <c r="J205" s="2528"/>
      <c r="K205" s="2528"/>
      <c r="L205" s="2528"/>
      <c r="M205" s="2528"/>
      <c r="N205" s="2528"/>
      <c r="O205" s="2529"/>
      <c r="P205" s="2535" t="s">
        <v>2593</v>
      </c>
      <c r="Q205" s="2536"/>
      <c r="R205" s="2536"/>
      <c r="S205" s="2536"/>
      <c r="T205" s="2537"/>
      <c r="U205" s="2541" t="s">
        <v>2592</v>
      </c>
      <c r="V205" s="2542"/>
      <c r="W205" s="2542"/>
      <c r="X205" s="2543"/>
      <c r="Y205" s="2541" t="s">
        <v>2591</v>
      </c>
      <c r="Z205" s="2542"/>
      <c r="AA205" s="2542"/>
      <c r="AB205" s="2543"/>
      <c r="AC205" s="2541" t="s">
        <v>2590</v>
      </c>
      <c r="AD205" s="2542"/>
      <c r="AE205" s="2542"/>
      <c r="AF205" s="2543"/>
      <c r="AG205" s="2533" t="s">
        <v>2589</v>
      </c>
      <c r="AH205" s="2528"/>
      <c r="AI205" s="2528"/>
      <c r="AJ205" s="2528"/>
      <c r="AK205" s="2591"/>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530"/>
      <c r="D206" s="2531"/>
      <c r="E206" s="2531"/>
      <c r="F206" s="2532"/>
      <c r="G206" s="2534"/>
      <c r="H206" s="2531"/>
      <c r="I206" s="2531"/>
      <c r="J206" s="2531"/>
      <c r="K206" s="2531"/>
      <c r="L206" s="2531"/>
      <c r="M206" s="2531"/>
      <c r="N206" s="2531"/>
      <c r="O206" s="2532"/>
      <c r="P206" s="2538"/>
      <c r="Q206" s="2539"/>
      <c r="R206" s="2539"/>
      <c r="S206" s="2539"/>
      <c r="T206" s="2540"/>
      <c r="U206" s="2544"/>
      <c r="V206" s="2545"/>
      <c r="W206" s="2545"/>
      <c r="X206" s="2546"/>
      <c r="Y206" s="2544"/>
      <c r="Z206" s="2545"/>
      <c r="AA206" s="2545"/>
      <c r="AB206" s="2546"/>
      <c r="AC206" s="2544"/>
      <c r="AD206" s="2545"/>
      <c r="AE206" s="2545"/>
      <c r="AF206" s="2546"/>
      <c r="AG206" s="2534"/>
      <c r="AH206" s="2531"/>
      <c r="AI206" s="2531"/>
      <c r="AJ206" s="2531"/>
      <c r="AK206" s="2592"/>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186">
        <v>1</v>
      </c>
      <c r="D207" s="2187"/>
      <c r="E207" s="2187"/>
      <c r="F207" s="2187"/>
      <c r="G207" s="2188" t="s">
        <v>2155</v>
      </c>
      <c r="H207" s="2188"/>
      <c r="I207" s="2188"/>
      <c r="J207" s="2188"/>
      <c r="K207" s="2188"/>
      <c r="L207" s="2188"/>
      <c r="M207" s="2188"/>
      <c r="N207" s="2188"/>
      <c r="O207" s="2188"/>
      <c r="P207" s="2189"/>
      <c r="Q207" s="2593"/>
      <c r="R207" s="2593"/>
      <c r="S207" s="2593"/>
      <c r="T207" s="2593"/>
      <c r="U207" s="2190" t="s">
        <v>2155</v>
      </c>
      <c r="V207" s="2190"/>
      <c r="W207" s="2190"/>
      <c r="X207" s="2190"/>
      <c r="Y207" s="2190" t="s">
        <v>2155</v>
      </c>
      <c r="Z207" s="2190"/>
      <c r="AA207" s="2190"/>
      <c r="AB207" s="2190"/>
      <c r="AC207" s="2191" t="s">
        <v>2155</v>
      </c>
      <c r="AD207" s="2191"/>
      <c r="AE207" s="2191"/>
      <c r="AF207" s="2191"/>
      <c r="AG207" s="2585"/>
      <c r="AH207" s="2586"/>
      <c r="AI207" s="2586"/>
      <c r="AJ207" s="2586"/>
      <c r="AK207" s="2587"/>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186">
        <v>2</v>
      </c>
      <c r="D208" s="2187"/>
      <c r="E208" s="2187"/>
      <c r="F208" s="2187"/>
      <c r="G208" s="2188" t="s">
        <v>2155</v>
      </c>
      <c r="H208" s="2188"/>
      <c r="I208" s="2188"/>
      <c r="J208" s="2188"/>
      <c r="K208" s="2188"/>
      <c r="L208" s="2188"/>
      <c r="M208" s="2188"/>
      <c r="N208" s="2188"/>
      <c r="O208" s="2188"/>
      <c r="P208" s="2189"/>
      <c r="Q208" s="2189"/>
      <c r="R208" s="2189"/>
      <c r="S208" s="2189"/>
      <c r="T208" s="2189"/>
      <c r="U208" s="2190" t="s">
        <v>2155</v>
      </c>
      <c r="V208" s="2190"/>
      <c r="W208" s="2190"/>
      <c r="X208" s="2190"/>
      <c r="Y208" s="2190" t="s">
        <v>2155</v>
      </c>
      <c r="Z208" s="2190"/>
      <c r="AA208" s="2190"/>
      <c r="AB208" s="2190"/>
      <c r="AC208" s="2191" t="s">
        <v>2155</v>
      </c>
      <c r="AD208" s="2191"/>
      <c r="AE208" s="2191"/>
      <c r="AF208" s="2191"/>
      <c r="AG208" s="2585"/>
      <c r="AH208" s="2586"/>
      <c r="AI208" s="2586"/>
      <c r="AJ208" s="2586"/>
      <c r="AK208" s="2587"/>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186">
        <v>3</v>
      </c>
      <c r="D209" s="2187"/>
      <c r="E209" s="2187"/>
      <c r="F209" s="2187"/>
      <c r="G209" s="2188" t="s">
        <v>2155</v>
      </c>
      <c r="H209" s="2188"/>
      <c r="I209" s="2188"/>
      <c r="J209" s="2188"/>
      <c r="K209" s="2188"/>
      <c r="L209" s="2188"/>
      <c r="M209" s="2188"/>
      <c r="N209" s="2188"/>
      <c r="O209" s="2188"/>
      <c r="P209" s="2189"/>
      <c r="Q209" s="2189"/>
      <c r="R209" s="2189"/>
      <c r="S209" s="2189"/>
      <c r="T209" s="2189"/>
      <c r="U209" s="2190" t="s">
        <v>2155</v>
      </c>
      <c r="V209" s="2190"/>
      <c r="W209" s="2190"/>
      <c r="X209" s="2190"/>
      <c r="Y209" s="2190" t="s">
        <v>2155</v>
      </c>
      <c r="Z209" s="2190"/>
      <c r="AA209" s="2190"/>
      <c r="AB209" s="2190"/>
      <c r="AC209" s="2191" t="s">
        <v>2155</v>
      </c>
      <c r="AD209" s="2191"/>
      <c r="AE209" s="2191"/>
      <c r="AF209" s="2191"/>
      <c r="AG209" s="2585"/>
      <c r="AH209" s="2586"/>
      <c r="AI209" s="2586"/>
      <c r="AJ209" s="2586"/>
      <c r="AK209" s="2587"/>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186">
        <v>4</v>
      </c>
      <c r="D210" s="2187"/>
      <c r="E210" s="2187"/>
      <c r="F210" s="2187"/>
      <c r="G210" s="2188" t="s">
        <v>2155</v>
      </c>
      <c r="H210" s="2188"/>
      <c r="I210" s="2188"/>
      <c r="J210" s="2188"/>
      <c r="K210" s="2188"/>
      <c r="L210" s="2188"/>
      <c r="M210" s="2188"/>
      <c r="N210" s="2188"/>
      <c r="O210" s="2188"/>
      <c r="P210" s="2189"/>
      <c r="Q210" s="2189"/>
      <c r="R210" s="2189"/>
      <c r="S210" s="2189"/>
      <c r="T210" s="2189"/>
      <c r="U210" s="2190" t="s">
        <v>2155</v>
      </c>
      <c r="V210" s="2190"/>
      <c r="W210" s="2190"/>
      <c r="X210" s="2190"/>
      <c r="Y210" s="2190" t="s">
        <v>2155</v>
      </c>
      <c r="Z210" s="2190"/>
      <c r="AA210" s="2190"/>
      <c r="AB210" s="2190"/>
      <c r="AC210" s="2191" t="s">
        <v>2155</v>
      </c>
      <c r="AD210" s="2191"/>
      <c r="AE210" s="2191"/>
      <c r="AF210" s="2191"/>
      <c r="AG210" s="2585"/>
      <c r="AH210" s="2586"/>
      <c r="AI210" s="2586"/>
      <c r="AJ210" s="2586"/>
      <c r="AK210" s="2587"/>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186">
        <v>5</v>
      </c>
      <c r="D211" s="2187"/>
      <c r="E211" s="2187"/>
      <c r="F211" s="2187"/>
      <c r="G211" s="2188"/>
      <c r="H211" s="2188"/>
      <c r="I211" s="2188"/>
      <c r="J211" s="2188"/>
      <c r="K211" s="2188"/>
      <c r="L211" s="2188"/>
      <c r="M211" s="2188"/>
      <c r="N211" s="2188"/>
      <c r="O211" s="2188"/>
      <c r="P211" s="2189"/>
      <c r="Q211" s="2189"/>
      <c r="R211" s="2189"/>
      <c r="S211" s="2189"/>
      <c r="T211" s="2189"/>
      <c r="U211" s="2190" t="s">
        <v>2155</v>
      </c>
      <c r="V211" s="2190"/>
      <c r="W211" s="2190"/>
      <c r="X211" s="2190"/>
      <c r="Y211" s="2190" t="s">
        <v>2155</v>
      </c>
      <c r="Z211" s="2190"/>
      <c r="AA211" s="2190"/>
      <c r="AB211" s="2190"/>
      <c r="AC211" s="2191" t="s">
        <v>2155</v>
      </c>
      <c r="AD211" s="2191"/>
      <c r="AE211" s="2191"/>
      <c r="AF211" s="2191"/>
      <c r="AG211" s="2585"/>
      <c r="AH211" s="2586"/>
      <c r="AI211" s="2586"/>
      <c r="AJ211" s="2586"/>
      <c r="AK211" s="2587"/>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186">
        <v>6</v>
      </c>
      <c r="D212" s="2187"/>
      <c r="E212" s="2187"/>
      <c r="F212" s="2187"/>
      <c r="G212" s="2188" t="s">
        <v>2155</v>
      </c>
      <c r="H212" s="2188"/>
      <c r="I212" s="2188"/>
      <c r="J212" s="2188"/>
      <c r="K212" s="2188"/>
      <c r="L212" s="2188"/>
      <c r="M212" s="2188"/>
      <c r="N212" s="2188"/>
      <c r="O212" s="2188"/>
      <c r="P212" s="2189"/>
      <c r="Q212" s="2189"/>
      <c r="R212" s="2189"/>
      <c r="S212" s="2189"/>
      <c r="T212" s="2189"/>
      <c r="U212" s="2190"/>
      <c r="V212" s="2190"/>
      <c r="W212" s="2190"/>
      <c r="X212" s="2190"/>
      <c r="Y212" s="2190"/>
      <c r="Z212" s="2190"/>
      <c r="AA212" s="2190"/>
      <c r="AB212" s="2190"/>
      <c r="AC212" s="2191" t="s">
        <v>2155</v>
      </c>
      <c r="AD212" s="2191"/>
      <c r="AE212" s="2191"/>
      <c r="AF212" s="2191"/>
      <c r="AG212" s="2585"/>
      <c r="AH212" s="2586"/>
      <c r="AI212" s="2586"/>
      <c r="AJ212" s="2586"/>
      <c r="AK212" s="2587"/>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186">
        <v>7</v>
      </c>
      <c r="D213" s="2187"/>
      <c r="E213" s="2187"/>
      <c r="F213" s="2187"/>
      <c r="G213" s="2192"/>
      <c r="H213" s="2193"/>
      <c r="I213" s="2193"/>
      <c r="J213" s="2193"/>
      <c r="K213" s="2193"/>
      <c r="L213" s="2193"/>
      <c r="M213" s="2193"/>
      <c r="N213" s="2193"/>
      <c r="O213" s="2194"/>
      <c r="P213" s="2189"/>
      <c r="Q213" s="2189"/>
      <c r="R213" s="2189"/>
      <c r="S213" s="2189"/>
      <c r="T213" s="2189"/>
      <c r="U213" s="2190"/>
      <c r="V213" s="2190"/>
      <c r="W213" s="2190"/>
      <c r="X213" s="2190"/>
      <c r="Y213" s="2190"/>
      <c r="Z213" s="2190"/>
      <c r="AA213" s="2190"/>
      <c r="AB213" s="2190"/>
      <c r="AC213" s="2191" t="s">
        <v>2155</v>
      </c>
      <c r="AD213" s="2191"/>
      <c r="AE213" s="2191"/>
      <c r="AF213" s="2191"/>
      <c r="AG213" s="2585"/>
      <c r="AH213" s="2586"/>
      <c r="AI213" s="2586"/>
      <c r="AJ213" s="2586"/>
      <c r="AK213" s="2587"/>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181" t="s">
        <v>2588</v>
      </c>
      <c r="D214" s="2182"/>
      <c r="E214" s="2182"/>
      <c r="F214" s="2182"/>
      <c r="G214" s="2182"/>
      <c r="H214" s="2182"/>
      <c r="I214" s="2182"/>
      <c r="J214" s="2182"/>
      <c r="K214" s="2182"/>
      <c r="L214" s="2182"/>
      <c r="M214" s="2182"/>
      <c r="N214" s="2182"/>
      <c r="O214" s="2182"/>
      <c r="P214" s="2183"/>
      <c r="Q214" s="2183"/>
      <c r="R214" s="2183"/>
      <c r="S214" s="2183"/>
      <c r="T214" s="2183"/>
      <c r="U214" s="2184">
        <v>0</v>
      </c>
      <c r="V214" s="2184"/>
      <c r="W214" s="2184"/>
      <c r="X214" s="2184"/>
      <c r="Y214" s="2184">
        <v>0</v>
      </c>
      <c r="Z214" s="2184"/>
      <c r="AA214" s="2184"/>
      <c r="AB214" s="2184"/>
      <c r="AC214" s="2185">
        <v>0</v>
      </c>
      <c r="AD214" s="2185"/>
      <c r="AE214" s="2185"/>
      <c r="AF214" s="2185"/>
      <c r="AG214" s="2588"/>
      <c r="AH214" s="2589"/>
      <c r="AI214" s="2589"/>
      <c r="AJ214" s="2589"/>
      <c r="AK214" s="2590"/>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2587</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561" t="s">
        <v>1855</v>
      </c>
      <c r="C219" s="2562"/>
      <c r="D219" s="2562"/>
      <c r="E219" s="2562"/>
      <c r="F219" s="2562"/>
      <c r="G219" s="2562"/>
      <c r="H219" s="2562"/>
      <c r="I219" s="2562"/>
      <c r="J219" s="2562"/>
      <c r="K219" s="2562"/>
      <c r="L219" s="2562"/>
      <c r="M219" s="2562"/>
      <c r="N219" s="2562"/>
      <c r="O219" s="2562"/>
      <c r="P219" s="2562"/>
      <c r="Q219" s="2562"/>
      <c r="R219" s="2562"/>
      <c r="S219" s="2562"/>
      <c r="T219" s="2562"/>
      <c r="U219" s="2562"/>
      <c r="V219" s="2562"/>
      <c r="W219" s="2562"/>
      <c r="X219" s="2562"/>
      <c r="Y219" s="2562"/>
      <c r="Z219" s="2562"/>
      <c r="AA219" s="2562"/>
      <c r="AB219" s="2562"/>
      <c r="AC219" s="2562"/>
      <c r="AD219" s="2562"/>
      <c r="AE219" s="2562"/>
      <c r="AF219" s="2562"/>
      <c r="AG219" s="2562"/>
      <c r="AH219" s="2562"/>
      <c r="AI219" s="2562"/>
      <c r="AJ219" s="2562"/>
      <c r="AK219" s="2562"/>
      <c r="AL219" s="2562"/>
      <c r="AM219" s="2562"/>
      <c r="AN219" s="2562"/>
      <c r="AO219" s="2562"/>
      <c r="AP219" s="2562"/>
      <c r="AQ219" s="2562"/>
      <c r="AR219" s="2562"/>
      <c r="AS219" s="2562"/>
      <c r="AT219" s="2562"/>
      <c r="AU219" s="2562"/>
      <c r="AV219" s="2562"/>
      <c r="AW219" s="2562"/>
      <c r="AX219" s="2562"/>
      <c r="AY219" s="2562"/>
      <c r="AZ219" s="2562"/>
      <c r="BA219" s="2562"/>
      <c r="BB219" s="2562"/>
      <c r="BC219" s="2562"/>
      <c r="BD219" s="2563"/>
      <c r="BE219" s="1205"/>
    </row>
    <row r="220" spans="1:57" ht="15.75" customHeight="1">
      <c r="A220" s="1209"/>
      <c r="B220" s="2564"/>
      <c r="C220" s="2565"/>
      <c r="D220" s="2565"/>
      <c r="E220" s="2565"/>
      <c r="F220" s="2565"/>
      <c r="G220" s="2565"/>
      <c r="H220" s="2565"/>
      <c r="I220" s="2565"/>
      <c r="J220" s="2565"/>
      <c r="K220" s="2565"/>
      <c r="L220" s="2565"/>
      <c r="M220" s="2565"/>
      <c r="N220" s="2565"/>
      <c r="O220" s="2565"/>
      <c r="P220" s="2565"/>
      <c r="Q220" s="2565"/>
      <c r="R220" s="2565"/>
      <c r="S220" s="2565"/>
      <c r="T220" s="2565"/>
      <c r="U220" s="2565"/>
      <c r="V220" s="2565"/>
      <c r="W220" s="2565"/>
      <c r="X220" s="2565"/>
      <c r="Y220" s="2565"/>
      <c r="Z220" s="2565"/>
      <c r="AA220" s="2565"/>
      <c r="AB220" s="2565"/>
      <c r="AC220" s="2565"/>
      <c r="AD220" s="2565"/>
      <c r="AE220" s="2565"/>
      <c r="AF220" s="2565"/>
      <c r="AG220" s="2565"/>
      <c r="AH220" s="2565"/>
      <c r="AI220" s="2565"/>
      <c r="AJ220" s="2565"/>
      <c r="AK220" s="2565"/>
      <c r="AL220" s="2565"/>
      <c r="AM220" s="2565"/>
      <c r="AN220" s="2565"/>
      <c r="AO220" s="2565"/>
      <c r="AP220" s="2565"/>
      <c r="AQ220" s="2565"/>
      <c r="AR220" s="2565"/>
      <c r="AS220" s="2565"/>
      <c r="AT220" s="2565"/>
      <c r="AU220" s="2565"/>
      <c r="AV220" s="2565"/>
      <c r="AW220" s="2565"/>
      <c r="AX220" s="2565"/>
      <c r="AY220" s="2565"/>
      <c r="AZ220" s="2565"/>
      <c r="BA220" s="2565"/>
      <c r="BB220" s="2565"/>
      <c r="BC220" s="2565"/>
      <c r="BD220" s="2566"/>
      <c r="BE220" s="1205"/>
    </row>
    <row r="221" spans="1:57" ht="15.75" customHeight="1">
      <c r="A221" s="1209"/>
      <c r="B221" s="2567" t="s">
        <v>1856</v>
      </c>
      <c r="C221" s="2568"/>
      <c r="D221" s="2568"/>
      <c r="E221" s="2568"/>
      <c r="F221" s="2568"/>
      <c r="G221" s="2568"/>
      <c r="H221" s="2568"/>
      <c r="I221" s="2568"/>
      <c r="J221" s="2568"/>
      <c r="K221" s="2568"/>
      <c r="L221" s="2568"/>
      <c r="M221" s="2568"/>
      <c r="N221" s="2568"/>
      <c r="O221" s="2568"/>
      <c r="P221" s="2568"/>
      <c r="Q221" s="2568"/>
      <c r="R221" s="2568"/>
      <c r="S221" s="2568"/>
      <c r="T221" s="2568"/>
      <c r="U221" s="2568"/>
      <c r="V221" s="2568"/>
      <c r="W221" s="2568"/>
      <c r="X221" s="2568"/>
      <c r="Y221" s="2568"/>
      <c r="Z221" s="2568"/>
      <c r="AA221" s="2568"/>
      <c r="AB221" s="2568"/>
      <c r="AC221" s="2568"/>
      <c r="AD221" s="2568"/>
      <c r="AE221" s="2568"/>
      <c r="AF221" s="2568"/>
      <c r="AG221" s="2568"/>
      <c r="AH221" s="2568"/>
      <c r="AI221" s="2568"/>
      <c r="AJ221" s="2568"/>
      <c r="AK221" s="2568"/>
      <c r="AL221" s="2568"/>
      <c r="AM221" s="2568"/>
      <c r="AN221" s="2568"/>
      <c r="AO221" s="2568"/>
      <c r="AP221" s="2568"/>
      <c r="AQ221" s="2568"/>
      <c r="AR221" s="2568"/>
      <c r="AS221" s="2568"/>
      <c r="AT221" s="2568"/>
      <c r="AU221" s="2568"/>
      <c r="AV221" s="2568"/>
      <c r="AW221" s="2568"/>
      <c r="AX221" s="2568"/>
      <c r="AY221" s="2568"/>
      <c r="AZ221" s="2568"/>
      <c r="BA221" s="2568"/>
      <c r="BB221" s="2568"/>
      <c r="BC221" s="2568"/>
      <c r="BD221" s="2569"/>
      <c r="BE221" s="1205"/>
    </row>
    <row r="222" spans="1:57" ht="15.75" customHeight="1">
      <c r="A222" s="1209"/>
      <c r="B222" s="2567" t="s">
        <v>1857</v>
      </c>
      <c r="C222" s="2568"/>
      <c r="D222" s="2568"/>
      <c r="E222" s="2568"/>
      <c r="F222" s="2568"/>
      <c r="G222" s="2568"/>
      <c r="H222" s="2568"/>
      <c r="I222" s="2568"/>
      <c r="J222" s="2568"/>
      <c r="K222" s="2568"/>
      <c r="L222" s="2568"/>
      <c r="M222" s="2568"/>
      <c r="N222" s="2568"/>
      <c r="O222" s="2568"/>
      <c r="P222" s="2568"/>
      <c r="Q222" s="2568"/>
      <c r="R222" s="2568"/>
      <c r="S222" s="2568"/>
      <c r="T222" s="2568"/>
      <c r="U222" s="2568"/>
      <c r="V222" s="2568"/>
      <c r="W222" s="2568"/>
      <c r="X222" s="2568"/>
      <c r="Y222" s="2568"/>
      <c r="Z222" s="2568"/>
      <c r="AA222" s="2568"/>
      <c r="AB222" s="2568"/>
      <c r="AC222" s="2568"/>
      <c r="AD222" s="2568"/>
      <c r="AE222" s="2568"/>
      <c r="AF222" s="2568"/>
      <c r="AG222" s="2568"/>
      <c r="AH222" s="2568"/>
      <c r="AI222" s="2568"/>
      <c r="AJ222" s="2568"/>
      <c r="AK222" s="2568"/>
      <c r="AL222" s="2568"/>
      <c r="AM222" s="2568"/>
      <c r="AN222" s="2568"/>
      <c r="AO222" s="2568"/>
      <c r="AP222" s="2568"/>
      <c r="AQ222" s="2568"/>
      <c r="AR222" s="2568"/>
      <c r="AS222" s="2568"/>
      <c r="AT222" s="2568"/>
      <c r="AU222" s="2568"/>
      <c r="AV222" s="2568"/>
      <c r="AW222" s="2568"/>
      <c r="AX222" s="2568"/>
      <c r="AY222" s="2568"/>
      <c r="AZ222" s="2568"/>
      <c r="BA222" s="2568"/>
      <c r="BB222" s="2568"/>
      <c r="BC222" s="2568"/>
      <c r="BD222" s="2569"/>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570" t="s">
        <v>1858</v>
      </c>
      <c r="C224" s="2571"/>
      <c r="D224" s="2571"/>
      <c r="E224" s="2571"/>
      <c r="F224" s="2571"/>
      <c r="G224" s="2571"/>
      <c r="H224" s="2571"/>
      <c r="I224" s="2571"/>
      <c r="J224" s="2571"/>
      <c r="K224" s="2571"/>
      <c r="L224" s="2571"/>
      <c r="M224" s="2571"/>
      <c r="N224" s="2571"/>
      <c r="O224" s="2571"/>
      <c r="P224" s="2571"/>
      <c r="Q224" s="2571"/>
      <c r="R224" s="2571"/>
      <c r="S224" s="2571"/>
      <c r="T224" s="2571"/>
      <c r="U224" s="2571"/>
      <c r="V224" s="2571"/>
      <c r="W224" s="2571"/>
      <c r="X224" s="2571"/>
      <c r="Y224" s="2571"/>
      <c r="Z224" s="2571"/>
      <c r="AA224" s="2571"/>
      <c r="AB224" s="2571"/>
      <c r="AC224" s="2571"/>
      <c r="AD224" s="2571"/>
      <c r="AE224" s="2571"/>
      <c r="AF224" s="2571"/>
      <c r="AG224" s="2571"/>
      <c r="AH224" s="2571"/>
      <c r="AI224" s="2571"/>
      <c r="AJ224" s="2571"/>
      <c r="AK224" s="2571"/>
      <c r="AL224" s="2571"/>
      <c r="AM224" s="2571"/>
      <c r="AN224" s="2571"/>
      <c r="AO224" s="2571"/>
      <c r="AP224" s="2571"/>
      <c r="AQ224" s="2571"/>
      <c r="AR224" s="2571"/>
      <c r="AS224" s="2571"/>
      <c r="AT224" s="2571"/>
      <c r="AU224" s="2571"/>
      <c r="AV224" s="2571"/>
      <c r="AW224" s="2571"/>
      <c r="AX224" s="2571"/>
      <c r="AY224" s="2571"/>
      <c r="AZ224" s="2571"/>
      <c r="BA224" s="2571"/>
      <c r="BB224" s="2571"/>
      <c r="BC224" s="2571"/>
      <c r="BD224" s="2572"/>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1859</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584" t="s">
        <v>1860</v>
      </c>
      <c r="I228" s="2584"/>
      <c r="J228" s="2584"/>
      <c r="K228" s="2584"/>
      <c r="L228" s="2584"/>
      <c r="M228" s="2584"/>
      <c r="N228" s="2584"/>
      <c r="O228" s="2584"/>
      <c r="P228" s="2584"/>
      <c r="Q228" s="2584"/>
      <c r="R228" s="2584"/>
      <c r="S228" s="2584"/>
      <c r="T228" s="2584"/>
      <c r="U228" s="2584"/>
      <c r="V228" s="2584"/>
      <c r="W228" s="2584"/>
      <c r="X228" s="2584"/>
      <c r="Y228" s="2584"/>
      <c r="Z228" s="2584"/>
      <c r="AA228" s="2584"/>
      <c r="AB228" s="2584"/>
      <c r="AC228" s="2584"/>
      <c r="AD228" s="2584"/>
      <c r="AE228" s="2584"/>
      <c r="AF228" s="2584"/>
      <c r="AG228" s="2584"/>
      <c r="AH228" s="2584"/>
      <c r="AI228" s="2584"/>
      <c r="AJ228" s="2584"/>
      <c r="AK228" s="2584"/>
      <c r="AL228" s="2584"/>
      <c r="AM228" s="2584"/>
      <c r="AN228" s="2584"/>
      <c r="AO228" s="2584"/>
      <c r="AP228" s="2584"/>
      <c r="AQ228" s="2584"/>
      <c r="AR228" s="2584"/>
      <c r="AS228" s="2584"/>
      <c r="AT228" s="2584"/>
      <c r="AU228" s="2584"/>
      <c r="AV228" s="2584"/>
      <c r="AW228" s="2584"/>
      <c r="AX228" s="2584"/>
      <c r="AY228" s="2584"/>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583" t="s">
        <v>2499</v>
      </c>
      <c r="I230" s="2583"/>
      <c r="J230" s="2583"/>
      <c r="K230" s="2583"/>
      <c r="L230" s="2583"/>
      <c r="M230" s="2583"/>
      <c r="N230" s="2583"/>
      <c r="O230" s="2583"/>
      <c r="P230" s="2583"/>
      <c r="Q230" s="2583"/>
      <c r="R230" s="2583"/>
      <c r="S230" s="2583"/>
      <c r="T230" s="2583"/>
      <c r="U230" s="2583"/>
      <c r="V230" s="2583"/>
      <c r="W230" s="2583"/>
      <c r="X230" s="2583"/>
      <c r="Y230" s="2583"/>
      <c r="Z230" s="2583"/>
      <c r="AA230" s="2583"/>
      <c r="AB230" s="2583"/>
      <c r="AC230" s="2583"/>
      <c r="AD230" s="2583"/>
      <c r="AE230" s="2583"/>
      <c r="AF230" s="2583"/>
      <c r="AG230" s="2583"/>
      <c r="AH230" s="2583"/>
      <c r="AI230" s="2583"/>
      <c r="AJ230" s="2583"/>
      <c r="AK230" s="2583"/>
      <c r="AL230" s="2583"/>
      <c r="AM230" s="2583"/>
      <c r="AN230" s="2583"/>
      <c r="AO230" s="2583"/>
      <c r="AP230" s="2583"/>
      <c r="AQ230" s="2583"/>
      <c r="AR230" s="2583"/>
      <c r="AS230" s="2583"/>
      <c r="AT230" s="2583"/>
      <c r="AU230" s="2583"/>
      <c r="AV230" s="2583"/>
      <c r="AW230" s="2583"/>
      <c r="AX230" s="2583"/>
      <c r="AY230" s="2583"/>
      <c r="AZ230" s="2583"/>
      <c r="BA230" s="1209"/>
      <c r="BB230" s="1209"/>
      <c r="BC230" s="1209"/>
      <c r="BD230" s="1205"/>
      <c r="BE230" s="1205"/>
    </row>
    <row r="231" spans="1:57" ht="15.75" customHeight="1">
      <c r="A231" s="1209"/>
      <c r="B231" s="1215"/>
      <c r="C231" s="1209"/>
      <c r="D231" s="1209"/>
      <c r="E231" s="1209"/>
      <c r="F231" s="1209"/>
      <c r="G231" s="1209"/>
      <c r="H231" s="2583"/>
      <c r="I231" s="2583"/>
      <c r="J231" s="2583"/>
      <c r="K231" s="2583"/>
      <c r="L231" s="2583"/>
      <c r="M231" s="2583"/>
      <c r="N231" s="2583"/>
      <c r="O231" s="2583"/>
      <c r="P231" s="2583"/>
      <c r="Q231" s="2583"/>
      <c r="R231" s="2583"/>
      <c r="S231" s="2583"/>
      <c r="T231" s="2583"/>
      <c r="U231" s="2583"/>
      <c r="V231" s="2583"/>
      <c r="W231" s="2583"/>
      <c r="X231" s="2583"/>
      <c r="Y231" s="2583"/>
      <c r="Z231" s="2583"/>
      <c r="AA231" s="2583"/>
      <c r="AB231" s="2583"/>
      <c r="AC231" s="2583"/>
      <c r="AD231" s="2583"/>
      <c r="AE231" s="2583"/>
      <c r="AF231" s="2583"/>
      <c r="AG231" s="2583"/>
      <c r="AH231" s="2583"/>
      <c r="AI231" s="2583"/>
      <c r="AJ231" s="2583"/>
      <c r="AK231" s="2583"/>
      <c r="AL231" s="2583"/>
      <c r="AM231" s="2583"/>
      <c r="AN231" s="2583"/>
      <c r="AO231" s="2583"/>
      <c r="AP231" s="2583"/>
      <c r="AQ231" s="2583"/>
      <c r="AR231" s="2583"/>
      <c r="AS231" s="2583"/>
      <c r="AT231" s="2583"/>
      <c r="AU231" s="2583"/>
      <c r="AV231" s="2583"/>
      <c r="AW231" s="2583"/>
      <c r="AX231" s="2583"/>
      <c r="AY231" s="2583"/>
      <c r="AZ231" s="2583"/>
      <c r="BA231" s="1209"/>
      <c r="BB231" s="1209"/>
      <c r="BC231" s="1209"/>
      <c r="BD231" s="1205"/>
      <c r="BE231" s="1205"/>
    </row>
    <row r="232" spans="1:57" ht="15.75" customHeight="1">
      <c r="A232" s="1209"/>
      <c r="B232" s="1215"/>
      <c r="C232" s="1209"/>
      <c r="D232" s="1209"/>
      <c r="E232" s="1209"/>
      <c r="F232" s="1209"/>
      <c r="G232" s="1209"/>
      <c r="H232" s="2583"/>
      <c r="I232" s="2583"/>
      <c r="J232" s="2583"/>
      <c r="K232" s="2583"/>
      <c r="L232" s="2583"/>
      <c r="M232" s="2583"/>
      <c r="N232" s="2583"/>
      <c r="O232" s="2583"/>
      <c r="P232" s="2583"/>
      <c r="Q232" s="2583"/>
      <c r="R232" s="2583"/>
      <c r="S232" s="2583"/>
      <c r="T232" s="2583"/>
      <c r="U232" s="2583"/>
      <c r="V232" s="2583"/>
      <c r="W232" s="2583"/>
      <c r="X232" s="2583"/>
      <c r="Y232" s="2583"/>
      <c r="Z232" s="2583"/>
      <c r="AA232" s="2583"/>
      <c r="AB232" s="2583"/>
      <c r="AC232" s="2583"/>
      <c r="AD232" s="2583"/>
      <c r="AE232" s="2583"/>
      <c r="AF232" s="2583"/>
      <c r="AG232" s="2583"/>
      <c r="AH232" s="2583"/>
      <c r="AI232" s="2583"/>
      <c r="AJ232" s="2583"/>
      <c r="AK232" s="2583"/>
      <c r="AL232" s="2583"/>
      <c r="AM232" s="2583"/>
      <c r="AN232" s="2583"/>
      <c r="AO232" s="2583"/>
      <c r="AP232" s="2583"/>
      <c r="AQ232" s="2583"/>
      <c r="AR232" s="2583"/>
      <c r="AS232" s="2583"/>
      <c r="AT232" s="2583"/>
      <c r="AU232" s="2583"/>
      <c r="AV232" s="2583"/>
      <c r="AW232" s="2583"/>
      <c r="AX232" s="2583"/>
      <c r="AY232" s="2583"/>
      <c r="AZ232" s="2583"/>
      <c r="BA232" s="1209"/>
      <c r="BB232" s="1209"/>
      <c r="BC232" s="1209"/>
      <c r="BD232" s="1205"/>
      <c r="BE232" s="1205"/>
    </row>
    <row r="233" spans="1:57" ht="15.75" customHeight="1">
      <c r="A233" s="1209"/>
      <c r="B233" s="1215"/>
      <c r="C233" s="1209"/>
      <c r="D233" s="1209"/>
      <c r="E233" s="1209"/>
      <c r="F233" s="1209"/>
      <c r="G233" s="1209"/>
      <c r="H233" s="2583"/>
      <c r="I233" s="2583"/>
      <c r="J233" s="2583"/>
      <c r="K233" s="2583"/>
      <c r="L233" s="2583"/>
      <c r="M233" s="2583"/>
      <c r="N233" s="2583"/>
      <c r="O233" s="2583"/>
      <c r="P233" s="2583"/>
      <c r="Q233" s="2583"/>
      <c r="R233" s="2583"/>
      <c r="S233" s="2583"/>
      <c r="T233" s="2583"/>
      <c r="U233" s="2583"/>
      <c r="V233" s="2583"/>
      <c r="W233" s="2583"/>
      <c r="X233" s="2583"/>
      <c r="Y233" s="2583"/>
      <c r="Z233" s="2583"/>
      <c r="AA233" s="2583"/>
      <c r="AB233" s="2583"/>
      <c r="AC233" s="2583"/>
      <c r="AD233" s="2583"/>
      <c r="AE233" s="2583"/>
      <c r="AF233" s="2583"/>
      <c r="AG233" s="2583"/>
      <c r="AH233" s="2583"/>
      <c r="AI233" s="2583"/>
      <c r="AJ233" s="2583"/>
      <c r="AK233" s="2583"/>
      <c r="AL233" s="2583"/>
      <c r="AM233" s="2583"/>
      <c r="AN233" s="2583"/>
      <c r="AO233" s="2583"/>
      <c r="AP233" s="2583"/>
      <c r="AQ233" s="2583"/>
      <c r="AR233" s="2583"/>
      <c r="AS233" s="2583"/>
      <c r="AT233" s="2583"/>
      <c r="AU233" s="2583"/>
      <c r="AV233" s="2583"/>
      <c r="AW233" s="2583"/>
      <c r="AX233" s="2583"/>
      <c r="AY233" s="2583"/>
      <c r="AZ233" s="2583"/>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582" t="s">
        <v>1861</v>
      </c>
      <c r="I235" s="2582"/>
      <c r="J235" s="2582"/>
      <c r="K235" s="2582"/>
      <c r="L235" s="2582"/>
      <c r="M235" s="2582"/>
      <c r="N235" s="2582"/>
      <c r="O235" s="2582"/>
      <c r="P235" s="2582"/>
      <c r="Q235" s="2582"/>
      <c r="R235" s="2582"/>
      <c r="S235" s="2582"/>
      <c r="T235" s="2582"/>
      <c r="U235" s="2582"/>
      <c r="V235" s="2582"/>
      <c r="W235" s="2582"/>
      <c r="X235" s="2582"/>
      <c r="Y235" s="2582"/>
      <c r="Z235" s="2582"/>
      <c r="AA235" s="2582"/>
      <c r="AB235" s="2582"/>
      <c r="AC235" s="2582"/>
      <c r="AD235" s="2582"/>
      <c r="AE235" s="2582"/>
      <c r="AF235" s="2582"/>
      <c r="AG235" s="2582"/>
      <c r="AH235" s="2582"/>
      <c r="AI235" s="2582"/>
      <c r="AJ235" s="2582"/>
      <c r="AK235" s="2582"/>
      <c r="AL235" s="2582"/>
      <c r="AM235" s="2582"/>
      <c r="AN235" s="2582"/>
      <c r="AO235" s="2582"/>
      <c r="AP235" s="2582"/>
      <c r="AQ235" s="2582"/>
      <c r="AR235" s="2582"/>
      <c r="AS235" s="2582"/>
      <c r="AT235" s="2582"/>
      <c r="AU235" s="2582"/>
      <c r="AV235" s="2582"/>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558" t="s">
        <v>1862</v>
      </c>
      <c r="I237" s="2558"/>
      <c r="J237" s="2558"/>
      <c r="K237" s="2558"/>
      <c r="L237" s="1211"/>
      <c r="M237" s="1211"/>
      <c r="N237" s="1211"/>
      <c r="O237" s="1211"/>
      <c r="P237" s="1211"/>
      <c r="Q237" s="1211"/>
      <c r="R237" s="1211"/>
      <c r="S237" s="2579"/>
      <c r="T237" s="2580"/>
      <c r="U237" s="2580"/>
      <c r="V237" s="2580"/>
      <c r="W237" s="2580"/>
      <c r="X237" s="2580"/>
      <c r="Y237" s="2580"/>
      <c r="Z237" s="2580"/>
      <c r="AA237" s="2580"/>
      <c r="AB237" s="2580"/>
      <c r="AC237" s="2580"/>
      <c r="AD237" s="2580"/>
      <c r="AE237" s="2580"/>
      <c r="AF237" s="2580"/>
      <c r="AG237" s="2580"/>
      <c r="AH237" s="2580"/>
      <c r="AI237" s="2580"/>
      <c r="AJ237" s="2581"/>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558" t="s">
        <v>1863</v>
      </c>
      <c r="I239" s="2558"/>
      <c r="J239" s="2558"/>
      <c r="K239" s="1213"/>
      <c r="L239" s="1211"/>
      <c r="M239" s="1211"/>
      <c r="N239" s="1211"/>
      <c r="O239" s="1211"/>
      <c r="P239" s="1211"/>
      <c r="Q239" s="1211"/>
      <c r="R239" s="1211"/>
      <c r="S239" s="2576"/>
      <c r="T239" s="2577"/>
      <c r="U239" s="2577"/>
      <c r="V239" s="2577"/>
      <c r="W239" s="2577"/>
      <c r="X239" s="2577"/>
      <c r="Y239" s="2577"/>
      <c r="Z239" s="2577"/>
      <c r="AA239" s="2577"/>
      <c r="AB239" s="2577"/>
      <c r="AC239" s="2577"/>
      <c r="AD239" s="2577"/>
      <c r="AE239" s="2577"/>
      <c r="AF239" s="2577"/>
      <c r="AG239" s="2577"/>
      <c r="AH239" s="2577"/>
      <c r="AI239" s="2577"/>
      <c r="AJ239" s="2578"/>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558" t="s">
        <v>444</v>
      </c>
      <c r="I241" s="2558"/>
      <c r="J241" s="1213"/>
      <c r="K241" s="1213"/>
      <c r="L241" s="1211"/>
      <c r="M241" s="1211"/>
      <c r="N241" s="1211"/>
      <c r="O241" s="1211"/>
      <c r="P241" s="1211"/>
      <c r="Q241" s="1211"/>
      <c r="R241" s="1211"/>
      <c r="S241" s="2576"/>
      <c r="T241" s="2577"/>
      <c r="U241" s="2577"/>
      <c r="V241" s="2577"/>
      <c r="W241" s="2577"/>
      <c r="X241" s="2577"/>
      <c r="Y241" s="2577"/>
      <c r="Z241" s="2577"/>
      <c r="AA241" s="2577"/>
      <c r="AB241" s="2577"/>
      <c r="AC241" s="2577"/>
      <c r="AD241" s="2577"/>
      <c r="AE241" s="2577"/>
      <c r="AF241" s="2577"/>
      <c r="AG241" s="2577"/>
      <c r="AH241" s="2577"/>
      <c r="AI241" s="2577"/>
      <c r="AJ241" s="2578"/>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559" t="s">
        <v>1864</v>
      </c>
      <c r="I243" s="2559"/>
      <c r="J243" s="2559"/>
      <c r="K243" s="2559"/>
      <c r="L243" s="2559"/>
      <c r="M243" s="2559"/>
      <c r="N243" s="2559"/>
      <c r="O243" s="2559"/>
      <c r="P243" s="1211"/>
      <c r="Q243" s="1211"/>
      <c r="R243" s="1211"/>
      <c r="S243" s="2576"/>
      <c r="T243" s="2577"/>
      <c r="U243" s="2577"/>
      <c r="V243" s="2577"/>
      <c r="W243" s="2577"/>
      <c r="X243" s="2577"/>
      <c r="Y243" s="2577"/>
      <c r="Z243" s="2577"/>
      <c r="AA243" s="2577"/>
      <c r="AB243" s="2577"/>
      <c r="AC243" s="2577"/>
      <c r="AD243" s="2577"/>
      <c r="AE243" s="2577"/>
      <c r="AF243" s="2577"/>
      <c r="AG243" s="2577"/>
      <c r="AH243" s="2577"/>
      <c r="AI243" s="2577"/>
      <c r="AJ243" s="2578"/>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560" t="s">
        <v>1865</v>
      </c>
      <c r="I245" s="2560"/>
      <c r="J245" s="1211"/>
      <c r="K245" s="1211"/>
      <c r="L245" s="1211"/>
      <c r="M245" s="1211"/>
      <c r="N245" s="1211"/>
      <c r="O245" s="1211"/>
      <c r="P245" s="1211"/>
      <c r="Q245" s="1211"/>
      <c r="R245" s="1211"/>
      <c r="S245" s="2573"/>
      <c r="T245" s="2574"/>
      <c r="U245" s="2574"/>
      <c r="V245" s="2574"/>
      <c r="W245" s="2574"/>
      <c r="X245" s="2574"/>
      <c r="Y245" s="2574"/>
      <c r="Z245" s="2574"/>
      <c r="AA245" s="2574"/>
      <c r="AB245" s="2574"/>
      <c r="AC245" s="2574"/>
      <c r="AD245" s="2574"/>
      <c r="AE245" s="2574"/>
      <c r="AF245" s="2574"/>
      <c r="AG245" s="2574"/>
      <c r="AH245" s="2574"/>
      <c r="AI245" s="2574"/>
      <c r="AJ245" s="2575"/>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251</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5"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46" workbookViewId="0">
      <selection activeCell="AC60" sqref="AC60"/>
    </sheetView>
  </sheetViews>
  <sheetFormatPr defaultColWidth="0" defaultRowHeight="12.95" customHeight="1"/>
  <cols>
    <col min="1" max="1" width="1.54296875" style="433" customWidth="1"/>
    <col min="2" max="2" width="0.86328125" style="433" customWidth="1"/>
    <col min="3" max="18" width="2.54296875" style="433" customWidth="1"/>
    <col min="19" max="19" width="6.26953125" style="433" customWidth="1"/>
    <col min="20" max="39" width="2.7265625" style="433" customWidth="1"/>
    <col min="40" max="40" width="1.54296875" style="433" customWidth="1"/>
    <col min="41" max="256" width="2.54296875" style="433" hidden="1"/>
    <col min="257" max="257" width="1.54296875" style="433" hidden="1" customWidth="1"/>
    <col min="258" max="258" width="0.86328125" style="433" hidden="1" customWidth="1"/>
    <col min="259" max="274" width="2.54296875" style="433" hidden="1" customWidth="1"/>
    <col min="275" max="275" width="4" style="433" hidden="1" customWidth="1"/>
    <col min="276" max="279" width="2.54296875" style="433" hidden="1" customWidth="1"/>
    <col min="280" max="280" width="2.40625" style="433" hidden="1" customWidth="1"/>
    <col min="281" max="284" width="2.54296875" style="433" hidden="1" customWidth="1"/>
    <col min="285" max="285" width="2.40625" style="433" hidden="1" customWidth="1"/>
    <col min="286" max="289" width="2.54296875" style="433" hidden="1" customWidth="1"/>
    <col min="290" max="295" width="2.40625" style="433" hidden="1" customWidth="1"/>
    <col min="296" max="296" width="1.54296875" style="433" hidden="1" customWidth="1"/>
    <col min="297" max="512" width="2.54296875" style="433" hidden="1"/>
    <col min="513" max="513" width="1.54296875" style="433" hidden="1" customWidth="1"/>
    <col min="514" max="514" width="0.86328125" style="433" hidden="1" customWidth="1"/>
    <col min="515" max="530" width="2.54296875" style="433" hidden="1" customWidth="1"/>
    <col min="531" max="531" width="4" style="433" hidden="1" customWidth="1"/>
    <col min="532" max="535" width="2.54296875" style="433" hidden="1" customWidth="1"/>
    <col min="536" max="536" width="2.40625" style="433" hidden="1" customWidth="1"/>
    <col min="537" max="540" width="2.54296875" style="433" hidden="1" customWidth="1"/>
    <col min="541" max="541" width="2.40625" style="433" hidden="1" customWidth="1"/>
    <col min="542" max="545" width="2.54296875" style="433" hidden="1" customWidth="1"/>
    <col min="546" max="551" width="2.40625" style="433" hidden="1" customWidth="1"/>
    <col min="552" max="552" width="1.54296875" style="433" hidden="1" customWidth="1"/>
    <col min="553" max="768" width="2.54296875" style="433" hidden="1"/>
    <col min="769" max="769" width="1.54296875" style="433" hidden="1" customWidth="1"/>
    <col min="770" max="770" width="0.86328125" style="433" hidden="1" customWidth="1"/>
    <col min="771" max="786" width="2.54296875" style="433" hidden="1" customWidth="1"/>
    <col min="787" max="787" width="4" style="433" hidden="1" customWidth="1"/>
    <col min="788" max="791" width="2.54296875" style="433" hidden="1" customWidth="1"/>
    <col min="792" max="792" width="2.40625" style="433" hidden="1" customWidth="1"/>
    <col min="793" max="796" width="2.54296875" style="433" hidden="1" customWidth="1"/>
    <col min="797" max="797" width="2.40625" style="433" hidden="1" customWidth="1"/>
    <col min="798" max="801" width="2.54296875" style="433" hidden="1" customWidth="1"/>
    <col min="802" max="807" width="2.40625" style="433" hidden="1" customWidth="1"/>
    <col min="808" max="808" width="1.54296875" style="433" hidden="1" customWidth="1"/>
    <col min="809" max="1024" width="2.54296875" style="433" hidden="1"/>
    <col min="1025" max="1025" width="1.54296875" style="433" hidden="1" customWidth="1"/>
    <col min="1026" max="1026" width="0.86328125" style="433" hidden="1" customWidth="1"/>
    <col min="1027" max="1042" width="2.54296875" style="433" hidden="1" customWidth="1"/>
    <col min="1043" max="1043" width="4" style="433" hidden="1" customWidth="1"/>
    <col min="1044" max="1047" width="2.54296875" style="433" hidden="1" customWidth="1"/>
    <col min="1048" max="1048" width="2.40625" style="433" hidden="1" customWidth="1"/>
    <col min="1049" max="1052" width="2.54296875" style="433" hidden="1" customWidth="1"/>
    <col min="1053" max="1053" width="2.40625" style="433" hidden="1" customWidth="1"/>
    <col min="1054" max="1057" width="2.54296875" style="433" hidden="1" customWidth="1"/>
    <col min="1058" max="1063" width="2.40625" style="433" hidden="1" customWidth="1"/>
    <col min="1064" max="1064" width="1.54296875" style="433" hidden="1" customWidth="1"/>
    <col min="1065" max="1280" width="2.54296875" style="433" hidden="1"/>
    <col min="1281" max="1281" width="1.54296875" style="433" hidden="1" customWidth="1"/>
    <col min="1282" max="1282" width="0.86328125" style="433" hidden="1" customWidth="1"/>
    <col min="1283" max="1298" width="2.54296875" style="433" hidden="1" customWidth="1"/>
    <col min="1299" max="1299" width="4" style="433" hidden="1" customWidth="1"/>
    <col min="1300" max="1303" width="2.54296875" style="433" hidden="1" customWidth="1"/>
    <col min="1304" max="1304" width="2.40625" style="433" hidden="1" customWidth="1"/>
    <col min="1305" max="1308" width="2.54296875" style="433" hidden="1" customWidth="1"/>
    <col min="1309" max="1309" width="2.40625" style="433" hidden="1" customWidth="1"/>
    <col min="1310" max="1313" width="2.54296875" style="433" hidden="1" customWidth="1"/>
    <col min="1314" max="1319" width="2.40625" style="433" hidden="1" customWidth="1"/>
    <col min="1320" max="1320" width="1.54296875" style="433" hidden="1" customWidth="1"/>
    <col min="1321" max="1536" width="2.54296875" style="433" hidden="1"/>
    <col min="1537" max="1537" width="1.54296875" style="433" hidden="1" customWidth="1"/>
    <col min="1538" max="1538" width="0.86328125" style="433" hidden="1" customWidth="1"/>
    <col min="1539" max="1554" width="2.54296875" style="433" hidden="1" customWidth="1"/>
    <col min="1555" max="1555" width="4" style="433" hidden="1" customWidth="1"/>
    <col min="1556" max="1559" width="2.54296875" style="433" hidden="1" customWidth="1"/>
    <col min="1560" max="1560" width="2.40625" style="433" hidden="1" customWidth="1"/>
    <col min="1561" max="1564" width="2.54296875" style="433" hidden="1" customWidth="1"/>
    <col min="1565" max="1565" width="2.40625" style="433" hidden="1" customWidth="1"/>
    <col min="1566" max="1569" width="2.54296875" style="433" hidden="1" customWidth="1"/>
    <col min="1570" max="1575" width="2.40625" style="433" hidden="1" customWidth="1"/>
    <col min="1576" max="1576" width="1.54296875" style="433" hidden="1" customWidth="1"/>
    <col min="1577" max="1792" width="2.54296875" style="433" hidden="1"/>
    <col min="1793" max="1793" width="1.54296875" style="433" hidden="1" customWidth="1"/>
    <col min="1794" max="1794" width="0.86328125" style="433" hidden="1" customWidth="1"/>
    <col min="1795" max="1810" width="2.54296875" style="433" hidden="1" customWidth="1"/>
    <col min="1811" max="1811" width="4" style="433" hidden="1" customWidth="1"/>
    <col min="1812" max="1815" width="2.54296875" style="433" hidden="1" customWidth="1"/>
    <col min="1816" max="1816" width="2.40625" style="433" hidden="1" customWidth="1"/>
    <col min="1817" max="1820" width="2.54296875" style="433" hidden="1" customWidth="1"/>
    <col min="1821" max="1821" width="2.40625" style="433" hidden="1" customWidth="1"/>
    <col min="1822" max="1825" width="2.54296875" style="433" hidden="1" customWidth="1"/>
    <col min="1826" max="1831" width="2.40625" style="433" hidden="1" customWidth="1"/>
    <col min="1832" max="1832" width="1.54296875" style="433" hidden="1" customWidth="1"/>
    <col min="1833" max="2048" width="2.54296875" style="433" hidden="1"/>
    <col min="2049" max="2049" width="1.54296875" style="433" hidden="1" customWidth="1"/>
    <col min="2050" max="2050" width="0.86328125" style="433" hidden="1" customWidth="1"/>
    <col min="2051" max="2066" width="2.54296875" style="433" hidden="1" customWidth="1"/>
    <col min="2067" max="2067" width="4" style="433" hidden="1" customWidth="1"/>
    <col min="2068" max="2071" width="2.54296875" style="433" hidden="1" customWidth="1"/>
    <col min="2072" max="2072" width="2.40625" style="433" hidden="1" customWidth="1"/>
    <col min="2073" max="2076" width="2.54296875" style="433" hidden="1" customWidth="1"/>
    <col min="2077" max="2077" width="2.40625" style="433" hidden="1" customWidth="1"/>
    <col min="2078" max="2081" width="2.54296875" style="433" hidden="1" customWidth="1"/>
    <col min="2082" max="2087" width="2.40625" style="433" hidden="1" customWidth="1"/>
    <col min="2088" max="2088" width="1.54296875" style="433" hidden="1" customWidth="1"/>
    <col min="2089" max="2304" width="2.54296875" style="433" hidden="1"/>
    <col min="2305" max="2305" width="1.54296875" style="433" hidden="1" customWidth="1"/>
    <col min="2306" max="2306" width="0.86328125" style="433" hidden="1" customWidth="1"/>
    <col min="2307" max="2322" width="2.54296875" style="433" hidden="1" customWidth="1"/>
    <col min="2323" max="2323" width="4" style="433" hidden="1" customWidth="1"/>
    <col min="2324" max="2327" width="2.54296875" style="433" hidden="1" customWidth="1"/>
    <col min="2328" max="2328" width="2.40625" style="433" hidden="1" customWidth="1"/>
    <col min="2329" max="2332" width="2.54296875" style="433" hidden="1" customWidth="1"/>
    <col min="2333" max="2333" width="2.40625" style="433" hidden="1" customWidth="1"/>
    <col min="2334" max="2337" width="2.54296875" style="433" hidden="1" customWidth="1"/>
    <col min="2338" max="2343" width="2.40625" style="433" hidden="1" customWidth="1"/>
    <col min="2344" max="2344" width="1.54296875" style="433" hidden="1" customWidth="1"/>
    <col min="2345" max="2560" width="2.54296875" style="433" hidden="1"/>
    <col min="2561" max="2561" width="1.54296875" style="433" hidden="1" customWidth="1"/>
    <col min="2562" max="2562" width="0.86328125" style="433" hidden="1" customWidth="1"/>
    <col min="2563" max="2578" width="2.54296875" style="433" hidden="1" customWidth="1"/>
    <col min="2579" max="2579" width="4" style="433" hidden="1" customWidth="1"/>
    <col min="2580" max="2583" width="2.54296875" style="433" hidden="1" customWidth="1"/>
    <col min="2584" max="2584" width="2.40625" style="433" hidden="1" customWidth="1"/>
    <col min="2585" max="2588" width="2.54296875" style="433" hidden="1" customWidth="1"/>
    <col min="2589" max="2589" width="2.40625" style="433" hidden="1" customWidth="1"/>
    <col min="2590" max="2593" width="2.54296875" style="433" hidden="1" customWidth="1"/>
    <col min="2594" max="2599" width="2.40625" style="433" hidden="1" customWidth="1"/>
    <col min="2600" max="2600" width="1.54296875" style="433" hidden="1" customWidth="1"/>
    <col min="2601" max="2816" width="2.54296875" style="433" hidden="1"/>
    <col min="2817" max="2817" width="1.54296875" style="433" hidden="1" customWidth="1"/>
    <col min="2818" max="2818" width="0.86328125" style="433" hidden="1" customWidth="1"/>
    <col min="2819" max="2834" width="2.54296875" style="433" hidden="1" customWidth="1"/>
    <col min="2835" max="2835" width="4" style="433" hidden="1" customWidth="1"/>
    <col min="2836" max="2839" width="2.54296875" style="433" hidden="1" customWidth="1"/>
    <col min="2840" max="2840" width="2.40625" style="433" hidden="1" customWidth="1"/>
    <col min="2841" max="2844" width="2.54296875" style="433" hidden="1" customWidth="1"/>
    <col min="2845" max="2845" width="2.40625" style="433" hidden="1" customWidth="1"/>
    <col min="2846" max="2849" width="2.54296875" style="433" hidden="1" customWidth="1"/>
    <col min="2850" max="2855" width="2.40625" style="433" hidden="1" customWidth="1"/>
    <col min="2856" max="2856" width="1.54296875" style="433" hidden="1" customWidth="1"/>
    <col min="2857" max="3072" width="2.54296875" style="433" hidden="1"/>
    <col min="3073" max="3073" width="1.54296875" style="433" hidden="1" customWidth="1"/>
    <col min="3074" max="3074" width="0.86328125" style="433" hidden="1" customWidth="1"/>
    <col min="3075" max="3090" width="2.54296875" style="433" hidden="1" customWidth="1"/>
    <col min="3091" max="3091" width="4" style="433" hidden="1" customWidth="1"/>
    <col min="3092" max="3095" width="2.54296875" style="433" hidden="1" customWidth="1"/>
    <col min="3096" max="3096" width="2.40625" style="433" hidden="1" customWidth="1"/>
    <col min="3097" max="3100" width="2.54296875" style="433" hidden="1" customWidth="1"/>
    <col min="3101" max="3101" width="2.40625" style="433" hidden="1" customWidth="1"/>
    <col min="3102" max="3105" width="2.54296875" style="433" hidden="1" customWidth="1"/>
    <col min="3106" max="3111" width="2.40625" style="433" hidden="1" customWidth="1"/>
    <col min="3112" max="3112" width="1.54296875" style="433" hidden="1" customWidth="1"/>
    <col min="3113" max="3328" width="2.54296875" style="433" hidden="1"/>
    <col min="3329" max="3329" width="1.54296875" style="433" hidden="1" customWidth="1"/>
    <col min="3330" max="3330" width="0.86328125" style="433" hidden="1" customWidth="1"/>
    <col min="3331" max="3346" width="2.54296875" style="433" hidden="1" customWidth="1"/>
    <col min="3347" max="3347" width="4" style="433" hidden="1" customWidth="1"/>
    <col min="3348" max="3351" width="2.54296875" style="433" hidden="1" customWidth="1"/>
    <col min="3352" max="3352" width="2.40625" style="433" hidden="1" customWidth="1"/>
    <col min="3353" max="3356" width="2.54296875" style="433" hidden="1" customWidth="1"/>
    <col min="3357" max="3357" width="2.40625" style="433" hidden="1" customWidth="1"/>
    <col min="3358" max="3361" width="2.54296875" style="433" hidden="1" customWidth="1"/>
    <col min="3362" max="3367" width="2.40625" style="433" hidden="1" customWidth="1"/>
    <col min="3368" max="3368" width="1.54296875" style="433" hidden="1" customWidth="1"/>
    <col min="3369" max="3584" width="2.54296875" style="433" hidden="1"/>
    <col min="3585" max="3585" width="1.54296875" style="433" hidden="1" customWidth="1"/>
    <col min="3586" max="3586" width="0.86328125" style="433" hidden="1" customWidth="1"/>
    <col min="3587" max="3602" width="2.54296875" style="433" hidden="1" customWidth="1"/>
    <col min="3603" max="3603" width="4" style="433" hidden="1" customWidth="1"/>
    <col min="3604" max="3607" width="2.54296875" style="433" hidden="1" customWidth="1"/>
    <col min="3608" max="3608" width="2.40625" style="433" hidden="1" customWidth="1"/>
    <col min="3609" max="3612" width="2.54296875" style="433" hidden="1" customWidth="1"/>
    <col min="3613" max="3613" width="2.40625" style="433" hidden="1" customWidth="1"/>
    <col min="3614" max="3617" width="2.54296875" style="433" hidden="1" customWidth="1"/>
    <col min="3618" max="3623" width="2.40625" style="433" hidden="1" customWidth="1"/>
    <col min="3624" max="3624" width="1.54296875" style="433" hidden="1" customWidth="1"/>
    <col min="3625" max="3840" width="2.54296875" style="433" hidden="1"/>
    <col min="3841" max="3841" width="1.54296875" style="433" hidden="1" customWidth="1"/>
    <col min="3842" max="3842" width="0.86328125" style="433" hidden="1" customWidth="1"/>
    <col min="3843" max="3858" width="2.54296875" style="433" hidden="1" customWidth="1"/>
    <col min="3859" max="3859" width="4" style="433" hidden="1" customWidth="1"/>
    <col min="3860" max="3863" width="2.54296875" style="433" hidden="1" customWidth="1"/>
    <col min="3864" max="3864" width="2.40625" style="433" hidden="1" customWidth="1"/>
    <col min="3865" max="3868" width="2.54296875" style="433" hidden="1" customWidth="1"/>
    <col min="3869" max="3869" width="2.40625" style="433" hidden="1" customWidth="1"/>
    <col min="3870" max="3873" width="2.54296875" style="433" hidden="1" customWidth="1"/>
    <col min="3874" max="3879" width="2.40625" style="433" hidden="1" customWidth="1"/>
    <col min="3880" max="3880" width="1.54296875" style="433" hidden="1" customWidth="1"/>
    <col min="3881" max="4096" width="2.54296875" style="433" hidden="1"/>
    <col min="4097" max="4097" width="1.54296875" style="433" hidden="1" customWidth="1"/>
    <col min="4098" max="4098" width="0.86328125" style="433" hidden="1" customWidth="1"/>
    <col min="4099" max="4114" width="2.54296875" style="433" hidden="1" customWidth="1"/>
    <col min="4115" max="4115" width="4" style="433" hidden="1" customWidth="1"/>
    <col min="4116" max="4119" width="2.54296875" style="433" hidden="1" customWidth="1"/>
    <col min="4120" max="4120" width="2.40625" style="433" hidden="1" customWidth="1"/>
    <col min="4121" max="4124" width="2.54296875" style="433" hidden="1" customWidth="1"/>
    <col min="4125" max="4125" width="2.40625" style="433" hidden="1" customWidth="1"/>
    <col min="4126" max="4129" width="2.54296875" style="433" hidden="1" customWidth="1"/>
    <col min="4130" max="4135" width="2.40625" style="433" hidden="1" customWidth="1"/>
    <col min="4136" max="4136" width="1.54296875" style="433" hidden="1" customWidth="1"/>
    <col min="4137" max="4352" width="2.54296875" style="433" hidden="1"/>
    <col min="4353" max="4353" width="1.54296875" style="433" hidden="1" customWidth="1"/>
    <col min="4354" max="4354" width="0.86328125" style="433" hidden="1" customWidth="1"/>
    <col min="4355" max="4370" width="2.54296875" style="433" hidden="1" customWidth="1"/>
    <col min="4371" max="4371" width="4" style="433" hidden="1" customWidth="1"/>
    <col min="4372" max="4375" width="2.54296875" style="433" hidden="1" customWidth="1"/>
    <col min="4376" max="4376" width="2.40625" style="433" hidden="1" customWidth="1"/>
    <col min="4377" max="4380" width="2.54296875" style="433" hidden="1" customWidth="1"/>
    <col min="4381" max="4381" width="2.40625" style="433" hidden="1" customWidth="1"/>
    <col min="4382" max="4385" width="2.54296875" style="433" hidden="1" customWidth="1"/>
    <col min="4386" max="4391" width="2.40625" style="433" hidden="1" customWidth="1"/>
    <col min="4392" max="4392" width="1.54296875" style="433" hidden="1" customWidth="1"/>
    <col min="4393" max="4608" width="2.54296875" style="433" hidden="1"/>
    <col min="4609" max="4609" width="1.54296875" style="433" hidden="1" customWidth="1"/>
    <col min="4610" max="4610" width="0.86328125" style="433" hidden="1" customWidth="1"/>
    <col min="4611" max="4626" width="2.54296875" style="433" hidden="1" customWidth="1"/>
    <col min="4627" max="4627" width="4" style="433" hidden="1" customWidth="1"/>
    <col min="4628" max="4631" width="2.54296875" style="433" hidden="1" customWidth="1"/>
    <col min="4632" max="4632" width="2.40625" style="433" hidden="1" customWidth="1"/>
    <col min="4633" max="4636" width="2.54296875" style="433" hidden="1" customWidth="1"/>
    <col min="4637" max="4637" width="2.40625" style="433" hidden="1" customWidth="1"/>
    <col min="4638" max="4641" width="2.54296875" style="433" hidden="1" customWidth="1"/>
    <col min="4642" max="4647" width="2.40625" style="433" hidden="1" customWidth="1"/>
    <col min="4648" max="4648" width="1.54296875" style="433" hidden="1" customWidth="1"/>
    <col min="4649" max="4864" width="2.54296875" style="433" hidden="1"/>
    <col min="4865" max="4865" width="1.54296875" style="433" hidden="1" customWidth="1"/>
    <col min="4866" max="4866" width="0.86328125" style="433" hidden="1" customWidth="1"/>
    <col min="4867" max="4882" width="2.54296875" style="433" hidden="1" customWidth="1"/>
    <col min="4883" max="4883" width="4" style="433" hidden="1" customWidth="1"/>
    <col min="4884" max="4887" width="2.54296875" style="433" hidden="1" customWidth="1"/>
    <col min="4888" max="4888" width="2.40625" style="433" hidden="1" customWidth="1"/>
    <col min="4889" max="4892" width="2.54296875" style="433" hidden="1" customWidth="1"/>
    <col min="4893" max="4893" width="2.40625" style="433" hidden="1" customWidth="1"/>
    <col min="4894" max="4897" width="2.54296875" style="433" hidden="1" customWidth="1"/>
    <col min="4898" max="4903" width="2.40625" style="433" hidden="1" customWidth="1"/>
    <col min="4904" max="4904" width="1.54296875" style="433" hidden="1" customWidth="1"/>
    <col min="4905" max="5120" width="2.54296875" style="433" hidden="1"/>
    <col min="5121" max="5121" width="1.54296875" style="433" hidden="1" customWidth="1"/>
    <col min="5122" max="5122" width="0.86328125" style="433" hidden="1" customWidth="1"/>
    <col min="5123" max="5138" width="2.54296875" style="433" hidden="1" customWidth="1"/>
    <col min="5139" max="5139" width="4" style="433" hidden="1" customWidth="1"/>
    <col min="5140" max="5143" width="2.54296875" style="433" hidden="1" customWidth="1"/>
    <col min="5144" max="5144" width="2.40625" style="433" hidden="1" customWidth="1"/>
    <col min="5145" max="5148" width="2.54296875" style="433" hidden="1" customWidth="1"/>
    <col min="5149" max="5149" width="2.40625" style="433" hidden="1" customWidth="1"/>
    <col min="5150" max="5153" width="2.54296875" style="433" hidden="1" customWidth="1"/>
    <col min="5154" max="5159" width="2.40625" style="433" hidden="1" customWidth="1"/>
    <col min="5160" max="5160" width="1.54296875" style="433" hidden="1" customWidth="1"/>
    <col min="5161" max="5376" width="2.54296875" style="433" hidden="1"/>
    <col min="5377" max="5377" width="1.54296875" style="433" hidden="1" customWidth="1"/>
    <col min="5378" max="5378" width="0.86328125" style="433" hidden="1" customWidth="1"/>
    <col min="5379" max="5394" width="2.54296875" style="433" hidden="1" customWidth="1"/>
    <col min="5395" max="5395" width="4" style="433" hidden="1" customWidth="1"/>
    <col min="5396" max="5399" width="2.54296875" style="433" hidden="1" customWidth="1"/>
    <col min="5400" max="5400" width="2.40625" style="433" hidden="1" customWidth="1"/>
    <col min="5401" max="5404" width="2.54296875" style="433" hidden="1" customWidth="1"/>
    <col min="5405" max="5405" width="2.40625" style="433" hidden="1" customWidth="1"/>
    <col min="5406" max="5409" width="2.54296875" style="433" hidden="1" customWidth="1"/>
    <col min="5410" max="5415" width="2.40625" style="433" hidden="1" customWidth="1"/>
    <col min="5416" max="5416" width="1.54296875" style="433" hidden="1" customWidth="1"/>
    <col min="5417" max="5632" width="2.54296875" style="433" hidden="1"/>
    <col min="5633" max="5633" width="1.54296875" style="433" hidden="1" customWidth="1"/>
    <col min="5634" max="5634" width="0.86328125" style="433" hidden="1" customWidth="1"/>
    <col min="5635" max="5650" width="2.54296875" style="433" hidden="1" customWidth="1"/>
    <col min="5651" max="5651" width="4" style="433" hidden="1" customWidth="1"/>
    <col min="5652" max="5655" width="2.54296875" style="433" hidden="1" customWidth="1"/>
    <col min="5656" max="5656" width="2.40625" style="433" hidden="1" customWidth="1"/>
    <col min="5657" max="5660" width="2.54296875" style="433" hidden="1" customWidth="1"/>
    <col min="5661" max="5661" width="2.40625" style="433" hidden="1" customWidth="1"/>
    <col min="5662" max="5665" width="2.54296875" style="433" hidden="1" customWidth="1"/>
    <col min="5666" max="5671" width="2.40625" style="433" hidden="1" customWidth="1"/>
    <col min="5672" max="5672" width="1.54296875" style="433" hidden="1" customWidth="1"/>
    <col min="5673" max="5888" width="2.54296875" style="433" hidden="1"/>
    <col min="5889" max="5889" width="1.54296875" style="433" hidden="1" customWidth="1"/>
    <col min="5890" max="5890" width="0.86328125" style="433" hidden="1" customWidth="1"/>
    <col min="5891" max="5906" width="2.54296875" style="433" hidden="1" customWidth="1"/>
    <col min="5907" max="5907" width="4" style="433" hidden="1" customWidth="1"/>
    <col min="5908" max="5911" width="2.54296875" style="433" hidden="1" customWidth="1"/>
    <col min="5912" max="5912" width="2.40625" style="433" hidden="1" customWidth="1"/>
    <col min="5913" max="5916" width="2.54296875" style="433" hidden="1" customWidth="1"/>
    <col min="5917" max="5917" width="2.40625" style="433" hidden="1" customWidth="1"/>
    <col min="5918" max="5921" width="2.54296875" style="433" hidden="1" customWidth="1"/>
    <col min="5922" max="5927" width="2.40625" style="433" hidden="1" customWidth="1"/>
    <col min="5928" max="5928" width="1.54296875" style="433" hidden="1" customWidth="1"/>
    <col min="5929" max="6144" width="2.54296875" style="433" hidden="1"/>
    <col min="6145" max="6145" width="1.54296875" style="433" hidden="1" customWidth="1"/>
    <col min="6146" max="6146" width="0.86328125" style="433" hidden="1" customWidth="1"/>
    <col min="6147" max="6162" width="2.54296875" style="433" hidden="1" customWidth="1"/>
    <col min="6163" max="6163" width="4" style="433" hidden="1" customWidth="1"/>
    <col min="6164" max="6167" width="2.54296875" style="433" hidden="1" customWidth="1"/>
    <col min="6168" max="6168" width="2.40625" style="433" hidden="1" customWidth="1"/>
    <col min="6169" max="6172" width="2.54296875" style="433" hidden="1" customWidth="1"/>
    <col min="6173" max="6173" width="2.40625" style="433" hidden="1" customWidth="1"/>
    <col min="6174" max="6177" width="2.54296875" style="433" hidden="1" customWidth="1"/>
    <col min="6178" max="6183" width="2.40625" style="433" hidden="1" customWidth="1"/>
    <col min="6184" max="6184" width="1.54296875" style="433" hidden="1" customWidth="1"/>
    <col min="6185" max="6400" width="2.54296875" style="433" hidden="1"/>
    <col min="6401" max="6401" width="1.54296875" style="433" hidden="1" customWidth="1"/>
    <col min="6402" max="6402" width="0.86328125" style="433" hidden="1" customWidth="1"/>
    <col min="6403" max="6418" width="2.54296875" style="433" hidden="1" customWidth="1"/>
    <col min="6419" max="6419" width="4" style="433" hidden="1" customWidth="1"/>
    <col min="6420" max="6423" width="2.54296875" style="433" hidden="1" customWidth="1"/>
    <col min="6424" max="6424" width="2.40625" style="433" hidden="1" customWidth="1"/>
    <col min="6425" max="6428" width="2.54296875" style="433" hidden="1" customWidth="1"/>
    <col min="6429" max="6429" width="2.40625" style="433" hidden="1" customWidth="1"/>
    <col min="6430" max="6433" width="2.54296875" style="433" hidden="1" customWidth="1"/>
    <col min="6434" max="6439" width="2.40625" style="433" hidden="1" customWidth="1"/>
    <col min="6440" max="6440" width="1.54296875" style="433" hidden="1" customWidth="1"/>
    <col min="6441" max="6656" width="2.54296875" style="433" hidden="1"/>
    <col min="6657" max="6657" width="1.54296875" style="433" hidden="1" customWidth="1"/>
    <col min="6658" max="6658" width="0.86328125" style="433" hidden="1" customWidth="1"/>
    <col min="6659" max="6674" width="2.54296875" style="433" hidden="1" customWidth="1"/>
    <col min="6675" max="6675" width="4" style="433" hidden="1" customWidth="1"/>
    <col min="6676" max="6679" width="2.54296875" style="433" hidden="1" customWidth="1"/>
    <col min="6680" max="6680" width="2.40625" style="433" hidden="1" customWidth="1"/>
    <col min="6681" max="6684" width="2.54296875" style="433" hidden="1" customWidth="1"/>
    <col min="6685" max="6685" width="2.40625" style="433" hidden="1" customWidth="1"/>
    <col min="6686" max="6689" width="2.54296875" style="433" hidden="1" customWidth="1"/>
    <col min="6690" max="6695" width="2.40625" style="433" hidden="1" customWidth="1"/>
    <col min="6696" max="6696" width="1.54296875" style="433" hidden="1" customWidth="1"/>
    <col min="6697" max="6912" width="2.54296875" style="433" hidden="1"/>
    <col min="6913" max="6913" width="1.54296875" style="433" hidden="1" customWidth="1"/>
    <col min="6914" max="6914" width="0.86328125" style="433" hidden="1" customWidth="1"/>
    <col min="6915" max="6930" width="2.54296875" style="433" hidden="1" customWidth="1"/>
    <col min="6931" max="6931" width="4" style="433" hidden="1" customWidth="1"/>
    <col min="6932" max="6935" width="2.54296875" style="433" hidden="1" customWidth="1"/>
    <col min="6936" max="6936" width="2.40625" style="433" hidden="1" customWidth="1"/>
    <col min="6937" max="6940" width="2.54296875" style="433" hidden="1" customWidth="1"/>
    <col min="6941" max="6941" width="2.40625" style="433" hidden="1" customWidth="1"/>
    <col min="6942" max="6945" width="2.54296875" style="433" hidden="1" customWidth="1"/>
    <col min="6946" max="6951" width="2.40625" style="433" hidden="1" customWidth="1"/>
    <col min="6952" max="6952" width="1.54296875" style="433" hidden="1" customWidth="1"/>
    <col min="6953" max="7168" width="2.54296875" style="433" hidden="1"/>
    <col min="7169" max="7169" width="1.54296875" style="433" hidden="1" customWidth="1"/>
    <col min="7170" max="7170" width="0.86328125" style="433" hidden="1" customWidth="1"/>
    <col min="7171" max="7186" width="2.54296875" style="433" hidden="1" customWidth="1"/>
    <col min="7187" max="7187" width="4" style="433" hidden="1" customWidth="1"/>
    <col min="7188" max="7191" width="2.54296875" style="433" hidden="1" customWidth="1"/>
    <col min="7192" max="7192" width="2.40625" style="433" hidden="1" customWidth="1"/>
    <col min="7193" max="7196" width="2.54296875" style="433" hidden="1" customWidth="1"/>
    <col min="7197" max="7197" width="2.40625" style="433" hidden="1" customWidth="1"/>
    <col min="7198" max="7201" width="2.54296875" style="433" hidden="1" customWidth="1"/>
    <col min="7202" max="7207" width="2.40625" style="433" hidden="1" customWidth="1"/>
    <col min="7208" max="7208" width="1.54296875" style="433" hidden="1" customWidth="1"/>
    <col min="7209" max="7424" width="2.54296875" style="433" hidden="1"/>
    <col min="7425" max="7425" width="1.54296875" style="433" hidden="1" customWidth="1"/>
    <col min="7426" max="7426" width="0.86328125" style="433" hidden="1" customWidth="1"/>
    <col min="7427" max="7442" width="2.54296875" style="433" hidden="1" customWidth="1"/>
    <col min="7443" max="7443" width="4" style="433" hidden="1" customWidth="1"/>
    <col min="7444" max="7447" width="2.54296875" style="433" hidden="1" customWidth="1"/>
    <col min="7448" max="7448" width="2.40625" style="433" hidden="1" customWidth="1"/>
    <col min="7449" max="7452" width="2.54296875" style="433" hidden="1" customWidth="1"/>
    <col min="7453" max="7453" width="2.40625" style="433" hidden="1" customWidth="1"/>
    <col min="7454" max="7457" width="2.54296875" style="433" hidden="1" customWidth="1"/>
    <col min="7458" max="7463" width="2.40625" style="433" hidden="1" customWidth="1"/>
    <col min="7464" max="7464" width="1.54296875" style="433" hidden="1" customWidth="1"/>
    <col min="7465" max="7680" width="2.54296875" style="433" hidden="1"/>
    <col min="7681" max="7681" width="1.54296875" style="433" hidden="1" customWidth="1"/>
    <col min="7682" max="7682" width="0.86328125" style="433" hidden="1" customWidth="1"/>
    <col min="7683" max="7698" width="2.54296875" style="433" hidden="1" customWidth="1"/>
    <col min="7699" max="7699" width="4" style="433" hidden="1" customWidth="1"/>
    <col min="7700" max="7703" width="2.54296875" style="433" hidden="1" customWidth="1"/>
    <col min="7704" max="7704" width="2.40625" style="433" hidden="1" customWidth="1"/>
    <col min="7705" max="7708" width="2.54296875" style="433" hidden="1" customWidth="1"/>
    <col min="7709" max="7709" width="2.40625" style="433" hidden="1" customWidth="1"/>
    <col min="7710" max="7713" width="2.54296875" style="433" hidden="1" customWidth="1"/>
    <col min="7714" max="7719" width="2.40625" style="433" hidden="1" customWidth="1"/>
    <col min="7720" max="7720" width="1.54296875" style="433" hidden="1" customWidth="1"/>
    <col min="7721" max="7936" width="2.54296875" style="433" hidden="1"/>
    <col min="7937" max="7937" width="1.54296875" style="433" hidden="1" customWidth="1"/>
    <col min="7938" max="7938" width="0.86328125" style="433" hidden="1" customWidth="1"/>
    <col min="7939" max="7954" width="2.54296875" style="433" hidden="1" customWidth="1"/>
    <col min="7955" max="7955" width="4" style="433" hidden="1" customWidth="1"/>
    <col min="7956" max="7959" width="2.54296875" style="433" hidden="1" customWidth="1"/>
    <col min="7960" max="7960" width="2.40625" style="433" hidden="1" customWidth="1"/>
    <col min="7961" max="7964" width="2.54296875" style="433" hidden="1" customWidth="1"/>
    <col min="7965" max="7965" width="2.40625" style="433" hidden="1" customWidth="1"/>
    <col min="7966" max="7969" width="2.54296875" style="433" hidden="1" customWidth="1"/>
    <col min="7970" max="7975" width="2.40625" style="433" hidden="1" customWidth="1"/>
    <col min="7976" max="7976" width="1.54296875" style="433" hidden="1" customWidth="1"/>
    <col min="7977" max="8192" width="2.54296875" style="433" hidden="1"/>
    <col min="8193" max="8193" width="1.54296875" style="433" hidden="1" customWidth="1"/>
    <col min="8194" max="8194" width="0.86328125" style="433" hidden="1" customWidth="1"/>
    <col min="8195" max="8210" width="2.54296875" style="433" hidden="1" customWidth="1"/>
    <col min="8211" max="8211" width="4" style="433" hidden="1" customWidth="1"/>
    <col min="8212" max="8215" width="2.54296875" style="433" hidden="1" customWidth="1"/>
    <col min="8216" max="8216" width="2.40625" style="433" hidden="1" customWidth="1"/>
    <col min="8217" max="8220" width="2.54296875" style="433" hidden="1" customWidth="1"/>
    <col min="8221" max="8221" width="2.40625" style="433" hidden="1" customWidth="1"/>
    <col min="8222" max="8225" width="2.54296875" style="433" hidden="1" customWidth="1"/>
    <col min="8226" max="8231" width="2.40625" style="433" hidden="1" customWidth="1"/>
    <col min="8232" max="8232" width="1.54296875" style="433" hidden="1" customWidth="1"/>
    <col min="8233" max="8448" width="2.54296875" style="433" hidden="1"/>
    <col min="8449" max="8449" width="1.54296875" style="433" hidden="1" customWidth="1"/>
    <col min="8450" max="8450" width="0.86328125" style="433" hidden="1" customWidth="1"/>
    <col min="8451" max="8466" width="2.54296875" style="433" hidden="1" customWidth="1"/>
    <col min="8467" max="8467" width="4" style="433" hidden="1" customWidth="1"/>
    <col min="8468" max="8471" width="2.54296875" style="433" hidden="1" customWidth="1"/>
    <col min="8472" max="8472" width="2.40625" style="433" hidden="1" customWidth="1"/>
    <col min="8473" max="8476" width="2.54296875" style="433" hidden="1" customWidth="1"/>
    <col min="8477" max="8477" width="2.40625" style="433" hidden="1" customWidth="1"/>
    <col min="8478" max="8481" width="2.54296875" style="433" hidden="1" customWidth="1"/>
    <col min="8482" max="8487" width="2.40625" style="433" hidden="1" customWidth="1"/>
    <col min="8488" max="8488" width="1.54296875" style="433" hidden="1" customWidth="1"/>
    <col min="8489" max="8704" width="2.54296875" style="433" hidden="1"/>
    <col min="8705" max="8705" width="1.54296875" style="433" hidden="1" customWidth="1"/>
    <col min="8706" max="8706" width="0.86328125" style="433" hidden="1" customWidth="1"/>
    <col min="8707" max="8722" width="2.54296875" style="433" hidden="1" customWidth="1"/>
    <col min="8723" max="8723" width="4" style="433" hidden="1" customWidth="1"/>
    <col min="8724" max="8727" width="2.54296875" style="433" hidden="1" customWidth="1"/>
    <col min="8728" max="8728" width="2.40625" style="433" hidden="1" customWidth="1"/>
    <col min="8729" max="8732" width="2.54296875" style="433" hidden="1" customWidth="1"/>
    <col min="8733" max="8733" width="2.40625" style="433" hidden="1" customWidth="1"/>
    <col min="8734" max="8737" width="2.54296875" style="433" hidden="1" customWidth="1"/>
    <col min="8738" max="8743" width="2.40625" style="433" hidden="1" customWidth="1"/>
    <col min="8744" max="8744" width="1.54296875" style="433" hidden="1" customWidth="1"/>
    <col min="8745" max="8960" width="2.54296875" style="433" hidden="1"/>
    <col min="8961" max="8961" width="1.54296875" style="433" hidden="1" customWidth="1"/>
    <col min="8962" max="8962" width="0.86328125" style="433" hidden="1" customWidth="1"/>
    <col min="8963" max="8978" width="2.54296875" style="433" hidden="1" customWidth="1"/>
    <col min="8979" max="8979" width="4" style="433" hidden="1" customWidth="1"/>
    <col min="8980" max="8983" width="2.54296875" style="433" hidden="1" customWidth="1"/>
    <col min="8984" max="8984" width="2.40625" style="433" hidden="1" customWidth="1"/>
    <col min="8985" max="8988" width="2.54296875" style="433" hidden="1" customWidth="1"/>
    <col min="8989" max="8989" width="2.40625" style="433" hidden="1" customWidth="1"/>
    <col min="8990" max="8993" width="2.54296875" style="433" hidden="1" customWidth="1"/>
    <col min="8994" max="8999" width="2.40625" style="433" hidden="1" customWidth="1"/>
    <col min="9000" max="9000" width="1.54296875" style="433" hidden="1" customWidth="1"/>
    <col min="9001" max="9216" width="2.54296875" style="433" hidden="1"/>
    <col min="9217" max="9217" width="1.54296875" style="433" hidden="1" customWidth="1"/>
    <col min="9218" max="9218" width="0.86328125" style="433" hidden="1" customWidth="1"/>
    <col min="9219" max="9234" width="2.54296875" style="433" hidden="1" customWidth="1"/>
    <col min="9235" max="9235" width="4" style="433" hidden="1" customWidth="1"/>
    <col min="9236" max="9239" width="2.54296875" style="433" hidden="1" customWidth="1"/>
    <col min="9240" max="9240" width="2.40625" style="433" hidden="1" customWidth="1"/>
    <col min="9241" max="9244" width="2.54296875" style="433" hidden="1" customWidth="1"/>
    <col min="9245" max="9245" width="2.40625" style="433" hidden="1" customWidth="1"/>
    <col min="9246" max="9249" width="2.54296875" style="433" hidden="1" customWidth="1"/>
    <col min="9250" max="9255" width="2.40625" style="433" hidden="1" customWidth="1"/>
    <col min="9256" max="9256" width="1.54296875" style="433" hidden="1" customWidth="1"/>
    <col min="9257" max="9472" width="2.54296875" style="433" hidden="1"/>
    <col min="9473" max="9473" width="1.54296875" style="433" hidden="1" customWidth="1"/>
    <col min="9474" max="9474" width="0.86328125" style="433" hidden="1" customWidth="1"/>
    <col min="9475" max="9490" width="2.54296875" style="433" hidden="1" customWidth="1"/>
    <col min="9491" max="9491" width="4" style="433" hidden="1" customWidth="1"/>
    <col min="9492" max="9495" width="2.54296875" style="433" hidden="1" customWidth="1"/>
    <col min="9496" max="9496" width="2.40625" style="433" hidden="1" customWidth="1"/>
    <col min="9497" max="9500" width="2.54296875" style="433" hidden="1" customWidth="1"/>
    <col min="9501" max="9501" width="2.40625" style="433" hidden="1" customWidth="1"/>
    <col min="9502" max="9505" width="2.54296875" style="433" hidden="1" customWidth="1"/>
    <col min="9506" max="9511" width="2.40625" style="433" hidden="1" customWidth="1"/>
    <col min="9512" max="9512" width="1.54296875" style="433" hidden="1" customWidth="1"/>
    <col min="9513" max="9728" width="2.54296875" style="433" hidden="1"/>
    <col min="9729" max="9729" width="1.54296875" style="433" hidden="1" customWidth="1"/>
    <col min="9730" max="9730" width="0.86328125" style="433" hidden="1" customWidth="1"/>
    <col min="9731" max="9746" width="2.54296875" style="433" hidden="1" customWidth="1"/>
    <col min="9747" max="9747" width="4" style="433" hidden="1" customWidth="1"/>
    <col min="9748" max="9751" width="2.54296875" style="433" hidden="1" customWidth="1"/>
    <col min="9752" max="9752" width="2.40625" style="433" hidden="1" customWidth="1"/>
    <col min="9753" max="9756" width="2.54296875" style="433" hidden="1" customWidth="1"/>
    <col min="9757" max="9757" width="2.40625" style="433" hidden="1" customWidth="1"/>
    <col min="9758" max="9761" width="2.54296875" style="433" hidden="1" customWidth="1"/>
    <col min="9762" max="9767" width="2.40625" style="433" hidden="1" customWidth="1"/>
    <col min="9768" max="9768" width="1.54296875" style="433" hidden="1" customWidth="1"/>
    <col min="9769" max="9984" width="2.54296875" style="433" hidden="1"/>
    <col min="9985" max="9985" width="1.54296875" style="433" hidden="1" customWidth="1"/>
    <col min="9986" max="9986" width="0.86328125" style="433" hidden="1" customWidth="1"/>
    <col min="9987" max="10002" width="2.54296875" style="433" hidden="1" customWidth="1"/>
    <col min="10003" max="10003" width="4" style="433" hidden="1" customWidth="1"/>
    <col min="10004" max="10007" width="2.54296875" style="433" hidden="1" customWidth="1"/>
    <col min="10008" max="10008" width="2.40625" style="433" hidden="1" customWidth="1"/>
    <col min="10009" max="10012" width="2.54296875" style="433" hidden="1" customWidth="1"/>
    <col min="10013" max="10013" width="2.40625" style="433" hidden="1" customWidth="1"/>
    <col min="10014" max="10017" width="2.54296875" style="433" hidden="1" customWidth="1"/>
    <col min="10018" max="10023" width="2.40625" style="433" hidden="1" customWidth="1"/>
    <col min="10024" max="10024" width="1.54296875" style="433" hidden="1" customWidth="1"/>
    <col min="10025" max="10240" width="2.54296875" style="433" hidden="1"/>
    <col min="10241" max="10241" width="1.54296875" style="433" hidden="1" customWidth="1"/>
    <col min="10242" max="10242" width="0.86328125" style="433" hidden="1" customWidth="1"/>
    <col min="10243" max="10258" width="2.54296875" style="433" hidden="1" customWidth="1"/>
    <col min="10259" max="10259" width="4" style="433" hidden="1" customWidth="1"/>
    <col min="10260" max="10263" width="2.54296875" style="433" hidden="1" customWidth="1"/>
    <col min="10264" max="10264" width="2.40625" style="433" hidden="1" customWidth="1"/>
    <col min="10265" max="10268" width="2.54296875" style="433" hidden="1" customWidth="1"/>
    <col min="10269" max="10269" width="2.40625" style="433" hidden="1" customWidth="1"/>
    <col min="10270" max="10273" width="2.54296875" style="433" hidden="1" customWidth="1"/>
    <col min="10274" max="10279" width="2.40625" style="433" hidden="1" customWidth="1"/>
    <col min="10280" max="10280" width="1.54296875" style="433" hidden="1" customWidth="1"/>
    <col min="10281" max="10496" width="2.54296875" style="433" hidden="1"/>
    <col min="10497" max="10497" width="1.54296875" style="433" hidden="1" customWidth="1"/>
    <col min="10498" max="10498" width="0.86328125" style="433" hidden="1" customWidth="1"/>
    <col min="10499" max="10514" width="2.54296875" style="433" hidden="1" customWidth="1"/>
    <col min="10515" max="10515" width="4" style="433" hidden="1" customWidth="1"/>
    <col min="10516" max="10519" width="2.54296875" style="433" hidden="1" customWidth="1"/>
    <col min="10520" max="10520" width="2.40625" style="433" hidden="1" customWidth="1"/>
    <col min="10521" max="10524" width="2.54296875" style="433" hidden="1" customWidth="1"/>
    <col min="10525" max="10525" width="2.40625" style="433" hidden="1" customWidth="1"/>
    <col min="10526" max="10529" width="2.54296875" style="433" hidden="1" customWidth="1"/>
    <col min="10530" max="10535" width="2.40625" style="433" hidden="1" customWidth="1"/>
    <col min="10536" max="10536" width="1.54296875" style="433" hidden="1" customWidth="1"/>
    <col min="10537" max="10752" width="2.54296875" style="433" hidden="1"/>
    <col min="10753" max="10753" width="1.54296875" style="433" hidden="1" customWidth="1"/>
    <col min="10754" max="10754" width="0.86328125" style="433" hidden="1" customWidth="1"/>
    <col min="10755" max="10770" width="2.54296875" style="433" hidden="1" customWidth="1"/>
    <col min="10771" max="10771" width="4" style="433" hidden="1" customWidth="1"/>
    <col min="10772" max="10775" width="2.54296875" style="433" hidden="1" customWidth="1"/>
    <col min="10776" max="10776" width="2.40625" style="433" hidden="1" customWidth="1"/>
    <col min="10777" max="10780" width="2.54296875" style="433" hidden="1" customWidth="1"/>
    <col min="10781" max="10781" width="2.40625" style="433" hidden="1" customWidth="1"/>
    <col min="10782" max="10785" width="2.54296875" style="433" hidden="1" customWidth="1"/>
    <col min="10786" max="10791" width="2.40625" style="433" hidden="1" customWidth="1"/>
    <col min="10792" max="10792" width="1.54296875" style="433" hidden="1" customWidth="1"/>
    <col min="10793" max="11008" width="2.54296875" style="433" hidden="1"/>
    <col min="11009" max="11009" width="1.54296875" style="433" hidden="1" customWidth="1"/>
    <col min="11010" max="11010" width="0.86328125" style="433" hidden="1" customWidth="1"/>
    <col min="11011" max="11026" width="2.54296875" style="433" hidden="1" customWidth="1"/>
    <col min="11027" max="11027" width="4" style="433" hidden="1" customWidth="1"/>
    <col min="11028" max="11031" width="2.54296875" style="433" hidden="1" customWidth="1"/>
    <col min="11032" max="11032" width="2.40625" style="433" hidden="1" customWidth="1"/>
    <col min="11033" max="11036" width="2.54296875" style="433" hidden="1" customWidth="1"/>
    <col min="11037" max="11037" width="2.40625" style="433" hidden="1" customWidth="1"/>
    <col min="11038" max="11041" width="2.54296875" style="433" hidden="1" customWidth="1"/>
    <col min="11042" max="11047" width="2.40625" style="433" hidden="1" customWidth="1"/>
    <col min="11048" max="11048" width="1.54296875" style="433" hidden="1" customWidth="1"/>
    <col min="11049" max="11264" width="2.54296875" style="433" hidden="1"/>
    <col min="11265" max="11265" width="1.54296875" style="433" hidden="1" customWidth="1"/>
    <col min="11266" max="11266" width="0.86328125" style="433" hidden="1" customWidth="1"/>
    <col min="11267" max="11282" width="2.54296875" style="433" hidden="1" customWidth="1"/>
    <col min="11283" max="11283" width="4" style="433" hidden="1" customWidth="1"/>
    <col min="11284" max="11287" width="2.54296875" style="433" hidden="1" customWidth="1"/>
    <col min="11288" max="11288" width="2.40625" style="433" hidden="1" customWidth="1"/>
    <col min="11289" max="11292" width="2.54296875" style="433" hidden="1" customWidth="1"/>
    <col min="11293" max="11293" width="2.40625" style="433" hidden="1" customWidth="1"/>
    <col min="11294" max="11297" width="2.54296875" style="433" hidden="1" customWidth="1"/>
    <col min="11298" max="11303" width="2.40625" style="433" hidden="1" customWidth="1"/>
    <col min="11304" max="11304" width="1.54296875" style="433" hidden="1" customWidth="1"/>
    <col min="11305" max="11520" width="2.54296875" style="433" hidden="1"/>
    <col min="11521" max="11521" width="1.54296875" style="433" hidden="1" customWidth="1"/>
    <col min="11522" max="11522" width="0.86328125" style="433" hidden="1" customWidth="1"/>
    <col min="11523" max="11538" width="2.54296875" style="433" hidden="1" customWidth="1"/>
    <col min="11539" max="11539" width="4" style="433" hidden="1" customWidth="1"/>
    <col min="11540" max="11543" width="2.54296875" style="433" hidden="1" customWidth="1"/>
    <col min="11544" max="11544" width="2.40625" style="433" hidden="1" customWidth="1"/>
    <col min="11545" max="11548" width="2.54296875" style="433" hidden="1" customWidth="1"/>
    <col min="11549" max="11549" width="2.40625" style="433" hidden="1" customWidth="1"/>
    <col min="11550" max="11553" width="2.54296875" style="433" hidden="1" customWidth="1"/>
    <col min="11554" max="11559" width="2.40625" style="433" hidden="1" customWidth="1"/>
    <col min="11560" max="11560" width="1.54296875" style="433" hidden="1" customWidth="1"/>
    <col min="11561" max="11776" width="2.54296875" style="433" hidden="1"/>
    <col min="11777" max="11777" width="1.54296875" style="433" hidden="1" customWidth="1"/>
    <col min="11778" max="11778" width="0.86328125" style="433" hidden="1" customWidth="1"/>
    <col min="11779" max="11794" width="2.54296875" style="433" hidden="1" customWidth="1"/>
    <col min="11795" max="11795" width="4" style="433" hidden="1" customWidth="1"/>
    <col min="11796" max="11799" width="2.54296875" style="433" hidden="1" customWidth="1"/>
    <col min="11800" max="11800" width="2.40625" style="433" hidden="1" customWidth="1"/>
    <col min="11801" max="11804" width="2.54296875" style="433" hidden="1" customWidth="1"/>
    <col min="11805" max="11805" width="2.40625" style="433" hidden="1" customWidth="1"/>
    <col min="11806" max="11809" width="2.54296875" style="433" hidden="1" customWidth="1"/>
    <col min="11810" max="11815" width="2.40625" style="433" hidden="1" customWidth="1"/>
    <col min="11816" max="11816" width="1.54296875" style="433" hidden="1" customWidth="1"/>
    <col min="11817" max="12032" width="2.54296875" style="433" hidden="1"/>
    <col min="12033" max="12033" width="1.54296875" style="433" hidden="1" customWidth="1"/>
    <col min="12034" max="12034" width="0.86328125" style="433" hidden="1" customWidth="1"/>
    <col min="12035" max="12050" width="2.54296875" style="433" hidden="1" customWidth="1"/>
    <col min="12051" max="12051" width="4" style="433" hidden="1" customWidth="1"/>
    <col min="12052" max="12055" width="2.54296875" style="433" hidden="1" customWidth="1"/>
    <col min="12056" max="12056" width="2.40625" style="433" hidden="1" customWidth="1"/>
    <col min="12057" max="12060" width="2.54296875" style="433" hidden="1" customWidth="1"/>
    <col min="12061" max="12061" width="2.40625" style="433" hidden="1" customWidth="1"/>
    <col min="12062" max="12065" width="2.54296875" style="433" hidden="1" customWidth="1"/>
    <col min="12066" max="12071" width="2.40625" style="433" hidden="1" customWidth="1"/>
    <col min="12072" max="12072" width="1.54296875" style="433" hidden="1" customWidth="1"/>
    <col min="12073" max="12288" width="2.54296875" style="433" hidden="1"/>
    <col min="12289" max="12289" width="1.54296875" style="433" hidden="1" customWidth="1"/>
    <col min="12290" max="12290" width="0.86328125" style="433" hidden="1" customWidth="1"/>
    <col min="12291" max="12306" width="2.54296875" style="433" hidden="1" customWidth="1"/>
    <col min="12307" max="12307" width="4" style="433" hidden="1" customWidth="1"/>
    <col min="12308" max="12311" width="2.54296875" style="433" hidden="1" customWidth="1"/>
    <col min="12312" max="12312" width="2.40625" style="433" hidden="1" customWidth="1"/>
    <col min="12313" max="12316" width="2.54296875" style="433" hidden="1" customWidth="1"/>
    <col min="12317" max="12317" width="2.40625" style="433" hidden="1" customWidth="1"/>
    <col min="12318" max="12321" width="2.54296875" style="433" hidden="1" customWidth="1"/>
    <col min="12322" max="12327" width="2.40625" style="433" hidden="1" customWidth="1"/>
    <col min="12328" max="12328" width="1.54296875" style="433" hidden="1" customWidth="1"/>
    <col min="12329" max="12544" width="2.54296875" style="433" hidden="1"/>
    <col min="12545" max="12545" width="1.54296875" style="433" hidden="1" customWidth="1"/>
    <col min="12546" max="12546" width="0.86328125" style="433" hidden="1" customWidth="1"/>
    <col min="12547" max="12562" width="2.54296875" style="433" hidden="1" customWidth="1"/>
    <col min="12563" max="12563" width="4" style="433" hidden="1" customWidth="1"/>
    <col min="12564" max="12567" width="2.54296875" style="433" hidden="1" customWidth="1"/>
    <col min="12568" max="12568" width="2.40625" style="433" hidden="1" customWidth="1"/>
    <col min="12569" max="12572" width="2.54296875" style="433" hidden="1" customWidth="1"/>
    <col min="12573" max="12573" width="2.40625" style="433" hidden="1" customWidth="1"/>
    <col min="12574" max="12577" width="2.54296875" style="433" hidden="1" customWidth="1"/>
    <col min="12578" max="12583" width="2.40625" style="433" hidden="1" customWidth="1"/>
    <col min="12584" max="12584" width="1.54296875" style="433" hidden="1" customWidth="1"/>
    <col min="12585" max="12800" width="2.54296875" style="433" hidden="1"/>
    <col min="12801" max="12801" width="1.54296875" style="433" hidden="1" customWidth="1"/>
    <col min="12802" max="12802" width="0.86328125" style="433" hidden="1" customWidth="1"/>
    <col min="12803" max="12818" width="2.54296875" style="433" hidden="1" customWidth="1"/>
    <col min="12819" max="12819" width="4" style="433" hidden="1" customWidth="1"/>
    <col min="12820" max="12823" width="2.54296875" style="433" hidden="1" customWidth="1"/>
    <col min="12824" max="12824" width="2.40625" style="433" hidden="1" customWidth="1"/>
    <col min="12825" max="12828" width="2.54296875" style="433" hidden="1" customWidth="1"/>
    <col min="12829" max="12829" width="2.40625" style="433" hidden="1" customWidth="1"/>
    <col min="12830" max="12833" width="2.54296875" style="433" hidden="1" customWidth="1"/>
    <col min="12834" max="12839" width="2.40625" style="433" hidden="1" customWidth="1"/>
    <col min="12840" max="12840" width="1.54296875" style="433" hidden="1" customWidth="1"/>
    <col min="12841" max="13056" width="2.54296875" style="433" hidden="1"/>
    <col min="13057" max="13057" width="1.54296875" style="433" hidden="1" customWidth="1"/>
    <col min="13058" max="13058" width="0.86328125" style="433" hidden="1" customWidth="1"/>
    <col min="13059" max="13074" width="2.54296875" style="433" hidden="1" customWidth="1"/>
    <col min="13075" max="13075" width="4" style="433" hidden="1" customWidth="1"/>
    <col min="13076" max="13079" width="2.54296875" style="433" hidden="1" customWidth="1"/>
    <col min="13080" max="13080" width="2.40625" style="433" hidden="1" customWidth="1"/>
    <col min="13081" max="13084" width="2.54296875" style="433" hidden="1" customWidth="1"/>
    <col min="13085" max="13085" width="2.40625" style="433" hidden="1" customWidth="1"/>
    <col min="13086" max="13089" width="2.54296875" style="433" hidden="1" customWidth="1"/>
    <col min="13090" max="13095" width="2.40625" style="433" hidden="1" customWidth="1"/>
    <col min="13096" max="13096" width="1.54296875" style="433" hidden="1" customWidth="1"/>
    <col min="13097" max="13312" width="2.54296875" style="433" hidden="1"/>
    <col min="13313" max="13313" width="1.54296875" style="433" hidden="1" customWidth="1"/>
    <col min="13314" max="13314" width="0.86328125" style="433" hidden="1" customWidth="1"/>
    <col min="13315" max="13330" width="2.54296875" style="433" hidden="1" customWidth="1"/>
    <col min="13331" max="13331" width="4" style="433" hidden="1" customWidth="1"/>
    <col min="13332" max="13335" width="2.54296875" style="433" hidden="1" customWidth="1"/>
    <col min="13336" max="13336" width="2.40625" style="433" hidden="1" customWidth="1"/>
    <col min="13337" max="13340" width="2.54296875" style="433" hidden="1" customWidth="1"/>
    <col min="13341" max="13341" width="2.40625" style="433" hidden="1" customWidth="1"/>
    <col min="13342" max="13345" width="2.54296875" style="433" hidden="1" customWidth="1"/>
    <col min="13346" max="13351" width="2.40625" style="433" hidden="1" customWidth="1"/>
    <col min="13352" max="13352" width="1.54296875" style="433" hidden="1" customWidth="1"/>
    <col min="13353" max="13568" width="2.54296875" style="433" hidden="1"/>
    <col min="13569" max="13569" width="1.54296875" style="433" hidden="1" customWidth="1"/>
    <col min="13570" max="13570" width="0.86328125" style="433" hidden="1" customWidth="1"/>
    <col min="13571" max="13586" width="2.54296875" style="433" hidden="1" customWidth="1"/>
    <col min="13587" max="13587" width="4" style="433" hidden="1" customWidth="1"/>
    <col min="13588" max="13591" width="2.54296875" style="433" hidden="1" customWidth="1"/>
    <col min="13592" max="13592" width="2.40625" style="433" hidden="1" customWidth="1"/>
    <col min="13593" max="13596" width="2.54296875" style="433" hidden="1" customWidth="1"/>
    <col min="13597" max="13597" width="2.40625" style="433" hidden="1" customWidth="1"/>
    <col min="13598" max="13601" width="2.54296875" style="433" hidden="1" customWidth="1"/>
    <col min="13602" max="13607" width="2.40625" style="433" hidden="1" customWidth="1"/>
    <col min="13608" max="13608" width="1.54296875" style="433" hidden="1" customWidth="1"/>
    <col min="13609" max="13824" width="2.54296875" style="433" hidden="1"/>
    <col min="13825" max="13825" width="1.54296875" style="433" hidden="1" customWidth="1"/>
    <col min="13826" max="13826" width="0.86328125" style="433" hidden="1" customWidth="1"/>
    <col min="13827" max="13842" width="2.54296875" style="433" hidden="1" customWidth="1"/>
    <col min="13843" max="13843" width="4" style="433" hidden="1" customWidth="1"/>
    <col min="13844" max="13847" width="2.54296875" style="433" hidden="1" customWidth="1"/>
    <col min="13848" max="13848" width="2.40625" style="433" hidden="1" customWidth="1"/>
    <col min="13849" max="13852" width="2.54296875" style="433" hidden="1" customWidth="1"/>
    <col min="13853" max="13853" width="2.40625" style="433" hidden="1" customWidth="1"/>
    <col min="13854" max="13857" width="2.54296875" style="433" hidden="1" customWidth="1"/>
    <col min="13858" max="13863" width="2.40625" style="433" hidden="1" customWidth="1"/>
    <col min="13864" max="13864" width="1.54296875" style="433" hidden="1" customWidth="1"/>
    <col min="13865" max="14080" width="2.54296875" style="433" hidden="1"/>
    <col min="14081" max="14081" width="1.54296875" style="433" hidden="1" customWidth="1"/>
    <col min="14082" max="14082" width="0.86328125" style="433" hidden="1" customWidth="1"/>
    <col min="14083" max="14098" width="2.54296875" style="433" hidden="1" customWidth="1"/>
    <col min="14099" max="14099" width="4" style="433" hidden="1" customWidth="1"/>
    <col min="14100" max="14103" width="2.54296875" style="433" hidden="1" customWidth="1"/>
    <col min="14104" max="14104" width="2.40625" style="433" hidden="1" customWidth="1"/>
    <col min="14105" max="14108" width="2.54296875" style="433" hidden="1" customWidth="1"/>
    <col min="14109" max="14109" width="2.40625" style="433" hidden="1" customWidth="1"/>
    <col min="14110" max="14113" width="2.54296875" style="433" hidden="1" customWidth="1"/>
    <col min="14114" max="14119" width="2.40625" style="433" hidden="1" customWidth="1"/>
    <col min="14120" max="14120" width="1.54296875" style="433" hidden="1" customWidth="1"/>
    <col min="14121" max="14336" width="2.54296875" style="433" hidden="1"/>
    <col min="14337" max="14337" width="1.54296875" style="433" hidden="1" customWidth="1"/>
    <col min="14338" max="14338" width="0.86328125" style="433" hidden="1" customWidth="1"/>
    <col min="14339" max="14354" width="2.54296875" style="433" hidden="1" customWidth="1"/>
    <col min="14355" max="14355" width="4" style="433" hidden="1" customWidth="1"/>
    <col min="14356" max="14359" width="2.54296875" style="433" hidden="1" customWidth="1"/>
    <col min="14360" max="14360" width="2.40625" style="433" hidden="1" customWidth="1"/>
    <col min="14361" max="14364" width="2.54296875" style="433" hidden="1" customWidth="1"/>
    <col min="14365" max="14365" width="2.40625" style="433" hidden="1" customWidth="1"/>
    <col min="14366" max="14369" width="2.54296875" style="433" hidden="1" customWidth="1"/>
    <col min="14370" max="14375" width="2.40625" style="433" hidden="1" customWidth="1"/>
    <col min="14376" max="14376" width="1.54296875" style="433" hidden="1" customWidth="1"/>
    <col min="14377" max="14592" width="2.54296875" style="433" hidden="1"/>
    <col min="14593" max="14593" width="1.54296875" style="433" hidden="1" customWidth="1"/>
    <col min="14594" max="14594" width="0.86328125" style="433" hidden="1" customWidth="1"/>
    <col min="14595" max="14610" width="2.54296875" style="433" hidden="1" customWidth="1"/>
    <col min="14611" max="14611" width="4" style="433" hidden="1" customWidth="1"/>
    <col min="14612" max="14615" width="2.54296875" style="433" hidden="1" customWidth="1"/>
    <col min="14616" max="14616" width="2.40625" style="433" hidden="1" customWidth="1"/>
    <col min="14617" max="14620" width="2.54296875" style="433" hidden="1" customWidth="1"/>
    <col min="14621" max="14621" width="2.40625" style="433" hidden="1" customWidth="1"/>
    <col min="14622" max="14625" width="2.54296875" style="433" hidden="1" customWidth="1"/>
    <col min="14626" max="14631" width="2.40625" style="433" hidden="1" customWidth="1"/>
    <col min="14632" max="14632" width="1.54296875" style="433" hidden="1" customWidth="1"/>
    <col min="14633" max="14848" width="2.54296875" style="433" hidden="1"/>
    <col min="14849" max="14849" width="1.54296875" style="433" hidden="1" customWidth="1"/>
    <col min="14850" max="14850" width="0.86328125" style="433" hidden="1" customWidth="1"/>
    <col min="14851" max="14866" width="2.54296875" style="433" hidden="1" customWidth="1"/>
    <col min="14867" max="14867" width="4" style="433" hidden="1" customWidth="1"/>
    <col min="14868" max="14871" width="2.54296875" style="433" hidden="1" customWidth="1"/>
    <col min="14872" max="14872" width="2.40625" style="433" hidden="1" customWidth="1"/>
    <col min="14873" max="14876" width="2.54296875" style="433" hidden="1" customWidth="1"/>
    <col min="14877" max="14877" width="2.40625" style="433" hidden="1" customWidth="1"/>
    <col min="14878" max="14881" width="2.54296875" style="433" hidden="1" customWidth="1"/>
    <col min="14882" max="14887" width="2.40625" style="433" hidden="1" customWidth="1"/>
    <col min="14888" max="14888" width="1.54296875" style="433" hidden="1" customWidth="1"/>
    <col min="14889" max="15104" width="2.54296875" style="433" hidden="1"/>
    <col min="15105" max="15105" width="1.54296875" style="433" hidden="1" customWidth="1"/>
    <col min="15106" max="15106" width="0.86328125" style="433" hidden="1" customWidth="1"/>
    <col min="15107" max="15122" width="2.54296875" style="433" hidden="1" customWidth="1"/>
    <col min="15123" max="15123" width="4" style="433" hidden="1" customWidth="1"/>
    <col min="15124" max="15127" width="2.54296875" style="433" hidden="1" customWidth="1"/>
    <col min="15128" max="15128" width="2.40625" style="433" hidden="1" customWidth="1"/>
    <col min="15129" max="15132" width="2.54296875" style="433" hidden="1" customWidth="1"/>
    <col min="15133" max="15133" width="2.40625" style="433" hidden="1" customWidth="1"/>
    <col min="15134" max="15137" width="2.54296875" style="433" hidden="1" customWidth="1"/>
    <col min="15138" max="15143" width="2.40625" style="433" hidden="1" customWidth="1"/>
    <col min="15144" max="15144" width="1.54296875" style="433" hidden="1" customWidth="1"/>
    <col min="15145" max="15360" width="2.54296875" style="433" hidden="1"/>
    <col min="15361" max="15361" width="1.54296875" style="433" hidden="1" customWidth="1"/>
    <col min="15362" max="15362" width="0.86328125" style="433" hidden="1" customWidth="1"/>
    <col min="15363" max="15378" width="2.54296875" style="433" hidden="1" customWidth="1"/>
    <col min="15379" max="15379" width="4" style="433" hidden="1" customWidth="1"/>
    <col min="15380" max="15383" width="2.54296875" style="433" hidden="1" customWidth="1"/>
    <col min="15384" max="15384" width="2.40625" style="433" hidden="1" customWidth="1"/>
    <col min="15385" max="15388" width="2.54296875" style="433" hidden="1" customWidth="1"/>
    <col min="15389" max="15389" width="2.40625" style="433" hidden="1" customWidth="1"/>
    <col min="15390" max="15393" width="2.54296875" style="433" hidden="1" customWidth="1"/>
    <col min="15394" max="15399" width="2.40625" style="433" hidden="1" customWidth="1"/>
    <col min="15400" max="15400" width="1.54296875" style="433" hidden="1" customWidth="1"/>
    <col min="15401" max="15616" width="2.54296875" style="433" hidden="1"/>
    <col min="15617" max="15617" width="1.54296875" style="433" hidden="1" customWidth="1"/>
    <col min="15618" max="15618" width="0.86328125" style="433" hidden="1" customWidth="1"/>
    <col min="15619" max="15634" width="2.54296875" style="433" hidden="1" customWidth="1"/>
    <col min="15635" max="15635" width="4" style="433" hidden="1" customWidth="1"/>
    <col min="15636" max="15639" width="2.54296875" style="433" hidden="1" customWidth="1"/>
    <col min="15640" max="15640" width="2.40625" style="433" hidden="1" customWidth="1"/>
    <col min="15641" max="15644" width="2.54296875" style="433" hidden="1" customWidth="1"/>
    <col min="15645" max="15645" width="2.40625" style="433" hidden="1" customWidth="1"/>
    <col min="15646" max="15649" width="2.54296875" style="433" hidden="1" customWidth="1"/>
    <col min="15650" max="15655" width="2.40625" style="433" hidden="1" customWidth="1"/>
    <col min="15656" max="15656" width="1.54296875" style="433" hidden="1" customWidth="1"/>
    <col min="15657" max="15872" width="2.54296875" style="433" hidden="1"/>
    <col min="15873" max="15873" width="1.54296875" style="433" hidden="1" customWidth="1"/>
    <col min="15874" max="15874" width="0.86328125" style="433" hidden="1" customWidth="1"/>
    <col min="15875" max="15890" width="2.54296875" style="433" hidden="1" customWidth="1"/>
    <col min="15891" max="15891" width="4" style="433" hidden="1" customWidth="1"/>
    <col min="15892" max="15895" width="2.54296875" style="433" hidden="1" customWidth="1"/>
    <col min="15896" max="15896" width="2.40625" style="433" hidden="1" customWidth="1"/>
    <col min="15897" max="15900" width="2.54296875" style="433" hidden="1" customWidth="1"/>
    <col min="15901" max="15901" width="2.40625" style="433" hidden="1" customWidth="1"/>
    <col min="15902" max="15905" width="2.54296875" style="433" hidden="1" customWidth="1"/>
    <col min="15906" max="15911" width="2.40625" style="433" hidden="1" customWidth="1"/>
    <col min="15912" max="15912" width="1.54296875" style="433" hidden="1" customWidth="1"/>
    <col min="15913" max="16128" width="2.54296875" style="433" hidden="1"/>
    <col min="16129" max="16129" width="1.54296875" style="433" hidden="1" customWidth="1"/>
    <col min="16130" max="16130" width="0.86328125" style="433" hidden="1" customWidth="1"/>
    <col min="16131" max="16146" width="2.54296875" style="433" hidden="1" customWidth="1"/>
    <col min="16147" max="16147" width="4" style="433" hidden="1" customWidth="1"/>
    <col min="16148" max="16151" width="2.54296875" style="433" hidden="1" customWidth="1"/>
    <col min="16152" max="16152" width="2.40625" style="433" hidden="1" customWidth="1"/>
    <col min="16153" max="16156" width="2.54296875" style="433" hidden="1" customWidth="1"/>
    <col min="16157" max="16157" width="2.40625" style="433" hidden="1" customWidth="1"/>
    <col min="16158" max="16161" width="2.54296875" style="433" hidden="1" customWidth="1"/>
    <col min="16162" max="16167" width="2.40625" style="433" hidden="1" customWidth="1"/>
    <col min="16168" max="16168" width="1.54296875" style="433" hidden="1" customWidth="1"/>
    <col min="16169" max="16384" width="2.54296875" style="433" hidden="1"/>
  </cols>
  <sheetData>
    <row r="1" spans="1:40" ht="12.95" customHeight="1">
      <c r="A1" s="2670" t="s">
        <v>1391</v>
      </c>
      <c r="B1" s="2670"/>
      <c r="C1" s="2670"/>
      <c r="D1" s="2670"/>
      <c r="E1" s="2670"/>
      <c r="F1" s="2670"/>
      <c r="G1" s="2670"/>
      <c r="H1" s="2670"/>
      <c r="I1" s="2670"/>
      <c r="J1" s="2670"/>
      <c r="K1" s="2670"/>
      <c r="L1" s="2670"/>
      <c r="M1" s="2670"/>
      <c r="N1" s="2670"/>
      <c r="O1" s="2670"/>
      <c r="P1" s="2670"/>
      <c r="Q1" s="2670"/>
      <c r="R1" s="2670"/>
      <c r="S1" s="2670"/>
      <c r="T1" s="2670"/>
      <c r="U1" s="2670"/>
      <c r="V1" s="2670"/>
      <c r="W1" s="2670"/>
      <c r="X1" s="2670"/>
      <c r="Y1" s="2670"/>
      <c r="Z1" s="2670"/>
      <c r="AA1" s="2670"/>
      <c r="AB1" s="2670"/>
      <c r="AC1" s="2670"/>
      <c r="AD1" s="2670"/>
      <c r="AE1" s="2670"/>
      <c r="AF1" s="2670"/>
      <c r="AG1" s="2670"/>
      <c r="AH1" s="2670"/>
      <c r="AI1" s="2670"/>
      <c r="AJ1" s="2670"/>
      <c r="AK1" s="2670"/>
      <c r="AL1" s="2670"/>
      <c r="AM1" s="2670"/>
      <c r="AN1" s="2670"/>
    </row>
    <row r="2" spans="1:40" ht="12.95" customHeight="1" thickBot="1">
      <c r="A2" s="2671"/>
      <c r="B2" s="2671"/>
      <c r="C2" s="2671"/>
      <c r="D2" s="2671"/>
      <c r="E2" s="2671"/>
      <c r="F2" s="2671"/>
      <c r="G2" s="2671"/>
      <c r="H2" s="2671"/>
      <c r="I2" s="2671"/>
      <c r="J2" s="2671"/>
      <c r="K2" s="2671"/>
      <c r="L2" s="2671"/>
      <c r="M2" s="2671"/>
      <c r="N2" s="2671"/>
      <c r="O2" s="2671"/>
      <c r="P2" s="2671"/>
      <c r="Q2" s="2671"/>
      <c r="R2" s="2671"/>
      <c r="S2" s="2671"/>
      <c r="T2" s="2671"/>
      <c r="U2" s="2671"/>
      <c r="V2" s="2671"/>
      <c r="W2" s="2671"/>
      <c r="X2" s="2671"/>
      <c r="Y2" s="2671"/>
      <c r="Z2" s="2671"/>
      <c r="AA2" s="2671"/>
      <c r="AB2" s="2671"/>
      <c r="AC2" s="2671"/>
      <c r="AD2" s="2671"/>
      <c r="AE2" s="2671"/>
      <c r="AF2" s="2671"/>
      <c r="AG2" s="2671"/>
      <c r="AH2" s="2671"/>
      <c r="AI2" s="2671"/>
      <c r="AJ2" s="2671"/>
      <c r="AK2" s="2671"/>
      <c r="AL2" s="2671"/>
      <c r="AM2" s="2671"/>
      <c r="AN2" s="2671"/>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1346</v>
      </c>
    </row>
    <row r="7" spans="1:40" ht="12.95" customHeight="1">
      <c r="B7" s="436"/>
      <c r="C7" s="437"/>
      <c r="D7" s="437"/>
      <c r="E7" s="437"/>
      <c r="F7" s="437"/>
      <c r="G7" s="437"/>
      <c r="H7" s="437"/>
      <c r="I7" s="437"/>
      <c r="J7" s="437"/>
      <c r="K7" s="437"/>
      <c r="L7" s="437"/>
      <c r="M7" s="437"/>
      <c r="N7" s="437"/>
      <c r="O7" s="437"/>
      <c r="P7" s="437"/>
      <c r="Q7" s="437"/>
      <c r="R7" s="437"/>
      <c r="S7" s="437"/>
      <c r="T7" s="2650" t="str">
        <f xml:space="preserve"> IF(T25=100%,'Sources and Basis Breakdown'!G2,'Sources and Basis Breakdown'!F2)</f>
        <v>30% PVC for New Const/
Rehabilitation
NON-DDA/
NON-QCT Building(s)</v>
      </c>
      <c r="U7" s="2650"/>
      <c r="V7" s="2650"/>
      <c r="W7" s="2650"/>
      <c r="X7" s="2650"/>
      <c r="Y7" s="2650" t="str">
        <f>IF(T25=100%,"",'Sources and Basis Breakdown'!G2)</f>
        <v/>
      </c>
      <c r="Z7" s="2650"/>
      <c r="AA7" s="2650"/>
      <c r="AB7" s="2650"/>
      <c r="AC7" s="2650"/>
      <c r="AD7" s="2650" t="str">
        <f xml:space="preserve"> IF(T25=100%, 'Sources and Basis Breakdown'!J2,'Sources and Basis Breakdown'!I2)</f>
        <v>30% PVC for Acquisition
NON-DDA/
NON-QCT Building(s)</v>
      </c>
      <c r="AE7" s="2650"/>
      <c r="AF7" s="2650"/>
      <c r="AG7" s="2650"/>
      <c r="AH7" s="2650"/>
      <c r="AI7" s="2650" t="str">
        <f>IF(T25=100%,"",'Sources and Basis Breakdown'!J2)</f>
        <v/>
      </c>
      <c r="AJ7" s="2650"/>
      <c r="AK7" s="2650"/>
      <c r="AL7" s="2650"/>
      <c r="AM7" s="2650"/>
    </row>
    <row r="8" spans="1:40" ht="12.95" customHeight="1">
      <c r="B8" s="438"/>
      <c r="T8" s="2650"/>
      <c r="U8" s="2650"/>
      <c r="V8" s="2650"/>
      <c r="W8" s="2650"/>
      <c r="X8" s="2650"/>
      <c r="Y8" s="2650"/>
      <c r="Z8" s="2650"/>
      <c r="AA8" s="2650"/>
      <c r="AB8" s="2650"/>
      <c r="AC8" s="2650"/>
      <c r="AD8" s="2650"/>
      <c r="AE8" s="2650"/>
      <c r="AF8" s="2650"/>
      <c r="AG8" s="2650"/>
      <c r="AH8" s="2650"/>
      <c r="AI8" s="2650"/>
      <c r="AJ8" s="2650"/>
      <c r="AK8" s="2650"/>
      <c r="AL8" s="2650"/>
      <c r="AM8" s="2650"/>
    </row>
    <row r="9" spans="1:40" ht="12.95" customHeight="1">
      <c r="B9" s="438"/>
      <c r="T9" s="2650"/>
      <c r="U9" s="2650"/>
      <c r="V9" s="2650"/>
      <c r="W9" s="2650"/>
      <c r="X9" s="2650"/>
      <c r="Y9" s="2650"/>
      <c r="Z9" s="2650"/>
      <c r="AA9" s="2650"/>
      <c r="AB9" s="2650"/>
      <c r="AC9" s="2650"/>
      <c r="AD9" s="2650"/>
      <c r="AE9" s="2650"/>
      <c r="AF9" s="2650"/>
      <c r="AG9" s="2650"/>
      <c r="AH9" s="2650"/>
      <c r="AI9" s="2650"/>
      <c r="AJ9" s="2650"/>
      <c r="AK9" s="2650"/>
      <c r="AL9" s="2650"/>
      <c r="AM9" s="2650"/>
    </row>
    <row r="10" spans="1:40" ht="12.95" customHeight="1">
      <c r="B10" s="439"/>
      <c r="C10" s="440"/>
      <c r="D10" s="440"/>
      <c r="E10" s="440"/>
      <c r="F10" s="440"/>
      <c r="G10" s="440"/>
      <c r="H10" s="440"/>
      <c r="I10" s="440"/>
      <c r="J10" s="440"/>
      <c r="K10" s="440"/>
      <c r="L10" s="440"/>
      <c r="M10" s="440"/>
      <c r="N10" s="440"/>
      <c r="O10" s="440"/>
      <c r="P10" s="440"/>
      <c r="Q10" s="440"/>
      <c r="R10" s="440"/>
      <c r="S10" s="440"/>
      <c r="T10" s="2650"/>
      <c r="U10" s="2650"/>
      <c r="V10" s="2650"/>
      <c r="W10" s="2650"/>
      <c r="X10" s="2650"/>
      <c r="Y10" s="2650"/>
      <c r="Z10" s="2650"/>
      <c r="AA10" s="2650"/>
      <c r="AB10" s="2650"/>
      <c r="AC10" s="2650"/>
      <c r="AD10" s="2650"/>
      <c r="AE10" s="2650"/>
      <c r="AF10" s="2650"/>
      <c r="AG10" s="2650"/>
      <c r="AH10" s="2650"/>
      <c r="AI10" s="2650"/>
      <c r="AJ10" s="2650"/>
      <c r="AK10" s="2650"/>
      <c r="AL10" s="2650"/>
      <c r="AM10" s="2650"/>
    </row>
    <row r="11" spans="1:40" ht="12.95" customHeight="1">
      <c r="B11" s="2633" t="s">
        <v>376</v>
      </c>
      <c r="C11" s="2634"/>
      <c r="D11" s="2634"/>
      <c r="E11" s="2634"/>
      <c r="F11" s="2634"/>
      <c r="G11" s="2634"/>
      <c r="H11" s="2634"/>
      <c r="I11" s="2634"/>
      <c r="J11" s="2634"/>
      <c r="K11" s="2634"/>
      <c r="L11" s="2634"/>
      <c r="M11" s="2634"/>
      <c r="N11" s="2634"/>
      <c r="O11" s="2634"/>
      <c r="P11" s="2634"/>
      <c r="Q11" s="2634"/>
      <c r="R11" s="2634"/>
      <c r="S11" s="2635"/>
      <c r="T11" s="2672">
        <f>IF('Sources and Basis Breakdown'!F107=0,'Sources and Basis Breakdown'!E107,'Sources and Basis Breakdown'!F107)</f>
        <v>35710107</v>
      </c>
      <c r="U11" s="2673"/>
      <c r="V11" s="2673"/>
      <c r="W11" s="2673"/>
      <c r="X11" s="2673"/>
      <c r="Y11" s="2672">
        <f>IF(Y7="",0,IF('Sources and Basis Breakdown'!G107+'Sources and Basis Breakdown'!F107='Sources and Basis Breakdown'!E107,'Sources and Basis Breakdown'!G107,0))</f>
        <v>0</v>
      </c>
      <c r="Z11" s="2673"/>
      <c r="AA11" s="2673"/>
      <c r="AB11" s="2673"/>
      <c r="AC11" s="2673"/>
      <c r="AD11" s="2673">
        <f>IF('Sources and Basis Breakdown'!I107=0,'Sources and Basis Breakdown'!H107,'Sources and Basis Breakdown'!I107)</f>
        <v>0</v>
      </c>
      <c r="AE11" s="2673"/>
      <c r="AF11" s="2673"/>
      <c r="AG11" s="2673"/>
      <c r="AH11" s="2673"/>
      <c r="AI11" s="2673">
        <f>IF(Y7="",0,IF('Sources and Basis Breakdown'!I107+'Sources and Basis Breakdown'!J107='Sources and Basis Breakdown'!H107,'Sources and Basis Breakdown'!J107,0))</f>
        <v>0</v>
      </c>
      <c r="AJ11" s="2673"/>
      <c r="AK11" s="2673"/>
      <c r="AL11" s="2673"/>
      <c r="AM11" s="2673"/>
    </row>
    <row r="12" spans="1:40" ht="12.95" customHeight="1">
      <c r="B12" s="2674" t="s">
        <v>506</v>
      </c>
      <c r="C12" s="1290"/>
      <c r="D12" s="1290"/>
      <c r="E12" s="1290"/>
      <c r="F12" s="1290"/>
      <c r="G12" s="1290"/>
      <c r="H12" s="1290"/>
      <c r="I12" s="1290"/>
      <c r="J12" s="1290"/>
      <c r="K12" s="1290"/>
      <c r="L12" s="1290"/>
      <c r="M12" s="1290"/>
      <c r="N12" s="1290"/>
      <c r="O12" s="1290"/>
      <c r="P12" s="1290"/>
      <c r="Q12" s="1290"/>
      <c r="R12" s="1290"/>
      <c r="S12" s="2675"/>
      <c r="T12" s="2665"/>
      <c r="U12" s="2666"/>
      <c r="V12" s="2666"/>
      <c r="W12" s="2666"/>
      <c r="X12" s="2667"/>
      <c r="Y12" s="2665"/>
      <c r="Z12" s="2666"/>
      <c r="AA12" s="2666"/>
      <c r="AB12" s="2666"/>
      <c r="AC12" s="2667"/>
      <c r="AD12" s="2665"/>
      <c r="AE12" s="2666"/>
      <c r="AF12" s="2666"/>
      <c r="AG12" s="2666"/>
      <c r="AH12" s="2667"/>
      <c r="AI12" s="2665"/>
      <c r="AJ12" s="2666"/>
      <c r="AK12" s="2666"/>
      <c r="AL12" s="2666"/>
      <c r="AM12" s="2667"/>
    </row>
    <row r="13" spans="1:40" ht="12.95" customHeight="1">
      <c r="B13" s="467"/>
      <c r="C13" s="2676" t="s">
        <v>507</v>
      </c>
      <c r="D13" s="2676"/>
      <c r="E13" s="2676"/>
      <c r="F13" s="2676"/>
      <c r="G13" s="2676"/>
      <c r="H13" s="2676"/>
      <c r="I13" s="2676"/>
      <c r="J13" s="2676"/>
      <c r="K13" s="2676"/>
      <c r="L13" s="2676"/>
      <c r="M13" s="2676"/>
      <c r="N13" s="2676"/>
      <c r="O13" s="2676"/>
      <c r="P13" s="2676"/>
      <c r="Q13" s="2676"/>
      <c r="R13" s="2676"/>
      <c r="S13" s="2677"/>
      <c r="T13" s="2668"/>
      <c r="U13" s="2669"/>
      <c r="V13" s="2669"/>
      <c r="W13" s="2669"/>
      <c r="X13" s="2669"/>
      <c r="Y13" s="2668"/>
      <c r="Z13" s="2669"/>
      <c r="AA13" s="2669"/>
      <c r="AB13" s="2669"/>
      <c r="AC13" s="2669"/>
      <c r="AD13" s="2669"/>
      <c r="AE13" s="2669"/>
      <c r="AF13" s="2669"/>
      <c r="AG13" s="2669"/>
      <c r="AH13" s="2669"/>
      <c r="AI13" s="2669"/>
      <c r="AJ13" s="2669"/>
      <c r="AK13" s="2669"/>
      <c r="AL13" s="2669"/>
      <c r="AM13" s="2669"/>
    </row>
    <row r="14" spans="1:40" ht="12.95" customHeight="1">
      <c r="B14" s="467"/>
      <c r="C14" s="2676" t="s">
        <v>508</v>
      </c>
      <c r="D14" s="2676"/>
      <c r="E14" s="2676"/>
      <c r="F14" s="2676"/>
      <c r="G14" s="2676"/>
      <c r="H14" s="2676"/>
      <c r="I14" s="2676"/>
      <c r="J14" s="2676"/>
      <c r="K14" s="2676"/>
      <c r="L14" s="2676"/>
      <c r="M14" s="2676"/>
      <c r="N14" s="2676"/>
      <c r="O14" s="2676"/>
      <c r="P14" s="2676"/>
      <c r="Q14" s="2676"/>
      <c r="R14" s="2676"/>
      <c r="S14" s="2677"/>
      <c r="T14" s="2658"/>
      <c r="U14" s="2659"/>
      <c r="V14" s="2659"/>
      <c r="W14" s="2659"/>
      <c r="X14" s="2659"/>
      <c r="Y14" s="2658"/>
      <c r="Z14" s="2659"/>
      <c r="AA14" s="2659"/>
      <c r="AB14" s="2659"/>
      <c r="AC14" s="2659"/>
      <c r="AD14" s="2659"/>
      <c r="AE14" s="2659"/>
      <c r="AF14" s="2659"/>
      <c r="AG14" s="2659"/>
      <c r="AH14" s="2659"/>
      <c r="AI14" s="2659"/>
      <c r="AJ14" s="2659"/>
      <c r="AK14" s="2659"/>
      <c r="AL14" s="2659"/>
      <c r="AM14" s="2659"/>
    </row>
    <row r="15" spans="1:40" ht="12.95" customHeight="1">
      <c r="B15" s="467"/>
      <c r="C15" s="2676" t="s">
        <v>509</v>
      </c>
      <c r="D15" s="2676"/>
      <c r="E15" s="2676"/>
      <c r="F15" s="2676"/>
      <c r="G15" s="2676"/>
      <c r="H15" s="2676"/>
      <c r="I15" s="2676"/>
      <c r="J15" s="2676"/>
      <c r="K15" s="2676"/>
      <c r="L15" s="2676"/>
      <c r="M15" s="2676"/>
      <c r="N15" s="2676"/>
      <c r="O15" s="2676"/>
      <c r="P15" s="2676"/>
      <c r="Q15" s="2676"/>
      <c r="R15" s="2676"/>
      <c r="S15" s="2677"/>
      <c r="T15" s="2658"/>
      <c r="U15" s="2659"/>
      <c r="V15" s="2659"/>
      <c r="W15" s="2659"/>
      <c r="X15" s="2659"/>
      <c r="Y15" s="2658"/>
      <c r="Z15" s="2659"/>
      <c r="AA15" s="2659"/>
      <c r="AB15" s="2659"/>
      <c r="AC15" s="2659"/>
      <c r="AD15" s="2659"/>
      <c r="AE15" s="2659"/>
      <c r="AF15" s="2659"/>
      <c r="AG15" s="2659"/>
      <c r="AH15" s="2659"/>
      <c r="AI15" s="2659"/>
      <c r="AJ15" s="2659"/>
      <c r="AK15" s="2659"/>
      <c r="AL15" s="2659"/>
      <c r="AM15" s="2659"/>
    </row>
    <row r="16" spans="1:40" ht="12.95" customHeight="1">
      <c r="B16" s="467"/>
      <c r="C16" s="2676" t="s">
        <v>815</v>
      </c>
      <c r="D16" s="2676"/>
      <c r="E16" s="2676"/>
      <c r="F16" s="2676"/>
      <c r="G16" s="2676"/>
      <c r="H16" s="2676"/>
      <c r="I16" s="2676"/>
      <c r="J16" s="2676"/>
      <c r="K16" s="2676"/>
      <c r="L16" s="2676"/>
      <c r="M16" s="2676"/>
      <c r="N16" s="2676"/>
      <c r="O16" s="2676"/>
      <c r="P16" s="2676"/>
      <c r="Q16" s="2676"/>
      <c r="R16" s="2676"/>
      <c r="S16" s="2677"/>
      <c r="T16" s="2658"/>
      <c r="U16" s="2659"/>
      <c r="V16" s="2659"/>
      <c r="W16" s="2659"/>
      <c r="X16" s="2659"/>
      <c r="Y16" s="2658"/>
      <c r="Z16" s="2659"/>
      <c r="AA16" s="2659"/>
      <c r="AB16" s="2659"/>
      <c r="AC16" s="2659"/>
      <c r="AD16" s="2659"/>
      <c r="AE16" s="2659"/>
      <c r="AF16" s="2659"/>
      <c r="AG16" s="2659"/>
      <c r="AH16" s="2659"/>
      <c r="AI16" s="2659"/>
      <c r="AJ16" s="2659"/>
      <c r="AK16" s="2659"/>
      <c r="AL16" s="2659"/>
      <c r="AM16" s="2659"/>
    </row>
    <row r="17" spans="1:40" ht="12.95" customHeight="1">
      <c r="B17" s="467"/>
      <c r="C17" s="2676" t="s">
        <v>510</v>
      </c>
      <c r="D17" s="2676"/>
      <c r="E17" s="2676"/>
      <c r="F17" s="2676"/>
      <c r="G17" s="2676"/>
      <c r="H17" s="2676"/>
      <c r="I17" s="2676"/>
      <c r="J17" s="2676"/>
      <c r="K17" s="2676"/>
      <c r="L17" s="2676"/>
      <c r="M17" s="2676"/>
      <c r="N17" s="2676"/>
      <c r="O17" s="2676"/>
      <c r="P17" s="2676"/>
      <c r="Q17" s="2676"/>
      <c r="R17" s="2676"/>
      <c r="S17" s="2677"/>
      <c r="T17" s="2658"/>
      <c r="U17" s="2659"/>
      <c r="V17" s="2659"/>
      <c r="W17" s="2659"/>
      <c r="X17" s="2659"/>
      <c r="Y17" s="2658"/>
      <c r="Z17" s="2659"/>
      <c r="AA17" s="2659"/>
      <c r="AB17" s="2659"/>
      <c r="AC17" s="2659"/>
      <c r="AD17" s="2659"/>
      <c r="AE17" s="2659"/>
      <c r="AF17" s="2659"/>
      <c r="AG17" s="2659"/>
      <c r="AH17" s="2659"/>
      <c r="AI17" s="2659"/>
      <c r="AJ17" s="2659"/>
      <c r="AK17" s="2659"/>
      <c r="AL17" s="2659"/>
      <c r="AM17" s="2659"/>
    </row>
    <row r="18" spans="1:40" ht="12.95" customHeight="1">
      <c r="A18"/>
      <c r="B18" s="1194"/>
      <c r="C18" s="1692" t="s">
        <v>980</v>
      </c>
      <c r="D18" s="1692"/>
      <c r="E18" s="1692"/>
      <c r="F18" s="1692"/>
      <c r="G18" s="1692"/>
      <c r="H18" s="1692"/>
      <c r="I18" s="1692"/>
      <c r="J18" s="1692"/>
      <c r="K18" s="1692"/>
      <c r="L18" s="1692"/>
      <c r="M18" s="1692"/>
      <c r="N18" s="1692"/>
      <c r="O18" s="1692"/>
      <c r="P18" s="1692"/>
      <c r="Q18" s="1692"/>
      <c r="R18" s="1692"/>
      <c r="S18" s="1693"/>
      <c r="T18" s="2658"/>
      <c r="U18" s="2659"/>
      <c r="V18" s="2659"/>
      <c r="W18" s="2659"/>
      <c r="X18" s="2659"/>
      <c r="Y18" s="2658"/>
      <c r="Z18" s="2659"/>
      <c r="AA18" s="2659"/>
      <c r="AB18" s="2659"/>
      <c r="AC18" s="2659"/>
      <c r="AD18" s="2659"/>
      <c r="AE18" s="2659"/>
      <c r="AF18" s="2659"/>
      <c r="AG18" s="2659"/>
      <c r="AH18" s="2659"/>
      <c r="AI18" s="2659"/>
      <c r="AJ18" s="2659"/>
      <c r="AK18" s="2659"/>
      <c r="AL18" s="2659"/>
      <c r="AM18" s="2659"/>
    </row>
    <row r="19" spans="1:40" ht="12.95" customHeight="1">
      <c r="B19" s="1194"/>
      <c r="C19" s="1692" t="s">
        <v>980</v>
      </c>
      <c r="D19" s="1692"/>
      <c r="E19" s="1692"/>
      <c r="F19" s="1692"/>
      <c r="G19" s="1692"/>
      <c r="H19" s="1692"/>
      <c r="I19" s="1692"/>
      <c r="J19" s="1692"/>
      <c r="K19" s="1692"/>
      <c r="L19" s="1692"/>
      <c r="M19" s="1692"/>
      <c r="N19" s="1692"/>
      <c r="O19" s="1692"/>
      <c r="P19" s="1692"/>
      <c r="Q19" s="1692"/>
      <c r="R19" s="1692"/>
      <c r="S19" s="1693"/>
      <c r="T19" s="2658"/>
      <c r="U19" s="2659"/>
      <c r="V19" s="2659"/>
      <c r="W19" s="2659"/>
      <c r="X19" s="2659"/>
      <c r="Y19" s="2658"/>
      <c r="Z19" s="2659"/>
      <c r="AA19" s="2659"/>
      <c r="AB19" s="2659"/>
      <c r="AC19" s="2659"/>
      <c r="AD19" s="2659"/>
      <c r="AE19" s="2659"/>
      <c r="AF19" s="2659"/>
      <c r="AG19" s="2659"/>
      <c r="AH19" s="2659"/>
      <c r="AI19" s="2659"/>
      <c r="AJ19" s="2659"/>
      <c r="AK19" s="2659"/>
      <c r="AL19" s="2659"/>
      <c r="AM19" s="2659"/>
    </row>
    <row r="20" spans="1:40" ht="12.95" customHeight="1">
      <c r="B20" s="2633" t="s">
        <v>511</v>
      </c>
      <c r="C20" s="2634"/>
      <c r="D20" s="2634"/>
      <c r="E20" s="2634"/>
      <c r="F20" s="2634"/>
      <c r="G20" s="2634"/>
      <c r="H20" s="2634"/>
      <c r="I20" s="2634"/>
      <c r="J20" s="2634"/>
      <c r="K20" s="2634"/>
      <c r="L20" s="2634"/>
      <c r="M20" s="2634"/>
      <c r="N20" s="2634"/>
      <c r="O20" s="2634"/>
      <c r="P20" s="2634"/>
      <c r="Q20" s="2634"/>
      <c r="R20" s="2634"/>
      <c r="S20" s="2635"/>
      <c r="T20" s="2649">
        <f>SUM(T13:X19)</f>
        <v>0</v>
      </c>
      <c r="U20" s="2627"/>
      <c r="V20" s="2627"/>
      <c r="W20" s="2627"/>
      <c r="X20" s="2627"/>
      <c r="Y20" s="2649">
        <f>SUM(Y13:AC19)</f>
        <v>0</v>
      </c>
      <c r="Z20" s="2627"/>
      <c r="AA20" s="2627"/>
      <c r="AB20" s="2627"/>
      <c r="AC20" s="2627"/>
      <c r="AD20" s="2637">
        <f>SUM(AD13:AH19)</f>
        <v>0</v>
      </c>
      <c r="AE20" s="2648"/>
      <c r="AF20" s="2648"/>
      <c r="AG20" s="2648"/>
      <c r="AH20" s="2649"/>
      <c r="AI20" s="2637">
        <f>SUM(AI13:AM19)</f>
        <v>0</v>
      </c>
      <c r="AJ20" s="2648"/>
      <c r="AK20" s="2648"/>
      <c r="AL20" s="2648"/>
      <c r="AM20" s="2649"/>
    </row>
    <row r="21" spans="1:40" ht="12.95" customHeight="1">
      <c r="B21" s="2633" t="s">
        <v>1374</v>
      </c>
      <c r="C21" s="2634"/>
      <c r="D21" s="2634"/>
      <c r="E21" s="2634"/>
      <c r="F21" s="2634"/>
      <c r="G21" s="2634"/>
      <c r="H21" s="2634"/>
      <c r="I21" s="2634"/>
      <c r="J21" s="2634"/>
      <c r="K21" s="2634"/>
      <c r="L21" s="2634"/>
      <c r="M21" s="2634"/>
      <c r="N21" s="2634"/>
      <c r="O21" s="2634"/>
      <c r="P21" s="2634"/>
      <c r="Q21" s="2634"/>
      <c r="R21" s="2634"/>
      <c r="S21" s="2635"/>
      <c r="T21" s="2658"/>
      <c r="U21" s="2659"/>
      <c r="V21" s="2659"/>
      <c r="W21" s="2659"/>
      <c r="X21" s="2659"/>
      <c r="Y21" s="2658"/>
      <c r="Z21" s="2659"/>
      <c r="AA21" s="2659"/>
      <c r="AB21" s="2659"/>
      <c r="AC21" s="2659"/>
      <c r="AD21" s="2665"/>
      <c r="AE21" s="2666"/>
      <c r="AF21" s="2666"/>
      <c r="AG21" s="2666"/>
      <c r="AH21" s="2667"/>
      <c r="AI21" s="2665"/>
      <c r="AJ21" s="2666"/>
      <c r="AK21" s="2666"/>
      <c r="AL21" s="2666"/>
      <c r="AM21" s="2667"/>
    </row>
    <row r="22" spans="1:40" ht="12.95" customHeight="1">
      <c r="B22" s="2633" t="s">
        <v>512</v>
      </c>
      <c r="C22" s="2634"/>
      <c r="D22" s="2634"/>
      <c r="E22" s="2634"/>
      <c r="F22" s="2634"/>
      <c r="G22" s="2634"/>
      <c r="H22" s="2634"/>
      <c r="I22" s="2634"/>
      <c r="J22" s="2634"/>
      <c r="K22" s="2634"/>
      <c r="L22" s="2634"/>
      <c r="M22" s="2634"/>
      <c r="N22" s="2634"/>
      <c r="O22" s="2634"/>
      <c r="P22" s="2634"/>
      <c r="Q22" s="2634"/>
      <c r="R22" s="2634"/>
      <c r="S22" s="2635"/>
      <c r="T22" s="2654">
        <f>(ABS(T20)+ABS(T21))*-1</f>
        <v>0</v>
      </c>
      <c r="U22" s="2655"/>
      <c r="V22" s="2655"/>
      <c r="W22" s="2655"/>
      <c r="X22" s="2655"/>
      <c r="Y22" s="2654">
        <f>(Y20+Y21)*-1</f>
        <v>0</v>
      </c>
      <c r="Z22" s="2655"/>
      <c r="AA22" s="2655"/>
      <c r="AB22" s="2655"/>
      <c r="AC22" s="2655"/>
      <c r="AD22" s="2656">
        <f>(AD20)*-1</f>
        <v>0</v>
      </c>
      <c r="AE22" s="2657"/>
      <c r="AF22" s="2657"/>
      <c r="AG22" s="2657"/>
      <c r="AH22" s="2654"/>
      <c r="AI22" s="2656">
        <f>(AI20)*-1</f>
        <v>0</v>
      </c>
      <c r="AJ22" s="2657"/>
      <c r="AK22" s="2657"/>
      <c r="AL22" s="2657"/>
      <c r="AM22" s="2654"/>
    </row>
    <row r="23" spans="1:40" ht="12.95" customHeight="1">
      <c r="B23" s="2633" t="s">
        <v>513</v>
      </c>
      <c r="C23" s="2634"/>
      <c r="D23" s="2634"/>
      <c r="E23" s="2634"/>
      <c r="F23" s="2634"/>
      <c r="G23" s="2634"/>
      <c r="H23" s="2634"/>
      <c r="I23" s="2634"/>
      <c r="J23" s="2634"/>
      <c r="K23" s="2634"/>
      <c r="L23" s="2634"/>
      <c r="M23" s="2634"/>
      <c r="N23" s="2634"/>
      <c r="O23" s="2634"/>
      <c r="P23" s="2634"/>
      <c r="Q23" s="2634"/>
      <c r="R23" s="2634"/>
      <c r="S23" s="2635"/>
      <c r="T23" s="2649">
        <f>T11+T22</f>
        <v>35710107</v>
      </c>
      <c r="U23" s="2627"/>
      <c r="V23" s="2627"/>
      <c r="W23" s="2627"/>
      <c r="X23" s="2627"/>
      <c r="Y23" s="2649">
        <f>Y11+Y22</f>
        <v>0</v>
      </c>
      <c r="Z23" s="2627"/>
      <c r="AA23" s="2627"/>
      <c r="AB23" s="2627"/>
      <c r="AC23" s="2627"/>
      <c r="AD23" s="2649">
        <f>AD11+AD22</f>
        <v>0</v>
      </c>
      <c r="AE23" s="2627"/>
      <c r="AF23" s="2627"/>
      <c r="AG23" s="2627"/>
      <c r="AH23" s="2627"/>
      <c r="AI23" s="2649">
        <f>AI11+AI22</f>
        <v>0</v>
      </c>
      <c r="AJ23" s="2627"/>
      <c r="AK23" s="2627"/>
      <c r="AL23" s="2627"/>
      <c r="AM23" s="2627"/>
    </row>
    <row r="24" spans="1:40" ht="12.95" customHeight="1">
      <c r="B24" s="2633" t="s">
        <v>981</v>
      </c>
      <c r="C24" s="2634"/>
      <c r="D24" s="2634"/>
      <c r="E24" s="2634"/>
      <c r="F24" s="2634"/>
      <c r="G24" s="2634"/>
      <c r="H24" s="2634"/>
      <c r="I24" s="2634"/>
      <c r="J24" s="2634"/>
      <c r="K24" s="2634"/>
      <c r="L24" s="2634"/>
      <c r="M24" s="2634"/>
      <c r="N24" s="2634"/>
      <c r="O24" s="2634"/>
      <c r="P24" s="2634"/>
      <c r="Q24" s="2634"/>
      <c r="R24" s="2634"/>
      <c r="S24" s="2635"/>
      <c r="T24" s="2637">
        <f>Application!AJ1052</f>
        <v>87627838</v>
      </c>
      <c r="U24" s="2648"/>
      <c r="V24" s="2648"/>
      <c r="W24" s="2648"/>
      <c r="X24" s="2648"/>
      <c r="Y24" s="2648"/>
      <c r="Z24" s="2648"/>
      <c r="AA24" s="2648"/>
      <c r="AB24" s="2648"/>
      <c r="AC24" s="2648"/>
      <c r="AD24" s="2648"/>
      <c r="AE24" s="2648"/>
      <c r="AF24" s="2648"/>
      <c r="AG24" s="2648"/>
      <c r="AH24" s="2648"/>
      <c r="AI24" s="2648"/>
      <c r="AJ24" s="2648"/>
      <c r="AK24" s="2648"/>
      <c r="AL24" s="2648"/>
      <c r="AM24" s="2649"/>
    </row>
    <row r="25" spans="1:40" ht="12.95" customHeight="1">
      <c r="B25" s="2680" t="s">
        <v>1375</v>
      </c>
      <c r="C25" s="2681"/>
      <c r="D25" s="2681"/>
      <c r="E25" s="2681"/>
      <c r="F25" s="2681"/>
      <c r="G25" s="2681"/>
      <c r="H25" s="2681"/>
      <c r="I25" s="2681"/>
      <c r="J25" s="2681"/>
      <c r="K25" s="2681"/>
      <c r="L25" s="2681"/>
      <c r="M25" s="2681"/>
      <c r="N25" s="2681"/>
      <c r="O25" s="2681"/>
      <c r="P25" s="2681"/>
      <c r="Q25" s="2681"/>
      <c r="R25" s="2681"/>
      <c r="S25" s="2682"/>
      <c r="T25" s="2662">
        <f>IF(OR(Application!T196="yes",Application!T195="yes"),1.3,1)</f>
        <v>1</v>
      </c>
      <c r="U25" s="2663"/>
      <c r="V25" s="2663"/>
      <c r="W25" s="2663"/>
      <c r="X25" s="2663"/>
      <c r="Y25" s="2662">
        <v>1</v>
      </c>
      <c r="Z25" s="2663"/>
      <c r="AA25" s="2663"/>
      <c r="AB25" s="2663"/>
      <c r="AC25" s="2663"/>
      <c r="AD25" s="2662">
        <v>1</v>
      </c>
      <c r="AE25" s="2663"/>
      <c r="AF25" s="2663"/>
      <c r="AG25" s="2663"/>
      <c r="AH25" s="2664"/>
      <c r="AI25" s="2662">
        <v>1</v>
      </c>
      <c r="AJ25" s="2663"/>
      <c r="AK25" s="2663"/>
      <c r="AL25" s="2663"/>
      <c r="AM25" s="2664"/>
    </row>
    <row r="26" spans="1:40" ht="12.95" customHeight="1">
      <c r="B26" s="2633" t="s">
        <v>514</v>
      </c>
      <c r="C26" s="2634"/>
      <c r="D26" s="2634"/>
      <c r="E26" s="2634"/>
      <c r="F26" s="2634"/>
      <c r="G26" s="2634"/>
      <c r="H26" s="2634"/>
      <c r="I26" s="2634"/>
      <c r="J26" s="2634"/>
      <c r="K26" s="2634"/>
      <c r="L26" s="2634"/>
      <c r="M26" s="2634"/>
      <c r="N26" s="2634"/>
      <c r="O26" s="2634"/>
      <c r="P26" s="2634"/>
      <c r="Q26" s="2634"/>
      <c r="R26" s="2634"/>
      <c r="S26" s="2635"/>
      <c r="T26" s="2649">
        <f>T23*T25</f>
        <v>35710107</v>
      </c>
      <c r="U26" s="2627"/>
      <c r="V26" s="2627"/>
      <c r="W26" s="2627"/>
      <c r="X26" s="2627"/>
      <c r="Y26" s="2649">
        <f>Y23*Y25</f>
        <v>0</v>
      </c>
      <c r="Z26" s="2627"/>
      <c r="AA26" s="2627"/>
      <c r="AB26" s="2627"/>
      <c r="AC26" s="2627"/>
      <c r="AD26" s="2649">
        <f>AD23*AD25</f>
        <v>0</v>
      </c>
      <c r="AE26" s="2627"/>
      <c r="AF26" s="2627"/>
      <c r="AG26" s="2627"/>
      <c r="AH26" s="2627"/>
      <c r="AI26" s="2649">
        <f>AI23*AI25</f>
        <v>0</v>
      </c>
      <c r="AJ26" s="2627"/>
      <c r="AK26" s="2627"/>
      <c r="AL26" s="2627"/>
      <c r="AM26" s="2627"/>
    </row>
    <row r="27" spans="1:40" ht="12.95" customHeight="1">
      <c r="A27" s="441"/>
      <c r="B27" s="2683" t="s">
        <v>427</v>
      </c>
      <c r="C27" s="2684"/>
      <c r="D27" s="2684"/>
      <c r="E27" s="2684"/>
      <c r="F27" s="2684"/>
      <c r="G27" s="2684"/>
      <c r="H27" s="2684"/>
      <c r="I27" s="2684"/>
      <c r="J27" s="2684"/>
      <c r="K27" s="2684"/>
      <c r="L27" s="2684"/>
      <c r="M27" s="2684"/>
      <c r="N27" s="2684"/>
      <c r="O27" s="2684"/>
      <c r="P27" s="2684"/>
      <c r="Q27" s="2684"/>
      <c r="R27" s="2684"/>
      <c r="S27" s="2685"/>
      <c r="T27" s="2660">
        <f>Application!$AG$445</f>
        <v>1</v>
      </c>
      <c r="U27" s="2661"/>
      <c r="V27" s="2661"/>
      <c r="W27" s="2661"/>
      <c r="X27" s="2661"/>
      <c r="Y27" s="2660">
        <f>Application!$AG$445</f>
        <v>1</v>
      </c>
      <c r="Z27" s="2661"/>
      <c r="AA27" s="2661"/>
      <c r="AB27" s="2661"/>
      <c r="AC27" s="2661"/>
      <c r="AD27" s="2660">
        <f>Application!$AG$445</f>
        <v>1</v>
      </c>
      <c r="AE27" s="2661"/>
      <c r="AF27" s="2661"/>
      <c r="AG27" s="2661"/>
      <c r="AH27" s="2661"/>
      <c r="AI27" s="2660">
        <f>Application!$AG$445</f>
        <v>1</v>
      </c>
      <c r="AJ27" s="2661"/>
      <c r="AK27" s="2661"/>
      <c r="AL27" s="2661"/>
      <c r="AM27" s="2661"/>
    </row>
    <row r="28" spans="1:40" ht="12.95" customHeight="1">
      <c r="A28" s="435"/>
      <c r="B28" s="2633" t="s">
        <v>515</v>
      </c>
      <c r="C28" s="2634"/>
      <c r="D28" s="2634"/>
      <c r="E28" s="2634"/>
      <c r="F28" s="2634"/>
      <c r="G28" s="2634"/>
      <c r="H28" s="2634"/>
      <c r="I28" s="2634"/>
      <c r="J28" s="2634"/>
      <c r="K28" s="2634"/>
      <c r="L28" s="2634"/>
      <c r="M28" s="2634"/>
      <c r="N28" s="2634"/>
      <c r="O28" s="2634"/>
      <c r="P28" s="2634"/>
      <c r="Q28" s="2634"/>
      <c r="R28" s="2634"/>
      <c r="S28" s="2635"/>
      <c r="T28" s="2649">
        <f>IF(ISERROR((T26*T27)),0,(T26*T27))</f>
        <v>35710107</v>
      </c>
      <c r="U28" s="2627"/>
      <c r="V28" s="2627"/>
      <c r="W28" s="2627"/>
      <c r="X28" s="2627"/>
      <c r="Y28" s="2649">
        <f>IF(ISERROR((Y26*Y27)),0,(Y26*Y27))</f>
        <v>0</v>
      </c>
      <c r="Z28" s="2627"/>
      <c r="AA28" s="2627"/>
      <c r="AB28" s="2627"/>
      <c r="AC28" s="2627"/>
      <c r="AD28" s="2649">
        <f>IF(ISERROR((AD26*AD27)),0,(AD26*AD27))</f>
        <v>0</v>
      </c>
      <c r="AE28" s="2627"/>
      <c r="AF28" s="2627"/>
      <c r="AG28" s="2627"/>
      <c r="AH28" s="2627"/>
      <c r="AI28" s="2649">
        <f>IF(ISERROR((AI26*AI27)),0,(AI26*AI27))</f>
        <v>0</v>
      </c>
      <c r="AJ28" s="2627"/>
      <c r="AK28" s="2627"/>
      <c r="AL28" s="2627"/>
      <c r="AM28" s="2627"/>
    </row>
    <row r="29" spans="1:40" ht="12.95" customHeight="1">
      <c r="B29" s="2633" t="s">
        <v>532</v>
      </c>
      <c r="C29" s="2634"/>
      <c r="D29" s="2634"/>
      <c r="E29" s="2634"/>
      <c r="F29" s="2634"/>
      <c r="G29" s="2634"/>
      <c r="H29" s="2634"/>
      <c r="I29" s="2634"/>
      <c r="J29" s="2634"/>
      <c r="K29" s="2634"/>
      <c r="L29" s="2634"/>
      <c r="M29" s="2634"/>
      <c r="N29" s="2634"/>
      <c r="O29" s="2634"/>
      <c r="P29" s="2634"/>
      <c r="Q29" s="2634"/>
      <c r="R29" s="2634"/>
      <c r="S29" s="2635"/>
      <c r="T29" s="2637">
        <f>T28+Y28+AD28+AI28</f>
        <v>35710107</v>
      </c>
      <c r="U29" s="2648"/>
      <c r="V29" s="2648"/>
      <c r="W29" s="2648"/>
      <c r="X29" s="2648"/>
      <c r="Y29" s="2648"/>
      <c r="Z29" s="2648"/>
      <c r="AA29" s="2648"/>
      <c r="AB29" s="2648"/>
      <c r="AC29" s="2648"/>
      <c r="AD29" s="2648"/>
      <c r="AE29" s="2648"/>
      <c r="AF29" s="2648"/>
      <c r="AG29" s="2648"/>
      <c r="AH29" s="2648"/>
      <c r="AI29" s="2648"/>
      <c r="AJ29" s="2648"/>
      <c r="AK29" s="2648"/>
      <c r="AL29" s="2648"/>
      <c r="AM29" s="2649"/>
    </row>
    <row r="30" spans="1:40" ht="12.95" customHeight="1">
      <c r="B30" s="2653" t="s">
        <v>1377</v>
      </c>
      <c r="C30" s="2653"/>
      <c r="D30" s="2653"/>
      <c r="E30" s="2653"/>
      <c r="F30" s="2653"/>
      <c r="G30" s="2653"/>
      <c r="H30" s="2653"/>
      <c r="I30" s="2653"/>
      <c r="J30" s="2653"/>
      <c r="K30" s="2653"/>
      <c r="L30" s="2653"/>
      <c r="M30" s="2653"/>
      <c r="N30" s="2653"/>
      <c r="O30" s="2653"/>
      <c r="P30" s="2653"/>
      <c r="Q30" s="2653"/>
      <c r="R30" s="2653"/>
      <c r="S30" s="2653"/>
      <c r="T30" s="2653"/>
      <c r="U30" s="2653"/>
      <c r="V30" s="2653"/>
      <c r="W30" s="2653"/>
      <c r="X30" s="2653"/>
      <c r="Y30" s="2653"/>
      <c r="Z30" s="2653"/>
      <c r="AA30" s="2653"/>
      <c r="AB30" s="2653"/>
      <c r="AC30" s="2653"/>
      <c r="AD30" s="2653"/>
      <c r="AE30" s="2653"/>
      <c r="AF30" s="2653"/>
      <c r="AG30" s="2653"/>
      <c r="AH30" s="2653"/>
      <c r="AI30" s="2653"/>
      <c r="AJ30" s="2653"/>
      <c r="AK30" s="2653"/>
      <c r="AL30" s="2653"/>
      <c r="AM30" s="2653"/>
    </row>
    <row r="31" spans="1:40" ht="12.95" customHeight="1">
      <c r="B31" s="2653" t="s">
        <v>1376</v>
      </c>
      <c r="C31" s="2653"/>
      <c r="D31" s="2653"/>
      <c r="E31" s="2653"/>
      <c r="F31" s="2653"/>
      <c r="G31" s="2653"/>
      <c r="H31" s="2653"/>
      <c r="I31" s="2653"/>
      <c r="J31" s="2653"/>
      <c r="K31" s="2653"/>
      <c r="L31" s="2653"/>
      <c r="M31" s="2653"/>
      <c r="N31" s="2653"/>
      <c r="O31" s="2653"/>
      <c r="P31" s="2653"/>
      <c r="Q31" s="2653"/>
      <c r="R31" s="2653"/>
      <c r="S31" s="2653"/>
      <c r="T31" s="2653"/>
      <c r="U31" s="2653"/>
      <c r="V31" s="2653"/>
      <c r="W31" s="2653"/>
      <c r="X31" s="2653"/>
      <c r="Y31" s="2653"/>
      <c r="Z31" s="2653"/>
      <c r="AA31" s="2653"/>
      <c r="AB31" s="2653"/>
      <c r="AC31" s="2653"/>
      <c r="AD31" s="2653"/>
      <c r="AE31" s="2653"/>
      <c r="AF31" s="2653"/>
      <c r="AG31" s="2653"/>
      <c r="AH31" s="2653"/>
      <c r="AI31" s="2653"/>
      <c r="AJ31" s="2653"/>
      <c r="AK31" s="2653"/>
      <c r="AL31" s="2653"/>
      <c r="AM31" s="2653"/>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585</v>
      </c>
      <c r="C34" s="435" t="s">
        <v>577</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50" t="s">
        <v>1257</v>
      </c>
      <c r="Z35" s="2650"/>
      <c r="AA35" s="2650"/>
      <c r="AB35" s="2650"/>
      <c r="AC35" s="2650"/>
      <c r="AD35" s="2651" t="s">
        <v>370</v>
      </c>
      <c r="AE35" s="2651"/>
      <c r="AF35" s="2651"/>
      <c r="AG35" s="2651"/>
      <c r="AH35" s="2651"/>
    </row>
    <row r="36" spans="1:76" ht="12.95" customHeight="1">
      <c r="B36" s="438"/>
      <c r="X36" s="443"/>
      <c r="Y36" s="2650"/>
      <c r="Z36" s="2650"/>
      <c r="AA36" s="2650"/>
      <c r="AB36" s="2650"/>
      <c r="AC36" s="2650"/>
      <c r="AD36" s="2651"/>
      <c r="AE36" s="2651"/>
      <c r="AF36" s="2651"/>
      <c r="AG36" s="2651"/>
      <c r="AH36" s="2651"/>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50"/>
      <c r="Z37" s="2650"/>
      <c r="AA37" s="2650"/>
      <c r="AB37" s="2650"/>
      <c r="AC37" s="2650"/>
      <c r="AD37" s="2651"/>
      <c r="AE37" s="2651"/>
      <c r="AF37" s="2651"/>
      <c r="AG37" s="2651"/>
      <c r="AH37" s="2651"/>
    </row>
    <row r="38" spans="1:76" ht="12.95" customHeight="1">
      <c r="A38" s="435"/>
      <c r="B38" s="2633" t="s">
        <v>515</v>
      </c>
      <c r="C38" s="2634"/>
      <c r="D38" s="2634"/>
      <c r="E38" s="2634"/>
      <c r="F38" s="2634"/>
      <c r="G38" s="2634"/>
      <c r="H38" s="2634"/>
      <c r="I38" s="2634"/>
      <c r="J38" s="2634"/>
      <c r="K38" s="2634"/>
      <c r="L38" s="2634"/>
      <c r="M38" s="2634"/>
      <c r="N38" s="2634"/>
      <c r="O38" s="2634"/>
      <c r="P38" s="2634"/>
      <c r="Q38" s="2634"/>
      <c r="R38" s="2634"/>
      <c r="S38" s="2634"/>
      <c r="T38" s="2634"/>
      <c r="U38" s="2634"/>
      <c r="V38" s="2634"/>
      <c r="W38" s="2634"/>
      <c r="X38" s="2635"/>
      <c r="Y38" s="2627">
        <f>IF(T24&gt;=(T23+Y23+AD23+AI23),T28+Y28,0)</f>
        <v>35710107</v>
      </c>
      <c r="Z38" s="2627"/>
      <c r="AA38" s="2627"/>
      <c r="AB38" s="2627"/>
      <c r="AC38" s="2627"/>
      <c r="AD38" s="2627">
        <f>IF(T24&gt;=(T23+Y23+AD23+AI23),AD28+AI28,0)</f>
        <v>0</v>
      </c>
      <c r="AE38" s="2627"/>
      <c r="AF38" s="2627"/>
      <c r="AG38" s="2627"/>
      <c r="AH38" s="2627"/>
    </row>
    <row r="39" spans="1:76" ht="12.95" customHeight="1">
      <c r="B39" s="2633" t="s">
        <v>1882</v>
      </c>
      <c r="C39" s="2634"/>
      <c r="D39" s="2634"/>
      <c r="E39" s="2634"/>
      <c r="F39" s="2634"/>
      <c r="G39" s="2634"/>
      <c r="H39" s="2634"/>
      <c r="I39" s="2634"/>
      <c r="J39" s="2634"/>
      <c r="K39" s="2634"/>
      <c r="L39" s="2634"/>
      <c r="M39" s="2634"/>
      <c r="N39" s="2634"/>
      <c r="O39" s="2634"/>
      <c r="P39" s="2634"/>
      <c r="Q39" s="2634"/>
      <c r="R39" s="2634"/>
      <c r="S39" s="2634"/>
      <c r="T39" s="2634"/>
      <c r="U39" s="2634"/>
      <c r="V39" s="2634"/>
      <c r="W39" s="2634"/>
      <c r="X39" s="2635"/>
      <c r="Y39" s="2652">
        <v>0.04</v>
      </c>
      <c r="Z39" s="2652"/>
      <c r="AA39" s="2652"/>
      <c r="AB39" s="2652"/>
      <c r="AC39" s="2652"/>
      <c r="AD39" s="2652">
        <v>0.04</v>
      </c>
      <c r="AE39" s="2652"/>
      <c r="AF39" s="2652"/>
      <c r="AG39" s="2652"/>
      <c r="AH39" s="2652"/>
    </row>
    <row r="40" spans="1:76" ht="12.95" customHeight="1">
      <c r="A40" s="435"/>
      <c r="B40" s="2633" t="s">
        <v>651</v>
      </c>
      <c r="C40" s="2634"/>
      <c r="D40" s="2634"/>
      <c r="E40" s="2634"/>
      <c r="F40" s="2634"/>
      <c r="G40" s="2634"/>
      <c r="H40" s="2634"/>
      <c r="I40" s="2634"/>
      <c r="J40" s="2634"/>
      <c r="K40" s="2634"/>
      <c r="L40" s="2634"/>
      <c r="M40" s="2634"/>
      <c r="N40" s="2634"/>
      <c r="O40" s="2634"/>
      <c r="P40" s="2634"/>
      <c r="Q40" s="2634"/>
      <c r="R40" s="2634"/>
      <c r="S40" s="2634"/>
      <c r="T40" s="2634"/>
      <c r="U40" s="2634"/>
      <c r="V40" s="2634"/>
      <c r="W40" s="2634"/>
      <c r="X40" s="2635"/>
      <c r="Y40" s="2627">
        <f>ROUND(Y38*Y39,0)</f>
        <v>1428404</v>
      </c>
      <c r="Z40" s="2627"/>
      <c r="AA40" s="2627"/>
      <c r="AB40" s="2627"/>
      <c r="AC40" s="2627"/>
      <c r="AD40" s="2649">
        <f>ROUND(AD38*AD39,0)</f>
        <v>0</v>
      </c>
      <c r="AE40" s="2627"/>
      <c r="AF40" s="2627"/>
      <c r="AG40" s="2627"/>
      <c r="AH40" s="2627"/>
    </row>
    <row r="41" spans="1:76" ht="12.95" customHeight="1">
      <c r="B41" s="2633" t="s">
        <v>652</v>
      </c>
      <c r="C41" s="2634"/>
      <c r="D41" s="2634"/>
      <c r="E41" s="2634"/>
      <c r="F41" s="2634"/>
      <c r="G41" s="2634"/>
      <c r="H41" s="2634"/>
      <c r="I41" s="2634"/>
      <c r="J41" s="2634"/>
      <c r="K41" s="2634"/>
      <c r="L41" s="2634"/>
      <c r="M41" s="2634"/>
      <c r="N41" s="2634"/>
      <c r="O41" s="2634"/>
      <c r="P41" s="2634"/>
      <c r="Q41" s="2634"/>
      <c r="R41" s="2634"/>
      <c r="S41" s="2634"/>
      <c r="T41" s="2634"/>
      <c r="U41" s="2634"/>
      <c r="V41" s="2634"/>
      <c r="W41" s="2634"/>
      <c r="X41" s="2635"/>
      <c r="Y41" s="2637">
        <f>Y40+AD40</f>
        <v>1428404</v>
      </c>
      <c r="Z41" s="2648"/>
      <c r="AA41" s="2648"/>
      <c r="AB41" s="2648"/>
      <c r="AC41" s="2648"/>
      <c r="AD41" s="2648"/>
      <c r="AE41" s="2648"/>
      <c r="AF41" s="2648"/>
      <c r="AG41" s="2648"/>
      <c r="AH41" s="2649"/>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47" t="s">
        <v>1387</v>
      </c>
      <c r="B44" s="2647"/>
      <c r="C44" s="2647"/>
      <c r="D44" s="2647"/>
      <c r="E44" s="2647"/>
      <c r="F44" s="2647"/>
      <c r="G44" s="2647"/>
      <c r="H44" s="2647"/>
      <c r="I44" s="2647"/>
      <c r="J44" s="2647"/>
      <c r="K44" s="2647"/>
      <c r="L44" s="2647"/>
      <c r="M44" s="2647"/>
      <c r="N44" s="2647"/>
      <c r="O44" s="2647"/>
      <c r="P44" s="2647"/>
      <c r="Q44" s="2647"/>
      <c r="R44" s="2647"/>
      <c r="S44" s="2647"/>
      <c r="T44" s="2647"/>
      <c r="U44" s="2647"/>
      <c r="V44" s="2647"/>
      <c r="W44" s="2647"/>
      <c r="X44" s="2647"/>
      <c r="Y44" s="2647"/>
      <c r="Z44" s="2647"/>
      <c r="AA44" s="2647"/>
      <c r="AB44" s="2647"/>
      <c r="AC44" s="2647"/>
      <c r="AD44" s="2647"/>
      <c r="AE44" s="2647"/>
      <c r="AF44" s="2647"/>
      <c r="AG44" s="2647"/>
      <c r="AH44" s="2647"/>
      <c r="AI44" s="2647"/>
      <c r="AJ44" s="2647"/>
      <c r="AK44" s="2647"/>
      <c r="AL44" s="2647"/>
      <c r="AM44" s="2647"/>
      <c r="AN44" s="2647"/>
      <c r="AO44" s="2647"/>
      <c r="AP44" s="2647"/>
      <c r="AQ44" s="2647"/>
      <c r="AR44" s="2647"/>
      <c r="AS44" s="2647"/>
      <c r="AT44" s="2647"/>
      <c r="AU44" s="2647"/>
      <c r="AV44" s="2647"/>
      <c r="AW44" s="2647"/>
      <c r="AX44" s="2647"/>
      <c r="AY44" s="2647"/>
      <c r="AZ44" s="2647"/>
      <c r="BA44" s="2647"/>
      <c r="BB44" s="2647"/>
      <c r="BC44" s="2647"/>
      <c r="BD44" s="2647"/>
      <c r="BE44" s="2647"/>
      <c r="BF44" s="2647"/>
      <c r="BG44" s="2647"/>
      <c r="BH44" s="2647"/>
      <c r="BI44" s="2647"/>
      <c r="BJ44" s="2647"/>
      <c r="BK44" s="2647"/>
      <c r="BL44" s="2647"/>
      <c r="BM44" s="2647"/>
      <c r="BN44" s="2647"/>
      <c r="BO44" s="2647"/>
      <c r="BP44" s="2647"/>
      <c r="BQ44" s="2647"/>
      <c r="BR44" s="2647"/>
      <c r="BS44" s="2647"/>
      <c r="BT44" s="2647"/>
      <c r="BU44" s="2647"/>
      <c r="BV44" s="2647"/>
      <c r="BW44" s="2647"/>
      <c r="BX44" s="2647"/>
    </row>
    <row r="45" spans="1:76" s="218" customFormat="1" ht="12.95" customHeight="1" thickTop="1"/>
    <row r="46" spans="1:76" ht="12.95" customHeight="1">
      <c r="A46" s="435" t="s">
        <v>595</v>
      </c>
      <c r="C46" s="435" t="s">
        <v>283</v>
      </c>
    </row>
    <row r="47" spans="1:76" ht="12.95" customHeight="1">
      <c r="D47" s="435" t="s">
        <v>284</v>
      </c>
      <c r="AB47" s="2641">
        <f>'Sources and Uses Budget'!B105-MAX(IF('Sources and Uses Budget'!B15="",0,'Sources and Uses Budget'!B15),IF(Application!AG394="",0,Application!AG394))</f>
        <v>43370882</v>
      </c>
      <c r="AC47" s="2642"/>
      <c r="AD47" s="2642"/>
      <c r="AE47" s="2642"/>
      <c r="AF47" s="2643"/>
    </row>
    <row r="48" spans="1:76" ht="12.95" customHeight="1">
      <c r="D48" s="435" t="s">
        <v>21</v>
      </c>
      <c r="AB48" s="2641">
        <f>Application!AO639-MAX(IF('Sources and Uses Budget'!B15="",0,'Sources and Uses Budget'!B15),IF(Application!AG394="",0,Application!AG394))</f>
        <v>21518482</v>
      </c>
      <c r="AC48" s="2642"/>
      <c r="AD48" s="2642"/>
      <c r="AE48" s="2642"/>
      <c r="AF48" s="2643"/>
    </row>
    <row r="49" spans="1:76" ht="12.95" customHeight="1">
      <c r="D49" s="435" t="s">
        <v>91</v>
      </c>
      <c r="AB49" s="2641">
        <f>AB47-AB48</f>
        <v>21852400</v>
      </c>
      <c r="AC49" s="2642"/>
      <c r="AD49" s="2642"/>
      <c r="AE49" s="2642"/>
      <c r="AF49" s="2643"/>
    </row>
    <row r="50" spans="1:76" ht="12.95" customHeight="1">
      <c r="D50" s="435" t="s">
        <v>690</v>
      </c>
      <c r="AA50" s="446"/>
      <c r="AB50" s="2629">
        <v>0.87</v>
      </c>
      <c r="AC50" s="2630"/>
      <c r="AD50" s="2630"/>
      <c r="AE50" s="2630"/>
      <c r="AF50" s="2631"/>
    </row>
    <row r="51" spans="1:76" s="448" customFormat="1" ht="12.95" customHeight="1">
      <c r="A51" s="433"/>
      <c r="B51" s="433"/>
      <c r="C51" s="433"/>
      <c r="D51" s="433"/>
      <c r="E51" s="2640" t="s">
        <v>2042</v>
      </c>
      <c r="F51" s="2640"/>
      <c r="G51" s="2640"/>
      <c r="H51" s="2640"/>
      <c r="I51" s="2640"/>
      <c r="J51" s="2640"/>
      <c r="K51" s="2640"/>
      <c r="L51" s="2640"/>
      <c r="M51" s="2640"/>
      <c r="N51" s="2640"/>
      <c r="O51" s="2640"/>
      <c r="P51" s="2640"/>
      <c r="Q51" s="2640"/>
      <c r="R51" s="2640"/>
      <c r="S51" s="2640"/>
      <c r="T51" s="2640"/>
      <c r="U51" s="2640"/>
      <c r="V51" s="2640"/>
      <c r="W51" s="2640"/>
      <c r="X51" s="2640"/>
      <c r="Y51" s="2640"/>
      <c r="Z51" s="2640"/>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40"/>
      <c r="F52" s="2640"/>
      <c r="G52" s="2640"/>
      <c r="H52" s="2640"/>
      <c r="I52" s="2640"/>
      <c r="J52" s="2640"/>
      <c r="K52" s="2640"/>
      <c r="L52" s="2640"/>
      <c r="M52" s="2640"/>
      <c r="N52" s="2640"/>
      <c r="O52" s="2640"/>
      <c r="P52" s="2640"/>
      <c r="Q52" s="2640"/>
      <c r="R52" s="2640"/>
      <c r="S52" s="2640"/>
      <c r="T52" s="2640"/>
      <c r="U52" s="2640"/>
      <c r="V52" s="2640"/>
      <c r="W52" s="2640"/>
      <c r="X52" s="2640"/>
      <c r="Y52" s="2640"/>
      <c r="Z52" s="2640"/>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41">
        <f>ROUND(IF(ISERROR((AB49/AB50)),0,(AB49/AB50)),0)</f>
        <v>25117701</v>
      </c>
      <c r="AC54" s="2642"/>
      <c r="AD54" s="2642"/>
      <c r="AE54" s="2642"/>
      <c r="AF54" s="2643"/>
    </row>
    <row r="55" spans="1:76" ht="12.95" customHeight="1">
      <c r="D55" s="435" t="s">
        <v>334</v>
      </c>
      <c r="AB55" s="2641">
        <f>(AB54/10)</f>
        <v>2511770.1</v>
      </c>
      <c r="AC55" s="2642"/>
      <c r="AD55" s="2642"/>
      <c r="AE55" s="2642"/>
      <c r="AF55" s="2643"/>
    </row>
    <row r="56" spans="1:76" ht="12.95" customHeight="1">
      <c r="D56" s="435" t="s">
        <v>766</v>
      </c>
      <c r="AB56" s="2644">
        <f>(IF((Y41&lt;AB55),Y41,AB55))</f>
        <v>1428404</v>
      </c>
      <c r="AC56" s="2645"/>
      <c r="AD56" s="2645"/>
      <c r="AE56" s="2645"/>
      <c r="AF56" s="2646"/>
    </row>
    <row r="57" spans="1:76" ht="12.95" customHeight="1">
      <c r="D57" s="435" t="s">
        <v>765</v>
      </c>
      <c r="AB57" s="2641">
        <f>ROUND((10*AB56*AB50),0)</f>
        <v>12427115</v>
      </c>
      <c r="AC57" s="2642"/>
      <c r="AD57" s="2642"/>
      <c r="AE57" s="2642"/>
      <c r="AF57" s="2643"/>
    </row>
    <row r="58" spans="1:76" ht="12.95" customHeight="1">
      <c r="D58" s="435"/>
      <c r="AB58" s="454"/>
      <c r="AC58" s="454"/>
      <c r="AD58" s="454"/>
      <c r="AE58" s="454"/>
      <c r="AF58" s="454"/>
    </row>
    <row r="59" spans="1:76" ht="12.95" customHeight="1">
      <c r="D59" s="435" t="s">
        <v>764</v>
      </c>
      <c r="AB59" s="2625">
        <f>AB49-AB57</f>
        <v>9425285</v>
      </c>
      <c r="AC59" s="2625"/>
      <c r="AD59" s="2625"/>
      <c r="AE59" s="2625"/>
      <c r="AF59" s="2625"/>
    </row>
    <row r="60" spans="1:76" ht="12.95" customHeight="1">
      <c r="D60" s="435"/>
      <c r="AB60" s="454"/>
      <c r="AC60" s="454"/>
      <c r="AD60" s="454"/>
      <c r="AE60" s="454"/>
      <c r="AF60" s="454"/>
    </row>
    <row r="61" spans="1:76" s="218" customFormat="1" ht="12.95" customHeight="1" thickBot="1">
      <c r="A61" s="2647" t="str">
        <f>IF(Application!AP205="yes","Farmworker State Credit", "State Credit" )</f>
        <v>State Credit</v>
      </c>
      <c r="B61" s="2647"/>
      <c r="C61" s="2647"/>
      <c r="D61" s="2647"/>
      <c r="E61" s="2647"/>
      <c r="F61" s="2647"/>
      <c r="G61" s="2647"/>
      <c r="H61" s="2647"/>
      <c r="I61" s="2647"/>
      <c r="J61" s="2647"/>
      <c r="K61" s="2647"/>
      <c r="L61" s="2647"/>
      <c r="M61" s="2647"/>
      <c r="N61" s="2647"/>
      <c r="O61" s="2647"/>
      <c r="P61" s="2647"/>
      <c r="Q61" s="2647"/>
      <c r="R61" s="2647"/>
      <c r="S61" s="2647"/>
      <c r="T61" s="2647"/>
      <c r="U61" s="2647"/>
      <c r="V61" s="2647"/>
      <c r="W61" s="2647"/>
      <c r="X61" s="2647"/>
      <c r="Y61" s="2647"/>
      <c r="Z61" s="2647"/>
      <c r="AA61" s="2647"/>
      <c r="AB61" s="2647"/>
      <c r="AC61" s="2647"/>
      <c r="AD61" s="2647"/>
      <c r="AE61" s="2647"/>
      <c r="AF61" s="2647"/>
      <c r="AG61" s="2647"/>
      <c r="AH61" s="2647"/>
      <c r="AI61" s="2647"/>
      <c r="AJ61" s="2647"/>
      <c r="AK61" s="2647"/>
      <c r="AL61" s="2647"/>
      <c r="AM61" s="2647"/>
      <c r="AN61" s="2647"/>
      <c r="AO61" s="2647"/>
      <c r="AP61" s="2647"/>
      <c r="AQ61" s="2647"/>
      <c r="AR61" s="2647"/>
      <c r="AS61" s="2647"/>
      <c r="AT61" s="2647"/>
      <c r="AU61" s="2647"/>
      <c r="AV61" s="2647"/>
      <c r="AW61" s="2647"/>
      <c r="AX61" s="2647"/>
      <c r="AY61" s="2647"/>
      <c r="AZ61" s="2647"/>
      <c r="BA61" s="2647"/>
      <c r="BB61" s="2647"/>
      <c r="BC61" s="2647"/>
      <c r="BD61" s="2647"/>
      <c r="BE61" s="2647"/>
      <c r="BF61" s="2647"/>
      <c r="BG61" s="2647"/>
      <c r="BH61" s="2647"/>
      <c r="BI61" s="2647"/>
      <c r="BJ61" s="2647"/>
      <c r="BK61" s="2647"/>
      <c r="BL61" s="2647"/>
      <c r="BM61" s="2647"/>
      <c r="BN61" s="2647"/>
      <c r="BO61" s="2647"/>
      <c r="BP61" s="2647"/>
      <c r="BQ61" s="2647"/>
      <c r="BR61" s="2647"/>
      <c r="BS61" s="2647"/>
      <c r="BT61" s="2647"/>
      <c r="BU61" s="2647"/>
      <c r="BV61" s="2647"/>
      <c r="BW61" s="2647"/>
      <c r="BX61" s="2647"/>
    </row>
    <row r="62" spans="1:76" s="218" customFormat="1" ht="12.95" customHeight="1" thickTop="1"/>
    <row r="63" spans="1:76" ht="12.95" customHeight="1">
      <c r="A63" s="435" t="s">
        <v>598</v>
      </c>
      <c r="C63" s="219" t="s">
        <v>1358</v>
      </c>
      <c r="Y63" s="2636" t="s">
        <v>1004</v>
      </c>
      <c r="Z63" s="2636"/>
      <c r="AA63" s="2636"/>
      <c r="AB63" s="2636"/>
      <c r="AC63" s="2636"/>
      <c r="AD63" s="2636" t="s">
        <v>370</v>
      </c>
      <c r="AE63" s="2636"/>
      <c r="AF63" s="2636"/>
      <c r="AG63" s="2636"/>
      <c r="AH63" s="2636"/>
    </row>
    <row r="64" spans="1:76" ht="12.95" customHeight="1">
      <c r="C64" s="435"/>
      <c r="D64" s="408" t="s">
        <v>1359</v>
      </c>
      <c r="E64" s="451"/>
      <c r="F64" s="451"/>
      <c r="G64" s="451"/>
      <c r="H64" s="451"/>
      <c r="I64" s="451"/>
      <c r="J64" s="451"/>
      <c r="K64" s="451"/>
      <c r="L64" s="451"/>
      <c r="M64" s="451"/>
      <c r="N64" s="451"/>
      <c r="O64" s="451"/>
      <c r="P64" s="451"/>
      <c r="Q64" s="451"/>
      <c r="R64" s="451"/>
      <c r="S64" s="451"/>
      <c r="T64" s="451"/>
      <c r="U64" s="451"/>
      <c r="V64" s="451"/>
      <c r="W64" s="451"/>
      <c r="X64" s="451"/>
      <c r="Y64" s="2637">
        <f>IF(Application!Z205="(select)",0,((T23*T27)+Y28))</f>
        <v>35710107</v>
      </c>
      <c r="Z64" s="2638"/>
      <c r="AA64" s="2638"/>
      <c r="AB64" s="2638"/>
      <c r="AC64" s="2639"/>
      <c r="AD64" s="2637">
        <f>IF(AND(OR(Application!D211="At-Risk",Application!D211="At-Risk and Special Needs"),Application!M358="yes"),AD28+AI28,0)</f>
        <v>0</v>
      </c>
      <c r="AE64" s="2638"/>
      <c r="AF64" s="2638"/>
      <c r="AG64" s="2638"/>
      <c r="AH64" s="2639"/>
    </row>
    <row r="65" spans="1:36" ht="12.95" customHeight="1">
      <c r="C65" s="435"/>
      <c r="E65" s="1052" t="s">
        <v>2040</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2041</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26">
        <f>IF(Application!AP205="yes",0.75,IF(Application!Z204="15% set-aside",0.13,IF(Application!Z204="15% set-aside with qualifying low value rehab",0.95,0.3)))</f>
        <v>0.3</v>
      </c>
      <c r="Z67" s="2626"/>
      <c r="AA67" s="2626"/>
      <c r="AB67" s="2626"/>
      <c r="AC67" s="2626"/>
      <c r="AD67" s="2626">
        <f>IF(Application!Z204="15% set-aside with qualifying low value rehab", 0.95,0.13)</f>
        <v>0.13</v>
      </c>
      <c r="AE67" s="2626"/>
      <c r="AF67" s="2626"/>
      <c r="AG67" s="2626"/>
      <c r="AH67" s="2626"/>
    </row>
    <row r="68" spans="1:36" ht="12.95" customHeight="1">
      <c r="C68" s="435"/>
      <c r="D68" s="219" t="s">
        <v>1360</v>
      </c>
      <c r="Y68" s="2627">
        <f>ROUND(Y64*Y67,0)</f>
        <v>10713032</v>
      </c>
      <c r="Z68" s="2628"/>
      <c r="AA68" s="2628"/>
      <c r="AB68" s="2628"/>
      <c r="AC68" s="2628"/>
      <c r="AD68" s="2627">
        <f>ROUND(AD64*AD67,0)</f>
        <v>0</v>
      </c>
      <c r="AE68" s="2628"/>
      <c r="AF68" s="2628"/>
      <c r="AG68" s="2628"/>
      <c r="AH68" s="2628"/>
    </row>
    <row r="69" spans="1:36" ht="12.95" customHeight="1">
      <c r="C69" s="435"/>
      <c r="E69" s="435"/>
      <c r="AB69" s="453"/>
      <c r="AC69" s="453"/>
      <c r="AD69" s="453"/>
      <c r="AE69" s="453"/>
      <c r="AF69" s="453"/>
    </row>
    <row r="70" spans="1:36" ht="12.95" customHeight="1">
      <c r="A70" s="435" t="s">
        <v>599</v>
      </c>
      <c r="C70" s="219" t="s">
        <v>285</v>
      </c>
    </row>
    <row r="71" spans="1:36" ht="12.95" customHeight="1">
      <c r="A71" s="435"/>
      <c r="C71" s="435"/>
      <c r="D71" s="219" t="s">
        <v>1361</v>
      </c>
      <c r="AB71" s="2629">
        <v>0.88</v>
      </c>
      <c r="AC71" s="2630"/>
      <c r="AD71" s="2630"/>
      <c r="AE71" s="2630"/>
      <c r="AF71" s="2631"/>
    </row>
    <row r="72" spans="1:36" ht="12.95" customHeight="1">
      <c r="A72" s="435"/>
      <c r="C72" s="435"/>
      <c r="D72" s="435"/>
      <c r="E72" s="2632" t="s">
        <v>1362</v>
      </c>
      <c r="F72" s="2632"/>
      <c r="G72" s="2632"/>
      <c r="H72" s="2632"/>
      <c r="I72" s="2632"/>
      <c r="J72" s="2632"/>
      <c r="K72" s="2632"/>
      <c r="L72" s="2632"/>
      <c r="M72" s="2632"/>
      <c r="N72" s="2632"/>
      <c r="O72" s="2632"/>
      <c r="P72" s="2632"/>
      <c r="Q72" s="2632"/>
      <c r="R72" s="2632"/>
      <c r="S72" s="2632"/>
      <c r="T72" s="2632"/>
      <c r="U72" s="2632"/>
      <c r="V72" s="2632"/>
      <c r="W72" s="2632"/>
      <c r="X72" s="2632"/>
      <c r="Y72" s="2632"/>
      <c r="Z72" s="2632"/>
      <c r="AA72" s="2632"/>
      <c r="AB72" s="471"/>
      <c r="AC72" s="471"/>
    </row>
    <row r="73" spans="1:36" ht="12.95" customHeight="1">
      <c r="A73" s="435"/>
      <c r="C73" s="435"/>
      <c r="D73" s="435"/>
      <c r="E73" s="2632"/>
      <c r="F73" s="2632"/>
      <c r="G73" s="2632"/>
      <c r="H73" s="2632"/>
      <c r="I73" s="2632"/>
      <c r="J73" s="2632"/>
      <c r="K73" s="2632"/>
      <c r="L73" s="2632"/>
      <c r="M73" s="2632"/>
      <c r="N73" s="2632"/>
      <c r="O73" s="2632"/>
      <c r="P73" s="2632"/>
      <c r="Q73" s="2632"/>
      <c r="R73" s="2632"/>
      <c r="S73" s="2632"/>
      <c r="T73" s="2632"/>
      <c r="U73" s="2632"/>
      <c r="V73" s="2632"/>
      <c r="W73" s="2632"/>
      <c r="X73" s="2632"/>
      <c r="Y73" s="2632"/>
      <c r="Z73" s="2632"/>
      <c r="AA73" s="2632"/>
      <c r="AB73" s="471"/>
      <c r="AC73" s="471"/>
    </row>
    <row r="74" spans="1:36" ht="12.95" customHeight="1">
      <c r="A74" s="435"/>
      <c r="C74" s="435"/>
      <c r="D74" s="435"/>
      <c r="E74" s="2632"/>
      <c r="F74" s="2632"/>
      <c r="G74" s="2632"/>
      <c r="H74" s="2632"/>
      <c r="I74" s="2632"/>
      <c r="J74" s="2632"/>
      <c r="K74" s="2632"/>
      <c r="L74" s="2632"/>
      <c r="M74" s="2632"/>
      <c r="N74" s="2632"/>
      <c r="O74" s="2632"/>
      <c r="P74" s="2632"/>
      <c r="Q74" s="2632"/>
      <c r="R74" s="2632"/>
      <c r="S74" s="2632"/>
      <c r="T74" s="2632"/>
      <c r="U74" s="2632"/>
      <c r="V74" s="2632"/>
      <c r="W74" s="2632"/>
      <c r="X74" s="2632"/>
      <c r="Y74" s="2632"/>
      <c r="Z74" s="2632"/>
      <c r="AA74" s="2632"/>
      <c r="AB74" s="471"/>
      <c r="AC74" s="471"/>
    </row>
    <row r="75" spans="1:36" ht="12.95"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2.95" customHeight="1">
      <c r="C76" s="435"/>
      <c r="D76" s="219" t="s">
        <v>1363</v>
      </c>
      <c r="AB76" s="2620">
        <f>ROUND(IF(ISERROR((AB59/AB71)),0,(AB59/AB71)),0)</f>
        <v>10710551</v>
      </c>
      <c r="AC76" s="2620"/>
      <c r="AD76" s="2620"/>
      <c r="AE76" s="2620"/>
      <c r="AF76" s="2620"/>
    </row>
    <row r="77" spans="1:36" ht="12.95" customHeight="1">
      <c r="C77" s="435"/>
      <c r="D77" s="219" t="s">
        <v>1364</v>
      </c>
      <c r="AB77" s="2621">
        <f>IF((Y68+AD68&lt;AB76),Y68+AD68,AB76)</f>
        <v>10710551</v>
      </c>
      <c r="AC77" s="2622"/>
      <c r="AD77" s="2622"/>
      <c r="AE77" s="2622"/>
      <c r="AF77" s="2623"/>
    </row>
    <row r="78" spans="1:36" ht="12.95" customHeight="1">
      <c r="C78" s="435"/>
      <c r="D78" s="219" t="s">
        <v>1365</v>
      </c>
      <c r="AB78" s="2624">
        <f>AB77*AB71</f>
        <v>9425284.8800000008</v>
      </c>
      <c r="AC78" s="2624"/>
      <c r="AD78" s="2624"/>
      <c r="AE78" s="2624"/>
      <c r="AF78" s="2624"/>
    </row>
    <row r="79" spans="1:36" ht="12.95" customHeight="1">
      <c r="C79" s="435"/>
      <c r="D79" s="435"/>
      <c r="AB79" s="456"/>
      <c r="AC79" s="456"/>
      <c r="AD79" s="456"/>
      <c r="AE79" s="456"/>
      <c r="AF79" s="456"/>
    </row>
    <row r="80" spans="1:36" ht="12.95" customHeight="1">
      <c r="D80" s="435" t="s">
        <v>764</v>
      </c>
      <c r="AB80" s="2625">
        <f>AB49-(AB57+AB78)</f>
        <v>0.11999999731779099</v>
      </c>
      <c r="AC80" s="2625"/>
      <c r="AD80" s="2625"/>
      <c r="AE80" s="2625"/>
      <c r="AF80" s="2625"/>
    </row>
    <row r="81" spans="1:78" ht="12.95" customHeight="1">
      <c r="F81" s="556"/>
      <c r="J81" s="556" t="str">
        <f>IF(AB80&gt;0,"FUNDING GAP MUST NOT EXCEED ZERO","")</f>
        <v>FUNDING GAP MUST NOT EXCEED ZERO</v>
      </c>
    </row>
    <row r="82" spans="1:78" ht="12.95" customHeight="1">
      <c r="D82" s="557"/>
    </row>
    <row r="83" spans="1:78" ht="12.95" customHeight="1" thickBot="1">
      <c r="A83" s="2647"/>
      <c r="B83" s="2647"/>
      <c r="C83" s="2647"/>
      <c r="D83" s="2647"/>
      <c r="E83" s="2647"/>
      <c r="F83" s="2647"/>
      <c r="G83" s="2647"/>
      <c r="H83" s="2647"/>
      <c r="I83" s="2647"/>
      <c r="J83" s="2647"/>
      <c r="K83" s="2647"/>
      <c r="L83" s="2647"/>
      <c r="M83" s="2647"/>
      <c r="N83" s="2647"/>
      <c r="O83" s="2647"/>
      <c r="P83" s="2647"/>
      <c r="Q83" s="2647"/>
      <c r="R83" s="2647"/>
      <c r="S83" s="2647"/>
      <c r="T83" s="2647"/>
      <c r="U83" s="2647"/>
      <c r="V83" s="2647"/>
      <c r="W83" s="2647"/>
      <c r="X83" s="2647"/>
      <c r="Y83" s="2647"/>
      <c r="Z83" s="2647"/>
      <c r="AA83" s="2647"/>
      <c r="AB83" s="2647"/>
      <c r="AC83" s="2647"/>
      <c r="AD83" s="2647"/>
      <c r="AE83" s="2647"/>
      <c r="AF83" s="2647"/>
      <c r="AG83" s="2647"/>
      <c r="AH83" s="2647"/>
      <c r="AI83" s="2647"/>
      <c r="AJ83" s="2647"/>
      <c r="AK83" s="2647"/>
      <c r="AL83" s="2647"/>
      <c r="AM83" s="2647"/>
      <c r="AN83" s="2647"/>
      <c r="AO83" s="2647"/>
      <c r="AP83" s="2647"/>
      <c r="AQ83" s="2647"/>
      <c r="AR83" s="2647"/>
      <c r="AS83" s="2647"/>
      <c r="AT83" s="2647"/>
      <c r="AU83" s="2647"/>
      <c r="AV83" s="2647"/>
      <c r="AW83" s="2647"/>
      <c r="AX83" s="2647"/>
      <c r="AY83" s="2647"/>
      <c r="AZ83" s="2647"/>
      <c r="BA83" s="2647"/>
      <c r="BB83" s="2647"/>
      <c r="BC83" s="2647"/>
      <c r="BD83" s="2647"/>
      <c r="BE83" s="2647"/>
      <c r="BF83" s="2647"/>
      <c r="BG83" s="2647"/>
      <c r="BH83" s="2647"/>
      <c r="BI83" s="2647"/>
      <c r="BJ83" s="2647"/>
      <c r="BK83" s="2647"/>
      <c r="BL83" s="2647"/>
      <c r="BM83" s="2647"/>
      <c r="BN83" s="2647"/>
      <c r="BO83" s="2647"/>
      <c r="BP83" s="2647"/>
      <c r="BQ83" s="2647"/>
      <c r="BR83" s="2647"/>
      <c r="BS83" s="2647"/>
      <c r="BT83" s="2647"/>
      <c r="BU83" s="2647"/>
      <c r="BV83" s="2647"/>
      <c r="BW83" s="2647"/>
      <c r="BX83" s="2647"/>
    </row>
    <row r="84" spans="1:78" ht="12.95" customHeight="1" thickTop="1"/>
    <row r="85" spans="1:78" ht="12.95" customHeight="1">
      <c r="A85" s="435"/>
      <c r="C85" s="219"/>
    </row>
    <row r="86" spans="1:78" ht="12.95" customHeight="1">
      <c r="D86" s="219"/>
      <c r="AB86" s="2679"/>
      <c r="AC86" s="2679"/>
      <c r="AD86" s="2679"/>
      <c r="AE86" s="2679"/>
      <c r="AF86" s="2679"/>
    </row>
    <row r="87" spans="1:78" ht="12.95" customHeight="1" thickBot="1">
      <c r="D87" s="219"/>
      <c r="AB87" s="2678"/>
      <c r="AC87" s="2678"/>
      <c r="AD87" s="2678"/>
      <c r="AE87" s="2678"/>
      <c r="AF87" s="2678"/>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F5" sqref="F5"/>
    </sheetView>
  </sheetViews>
  <sheetFormatPr defaultColWidth="9.1328125" defaultRowHeight="14.25" zeroHeight="1"/>
  <cols>
    <col min="1" max="2" width="15.7265625" style="327" customWidth="1"/>
    <col min="3" max="3" width="11" style="327" customWidth="1"/>
    <col min="4" max="4" width="15.7265625" style="327" customWidth="1"/>
    <col min="5" max="5" width="3.7265625" style="327" customWidth="1"/>
    <col min="6" max="7" width="15.7265625" style="327" customWidth="1"/>
    <col min="8" max="8" width="3.7265625" style="327" customWidth="1"/>
    <col min="9" max="10" width="15.7265625" style="327" customWidth="1"/>
    <col min="11" max="11" width="3.26953125" style="327" customWidth="1"/>
    <col min="12" max="17" width="15.7265625" style="327" customWidth="1"/>
    <col min="18" max="16384" width="9.1328125" style="327"/>
  </cols>
  <sheetData>
    <row r="1" spans="1:12">
      <c r="A1" s="2686" t="s">
        <v>925</v>
      </c>
      <c r="B1" s="2686"/>
      <c r="C1" s="2686"/>
      <c r="D1" s="2686"/>
      <c r="E1" s="2686"/>
      <c r="F1" s="2686"/>
      <c r="G1" s="2686"/>
      <c r="H1" s="2686"/>
      <c r="I1" s="2686"/>
      <c r="J1" s="2686"/>
      <c r="K1" s="218"/>
      <c r="L1" s="218"/>
    </row>
    <row r="2" spans="1:12">
      <c r="A2" s="225"/>
      <c r="B2" s="225"/>
      <c r="C2" s="225"/>
      <c r="D2" s="225"/>
      <c r="E2" s="225"/>
      <c r="F2" s="225"/>
      <c r="G2" s="225"/>
      <c r="H2" s="225"/>
      <c r="I2" s="225"/>
      <c r="J2" s="225"/>
    </row>
    <row r="3" spans="1:12" ht="85.5">
      <c r="A3" s="457" t="s">
        <v>926</v>
      </c>
      <c r="B3" s="457" t="s">
        <v>927</v>
      </c>
      <c r="C3" s="457" t="s">
        <v>2259</v>
      </c>
      <c r="D3" s="1190" t="s">
        <v>928</v>
      </c>
      <c r="E3" s="218"/>
      <c r="F3" s="1190" t="s">
        <v>929</v>
      </c>
      <c r="G3" s="457" t="s">
        <v>930</v>
      </c>
      <c r="H3" s="458"/>
      <c r="I3" s="457" t="s">
        <v>931</v>
      </c>
      <c r="J3" s="457" t="s">
        <v>932</v>
      </c>
      <c r="K3" s="218"/>
      <c r="L3" s="328"/>
    </row>
    <row r="4" spans="1:12">
      <c r="A4" s="459" t="str">
        <f>Application!B718</f>
        <v>1 Bedroom</v>
      </c>
      <c r="B4" s="1121">
        <f>Application!G718</f>
        <v>20</v>
      </c>
      <c r="C4" s="1122" t="s">
        <v>386</v>
      </c>
      <c r="D4" s="459">
        <f>Application!O718</f>
        <v>628</v>
      </c>
      <c r="E4" s="460"/>
      <c r="F4" s="1123">
        <v>2015</v>
      </c>
      <c r="G4" s="459">
        <f>F4*B4</f>
        <v>40300</v>
      </c>
      <c r="H4" s="460"/>
      <c r="I4" s="459">
        <f t="shared" ref="I4:I27" si="0">IF(F4=0,"",(F4-D4))</f>
        <v>1387</v>
      </c>
      <c r="J4" s="459">
        <f t="shared" ref="J4:J27" si="1">IF(F4=0,"",(I4*B4))</f>
        <v>27740</v>
      </c>
      <c r="K4" s="218"/>
      <c r="L4" s="328"/>
    </row>
    <row r="5" spans="1:12">
      <c r="A5" s="459" t="str">
        <f>Application!B719</f>
        <v>2 Bedrooms</v>
      </c>
      <c r="B5" s="1121">
        <f>Application!G719</f>
        <v>15</v>
      </c>
      <c r="C5" s="1122" t="s">
        <v>386</v>
      </c>
      <c r="D5" s="459">
        <f>Application!O719</f>
        <v>748</v>
      </c>
      <c r="E5" s="460"/>
      <c r="F5" s="1123">
        <v>2563</v>
      </c>
      <c r="G5" s="459">
        <f t="shared" ref="G5:G38" si="2">F5*B5</f>
        <v>38445</v>
      </c>
      <c r="H5" s="460"/>
      <c r="I5" s="459">
        <f t="shared" si="0"/>
        <v>1815</v>
      </c>
      <c r="J5" s="459">
        <f t="shared" si="1"/>
        <v>27225</v>
      </c>
      <c r="K5" s="218"/>
      <c r="L5" s="328"/>
    </row>
    <row r="6" spans="1:12">
      <c r="A6" s="459" t="str">
        <f>Application!B720</f>
        <v>1 Bedroom</v>
      </c>
      <c r="B6" s="1121">
        <f>Application!G720</f>
        <v>10</v>
      </c>
      <c r="C6" s="1122"/>
      <c r="D6" s="459">
        <f>Application!O720</f>
        <v>1101</v>
      </c>
      <c r="E6" s="460"/>
      <c r="F6" s="1123"/>
      <c r="G6" s="459">
        <f t="shared" si="2"/>
        <v>0</v>
      </c>
      <c r="H6" s="460"/>
      <c r="I6" s="459" t="str">
        <f t="shared" si="0"/>
        <v/>
      </c>
      <c r="J6" s="459" t="str">
        <f t="shared" si="1"/>
        <v/>
      </c>
      <c r="K6" s="218"/>
      <c r="L6" s="328"/>
    </row>
    <row r="7" spans="1:12">
      <c r="A7" s="459" t="str">
        <f>Application!B721</f>
        <v>2 Bedrooms</v>
      </c>
      <c r="B7" s="1121">
        <f>Application!G721</f>
        <v>4</v>
      </c>
      <c r="C7" s="1122"/>
      <c r="D7" s="459">
        <f>Application!O721</f>
        <v>1315</v>
      </c>
      <c r="E7" s="460"/>
      <c r="F7" s="1123"/>
      <c r="G7" s="459">
        <f t="shared" si="2"/>
        <v>0</v>
      </c>
      <c r="H7" s="460"/>
      <c r="I7" s="459" t="str">
        <f t="shared" si="0"/>
        <v/>
      </c>
      <c r="J7" s="459" t="str">
        <f t="shared" si="1"/>
        <v/>
      </c>
      <c r="K7" s="218"/>
      <c r="L7" s="328"/>
    </row>
    <row r="8" spans="1:12">
      <c r="A8" s="459">
        <f>Application!B722</f>
        <v>0</v>
      </c>
      <c r="B8" s="1121">
        <f>Application!G722</f>
        <v>0</v>
      </c>
      <c r="C8" s="1122"/>
      <c r="D8" s="459">
        <f>Application!O722</f>
        <v>0</v>
      </c>
      <c r="E8" s="460"/>
      <c r="F8" s="1123"/>
      <c r="G8" s="459">
        <f t="shared" si="2"/>
        <v>0</v>
      </c>
      <c r="H8" s="460"/>
      <c r="I8" s="459" t="str">
        <f t="shared" si="0"/>
        <v/>
      </c>
      <c r="J8" s="459" t="str">
        <f t="shared" si="1"/>
        <v/>
      </c>
      <c r="K8" s="218"/>
      <c r="L8" s="328"/>
    </row>
    <row r="9" spans="1:12">
      <c r="A9" s="459">
        <f>Application!B723</f>
        <v>0</v>
      </c>
      <c r="B9" s="1121">
        <f>Application!G723</f>
        <v>0</v>
      </c>
      <c r="C9" s="1122"/>
      <c r="D9" s="459">
        <f>Application!O723</f>
        <v>0</v>
      </c>
      <c r="E9" s="460"/>
      <c r="F9" s="1123"/>
      <c r="G9" s="459">
        <f t="shared" si="2"/>
        <v>0</v>
      </c>
      <c r="H9" s="460"/>
      <c r="I9" s="459" t="str">
        <f t="shared" si="0"/>
        <v/>
      </c>
      <c r="J9" s="459" t="str">
        <f t="shared" si="1"/>
        <v/>
      </c>
      <c r="K9" s="218"/>
      <c r="L9" s="328"/>
    </row>
    <row r="10" spans="1:12">
      <c r="A10" s="459">
        <f>Application!B724</f>
        <v>0</v>
      </c>
      <c r="B10" s="1121">
        <f>Application!G724</f>
        <v>0</v>
      </c>
      <c r="C10" s="1122"/>
      <c r="D10" s="459">
        <f>Application!O724</f>
        <v>0</v>
      </c>
      <c r="E10" s="460"/>
      <c r="F10" s="1123"/>
      <c r="G10" s="459">
        <f t="shared" si="2"/>
        <v>0</v>
      </c>
      <c r="H10" s="460"/>
      <c r="I10" s="459" t="str">
        <f t="shared" si="0"/>
        <v/>
      </c>
      <c r="J10" s="459" t="str">
        <f t="shared" si="1"/>
        <v/>
      </c>
      <c r="K10" s="218"/>
      <c r="L10" s="328"/>
    </row>
    <row r="11" spans="1:12">
      <c r="A11" s="459">
        <f>Application!B725</f>
        <v>0</v>
      </c>
      <c r="B11" s="1121">
        <f>Application!G725</f>
        <v>0</v>
      </c>
      <c r="C11" s="1122"/>
      <c r="D11" s="459">
        <f>Application!O725</f>
        <v>0</v>
      </c>
      <c r="E11" s="460"/>
      <c r="F11" s="1123"/>
      <c r="G11" s="459">
        <f t="shared" si="2"/>
        <v>0</v>
      </c>
      <c r="H11" s="460"/>
      <c r="I11" s="459" t="str">
        <f t="shared" si="0"/>
        <v/>
      </c>
      <c r="J11" s="459" t="str">
        <f t="shared" si="1"/>
        <v/>
      </c>
      <c r="K11" s="218"/>
      <c r="L11" s="328"/>
    </row>
    <row r="12" spans="1:12">
      <c r="A12" s="459">
        <f>Application!B726</f>
        <v>0</v>
      </c>
      <c r="B12" s="1121">
        <f>Application!G726</f>
        <v>0</v>
      </c>
      <c r="C12" s="1122"/>
      <c r="D12" s="459">
        <f>Application!O726</f>
        <v>0</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4.5">
      <c r="A40" s="461" t="s">
        <v>933</v>
      </c>
      <c r="B40" s="462"/>
      <c r="C40" s="462"/>
      <c r="D40" s="463">
        <f>Application!O753</f>
        <v>40050</v>
      </c>
      <c r="E40" s="460"/>
      <c r="F40" s="460"/>
      <c r="G40" s="463">
        <f>SUM(G4:G38)*12</f>
        <v>944940</v>
      </c>
      <c r="H40" s="464"/>
      <c r="I40" s="462"/>
      <c r="J40" s="463">
        <f>SUM(J4:J38)*12</f>
        <v>659580</v>
      </c>
      <c r="K40" s="218"/>
      <c r="L40" s="329"/>
    </row>
    <row r="41" spans="1:12" ht="14.5">
      <c r="A41" s="461"/>
      <c r="B41" s="462"/>
      <c r="C41" s="462"/>
      <c r="D41" s="464"/>
      <c r="E41" s="460"/>
      <c r="F41" s="460"/>
      <c r="G41" s="464"/>
      <c r="H41" s="464"/>
      <c r="I41" s="462"/>
      <c r="J41" s="464"/>
      <c r="K41" s="218"/>
      <c r="L41" s="329"/>
    </row>
    <row r="42" spans="1:12">
      <c r="A42" s="465" t="s">
        <v>934</v>
      </c>
      <c r="B42" s="225"/>
      <c r="C42" s="225"/>
      <c r="D42" s="225"/>
      <c r="E42" s="225"/>
      <c r="F42" s="225"/>
      <c r="G42" s="225"/>
      <c r="H42" s="225"/>
      <c r="I42" s="225"/>
      <c r="J42" s="225"/>
    </row>
    <row r="43" spans="1:12">
      <c r="A43" s="465" t="s">
        <v>935</v>
      </c>
      <c r="B43" s="225"/>
      <c r="C43" s="225"/>
      <c r="D43" s="225"/>
      <c r="E43" s="225"/>
      <c r="F43" s="225"/>
      <c r="G43" s="225"/>
      <c r="H43" s="225"/>
      <c r="I43" s="225"/>
      <c r="J43" s="225"/>
    </row>
    <row r="44" spans="1:12">
      <c r="A44" s="225" t="s">
        <v>2420</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5"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5" workbookViewId="0">
      <selection activeCell="B13" sqref="B13"/>
    </sheetView>
  </sheetViews>
  <sheetFormatPr defaultColWidth="0" defaultRowHeight="13" zeroHeight="1"/>
  <cols>
    <col min="1" max="1" width="3.7265625" customWidth="1"/>
    <col min="2" max="2" width="30.54296875" customWidth="1"/>
    <col min="3" max="3" width="12.7265625" style="229"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6328125" hidden="1"/>
  </cols>
  <sheetData>
    <row r="1" spans="1:34" ht="18">
      <c r="A1" s="226" t="s">
        <v>2411</v>
      </c>
      <c r="B1" s="226"/>
    </row>
    <row r="2" spans="1:34"/>
    <row r="3" spans="1:34" ht="15.5">
      <c r="A3" s="227" t="s">
        <v>831</v>
      </c>
      <c r="B3" s="227"/>
      <c r="C3" s="251" t="s">
        <v>832</v>
      </c>
      <c r="D3" s="13"/>
      <c r="E3" s="252" t="s">
        <v>833</v>
      </c>
      <c r="F3" s="217"/>
      <c r="G3" s="252" t="s">
        <v>834</v>
      </c>
      <c r="H3" s="217"/>
      <c r="I3" s="252" t="s">
        <v>835</v>
      </c>
      <c r="J3" s="217"/>
      <c r="K3" s="252" t="s">
        <v>836</v>
      </c>
      <c r="L3" s="217"/>
      <c r="M3" s="252" t="s">
        <v>837</v>
      </c>
      <c r="N3" s="217"/>
      <c r="O3" s="252" t="s">
        <v>838</v>
      </c>
      <c r="P3" s="217"/>
      <c r="Q3" s="252" t="s">
        <v>839</v>
      </c>
      <c r="R3" s="217"/>
      <c r="S3" s="252" t="s">
        <v>840</v>
      </c>
      <c r="T3" s="217"/>
      <c r="U3" s="252" t="s">
        <v>841</v>
      </c>
      <c r="V3" s="217"/>
      <c r="W3" s="252" t="s">
        <v>842</v>
      </c>
      <c r="X3" s="217"/>
      <c r="Y3" s="252" t="s">
        <v>843</v>
      </c>
      <c r="Z3" s="217"/>
      <c r="AA3" s="252" t="s">
        <v>844</v>
      </c>
      <c r="AB3" s="217"/>
      <c r="AC3" s="252" t="s">
        <v>845</v>
      </c>
      <c r="AD3" s="217"/>
      <c r="AE3" s="252" t="s">
        <v>846</v>
      </c>
      <c r="AF3" s="217"/>
      <c r="AG3" s="252" t="s">
        <v>847</v>
      </c>
      <c r="AH3" s="13"/>
    </row>
    <row r="4" spans="1:34" s="235" customFormat="1" ht="14.25">
      <c r="A4" s="235" t="s">
        <v>849</v>
      </c>
      <c r="C4" s="253">
        <v>1.0249999999999999</v>
      </c>
      <c r="E4" s="235">
        <f>Application!Y801</f>
        <v>480600</v>
      </c>
      <c r="G4" s="235">
        <f>E4*$C$4</f>
        <v>492614.99999999994</v>
      </c>
      <c r="I4" s="235">
        <f>G4*$C$4</f>
        <v>504930.37499999988</v>
      </c>
      <c r="K4" s="235">
        <f>I4*$C$4</f>
        <v>517553.63437499985</v>
      </c>
      <c r="M4" s="235">
        <f>K4*$C$4</f>
        <v>530492.47523437475</v>
      </c>
      <c r="O4" s="235">
        <f>M4*$C$4</f>
        <v>543754.78711523407</v>
      </c>
      <c r="Q4" s="235">
        <f>O4*$C$4</f>
        <v>557348.65679311485</v>
      </c>
      <c r="S4" s="235">
        <f>Q4*$C$4</f>
        <v>571282.37321294262</v>
      </c>
      <c r="U4" s="235">
        <f>S4*$C$4</f>
        <v>585564.4325432661</v>
      </c>
      <c r="W4" s="235">
        <f>U4*$C$4</f>
        <v>600203.54335684772</v>
      </c>
      <c r="Y4" s="235">
        <f>W4*$C$4</f>
        <v>615208.6319407688</v>
      </c>
      <c r="AA4" s="235">
        <f>Y4*$C$4</f>
        <v>630588.847739288</v>
      </c>
      <c r="AC4" s="235">
        <f>AA4*$C$4</f>
        <v>646353.56893277017</v>
      </c>
      <c r="AE4" s="235">
        <f>AC4*$C$4</f>
        <v>662512.40815608937</v>
      </c>
      <c r="AG4" s="235">
        <f>AE4*$C$4</f>
        <v>679075.21835999156</v>
      </c>
    </row>
    <row r="5" spans="1:34" s="225" customFormat="1" ht="14.25">
      <c r="B5" s="225" t="s">
        <v>850</v>
      </c>
      <c r="C5" s="1272">
        <f>IF(Application!$D$211="Special Needs",0.05,0.05)</f>
        <v>0.05</v>
      </c>
      <c r="E5" s="237">
        <f>-E4*$C$5</f>
        <v>-24030</v>
      </c>
      <c r="F5" s="237"/>
      <c r="G5" s="237">
        <f>-G4*$C$5</f>
        <v>-24630.75</v>
      </c>
      <c r="H5" s="237"/>
      <c r="I5" s="237">
        <f>-I4*$C$5</f>
        <v>-25246.518749999996</v>
      </c>
      <c r="J5" s="237"/>
      <c r="K5" s="237">
        <f>-K4*$C$5</f>
        <v>-25877.681718749995</v>
      </c>
      <c r="L5" s="237"/>
      <c r="M5" s="237">
        <f>-M4*$C$5</f>
        <v>-26524.62376171874</v>
      </c>
      <c r="N5" s="237"/>
      <c r="O5" s="237">
        <f>-O4*$C$5</f>
        <v>-27187.739355761703</v>
      </c>
      <c r="P5" s="237"/>
      <c r="Q5" s="237">
        <f>-Q4*$C$5</f>
        <v>-27867.432839655743</v>
      </c>
      <c r="R5" s="237"/>
      <c r="S5" s="237">
        <f>-S4*$C$5</f>
        <v>-28564.118660647131</v>
      </c>
      <c r="T5" s="237"/>
      <c r="U5" s="237">
        <f>-U4*$C$5</f>
        <v>-29278.221627163308</v>
      </c>
      <c r="V5" s="237"/>
      <c r="W5" s="237">
        <f>-W4*$C$5</f>
        <v>-30010.177167842387</v>
      </c>
      <c r="X5" s="237"/>
      <c r="Y5" s="237">
        <f>-Y4*$C$5</f>
        <v>-30760.431597038441</v>
      </c>
      <c r="Z5" s="237"/>
      <c r="AA5" s="237">
        <f>-AA4*$C$5</f>
        <v>-31529.442386964402</v>
      </c>
      <c r="AB5" s="237"/>
      <c r="AC5" s="237">
        <f>-AC4*$C$5</f>
        <v>-32317.678446638511</v>
      </c>
      <c r="AD5" s="237"/>
      <c r="AE5" s="237">
        <f>-AE4*$C$5</f>
        <v>-33125.620407804468</v>
      </c>
      <c r="AF5" s="237"/>
      <c r="AG5" s="237">
        <f>-AG4*$C$5</f>
        <v>-33953.760917999578</v>
      </c>
    </row>
    <row r="6" spans="1:34" s="225" customFormat="1" ht="14.25">
      <c r="A6" s="225" t="s">
        <v>848</v>
      </c>
      <c r="C6" s="253">
        <v>1.0249999999999999</v>
      </c>
      <c r="E6" s="238">
        <f>Application!Z809</f>
        <v>659580</v>
      </c>
      <c r="F6" s="238"/>
      <c r="G6" s="238">
        <f>E6*$C$6</f>
        <v>676069.49999999988</v>
      </c>
      <c r="H6" s="238"/>
      <c r="I6" s="238">
        <f>G6*$C$6</f>
        <v>692971.23749999981</v>
      </c>
      <c r="J6" s="238"/>
      <c r="K6" s="238">
        <f>I6*$C$6</f>
        <v>710295.51843749976</v>
      </c>
      <c r="L6" s="238"/>
      <c r="M6" s="238">
        <f>K6*$C$6</f>
        <v>728052.90639843722</v>
      </c>
      <c r="N6" s="238"/>
      <c r="O6" s="238">
        <f>M6*$C$6</f>
        <v>746254.22905839805</v>
      </c>
      <c r="P6" s="238"/>
      <c r="Q6" s="238">
        <f>O6*$C$6</f>
        <v>764910.58478485793</v>
      </c>
      <c r="R6" s="238"/>
      <c r="S6" s="238">
        <f>Q6*$C$6</f>
        <v>784033.34940447926</v>
      </c>
      <c r="T6" s="238"/>
      <c r="U6" s="238">
        <f>S6*$C$6</f>
        <v>803634.18313959113</v>
      </c>
      <c r="V6" s="238"/>
      <c r="W6" s="238">
        <f>U6*$C$6</f>
        <v>823725.0377180808</v>
      </c>
      <c r="X6" s="238"/>
      <c r="Y6" s="238">
        <f>W6*$C$6</f>
        <v>844318.1636610328</v>
      </c>
      <c r="Z6" s="238"/>
      <c r="AA6" s="238">
        <f>Y6*$C$6</f>
        <v>865426.11775255855</v>
      </c>
      <c r="AB6" s="238"/>
      <c r="AC6" s="238">
        <f>AA6*$C$6</f>
        <v>887061.77069637249</v>
      </c>
      <c r="AD6" s="238"/>
      <c r="AE6" s="238">
        <f>AC6*$C$6</f>
        <v>909238.31496378174</v>
      </c>
      <c r="AF6" s="238"/>
      <c r="AG6" s="238">
        <f>AE6*$C$6</f>
        <v>931969.27283787623</v>
      </c>
    </row>
    <row r="7" spans="1:34" s="225" customFormat="1" ht="14.25">
      <c r="B7" s="225" t="s">
        <v>850</v>
      </c>
      <c r="C7" s="1272">
        <f>IF(Application!$D$211="Special Needs",0.05,0.05)</f>
        <v>0.05</v>
      </c>
      <c r="E7" s="237">
        <f>-E6*$C$7</f>
        <v>-32979</v>
      </c>
      <c r="F7" s="237"/>
      <c r="G7" s="237">
        <f>-G6*$C$7</f>
        <v>-33803.474999999999</v>
      </c>
      <c r="H7" s="237"/>
      <c r="I7" s="237">
        <f>-I6*$C$7</f>
        <v>-34648.561874999992</v>
      </c>
      <c r="J7" s="237"/>
      <c r="K7" s="237">
        <f>-K6*$C$7</f>
        <v>-35514.775921874992</v>
      </c>
      <c r="L7" s="237"/>
      <c r="M7" s="237">
        <f>-M6*$C$7</f>
        <v>-36402.645319921859</v>
      </c>
      <c r="N7" s="237"/>
      <c r="O7" s="237">
        <f>-O6*$C$7</f>
        <v>-37312.711452919903</v>
      </c>
      <c r="P7" s="237"/>
      <c r="Q7" s="237">
        <f>-Q6*$C$7</f>
        <v>-38245.529239242896</v>
      </c>
      <c r="R7" s="237"/>
      <c r="S7" s="237">
        <f>-S6*$C$7</f>
        <v>-39201.667470223962</v>
      </c>
      <c r="T7" s="237"/>
      <c r="U7" s="237">
        <f>-U6*$C$7</f>
        <v>-40181.709156979559</v>
      </c>
      <c r="V7" s="237"/>
      <c r="W7" s="237">
        <f>-W6*$C$7</f>
        <v>-41186.251885904043</v>
      </c>
      <c r="X7" s="237"/>
      <c r="Y7" s="237">
        <f>-Y6*$C$7</f>
        <v>-42215.908183051644</v>
      </c>
      <c r="Z7" s="237"/>
      <c r="AA7" s="237">
        <f>-AA6*$C$7</f>
        <v>-43271.305887627932</v>
      </c>
      <c r="AB7" s="237"/>
      <c r="AC7" s="237">
        <f>-AC6*$C$7</f>
        <v>-44353.088534818628</v>
      </c>
      <c r="AD7" s="237"/>
      <c r="AE7" s="237">
        <f>-AE6*$C$7</f>
        <v>-45461.915748189087</v>
      </c>
      <c r="AF7" s="237"/>
      <c r="AG7" s="237">
        <f>-AG6*$C$7</f>
        <v>-46598.463641893817</v>
      </c>
    </row>
    <row r="8" spans="1:34" s="225" customFormat="1" ht="14.25">
      <c r="A8" s="225" t="s">
        <v>289</v>
      </c>
      <c r="C8" s="253">
        <v>1.0249999999999999</v>
      </c>
      <c r="E8" s="238">
        <f>Application!Z817</f>
        <v>7200</v>
      </c>
      <c r="F8" s="238"/>
      <c r="G8" s="238">
        <f>E8*$C$8</f>
        <v>7379.9999999999991</v>
      </c>
      <c r="H8" s="238"/>
      <c r="I8" s="238">
        <f>G8*$C$8</f>
        <v>7564.4999999999982</v>
      </c>
      <c r="J8" s="238"/>
      <c r="K8" s="238">
        <f>I8*$C$8</f>
        <v>7753.6124999999975</v>
      </c>
      <c r="L8" s="238"/>
      <c r="M8" s="238">
        <f>K8*$C$8</f>
        <v>7947.452812499997</v>
      </c>
      <c r="N8" s="238"/>
      <c r="O8" s="238">
        <f>M8*$C$8</f>
        <v>8146.1391328124964</v>
      </c>
      <c r="P8" s="238"/>
      <c r="Q8" s="238">
        <f>O8*$C$8</f>
        <v>8349.7926111328088</v>
      </c>
      <c r="R8" s="238"/>
      <c r="S8" s="238">
        <f>Q8*$C$8</f>
        <v>8558.5374264111288</v>
      </c>
      <c r="T8" s="238"/>
      <c r="U8" s="238">
        <f>S8*$C$8</f>
        <v>8772.500862071407</v>
      </c>
      <c r="V8" s="238"/>
      <c r="W8" s="238">
        <f>U8*$C$8</f>
        <v>8991.8133836231918</v>
      </c>
      <c r="X8" s="238"/>
      <c r="Y8" s="238">
        <f>W8*$C$8</f>
        <v>9216.6087182137708</v>
      </c>
      <c r="Z8" s="238"/>
      <c r="AA8" s="238">
        <f>Y8*$C$8</f>
        <v>9447.0239361691147</v>
      </c>
      <c r="AB8" s="238"/>
      <c r="AC8" s="238">
        <f>AA8*$C$8</f>
        <v>9683.1995345733412</v>
      </c>
      <c r="AD8" s="238"/>
      <c r="AE8" s="238">
        <f>AC8*$C$8</f>
        <v>9925.2795229376734</v>
      </c>
      <c r="AF8" s="238"/>
      <c r="AG8" s="238">
        <f>AE8*$C$8</f>
        <v>10173.411511011114</v>
      </c>
    </row>
    <row r="9" spans="1:34" s="225" customFormat="1" ht="14.25">
      <c r="B9" s="225" t="s">
        <v>850</v>
      </c>
      <c r="C9" s="1272">
        <f>IF(Application!$D$211="Special Needs",0.05,0.05)</f>
        <v>0.05</v>
      </c>
      <c r="E9" s="237">
        <f>-E8*$C$9</f>
        <v>-360</v>
      </c>
      <c r="F9" s="237"/>
      <c r="G9" s="237">
        <f>-G8*$C$9</f>
        <v>-369</v>
      </c>
      <c r="H9" s="237"/>
      <c r="I9" s="237">
        <f>-I8*$C$9</f>
        <v>-378.22499999999991</v>
      </c>
      <c r="J9" s="237"/>
      <c r="K9" s="237">
        <f>-K8*$C$9</f>
        <v>-387.68062499999991</v>
      </c>
      <c r="L9" s="237"/>
      <c r="M9" s="237">
        <f>-M8*$C$9</f>
        <v>-397.37264062499986</v>
      </c>
      <c r="N9" s="237"/>
      <c r="O9" s="237">
        <f>-O8*$C$9</f>
        <v>-407.30695664062483</v>
      </c>
      <c r="P9" s="237"/>
      <c r="Q9" s="237">
        <f>-Q8*$C$9</f>
        <v>-417.48963055664046</v>
      </c>
      <c r="R9" s="237"/>
      <c r="S9" s="237">
        <f>-S8*$C$9</f>
        <v>-427.92687132055647</v>
      </c>
      <c r="T9" s="237"/>
      <c r="U9" s="237">
        <f>-U8*$C$9</f>
        <v>-438.62504310357036</v>
      </c>
      <c r="V9" s="237"/>
      <c r="W9" s="237">
        <f>-W8*$C$9</f>
        <v>-449.59066918115963</v>
      </c>
      <c r="X9" s="237"/>
      <c r="Y9" s="237">
        <f>-Y8*$C$9</f>
        <v>-460.83043591068855</v>
      </c>
      <c r="Z9" s="237"/>
      <c r="AA9" s="237">
        <f>-AA8*$C$9</f>
        <v>-472.35119680845577</v>
      </c>
      <c r="AB9" s="237"/>
      <c r="AC9" s="237">
        <f>-AC8*$C$9</f>
        <v>-484.15997672866706</v>
      </c>
      <c r="AD9" s="237"/>
      <c r="AE9" s="237">
        <f>-AE8*$C$9</f>
        <v>-496.26397614688369</v>
      </c>
      <c r="AF9" s="237"/>
      <c r="AG9" s="237">
        <f>-AG8*$C$9</f>
        <v>-508.67057555055572</v>
      </c>
    </row>
    <row r="10" spans="1:34" s="225" customFormat="1" ht="14.25">
      <c r="A10" s="1187" t="s">
        <v>2634</v>
      </c>
      <c r="B10" s="1187"/>
      <c r="C10" s="254"/>
      <c r="E10" s="1188"/>
      <c r="F10" s="238"/>
      <c r="G10" s="1188">
        <f>E10*C4</f>
        <v>0</v>
      </c>
      <c r="H10" s="238"/>
      <c r="I10" s="1188">
        <f>G10*C4</f>
        <v>0</v>
      </c>
      <c r="J10" s="238"/>
      <c r="K10" s="1188">
        <f>I10*C4</f>
        <v>0</v>
      </c>
      <c r="L10" s="238"/>
      <c r="M10" s="1188">
        <f>K10*C4</f>
        <v>0</v>
      </c>
      <c r="N10" s="238"/>
      <c r="O10" s="1188">
        <f>M10*C4</f>
        <v>0</v>
      </c>
      <c r="P10" s="238"/>
      <c r="Q10" s="1188">
        <f>O10*C4</f>
        <v>0</v>
      </c>
      <c r="R10" s="238"/>
      <c r="S10" s="1188">
        <f>Q10*C4</f>
        <v>0</v>
      </c>
      <c r="T10" s="238"/>
      <c r="U10" s="1188">
        <f>S10*C4</f>
        <v>0</v>
      </c>
      <c r="V10" s="238"/>
      <c r="W10" s="1188">
        <f>U10*C4</f>
        <v>0</v>
      </c>
      <c r="X10" s="238"/>
      <c r="Y10" s="1188">
        <f>W10*C4</f>
        <v>0</v>
      </c>
      <c r="Z10" s="238"/>
      <c r="AA10" s="1188">
        <f>Y10*C4</f>
        <v>0</v>
      </c>
      <c r="AB10" s="238"/>
      <c r="AC10" s="1188">
        <f>AA10*C4</f>
        <v>0</v>
      </c>
      <c r="AD10" s="238"/>
      <c r="AE10" s="1188">
        <f>AC10*C4</f>
        <v>0</v>
      </c>
      <c r="AF10" s="238"/>
      <c r="AG10" s="1188">
        <f>AE10*C4</f>
        <v>0</v>
      </c>
    </row>
    <row r="11" spans="1:34" s="239" customFormat="1" ht="14.5">
      <c r="A11" s="239" t="s">
        <v>871</v>
      </c>
      <c r="C11" s="231"/>
      <c r="E11" s="239">
        <f>SUM(E4:E10)</f>
        <v>1090011</v>
      </c>
      <c r="G11" s="239">
        <f>SUM(G4:G10)</f>
        <v>1117261.2749999997</v>
      </c>
      <c r="I11" s="239">
        <f>SUM(I4:I10)</f>
        <v>1145192.8068749998</v>
      </c>
      <c r="K11" s="239">
        <f>SUM(K4:K10)</f>
        <v>1173822.6270468747</v>
      </c>
      <c r="M11" s="239">
        <f>SUM(M4:M10)</f>
        <v>1203168.1927230463</v>
      </c>
      <c r="O11" s="239">
        <f>SUM(O4:O10)</f>
        <v>1233247.397541122</v>
      </c>
      <c r="Q11" s="239">
        <f>SUM(Q4:Q10)</f>
        <v>1264078.5824796502</v>
      </c>
      <c r="S11" s="239">
        <f>SUM(S4:S10)</f>
        <v>1295680.5470416415</v>
      </c>
      <c r="U11" s="239">
        <f>SUM(U4:U10)</f>
        <v>1328072.5607176824</v>
      </c>
      <c r="W11" s="239">
        <f>SUM(W4:W10)</f>
        <v>1361274.3747356243</v>
      </c>
      <c r="Y11" s="239">
        <f>SUM(Y4:Y10)</f>
        <v>1395306.2341040147</v>
      </c>
      <c r="AA11" s="239">
        <f>SUM(AA4:AA10)</f>
        <v>1430188.8899566149</v>
      </c>
      <c r="AC11" s="239">
        <f>SUM(AC4:AC10)</f>
        <v>1465943.6122055301</v>
      </c>
      <c r="AE11" s="239">
        <f>SUM(AE4:AE10)</f>
        <v>1502592.2025106684</v>
      </c>
      <c r="AG11" s="239">
        <f>SUM(AG4:AG10)</f>
        <v>1540157.0075734351</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5">
      <c r="A13" s="227" t="s">
        <v>851</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852</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853</v>
      </c>
      <c r="C15" s="185"/>
      <c r="E15" s="235">
        <f>Application!W847</f>
        <v>44000</v>
      </c>
      <c r="G15" s="235">
        <f>E15*$C$14</f>
        <v>45540</v>
      </c>
      <c r="I15" s="235">
        <f>G15*$C$14</f>
        <v>47133.899999999994</v>
      </c>
      <c r="K15" s="235">
        <f>I15*$C$14</f>
        <v>48783.58649999999</v>
      </c>
      <c r="M15" s="235">
        <f>K15*$C$14</f>
        <v>50491.012027499986</v>
      </c>
      <c r="O15" s="235">
        <f>M15*$C$14</f>
        <v>52258.197448462481</v>
      </c>
      <c r="Q15" s="235">
        <f>O15*$C$14</f>
        <v>54087.234359158661</v>
      </c>
      <c r="S15" s="235">
        <f>Q15*$C$14</f>
        <v>55980.287561729208</v>
      </c>
      <c r="U15" s="235">
        <f>S15*$C$14</f>
        <v>57939.597626389725</v>
      </c>
      <c r="W15" s="235">
        <f>U15*$C$14</f>
        <v>59967.483543313363</v>
      </c>
      <c r="Y15" s="235">
        <f>W15*$C$14</f>
        <v>62066.345467329324</v>
      </c>
      <c r="AA15" s="235">
        <f>Y15*$C$14</f>
        <v>64238.667558685847</v>
      </c>
      <c r="AC15" s="235">
        <f>AA15*$C$14</f>
        <v>66487.020923239848</v>
      </c>
      <c r="AE15" s="235">
        <f>AC15*$C$14</f>
        <v>68814.066655553237</v>
      </c>
      <c r="AG15" s="235">
        <f>AE15*$C$14</f>
        <v>71222.558988497593</v>
      </c>
    </row>
    <row r="16" spans="1:34" s="225" customFormat="1" ht="14.25">
      <c r="A16" s="225" t="s">
        <v>345</v>
      </c>
      <c r="C16" s="249"/>
      <c r="E16" s="238">
        <f>Application!W849</f>
        <v>36000</v>
      </c>
      <c r="F16" s="238"/>
      <c r="G16" s="238">
        <f t="shared" ref="G16:AG21" si="0">E16*$C$14</f>
        <v>37260</v>
      </c>
      <c r="H16" s="238"/>
      <c r="I16" s="238">
        <f t="shared" si="0"/>
        <v>38564.1</v>
      </c>
      <c r="J16" s="238"/>
      <c r="K16" s="238">
        <f t="shared" si="0"/>
        <v>39913.843499999995</v>
      </c>
      <c r="L16" s="238"/>
      <c r="M16" s="238">
        <f t="shared" si="0"/>
        <v>41310.828022499991</v>
      </c>
      <c r="N16" s="238"/>
      <c r="O16" s="238">
        <f t="shared" si="0"/>
        <v>42756.707003287484</v>
      </c>
      <c r="P16" s="238"/>
      <c r="Q16" s="238">
        <f t="shared" si="0"/>
        <v>44253.19174840254</v>
      </c>
      <c r="R16" s="238"/>
      <c r="S16" s="238">
        <f t="shared" si="0"/>
        <v>45802.053459596624</v>
      </c>
      <c r="T16" s="238"/>
      <c r="U16" s="238">
        <f t="shared" si="0"/>
        <v>47405.125330682502</v>
      </c>
      <c r="V16" s="238"/>
      <c r="W16" s="238">
        <f t="shared" si="0"/>
        <v>49064.304717256389</v>
      </c>
      <c r="X16" s="238"/>
      <c r="Y16" s="238">
        <f t="shared" si="0"/>
        <v>50781.555382360362</v>
      </c>
      <c r="Z16" s="238"/>
      <c r="AA16" s="238">
        <f t="shared" si="0"/>
        <v>52558.909820742971</v>
      </c>
      <c r="AB16" s="238"/>
      <c r="AC16" s="238">
        <f t="shared" si="0"/>
        <v>54398.471664468969</v>
      </c>
      <c r="AD16" s="238"/>
      <c r="AE16" s="238">
        <f t="shared" si="0"/>
        <v>56302.418172725382</v>
      </c>
      <c r="AF16" s="238"/>
      <c r="AG16" s="238">
        <f t="shared" si="0"/>
        <v>58273.002808770769</v>
      </c>
    </row>
    <row r="17" spans="1:33" s="225" customFormat="1" ht="14.25">
      <c r="A17" s="225" t="s">
        <v>570</v>
      </c>
      <c r="C17" s="249"/>
      <c r="E17" s="238">
        <f>Application!W855</f>
        <v>67691</v>
      </c>
      <c r="F17" s="238"/>
      <c r="G17" s="238">
        <f t="shared" si="0"/>
        <v>70060.184999999998</v>
      </c>
      <c r="H17" s="238"/>
      <c r="I17" s="238">
        <f t="shared" si="0"/>
        <v>72512.291474999991</v>
      </c>
      <c r="J17" s="238"/>
      <c r="K17" s="238">
        <f t="shared" si="0"/>
        <v>75050.221676624991</v>
      </c>
      <c r="L17" s="238"/>
      <c r="M17" s="238">
        <f t="shared" si="0"/>
        <v>77676.979435306857</v>
      </c>
      <c r="N17" s="238"/>
      <c r="O17" s="238">
        <f t="shared" si="0"/>
        <v>80395.673715542594</v>
      </c>
      <c r="P17" s="238"/>
      <c r="Q17" s="238">
        <f t="shared" si="0"/>
        <v>83209.522295586576</v>
      </c>
      <c r="R17" s="238"/>
      <c r="S17" s="238">
        <f t="shared" si="0"/>
        <v>86121.855575932103</v>
      </c>
      <c r="T17" s="238"/>
      <c r="U17" s="238">
        <f t="shared" si="0"/>
        <v>89136.120521089717</v>
      </c>
      <c r="V17" s="238"/>
      <c r="W17" s="238">
        <f t="shared" si="0"/>
        <v>92255.884739327856</v>
      </c>
      <c r="X17" s="238"/>
      <c r="Y17" s="238">
        <f t="shared" si="0"/>
        <v>95484.840705204319</v>
      </c>
      <c r="Z17" s="238"/>
      <c r="AA17" s="238">
        <f t="shared" si="0"/>
        <v>98826.810129886464</v>
      </c>
      <c r="AB17" s="238"/>
      <c r="AC17" s="238">
        <f t="shared" si="0"/>
        <v>102285.74848443248</v>
      </c>
      <c r="AD17" s="238"/>
      <c r="AE17" s="238">
        <f t="shared" si="0"/>
        <v>105865.74968138761</v>
      </c>
      <c r="AF17" s="238"/>
      <c r="AG17" s="238">
        <f t="shared" si="0"/>
        <v>109571.05092023616</v>
      </c>
    </row>
    <row r="18" spans="1:33" s="225" customFormat="1" ht="14.25">
      <c r="A18" s="225" t="s">
        <v>854</v>
      </c>
      <c r="C18" s="249"/>
      <c r="E18" s="238">
        <f>Application!W862</f>
        <v>110000</v>
      </c>
      <c r="F18" s="238"/>
      <c r="G18" s="238">
        <f t="shared" si="0"/>
        <v>113849.99999999999</v>
      </c>
      <c r="H18" s="238"/>
      <c r="I18" s="238">
        <f t="shared" si="0"/>
        <v>117834.74999999997</v>
      </c>
      <c r="J18" s="238"/>
      <c r="K18" s="238">
        <f t="shared" si="0"/>
        <v>121958.96624999995</v>
      </c>
      <c r="L18" s="238"/>
      <c r="M18" s="238">
        <f t="shared" si="0"/>
        <v>126227.53006874994</v>
      </c>
      <c r="N18" s="238"/>
      <c r="O18" s="238">
        <f t="shared" si="0"/>
        <v>130645.49362115617</v>
      </c>
      <c r="P18" s="238"/>
      <c r="Q18" s="238">
        <f t="shared" si="0"/>
        <v>135218.08589789664</v>
      </c>
      <c r="R18" s="238"/>
      <c r="S18" s="238">
        <f t="shared" si="0"/>
        <v>139950.718904323</v>
      </c>
      <c r="T18" s="238"/>
      <c r="U18" s="238">
        <f t="shared" si="0"/>
        <v>144848.99406597429</v>
      </c>
      <c r="V18" s="238"/>
      <c r="W18" s="238">
        <f t="shared" si="0"/>
        <v>149918.70885828338</v>
      </c>
      <c r="X18" s="238"/>
      <c r="Y18" s="238">
        <f t="shared" si="0"/>
        <v>155165.86366832329</v>
      </c>
      <c r="Z18" s="238"/>
      <c r="AA18" s="238">
        <f t="shared" si="0"/>
        <v>160596.6688967146</v>
      </c>
      <c r="AB18" s="238"/>
      <c r="AC18" s="238">
        <f t="shared" si="0"/>
        <v>166217.55230809961</v>
      </c>
      <c r="AD18" s="238"/>
      <c r="AE18" s="238">
        <f t="shared" si="0"/>
        <v>172035.16663888309</v>
      </c>
      <c r="AF18" s="238"/>
      <c r="AG18" s="238">
        <f t="shared" si="0"/>
        <v>178056.39747124398</v>
      </c>
    </row>
    <row r="19" spans="1:33" s="225" customFormat="1" ht="14.25">
      <c r="A19" s="225" t="s">
        <v>155</v>
      </c>
      <c r="C19" s="249"/>
      <c r="E19" s="238">
        <f>Application!W863</f>
        <v>17000</v>
      </c>
      <c r="F19" s="238"/>
      <c r="G19" s="238">
        <f t="shared" si="0"/>
        <v>17595</v>
      </c>
      <c r="H19" s="238"/>
      <c r="I19" s="238">
        <f t="shared" si="0"/>
        <v>18210.824999999997</v>
      </c>
      <c r="J19" s="238"/>
      <c r="K19" s="238">
        <f t="shared" si="0"/>
        <v>18848.203874999996</v>
      </c>
      <c r="L19" s="238"/>
      <c r="M19" s="238">
        <f t="shared" si="0"/>
        <v>19507.891010624993</v>
      </c>
      <c r="N19" s="238"/>
      <c r="O19" s="238">
        <f t="shared" si="0"/>
        <v>20190.667195996866</v>
      </c>
      <c r="P19" s="238"/>
      <c r="Q19" s="238">
        <f t="shared" si="0"/>
        <v>20897.340547856755</v>
      </c>
      <c r="R19" s="238"/>
      <c r="S19" s="238">
        <f t="shared" si="0"/>
        <v>21628.747467031739</v>
      </c>
      <c r="T19" s="238"/>
      <c r="U19" s="238">
        <f t="shared" si="0"/>
        <v>22385.753628377846</v>
      </c>
      <c r="V19" s="238"/>
      <c r="W19" s="238">
        <f t="shared" si="0"/>
        <v>23169.255005371069</v>
      </c>
      <c r="X19" s="238"/>
      <c r="Y19" s="238">
        <f t="shared" si="0"/>
        <v>23980.178930559054</v>
      </c>
      <c r="Z19" s="238"/>
      <c r="AA19" s="238">
        <f t="shared" si="0"/>
        <v>24819.485193128618</v>
      </c>
      <c r="AB19" s="238"/>
      <c r="AC19" s="238">
        <f t="shared" si="0"/>
        <v>25688.167174888116</v>
      </c>
      <c r="AD19" s="238"/>
      <c r="AE19" s="238">
        <f t="shared" si="0"/>
        <v>26587.253026009199</v>
      </c>
      <c r="AF19" s="238"/>
      <c r="AG19" s="238">
        <f t="shared" si="0"/>
        <v>27517.806881919518</v>
      </c>
    </row>
    <row r="20" spans="1:33" s="225" customFormat="1" ht="14.25">
      <c r="A20" s="225" t="s">
        <v>391</v>
      </c>
      <c r="C20" s="249"/>
      <c r="E20" s="238">
        <f>Application!W872</f>
        <v>92900</v>
      </c>
      <c r="F20" s="238"/>
      <c r="G20" s="238">
        <f t="shared" si="0"/>
        <v>96151.499999999985</v>
      </c>
      <c r="H20" s="238"/>
      <c r="I20" s="238">
        <f t="shared" si="0"/>
        <v>99516.802499999976</v>
      </c>
      <c r="J20" s="238"/>
      <c r="K20" s="238">
        <f t="shared" si="0"/>
        <v>102999.89058749996</v>
      </c>
      <c r="L20" s="238"/>
      <c r="M20" s="238">
        <f t="shared" si="0"/>
        <v>106604.88675806245</v>
      </c>
      <c r="N20" s="238"/>
      <c r="O20" s="238">
        <f t="shared" si="0"/>
        <v>110336.05779459463</v>
      </c>
      <c r="P20" s="238"/>
      <c r="Q20" s="238">
        <f t="shared" si="0"/>
        <v>114197.81981740543</v>
      </c>
      <c r="R20" s="238"/>
      <c r="S20" s="238">
        <f t="shared" si="0"/>
        <v>118194.7435110146</v>
      </c>
      <c r="T20" s="238"/>
      <c r="U20" s="238">
        <f t="shared" si="0"/>
        <v>122331.5595339001</v>
      </c>
      <c r="V20" s="238"/>
      <c r="W20" s="238">
        <f t="shared" si="0"/>
        <v>126613.1641175866</v>
      </c>
      <c r="X20" s="238"/>
      <c r="Y20" s="238">
        <f t="shared" si="0"/>
        <v>131044.62486170212</v>
      </c>
      <c r="Z20" s="238"/>
      <c r="AA20" s="238">
        <f t="shared" si="0"/>
        <v>135631.18673186167</v>
      </c>
      <c r="AB20" s="238"/>
      <c r="AC20" s="238">
        <f t="shared" si="0"/>
        <v>140378.27826747682</v>
      </c>
      <c r="AD20" s="238"/>
      <c r="AE20" s="238">
        <f t="shared" si="0"/>
        <v>145291.51800683851</v>
      </c>
      <c r="AF20" s="238"/>
      <c r="AG20" s="238">
        <f t="shared" si="0"/>
        <v>150376.72113707784</v>
      </c>
    </row>
    <row r="21" spans="1:33" s="225" customFormat="1" ht="14.25">
      <c r="A21" s="242" t="s">
        <v>982</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4.5">
      <c r="A22" s="239" t="s">
        <v>855</v>
      </c>
      <c r="C22" s="249"/>
      <c r="E22" s="239">
        <f>SUM(E15:E21)</f>
        <v>367591</v>
      </c>
      <c r="G22" s="239">
        <f>SUM(G15:G21)</f>
        <v>380456.685</v>
      </c>
      <c r="I22" s="239">
        <f>SUM(I15:I21)</f>
        <v>393772.66897499998</v>
      </c>
      <c r="K22" s="239">
        <f>SUM(K15:K21)</f>
        <v>407554.71238912491</v>
      </c>
      <c r="M22" s="239">
        <f>SUM(M15:M21)</f>
        <v>421819.12732274423</v>
      </c>
      <c r="O22" s="239">
        <f>SUM(O15:O21)</f>
        <v>436582.79677904019</v>
      </c>
      <c r="Q22" s="239">
        <f>SUM(Q15:Q21)</f>
        <v>451863.1946663066</v>
      </c>
      <c r="S22" s="239">
        <f>SUM(S15:S21)</f>
        <v>467678.4064796273</v>
      </c>
      <c r="U22" s="239">
        <f>SUM(U15:U21)</f>
        <v>484047.15070641419</v>
      </c>
      <c r="W22" s="239">
        <f>SUM(W15:W21)</f>
        <v>500988.8009811386</v>
      </c>
      <c r="Y22" s="239">
        <f>SUM(Y15:Y21)</f>
        <v>518523.40901547845</v>
      </c>
      <c r="AA22" s="239">
        <f>SUM(AA15:AA21)</f>
        <v>536671.7283310201</v>
      </c>
      <c r="AC22" s="239">
        <f>SUM(AC15:AC21)</f>
        <v>555455.23882260593</v>
      </c>
      <c r="AE22" s="239">
        <f>SUM(AE15:AE21)</f>
        <v>574896.17218139698</v>
      </c>
      <c r="AG22" s="239">
        <f>SUM(AG15:AG21)</f>
        <v>595017.53820774588</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1872</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1265</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857</v>
      </c>
      <c r="C27" s="253">
        <v>1.0349999999999999</v>
      </c>
      <c r="E27" s="238">
        <f>Application!AC888</f>
        <v>75000</v>
      </c>
      <c r="F27" s="238"/>
      <c r="G27" s="238">
        <f>E27*$C$27</f>
        <v>77625</v>
      </c>
      <c r="H27" s="238"/>
      <c r="I27" s="238">
        <f>G27*$C$27</f>
        <v>80341.875</v>
      </c>
      <c r="J27" s="238"/>
      <c r="K27" s="238">
        <f>I27*$C$27</f>
        <v>83153.840624999997</v>
      </c>
      <c r="L27" s="238"/>
      <c r="M27" s="238">
        <f>K27*$C$27</f>
        <v>86064.225046874984</v>
      </c>
      <c r="N27" s="238"/>
      <c r="O27" s="238">
        <f>M27*$C$27</f>
        <v>89076.472923515597</v>
      </c>
      <c r="P27" s="238"/>
      <c r="Q27" s="238">
        <f>O27*$C$27</f>
        <v>92194.14947583864</v>
      </c>
      <c r="R27" s="238"/>
      <c r="S27" s="238">
        <f>Q27*$C$27</f>
        <v>95420.944707492978</v>
      </c>
      <c r="T27" s="238"/>
      <c r="U27" s="238">
        <f>S27*$C$27</f>
        <v>98760.677772255221</v>
      </c>
      <c r="V27" s="238"/>
      <c r="W27" s="238">
        <f>U27*$C$27</f>
        <v>102217.30149428414</v>
      </c>
      <c r="X27" s="238"/>
      <c r="Y27" s="238">
        <f>W27*$C$27</f>
        <v>105794.90704658408</v>
      </c>
      <c r="Z27" s="238"/>
      <c r="AA27" s="238">
        <f>Y27*$C$27</f>
        <v>109497.72879321451</v>
      </c>
      <c r="AB27" s="238"/>
      <c r="AC27" s="238">
        <f>AA27*$C$27</f>
        <v>113330.14930097701</v>
      </c>
      <c r="AD27" s="238"/>
      <c r="AE27" s="238">
        <f>AC27*$C$27</f>
        <v>117296.7045265112</v>
      </c>
      <c r="AF27" s="238"/>
      <c r="AG27" s="238">
        <f>AE27*$C$27</f>
        <v>121402.08918493908</v>
      </c>
    </row>
    <row r="28" spans="1:33" s="225" customFormat="1" ht="14.25">
      <c r="A28" s="225" t="s">
        <v>858</v>
      </c>
      <c r="C28" s="253"/>
      <c r="E28" s="238">
        <f>Application!AC889</f>
        <v>18750</v>
      </c>
      <c r="F28" s="238"/>
      <c r="G28" s="238">
        <f>$E$28</f>
        <v>18750</v>
      </c>
      <c r="H28" s="238"/>
      <c r="I28" s="238">
        <f>$E$28</f>
        <v>18750</v>
      </c>
      <c r="J28" s="238"/>
      <c r="K28" s="238">
        <f>$E$28</f>
        <v>18750</v>
      </c>
      <c r="L28" s="238"/>
      <c r="M28" s="238">
        <f>$E$28</f>
        <v>18750</v>
      </c>
      <c r="N28" s="238"/>
      <c r="O28" s="238">
        <f>$E$28</f>
        <v>18750</v>
      </c>
      <c r="P28" s="238"/>
      <c r="Q28" s="238">
        <f>$E$28</f>
        <v>18750</v>
      </c>
      <c r="R28" s="238"/>
      <c r="S28" s="238">
        <f>$E$28</f>
        <v>18750</v>
      </c>
      <c r="T28" s="238"/>
      <c r="U28" s="238">
        <f>$E$28</f>
        <v>18750</v>
      </c>
      <c r="V28" s="238"/>
      <c r="W28" s="238">
        <f>$E$28</f>
        <v>18750</v>
      </c>
      <c r="X28" s="238"/>
      <c r="Y28" s="238">
        <f>$E$28</f>
        <v>18750</v>
      </c>
      <c r="Z28" s="238"/>
      <c r="AA28" s="238">
        <f>$E$28</f>
        <v>18750</v>
      </c>
      <c r="AB28" s="238"/>
      <c r="AC28" s="238">
        <f>$E$28</f>
        <v>18750</v>
      </c>
      <c r="AD28" s="238"/>
      <c r="AE28" s="238">
        <f>$E$28</f>
        <v>18750</v>
      </c>
      <c r="AF28" s="238"/>
      <c r="AG28" s="238">
        <f>$E$28</f>
        <v>18750</v>
      </c>
    </row>
    <row r="29" spans="1:33" s="225" customFormat="1" ht="14.25">
      <c r="A29" s="225" t="s">
        <v>1870</v>
      </c>
      <c r="C29" s="253"/>
      <c r="E29" s="238">
        <f>Application!AC890</f>
        <v>14650</v>
      </c>
      <c r="F29" s="238"/>
      <c r="G29" s="238">
        <f>$E$29</f>
        <v>14650</v>
      </c>
      <c r="H29" s="238"/>
      <c r="I29" s="238">
        <f>$E$29</f>
        <v>14650</v>
      </c>
      <c r="J29" s="238"/>
      <c r="K29" s="238">
        <f>$E$29</f>
        <v>14650</v>
      </c>
      <c r="L29" s="238"/>
      <c r="M29" s="238">
        <f>$E$29</f>
        <v>14650</v>
      </c>
      <c r="N29" s="238"/>
      <c r="O29" s="238">
        <f>$E$29</f>
        <v>14650</v>
      </c>
      <c r="P29" s="238"/>
      <c r="Q29" s="238">
        <f>$E$29</f>
        <v>14650</v>
      </c>
      <c r="R29" s="238"/>
      <c r="S29" s="238">
        <f>$E$29</f>
        <v>14650</v>
      </c>
      <c r="T29" s="238"/>
      <c r="U29" s="238">
        <f>$E$29</f>
        <v>14650</v>
      </c>
      <c r="V29" s="238"/>
      <c r="W29" s="238">
        <f>$E$29</f>
        <v>14650</v>
      </c>
      <c r="X29" s="238"/>
      <c r="Y29" s="238">
        <f>$E$29</f>
        <v>14650</v>
      </c>
      <c r="Z29" s="238"/>
      <c r="AA29" s="238">
        <f>$E$29</f>
        <v>14650</v>
      </c>
      <c r="AB29" s="238"/>
      <c r="AC29" s="238">
        <f>$E$29</f>
        <v>14650</v>
      </c>
      <c r="AD29" s="238"/>
      <c r="AE29" s="238">
        <f>$E$29</f>
        <v>14650</v>
      </c>
      <c r="AF29" s="238"/>
      <c r="AG29" s="238">
        <f>$E$29</f>
        <v>14650</v>
      </c>
    </row>
    <row r="30" spans="1:33" s="225" customFormat="1" ht="14.25">
      <c r="A30" s="225" t="s">
        <v>856</v>
      </c>
      <c r="C30" s="253">
        <v>1.02</v>
      </c>
      <c r="E30" s="238">
        <f>Application!AC891</f>
        <v>9092</v>
      </c>
      <c r="F30" s="238"/>
      <c r="G30" s="238">
        <f>E30*$C$30</f>
        <v>9273.84</v>
      </c>
      <c r="H30" s="238"/>
      <c r="I30" s="238">
        <f>G30*$C$30</f>
        <v>9459.3168000000005</v>
      </c>
      <c r="J30" s="238"/>
      <c r="K30" s="238">
        <f>I30*$C$30</f>
        <v>9648.5031360000012</v>
      </c>
      <c r="L30" s="238"/>
      <c r="M30" s="238">
        <f>K30*$C$30</f>
        <v>9841.4731987200012</v>
      </c>
      <c r="N30" s="238"/>
      <c r="O30" s="238">
        <f>M30*$C$30</f>
        <v>10038.302662694401</v>
      </c>
      <c r="P30" s="238"/>
      <c r="Q30" s="238">
        <f>O30*$C$30</f>
        <v>10239.06871594829</v>
      </c>
      <c r="R30" s="238"/>
      <c r="S30" s="238">
        <f>Q30*$C$30</f>
        <v>10443.850090267255</v>
      </c>
      <c r="T30" s="238"/>
      <c r="U30" s="238">
        <f>S30*$C$30</f>
        <v>10652.7270920726</v>
      </c>
      <c r="V30" s="238"/>
      <c r="W30" s="238">
        <f>U30*$C$30</f>
        <v>10865.781633914054</v>
      </c>
      <c r="X30" s="238"/>
      <c r="Y30" s="238">
        <f>W30*$C$30</f>
        <v>11083.097266592335</v>
      </c>
      <c r="Z30" s="238"/>
      <c r="AA30" s="238">
        <f>Y30*$C$30</f>
        <v>11304.759211924182</v>
      </c>
      <c r="AB30" s="238"/>
      <c r="AC30" s="238">
        <f>AA30*$C$30</f>
        <v>11530.854396162666</v>
      </c>
      <c r="AD30" s="238"/>
      <c r="AE30" s="238">
        <f>AC30*$C$30</f>
        <v>11761.47148408592</v>
      </c>
      <c r="AF30" s="238"/>
      <c r="AG30" s="238">
        <f>AE30*$C$30</f>
        <v>11996.700913767638</v>
      </c>
    </row>
    <row r="31" spans="1:33" s="225" customFormat="1" ht="14.25">
      <c r="A31" s="225" t="s">
        <v>1871</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5">
      <c r="A35" s="239" t="s">
        <v>178</v>
      </c>
      <c r="C35" s="240"/>
      <c r="E35" s="239">
        <f>SUM(E22:E33)</f>
        <v>485083</v>
      </c>
      <c r="G35" s="239">
        <f>SUM(G22:G33)</f>
        <v>500755.52500000002</v>
      </c>
      <c r="I35" s="239">
        <f>SUM(I22:I33)</f>
        <v>516973.86077499995</v>
      </c>
      <c r="K35" s="239">
        <f>SUM(K22:K33)</f>
        <v>533757.05615012487</v>
      </c>
      <c r="M35" s="239">
        <f>SUM(M22:M33)</f>
        <v>551124.82556833921</v>
      </c>
      <c r="O35" s="239">
        <f>SUM(O22:O33)</f>
        <v>569097.57236525021</v>
      </c>
      <c r="Q35" s="239">
        <f>SUM(Q22:Q33)</f>
        <v>587696.41285809351</v>
      </c>
      <c r="S35" s="239">
        <f>SUM(S22:S33)</f>
        <v>606943.20127738756</v>
      </c>
      <c r="U35" s="239">
        <f>SUM(U22:U33)</f>
        <v>626860.555570742</v>
      </c>
      <c r="W35" s="239">
        <f>SUM(W22:W33)</f>
        <v>647471.88410933688</v>
      </c>
      <c r="Y35" s="239">
        <f>SUM(Y22:Y33)</f>
        <v>668801.41332865483</v>
      </c>
      <c r="AA35" s="239">
        <f>SUM(AA22:AA33)</f>
        <v>690874.2163361588</v>
      </c>
      <c r="AC35" s="239">
        <f>SUM(AC22:AC33)</f>
        <v>713716.2425197456</v>
      </c>
      <c r="AE35" s="239">
        <f>SUM(AE22:AE33)</f>
        <v>737354.34819199413</v>
      </c>
      <c r="AG35" s="239">
        <f>SUM(AG22:AG33)</f>
        <v>761816.3283064526</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5">
      <c r="A37" s="239" t="s">
        <v>859</v>
      </c>
      <c r="C37" s="240"/>
      <c r="E37" s="239">
        <f>E11-E35</f>
        <v>604928</v>
      </c>
      <c r="G37" s="239">
        <f>G11-G35</f>
        <v>616505.74999999965</v>
      </c>
      <c r="I37" s="239">
        <f>I11-I35</f>
        <v>628218.94609999983</v>
      </c>
      <c r="K37" s="239">
        <f>K11-K35</f>
        <v>640065.57089674985</v>
      </c>
      <c r="M37" s="239">
        <f>M11-M35</f>
        <v>652043.36715470708</v>
      </c>
      <c r="O37" s="239">
        <f>O11-O35</f>
        <v>664149.82517587184</v>
      </c>
      <c r="Q37" s="239">
        <f>Q11-Q35</f>
        <v>676382.16962155665</v>
      </c>
      <c r="S37" s="239">
        <f>S11-S35</f>
        <v>688737.34576425399</v>
      </c>
      <c r="U37" s="239">
        <f>U11-U35</f>
        <v>701212.00514694036</v>
      </c>
      <c r="W37" s="239">
        <f>W11-W35</f>
        <v>713802.49062628741</v>
      </c>
      <c r="Y37" s="239">
        <f>Y11-Y35</f>
        <v>726504.82077535987</v>
      </c>
      <c r="AA37" s="239">
        <f>AA11-AA35</f>
        <v>739314.67362045613</v>
      </c>
      <c r="AC37" s="239">
        <f>AC11-AC35</f>
        <v>752227.36968578445</v>
      </c>
      <c r="AE37" s="239">
        <f>AE11-AE35</f>
        <v>765237.8543186743</v>
      </c>
      <c r="AG37" s="239">
        <f>AG11-AG35</f>
        <v>778340.67926698248</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5">
      <c r="A39" s="234" t="s">
        <v>872</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Citibank</v>
      </c>
      <c r="B40" s="242"/>
      <c r="C40" s="236"/>
      <c r="E40" s="238">
        <f>Application!AF627</f>
        <v>508952</v>
      </c>
      <c r="F40" s="238"/>
      <c r="G40" s="238">
        <f>$E$40</f>
        <v>508952</v>
      </c>
      <c r="H40" s="238"/>
      <c r="I40" s="238">
        <f>$E$40</f>
        <v>508952</v>
      </c>
      <c r="J40" s="238"/>
      <c r="K40" s="238">
        <f>$E$40</f>
        <v>508952</v>
      </c>
      <c r="L40" s="238"/>
      <c r="M40" s="238">
        <f>$E$40</f>
        <v>508952</v>
      </c>
      <c r="N40" s="238"/>
      <c r="O40" s="238">
        <f>$E$40</f>
        <v>508952</v>
      </c>
      <c r="P40" s="238"/>
      <c r="Q40" s="238">
        <f>$E$40</f>
        <v>508952</v>
      </c>
      <c r="R40" s="238"/>
      <c r="S40" s="238">
        <f>$E$40</f>
        <v>508952</v>
      </c>
      <c r="T40" s="238"/>
      <c r="U40" s="238">
        <f>$E$40</f>
        <v>508952</v>
      </c>
      <c r="V40" s="238"/>
      <c r="W40" s="238">
        <f>$E$40</f>
        <v>508952</v>
      </c>
      <c r="X40" s="238"/>
      <c r="Y40" s="238">
        <f>$E$40</f>
        <v>508952</v>
      </c>
      <c r="Z40" s="238"/>
      <c r="AA40" s="238">
        <f>$E$40</f>
        <v>508952</v>
      </c>
      <c r="AB40" s="238"/>
      <c r="AC40" s="238">
        <f>$E$40</f>
        <v>508952</v>
      </c>
      <c r="AD40" s="238"/>
      <c r="AE40" s="238">
        <f>$E$40</f>
        <v>508952</v>
      </c>
      <c r="AF40" s="238"/>
      <c r="AG40" s="238">
        <f>$E$40</f>
        <v>508952</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4.5">
      <c r="A43" s="239" t="s">
        <v>860</v>
      </c>
      <c r="C43" s="240"/>
      <c r="E43" s="239">
        <f>SUM(E40:E42)</f>
        <v>508952</v>
      </c>
      <c r="G43" s="239">
        <f>SUM(G40:G42)</f>
        <v>508952</v>
      </c>
      <c r="I43" s="239">
        <f>SUM(I40:I42)</f>
        <v>508952</v>
      </c>
      <c r="K43" s="239">
        <f>SUM(K40:K42)</f>
        <v>508952</v>
      </c>
      <c r="M43" s="239">
        <f>SUM(M40:M42)</f>
        <v>508952</v>
      </c>
      <c r="O43" s="239">
        <f>SUM(O40:O42)</f>
        <v>508952</v>
      </c>
      <c r="Q43" s="239">
        <f>SUM(Q40:Q42)</f>
        <v>508952</v>
      </c>
      <c r="S43" s="239">
        <f>SUM(S40:S42)</f>
        <v>508952</v>
      </c>
      <c r="U43" s="239">
        <f>SUM(U40:U42)</f>
        <v>508952</v>
      </c>
      <c r="W43" s="239">
        <f>SUM(W40:W42)</f>
        <v>508952</v>
      </c>
      <c r="Y43" s="239">
        <f>SUM(Y40:Y42)</f>
        <v>508952</v>
      </c>
      <c r="AA43" s="239">
        <f>SUM(AA40:AA42)</f>
        <v>508952</v>
      </c>
      <c r="AC43" s="239">
        <f>SUM(AC40:AC42)</f>
        <v>508952</v>
      </c>
      <c r="AE43" s="239">
        <f>SUM(AE40:AE42)</f>
        <v>508952</v>
      </c>
      <c r="AG43" s="239">
        <f>SUM(AG40:AG42)</f>
        <v>508952</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5">
      <c r="A45" s="239" t="s">
        <v>861</v>
      </c>
      <c r="C45" s="240"/>
      <c r="E45" s="239">
        <f>E37-E43</f>
        <v>95976</v>
      </c>
      <c r="G45" s="239">
        <f>G37-G43</f>
        <v>107553.74999999965</v>
      </c>
      <c r="I45" s="239">
        <f>I37-I43</f>
        <v>119266.94609999983</v>
      </c>
      <c r="K45" s="239">
        <f>K37-K43</f>
        <v>131113.57089674985</v>
      </c>
      <c r="M45" s="239">
        <f>M37-M43</f>
        <v>143091.36715470708</v>
      </c>
      <c r="O45" s="239">
        <f>O37-O43</f>
        <v>155197.82517587184</v>
      </c>
      <c r="Q45" s="239">
        <f>Q37-Q43</f>
        <v>167430.16962155665</v>
      </c>
      <c r="S45" s="239">
        <f>S37-S43</f>
        <v>179785.34576425399</v>
      </c>
      <c r="U45" s="239">
        <f>U37-U43</f>
        <v>192260.00514694036</v>
      </c>
      <c r="W45" s="239">
        <f>W37-W43</f>
        <v>204850.49062628741</v>
      </c>
      <c r="Y45" s="239">
        <f>Y37-Y43</f>
        <v>217552.82077535987</v>
      </c>
      <c r="AA45" s="239">
        <f>AA37-AA43</f>
        <v>230362.67362045613</v>
      </c>
      <c r="AC45" s="239">
        <f>AC37-AC43</f>
        <v>243275.36968578445</v>
      </c>
      <c r="AE45" s="239">
        <f>AE37-AE43</f>
        <v>256285.8543186743</v>
      </c>
      <c r="AG45" s="239">
        <f>AG37-AG43</f>
        <v>269388.67926698248</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863</v>
      </c>
      <c r="C47" s="236"/>
      <c r="E47" s="243">
        <f>E45/(E4+E6+E8)</f>
        <v>8.364796318569262E-2</v>
      </c>
      <c r="G47" s="243">
        <f>G45/(G4+G6+G8)</f>
        <v>9.1452254531957794E-2</v>
      </c>
      <c r="I47" s="243">
        <f>I45/(I4+I6+I8)</f>
        <v>9.8938447844588287E-2</v>
      </c>
      <c r="K47" s="243">
        <f>K45/(K4+K6+K8)</f>
        <v>0.10611304423844468</v>
      </c>
      <c r="M47" s="243">
        <f>M45/(M4+M6+M8)</f>
        <v>0.11298237405139135</v>
      </c>
      <c r="O47" s="243">
        <f>O45/(O4+O6+O8)</f>
        <v>0.11955260089017294</v>
      </c>
      <c r="Q47" s="243">
        <f>Q45/(Q4+Q6+Q8)</f>
        <v>0.12582972557644723</v>
      </c>
      <c r="S47" s="243">
        <f>S45/(S4+S6+S8)</f>
        <v>0.13181958999539733</v>
      </c>
      <c r="U47" s="243">
        <f>U45/(U4+U6+U8)</f>
        <v>0.13752788084929038</v>
      </c>
      <c r="W47" s="243">
        <f>W45/(W4+W6+W8)</f>
        <v>0.14296013331828733</v>
      </c>
      <c r="Y47" s="243">
        <f>Y45/(Y4+Y6+Y8)</f>
        <v>0.14812173463075423</v>
      </c>
      <c r="AA47" s="243">
        <f>AA45/(AA4+AA6+AA8)</f>
        <v>0.1530179275452713</v>
      </c>
      <c r="AC47" s="243">
        <f>AC45/(AC4+AC6+AC8)</f>
        <v>0.15765381374648169</v>
      </c>
      <c r="AE47" s="243">
        <f>AE45/(AE4+AE6+AE8)</f>
        <v>0.16203435715686934</v>
      </c>
      <c r="AG47" s="243">
        <f>AG45/(AG4+AG6+AG8)</f>
        <v>0.16616438716650198</v>
      </c>
    </row>
    <row r="48" spans="1:33" s="243" customFormat="1" ht="14.25">
      <c r="A48" s="243" t="s">
        <v>864</v>
      </c>
      <c r="C48" s="236"/>
      <c r="E48" s="243">
        <f>E45/E43</f>
        <v>0.18857573995190116</v>
      </c>
      <c r="G48" s="243">
        <f>G45/G43</f>
        <v>0.21132395589367889</v>
      </c>
      <c r="I48" s="243">
        <f>I45/I43</f>
        <v>0.23433829928952007</v>
      </c>
      <c r="K48" s="243">
        <f>K45/K43</f>
        <v>0.25761480630147804</v>
      </c>
      <c r="M48" s="243">
        <f>M45/M43</f>
        <v>0.28114904186388323</v>
      </c>
      <c r="O48" s="243">
        <f>O45/O43</f>
        <v>0.30493607486731922</v>
      </c>
      <c r="Q48" s="243">
        <f>Q45/Q43</f>
        <v>0.32897045226574734</v>
      </c>
      <c r="S48" s="243">
        <f>S45/S43</f>
        <v>0.35324617206387632</v>
      </c>
      <c r="U48" s="243">
        <f>U45/U43</f>
        <v>0.3777566551402497</v>
      </c>
      <c r="W48" s="243">
        <f>W45/W43</f>
        <v>0.40249471585982061</v>
      </c>
      <c r="Y48" s="243">
        <f>Y45/Y43</f>
        <v>0.42745253142803225</v>
      </c>
      <c r="AA48" s="243">
        <f>AA45/AA43</f>
        <v>0.45262160993660727</v>
      </c>
      <c r="AC48" s="243">
        <f>AC45/AC43</f>
        <v>0.47799275704935723</v>
      </c>
      <c r="AE48" s="243">
        <f>AE45/AE43</f>
        <v>0.50355604127437226</v>
      </c>
      <c r="AG48" s="243">
        <f>AG45/AG43</f>
        <v>0.52930075776690622</v>
      </c>
    </row>
    <row r="49" spans="1:35" s="244" customFormat="1" ht="14.25">
      <c r="A49" s="244" t="s">
        <v>862</v>
      </c>
      <c r="C49" s="245"/>
      <c r="E49" s="244">
        <f>E37/E43</f>
        <v>1.1885757399519012</v>
      </c>
      <c r="G49" s="244">
        <f>G37/G43</f>
        <v>1.2113239558936788</v>
      </c>
      <c r="I49" s="244">
        <f>I37/I43</f>
        <v>1.23433829928952</v>
      </c>
      <c r="K49" s="244">
        <f>K37/K43</f>
        <v>1.257614806301478</v>
      </c>
      <c r="M49" s="244">
        <f>M37/M43</f>
        <v>1.2811490418638831</v>
      </c>
      <c r="O49" s="244">
        <f>O37/O43</f>
        <v>1.3049360748673191</v>
      </c>
      <c r="Q49" s="244">
        <f>Q37/Q43</f>
        <v>1.3289704522657473</v>
      </c>
      <c r="S49" s="244">
        <f>S37/S43</f>
        <v>1.3532461720638764</v>
      </c>
      <c r="U49" s="244">
        <f>U37/U43</f>
        <v>1.3777566551402496</v>
      </c>
      <c r="W49" s="244">
        <f>W37/W43</f>
        <v>1.4024947158598207</v>
      </c>
      <c r="Y49" s="244">
        <f>Y37/Y43</f>
        <v>1.4274525314280322</v>
      </c>
      <c r="AA49" s="244">
        <f>AA37/AA43</f>
        <v>1.4526216099366072</v>
      </c>
      <c r="AC49" s="244">
        <f>AC37/AC43</f>
        <v>1.4779927570493572</v>
      </c>
      <c r="AE49" s="244">
        <f>AE37/AE43</f>
        <v>1.5035560412743723</v>
      </c>
      <c r="AG49" s="244">
        <f>AG37/AG43</f>
        <v>1.5293007577669062</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874</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89" t="s">
        <v>2784</v>
      </c>
      <c r="B52" s="2689"/>
      <c r="C52" s="2689"/>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866</v>
      </c>
      <c r="C53" s="998"/>
      <c r="E53" s="999">
        <v>15000</v>
      </c>
      <c r="G53" s="1267">
        <v>15000</v>
      </c>
      <c r="I53" s="1267">
        <v>15000</v>
      </c>
      <c r="K53" s="1267">
        <v>15000</v>
      </c>
      <c r="M53" s="1267">
        <v>15000</v>
      </c>
      <c r="O53" s="1267">
        <v>15000</v>
      </c>
      <c r="Q53" s="1267">
        <v>15000</v>
      </c>
      <c r="S53" s="1267">
        <v>15000</v>
      </c>
      <c r="U53" s="1267">
        <v>15000</v>
      </c>
      <c r="W53" s="1267">
        <v>15000</v>
      </c>
      <c r="Y53" s="1267">
        <v>15000</v>
      </c>
      <c r="AA53" s="1267">
        <v>15000</v>
      </c>
      <c r="AC53" s="1267">
        <v>15000</v>
      </c>
      <c r="AE53" s="1267">
        <v>15000</v>
      </c>
      <c r="AG53" s="1267">
        <v>15000</v>
      </c>
    </row>
    <row r="54" spans="1:35" s="3" customFormat="1">
      <c r="A54" s="3" t="s">
        <v>867</v>
      </c>
      <c r="C54" s="993"/>
      <c r="E54" s="1000"/>
      <c r="F54" s="995"/>
      <c r="G54" s="995">
        <f t="shared" ref="G54:AG57" si="1">E54*$C$53</f>
        <v>0</v>
      </c>
      <c r="H54" s="995"/>
      <c r="I54" s="995">
        <f t="shared" si="1"/>
        <v>0</v>
      </c>
      <c r="J54" s="995"/>
      <c r="K54" s="995">
        <f t="shared" si="1"/>
        <v>0</v>
      </c>
      <c r="L54" s="995"/>
      <c r="M54" s="995">
        <f t="shared" si="1"/>
        <v>0</v>
      </c>
      <c r="N54" s="995"/>
      <c r="O54" s="995">
        <f t="shared" si="1"/>
        <v>0</v>
      </c>
      <c r="P54" s="995"/>
      <c r="Q54" s="995">
        <f t="shared" si="1"/>
        <v>0</v>
      </c>
      <c r="R54" s="995"/>
      <c r="S54" s="995">
        <f t="shared" si="1"/>
        <v>0</v>
      </c>
      <c r="T54" s="995"/>
      <c r="U54" s="995">
        <f t="shared" si="1"/>
        <v>0</v>
      </c>
      <c r="V54" s="995"/>
      <c r="W54" s="995">
        <f t="shared" si="1"/>
        <v>0</v>
      </c>
      <c r="X54" s="995"/>
      <c r="Y54" s="995">
        <f t="shared" si="1"/>
        <v>0</v>
      </c>
      <c r="Z54" s="995"/>
      <c r="AA54" s="995">
        <f t="shared" si="1"/>
        <v>0</v>
      </c>
      <c r="AB54" s="995"/>
      <c r="AC54" s="995">
        <f t="shared" si="1"/>
        <v>0</v>
      </c>
      <c r="AD54" s="995"/>
      <c r="AE54" s="995">
        <f t="shared" si="1"/>
        <v>0</v>
      </c>
      <c r="AF54" s="995"/>
      <c r="AG54" s="995">
        <f t="shared" si="1"/>
        <v>0</v>
      </c>
      <c r="AH54" s="995"/>
      <c r="AI54" s="995"/>
    </row>
    <row r="55" spans="1:35" s="3" customFormat="1">
      <c r="A55" s="3" t="s">
        <v>868</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865</v>
      </c>
      <c r="C58" s="996"/>
      <c r="E58" s="995">
        <f>SUM(E53:E57)</f>
        <v>15000</v>
      </c>
      <c r="F58" s="995"/>
      <c r="G58" s="995">
        <f>SUM(G53:G57)</f>
        <v>15000</v>
      </c>
      <c r="H58" s="995"/>
      <c r="I58" s="995">
        <f>SUM(I53:I57)</f>
        <v>15000</v>
      </c>
      <c r="J58" s="995"/>
      <c r="K58" s="995">
        <f>SUM(K53:K57)</f>
        <v>15000</v>
      </c>
      <c r="L58" s="995"/>
      <c r="M58" s="995">
        <f>SUM(M53:M57)</f>
        <v>15000</v>
      </c>
      <c r="N58" s="995"/>
      <c r="O58" s="995">
        <f>SUM(O53:O57)</f>
        <v>15000</v>
      </c>
      <c r="P58" s="995"/>
      <c r="Q58" s="995">
        <f>SUM(Q53:Q57)</f>
        <v>15000</v>
      </c>
      <c r="R58" s="995"/>
      <c r="S58" s="995">
        <f>SUM(S53:S57)</f>
        <v>15000</v>
      </c>
      <c r="T58" s="995"/>
      <c r="U58" s="995">
        <f>SUM(U53:U57)</f>
        <v>15000</v>
      </c>
      <c r="V58" s="995"/>
      <c r="W58" s="995">
        <f>SUM(W53:W57)</f>
        <v>15000</v>
      </c>
      <c r="X58" s="995"/>
      <c r="Y58" s="995">
        <f>SUM(Y53:Y57)</f>
        <v>15000</v>
      </c>
      <c r="Z58" s="995"/>
      <c r="AA58" s="995">
        <f>SUM(AA53:AA57)</f>
        <v>15000</v>
      </c>
      <c r="AB58" s="995"/>
      <c r="AC58" s="995">
        <f>SUM(AC53:AC57)</f>
        <v>15000</v>
      </c>
      <c r="AD58" s="995"/>
      <c r="AE58" s="995">
        <f>SUM(AE53:AE57)</f>
        <v>15000</v>
      </c>
      <c r="AF58" s="995"/>
      <c r="AG58" s="995">
        <f>SUM(AG53:AG57)</f>
        <v>15000</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870</v>
      </c>
      <c r="C60" s="1004"/>
      <c r="E60" s="997">
        <f>E45-E58</f>
        <v>80976</v>
      </c>
      <c r="G60" s="997">
        <f>G45-G58</f>
        <v>92553.749999999651</v>
      </c>
      <c r="I60" s="997">
        <f>I45-I58</f>
        <v>104266.94609999983</v>
      </c>
      <c r="K60" s="997">
        <f>K45-K58</f>
        <v>116113.57089674985</v>
      </c>
      <c r="M60" s="997">
        <f>M45-M58</f>
        <v>128091.36715470708</v>
      </c>
      <c r="O60" s="997">
        <f>O45-O58</f>
        <v>140197.82517587184</v>
      </c>
      <c r="Q60" s="997">
        <f>Q45-Q58</f>
        <v>152430.16962155665</v>
      </c>
      <c r="S60" s="997">
        <f>S45-S58</f>
        <v>164785.34576425399</v>
      </c>
      <c r="U60" s="997">
        <f>U45-U58</f>
        <v>177260.00514694036</v>
      </c>
      <c r="W60" s="997">
        <f>W45-W58</f>
        <v>189850.49062628741</v>
      </c>
      <c r="Y60" s="997">
        <f>Y45-Y58</f>
        <v>202552.82077535987</v>
      </c>
      <c r="AA60" s="997">
        <f>AA45-AA58</f>
        <v>215362.67362045613</v>
      </c>
      <c r="AC60" s="997">
        <f>AC45-AC58</f>
        <v>228275.36968578445</v>
      </c>
      <c r="AE60" s="997">
        <f>AE45-AE58</f>
        <v>241285.8543186743</v>
      </c>
      <c r="AG60" s="997">
        <f>AG45-AG58</f>
        <v>254388.67926698248</v>
      </c>
    </row>
    <row r="61" spans="1:35" s="3" customFormat="1" ht="13.5" customHeight="1">
      <c r="C61" s="1271">
        <f>Application!AO631</f>
        <v>1650022</v>
      </c>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869</v>
      </c>
      <c r="C62" s="1270">
        <v>1</v>
      </c>
      <c r="E62" s="999">
        <f>MIN(E60,$C61-SUM($D62:D62))</f>
        <v>80976</v>
      </c>
      <c r="G62" s="1268">
        <f>MIN(G60,$C61-SUM($D62:F62))</f>
        <v>92553.749999999651</v>
      </c>
      <c r="I62" s="1268">
        <f>MIN(I60,$C61-SUM($D62:H62))</f>
        <v>104266.94609999983</v>
      </c>
      <c r="K62" s="1268">
        <f>MIN(K60,$C61-SUM($D62:J62))</f>
        <v>116113.57089674985</v>
      </c>
      <c r="M62" s="1268">
        <f>MIN(M60,$C61-SUM($D62:L62))</f>
        <v>128091.36715470708</v>
      </c>
      <c r="O62" s="1268">
        <f>MIN(O60,$C61-SUM($D62:N62))</f>
        <v>140197.82517587184</v>
      </c>
      <c r="Q62" s="1268">
        <f>MIN(Q60,$C61-SUM($D62:P62))</f>
        <v>152430.16962155665</v>
      </c>
      <c r="S62" s="1268">
        <f>MIN(S60,$C61-SUM($D62:R62))</f>
        <v>164785.34576425399</v>
      </c>
      <c r="U62" s="1268">
        <f>MIN(U60,$C61-SUM($D62:T62))</f>
        <v>177260.00514694036</v>
      </c>
      <c r="W62" s="1268">
        <f>MIN(W60,$C61-SUM($D62:V62))</f>
        <v>189850.49062628741</v>
      </c>
      <c r="Y62" s="1268">
        <f>MIN(Y60,$C61-SUM($D62:X62))</f>
        <v>202552.82077535987</v>
      </c>
      <c r="AA62" s="1268">
        <f>MIN(AA60,$C61-SUM($D62:Z62))</f>
        <v>100943.70873827348</v>
      </c>
      <c r="AC62" s="1268">
        <f>MIN(AC60,$C61-SUM($D62:AB62))</f>
        <v>0</v>
      </c>
      <c r="AE62" s="1268">
        <f>MIN(AE60,$C61-SUM($D62:AD62))</f>
        <v>0</v>
      </c>
      <c r="AG62" s="1268">
        <f>MIN(AG60,$C61-SUM($D62:AF62))</f>
        <v>0</v>
      </c>
    </row>
    <row r="63" spans="1:35" s="997" customFormat="1">
      <c r="A63" s="2689" t="s">
        <v>2783</v>
      </c>
      <c r="B63" s="2689"/>
      <c r="C63" s="2689"/>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873</v>
      </c>
      <c r="C65" s="994">
        <v>0.5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1268" t="s">
        <v>2641</v>
      </c>
      <c r="B66" s="1268"/>
      <c r="C66" s="1269">
        <f>5830000/12180000</f>
        <v>0.47865353037766833</v>
      </c>
      <c r="D66" s="1267"/>
      <c r="E66" s="999">
        <f>$C$65*$C66*(E$60-E$62)</f>
        <v>0</v>
      </c>
      <c r="F66" s="1267"/>
      <c r="G66" s="1268">
        <f>$C$65*$C66*(G$60-G$62)</f>
        <v>0</v>
      </c>
      <c r="H66" s="1267"/>
      <c r="I66" s="1268">
        <f>$C$65*$C66*(I$60-I$62)</f>
        <v>0</v>
      </c>
      <c r="J66" s="1267"/>
      <c r="K66" s="1268">
        <f>$C$65*$C66*(K$60-K$62)</f>
        <v>0</v>
      </c>
      <c r="M66" s="1268">
        <f>$C$65*$C66*(M$60-M$62)</f>
        <v>0</v>
      </c>
      <c r="O66" s="1268">
        <f>$C$65*$C66*(O$60-O$62)</f>
        <v>0</v>
      </c>
      <c r="Q66" s="1268">
        <f>$C$65*$C66*(Q$60-Q$62)</f>
        <v>0</v>
      </c>
      <c r="S66" s="1268">
        <f>$C$65*$C66*(S$60-S$62)</f>
        <v>0</v>
      </c>
      <c r="U66" s="1268">
        <f>$C$65*$C66*(U$60-U$62)</f>
        <v>0</v>
      </c>
      <c r="W66" s="1268">
        <f>$C$65*$C66*(W$60-W$62)</f>
        <v>0</v>
      </c>
      <c r="Y66" s="1268">
        <f>$C$65*$C66*(Y$60-Y$62)</f>
        <v>0</v>
      </c>
      <c r="AA66" s="1268">
        <f>$C$65*$C66*(AA$60-AA$62)</f>
        <v>27383.520741507593</v>
      </c>
      <c r="AC66" s="1268">
        <f>$C$65*$C66*(AC$60-AC$62)</f>
        <v>54632.405799184045</v>
      </c>
      <c r="AE66" s="1268">
        <f>$C$65*$C66*(AE$60-AE$62)</f>
        <v>57746.162999912616</v>
      </c>
      <c r="AG66" s="1268">
        <f>$C$65*$C66*(AG$60-AG$62)</f>
        <v>60882.019709626766</v>
      </c>
    </row>
    <row r="67" spans="1:35" s="995" customFormat="1">
      <c r="A67" s="1266" t="s">
        <v>2785</v>
      </c>
      <c r="B67" s="1266"/>
      <c r="C67" s="1269">
        <f>5350000/12180000</f>
        <v>0.43924466338259444</v>
      </c>
      <c r="D67" s="230"/>
      <c r="E67" s="1268">
        <f>$C$65*$C67*(E$60-E$62)</f>
        <v>0</v>
      </c>
      <c r="F67" s="230"/>
      <c r="G67" s="1268">
        <f>$C$65*$C67*(G$60-G$62)</f>
        <v>0</v>
      </c>
      <c r="H67" s="230"/>
      <c r="I67" s="1268">
        <f>$C$65*$C67*(I$60-I$62)</f>
        <v>0</v>
      </c>
      <c r="J67" s="230"/>
      <c r="K67" s="1268">
        <f>$C$65*$C67*(K$60-K$62)</f>
        <v>0</v>
      </c>
      <c r="M67" s="1268">
        <f>$C$65*$C67*(M$60-M$62)</f>
        <v>0</v>
      </c>
      <c r="O67" s="1268">
        <f>$C$65*$C67*(O$60-O$62)</f>
        <v>0</v>
      </c>
      <c r="Q67" s="1268">
        <f>$C$65*$C67*(Q$60-Q$62)</f>
        <v>0</v>
      </c>
      <c r="S67" s="1268">
        <f>$C$65*$C67*(S$60-S$62)</f>
        <v>0</v>
      </c>
      <c r="U67" s="1268">
        <f>$C$65*$C67*(U$60-U$62)</f>
        <v>0</v>
      </c>
      <c r="W67" s="1268">
        <f>$C$65*$C67*(W$60-W$62)</f>
        <v>0</v>
      </c>
      <c r="Y67" s="1268">
        <f>$C$65*$C67*(Y$60-Y$62)</f>
        <v>0</v>
      </c>
      <c r="AA67" s="1268">
        <f>$C$65*$C67*(AA$60-AA$62)</f>
        <v>25128.959857129608</v>
      </c>
      <c r="AC67" s="1268">
        <f>$C$65*$C67*(AC$60-AC$62)</f>
        <v>50134.368958084844</v>
      </c>
      <c r="AE67" s="1268">
        <f>$C$65*$C67*(AE$60-AE$62)</f>
        <v>52991.761929593908</v>
      </c>
      <c r="AG67" s="1268">
        <f>$C$65*$C67*(AG$60-AG$62)</f>
        <v>55869.43489648425</v>
      </c>
    </row>
    <row r="68" spans="1:35" s="995" customFormat="1">
      <c r="A68" s="1266" t="s">
        <v>2789</v>
      </c>
      <c r="B68" s="1266"/>
      <c r="C68" s="1269">
        <f>1000000/12180000</f>
        <v>8.2101806239737271E-2</v>
      </c>
      <c r="D68" s="230"/>
      <c r="E68" s="1268">
        <f>$C$65*$C68*(E$60-E$62)</f>
        <v>0</v>
      </c>
      <c r="F68" s="230"/>
      <c r="G68" s="1268">
        <f>$C$65*$C68*(G$60-G$62)</f>
        <v>0</v>
      </c>
      <c r="H68" s="230"/>
      <c r="I68" s="1268">
        <f>$C$65*$C68*(I$60-I$62)</f>
        <v>0</v>
      </c>
      <c r="J68" s="230"/>
      <c r="K68" s="1268">
        <f>$C$65*$C68*(K$60-K$62)</f>
        <v>0</v>
      </c>
      <c r="M68" s="1268">
        <f>$C$65*$C68*(M$60-M$62)</f>
        <v>0</v>
      </c>
      <c r="O68" s="1268">
        <f>$C$65*$C68*(O$60-O$62)</f>
        <v>0</v>
      </c>
      <c r="Q68" s="1268">
        <f>$C$65*$C68*(Q$60-Q$62)</f>
        <v>0</v>
      </c>
      <c r="S68" s="1268">
        <f>$C$65*$C68*(S$60-S$62)</f>
        <v>0</v>
      </c>
      <c r="U68" s="1268">
        <f>$C$65*$C68*(U$60-U$62)</f>
        <v>0</v>
      </c>
      <c r="W68" s="1268">
        <f>$C$65*$C68*(W$60-W$62)</f>
        <v>0</v>
      </c>
      <c r="Y68" s="1268">
        <f>$C$65*$C68*(Y$60-Y$62)</f>
        <v>0</v>
      </c>
      <c r="AA68" s="1268">
        <f>$C$65*$C68*(AA$60-AA$62)</f>
        <v>4697.0018424541322</v>
      </c>
      <c r="AC68" s="1268">
        <f>$C$65*$C68*(AC$60-AC$62)</f>
        <v>9370.9100856233345</v>
      </c>
      <c r="AE68" s="1268">
        <f>$C$65*$C68*(AE$60-AE$62)</f>
        <v>9905.0022298306358</v>
      </c>
      <c r="AG68" s="1268">
        <f>$C$65*$C68*(AG$60-AG$62)</f>
        <v>10442.885027380233</v>
      </c>
    </row>
    <row r="69" spans="1:35" s="995" customFormat="1">
      <c r="A69" s="1000"/>
      <c r="B69" s="1000"/>
      <c r="C69" s="1005"/>
      <c r="E69" s="1002"/>
      <c r="G69" s="1003">
        <f t="shared" ref="G69:AG69" si="2">E69*$C$66</f>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865</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57209.482441091335</v>
      </c>
      <c r="AC70" s="995">
        <f>SUM(AC66:AC69)</f>
        <v>114137.68484289222</v>
      </c>
      <c r="AE70" s="995">
        <f>SUM(AE66:AE69)</f>
        <v>120642.92715933715</v>
      </c>
      <c r="AG70" s="995">
        <f>SUM(AG66:AG69)</f>
        <v>127194.33963349125</v>
      </c>
    </row>
    <row r="71" spans="1:35" s="995" customFormat="1">
      <c r="A71" s="997"/>
      <c r="C71" s="1005"/>
    </row>
    <row r="72" spans="1:35" s="995" customFormat="1">
      <c r="A72" s="997" t="s">
        <v>1914</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57209.482441091321</v>
      </c>
      <c r="AC72" s="997">
        <f>AC60-AC62-AC70</f>
        <v>114137.68484289222</v>
      </c>
      <c r="AE72" s="997">
        <f>AE60-AE62-AE70</f>
        <v>120642.92715933715</v>
      </c>
      <c r="AG72" s="997">
        <f>AG60-AG62-AG70</f>
        <v>127194.33963349122</v>
      </c>
    </row>
    <row r="73" spans="1:35" s="995" customFormat="1">
      <c r="A73" s="563"/>
      <c r="C73" s="1005"/>
    </row>
    <row r="74" spans="1:35" s="233" customFormat="1">
      <c r="A74" s="563"/>
      <c r="C74" s="192"/>
    </row>
    <row r="75" spans="1:35" s="233" customFormat="1">
      <c r="A75" s="995" t="s">
        <v>1913</v>
      </c>
      <c r="C75" s="192"/>
    </row>
    <row r="76" spans="1:35" s="233" customFormat="1">
      <c r="C76" s="192"/>
    </row>
    <row r="77" spans="1:35" s="250" customFormat="1" ht="30" customHeight="1">
      <c r="A77" s="2687" t="s">
        <v>1912</v>
      </c>
      <c r="B77" s="2688"/>
      <c r="C77" s="2688"/>
      <c r="D77" s="2688"/>
      <c r="E77" s="2688"/>
      <c r="F77" s="2688"/>
      <c r="G77" s="2688"/>
      <c r="H77" s="2688"/>
      <c r="I77" s="2688"/>
      <c r="J77" s="2688"/>
      <c r="K77" s="2688"/>
      <c r="L77" s="2688"/>
      <c r="M77" s="2688"/>
      <c r="N77" s="2688"/>
      <c r="O77" s="2688"/>
      <c r="P77" s="2688"/>
      <c r="Q77" s="2688"/>
      <c r="R77" s="2688"/>
      <c r="S77" s="2688"/>
      <c r="T77" s="2688"/>
      <c r="U77" s="2688"/>
      <c r="V77" s="2688"/>
      <c r="W77" s="2688"/>
      <c r="X77" s="2688"/>
      <c r="Y77" s="2688"/>
      <c r="Z77" s="2688"/>
      <c r="AA77" s="2688"/>
      <c r="AB77" s="2688"/>
      <c r="AC77" s="2688"/>
      <c r="AD77" s="2688"/>
      <c r="AE77" s="2688"/>
      <c r="AF77" s="2688"/>
      <c r="AG77" s="2688"/>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3" zeroHeight="1"/>
  <cols>
    <col min="1" max="1" width="161.7265625" customWidth="1"/>
    <col min="2" max="16384" width="8.86328125" hidden="1"/>
  </cols>
  <sheetData>
    <row r="1" spans="1:1" ht="47.25">
      <c r="A1" s="337" t="s">
        <v>991</v>
      </c>
    </row>
    <row r="2" spans="1:1" ht="15.75">
      <c r="A2" s="338"/>
    </row>
    <row r="3" spans="1:1" ht="15.75">
      <c r="A3" s="339" t="s">
        <v>986</v>
      </c>
    </row>
    <row r="4" spans="1:1" ht="15.75">
      <c r="A4" s="339" t="s">
        <v>987</v>
      </c>
    </row>
    <row r="5" spans="1:1" ht="15.75">
      <c r="A5" s="339" t="s">
        <v>988</v>
      </c>
    </row>
    <row r="6" spans="1:1" ht="15.75">
      <c r="A6" s="339" t="s">
        <v>990</v>
      </c>
    </row>
    <row r="7" spans="1:1" ht="15.75">
      <c r="A7" s="339" t="s">
        <v>989</v>
      </c>
    </row>
    <row r="8" spans="1:1" ht="15.75">
      <c r="A8" s="374" t="s">
        <v>1049</v>
      </c>
    </row>
    <row r="9" spans="1:1" ht="15.75">
      <c r="A9" s="339" t="s">
        <v>1050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328125" defaultRowHeight="13" zeroHeight="1"/>
  <cols>
    <col min="1" max="1" width="35.7265625" style="218" customWidth="1"/>
    <col min="2" max="4" width="14.7265625" style="218" customWidth="1"/>
    <col min="5" max="5" width="50.7265625" style="218" customWidth="1"/>
    <col min="6" max="253" width="9.1328125" style="218" customWidth="1"/>
    <col min="254" max="16384" width="9.1328125" style="218"/>
  </cols>
  <sheetData>
    <row r="1" spans="1:7" s="296" customFormat="1" ht="18" customHeight="1">
      <c r="A1" s="547" t="s">
        <v>1324</v>
      </c>
      <c r="D1" s="301"/>
    </row>
    <row r="2" spans="1:7" s="296" customFormat="1" ht="13.25">
      <c r="A2" s="279" t="s">
        <v>904</v>
      </c>
      <c r="B2" s="281"/>
      <c r="C2" s="281"/>
      <c r="D2" s="278"/>
      <c r="E2" s="282"/>
      <c r="F2" s="281"/>
    </row>
    <row r="3" spans="1:7" s="379" customFormat="1" ht="80.25" customHeight="1">
      <c r="A3" s="298"/>
      <c r="B3" s="283" t="s">
        <v>905</v>
      </c>
      <c r="C3" s="283" t="s">
        <v>906</v>
      </c>
      <c r="D3" s="283" t="s">
        <v>907</v>
      </c>
      <c r="E3" s="280" t="s">
        <v>908</v>
      </c>
      <c r="F3" s="280"/>
      <c r="G3" s="382"/>
    </row>
    <row r="4" spans="1:7" s="380" customFormat="1">
      <c r="A4" s="284" t="s">
        <v>26</v>
      </c>
      <c r="B4" s="284"/>
      <c r="C4" s="284"/>
      <c r="D4" s="284"/>
      <c r="E4" s="303"/>
      <c r="F4" s="284"/>
      <c r="G4" s="383"/>
    </row>
    <row r="5" spans="1:7" s="380" customFormat="1">
      <c r="A5" s="395" t="s">
        <v>27</v>
      </c>
      <c r="B5" s="286">
        <f>'Sources and Uses Budget'!$C4</f>
        <v>1830000</v>
      </c>
      <c r="C5" s="286">
        <f>'Sources and Uses Budget'!$C4</f>
        <v>1830000</v>
      </c>
      <c r="D5" s="290">
        <f>C5-B5</f>
        <v>0</v>
      </c>
      <c r="E5" s="288"/>
      <c r="F5" s="287"/>
      <c r="G5" s="383"/>
    </row>
    <row r="6" spans="1:7" s="380" customFormat="1">
      <c r="A6" s="395" t="s">
        <v>28</v>
      </c>
      <c r="B6" s="286">
        <f>'Sources and Uses Budget'!$C5</f>
        <v>529919</v>
      </c>
      <c r="C6" s="286">
        <f>'Sources and Uses Budget'!$C5</f>
        <v>529919</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602</v>
      </c>
      <c r="B9" s="290">
        <f>SUM(B5:B8)</f>
        <v>2359919</v>
      </c>
      <c r="C9" s="290">
        <f>SUM(C5:C8)</f>
        <v>2359919</v>
      </c>
      <c r="D9" s="290">
        <f t="shared" si="0"/>
        <v>0</v>
      </c>
      <c r="E9" s="288"/>
      <c r="F9" s="287"/>
      <c r="G9" s="383"/>
    </row>
    <row r="10" spans="1:7" s="380" customFormat="1">
      <c r="A10" s="395" t="s">
        <v>603</v>
      </c>
      <c r="B10" s="286">
        <f>'Sources and Uses Budget'!$C9</f>
        <v>0</v>
      </c>
      <c r="C10" s="286">
        <f>'Sources and Uses Budget'!$C9</f>
        <v>0</v>
      </c>
      <c r="D10" s="290">
        <f t="shared" si="0"/>
        <v>0</v>
      </c>
      <c r="E10" s="288"/>
      <c r="F10" s="287"/>
      <c r="G10" s="383"/>
    </row>
    <row r="11" spans="1:7" s="380" customFormat="1">
      <c r="A11" s="395" t="s">
        <v>604</v>
      </c>
      <c r="B11" s="286">
        <f>'Sources and Uses Budget'!$C10</f>
        <v>0</v>
      </c>
      <c r="C11" s="286">
        <f>'Sources and Uses Budget'!$C10</f>
        <v>0</v>
      </c>
      <c r="D11" s="290">
        <f t="shared" si="0"/>
        <v>0</v>
      </c>
      <c r="E11" s="288"/>
      <c r="F11" s="287"/>
      <c r="G11" s="383"/>
    </row>
    <row r="12" spans="1:7" s="380" customFormat="1">
      <c r="A12" s="396" t="s">
        <v>605</v>
      </c>
      <c r="B12" s="290">
        <f>SUM(B10:B11)</f>
        <v>0</v>
      </c>
      <c r="C12" s="290">
        <f>SUM(C10:C11)</f>
        <v>0</v>
      </c>
      <c r="D12" s="290">
        <f t="shared" si="0"/>
        <v>0</v>
      </c>
      <c r="E12" s="288"/>
      <c r="F12" s="287"/>
      <c r="G12" s="383"/>
    </row>
    <row r="13" spans="1:7" s="380" customFormat="1">
      <c r="A13" s="396" t="s">
        <v>84</v>
      </c>
      <c r="B13" s="290">
        <f>SUM(B9+B12)</f>
        <v>2359919</v>
      </c>
      <c r="C13" s="290">
        <f>SUM(C9+C12)</f>
        <v>2359919</v>
      </c>
      <c r="D13" s="290">
        <f t="shared" si="0"/>
        <v>0</v>
      </c>
      <c r="E13" s="288"/>
      <c r="F13" s="287"/>
      <c r="G13" s="383"/>
    </row>
    <row r="14" spans="1:7" s="380" customFormat="1">
      <c r="A14" s="397" t="s">
        <v>918</v>
      </c>
      <c r="B14" s="286">
        <f>'Sources and Uses Budget'!$C13</f>
        <v>175241</v>
      </c>
      <c r="C14" s="286">
        <f>'Sources and Uses Budget'!$C13</f>
        <v>175241</v>
      </c>
      <c r="D14" s="290">
        <f t="shared" si="0"/>
        <v>0</v>
      </c>
      <c r="E14" s="288"/>
      <c r="F14" s="287"/>
      <c r="G14" s="383"/>
    </row>
    <row r="15" spans="1:7" s="380" customFormat="1" ht="23.5">
      <c r="A15" s="395" t="s">
        <v>919</v>
      </c>
      <c r="B15" s="286">
        <f>'Sources and Uses Budget'!$C14</f>
        <v>0</v>
      </c>
      <c r="C15" s="286">
        <f>'Sources and Uses Budget'!$C14</f>
        <v>0</v>
      </c>
      <c r="D15" s="290">
        <f t="shared" si="0"/>
        <v>0</v>
      </c>
      <c r="E15" s="288"/>
      <c r="F15" s="287"/>
      <c r="G15" s="383"/>
    </row>
    <row r="16" spans="1:7" s="380" customFormat="1">
      <c r="A16" s="395" t="s">
        <v>1267</v>
      </c>
      <c r="B16" s="286">
        <f>'Sources and Uses Budget'!$C15</f>
        <v>0</v>
      </c>
      <c r="C16" s="286">
        <f>'Sources and Uses Budget'!$C15</f>
        <v>0</v>
      </c>
      <c r="D16" s="290">
        <f t="shared" si="0"/>
        <v>0</v>
      </c>
      <c r="E16" s="288"/>
      <c r="F16" s="287"/>
      <c r="G16" s="383"/>
    </row>
    <row r="17" spans="1:7" s="380" customFormat="1">
      <c r="A17" s="284" t="s">
        <v>606</v>
      </c>
      <c r="B17" s="284"/>
      <c r="C17" s="284"/>
      <c r="D17" s="284"/>
      <c r="E17" s="303"/>
      <c r="F17" s="284"/>
      <c r="G17" s="383"/>
    </row>
    <row r="18" spans="1:7" s="380" customFormat="1">
      <c r="A18" s="145" t="s">
        <v>607</v>
      </c>
      <c r="B18" s="286">
        <f>'Sources and Uses Budget'!$C17</f>
        <v>0</v>
      </c>
      <c r="C18" s="286">
        <f>'Sources and Uses Budget'!$C17</f>
        <v>0</v>
      </c>
      <c r="D18" s="290">
        <f t="shared" si="0"/>
        <v>0</v>
      </c>
      <c r="E18" s="288"/>
      <c r="F18" s="287"/>
      <c r="G18" s="383"/>
    </row>
    <row r="19" spans="1:7" s="380" customFormat="1">
      <c r="A19" s="145" t="s">
        <v>608</v>
      </c>
      <c r="B19" s="286">
        <f>'Sources and Uses Budget'!$C18</f>
        <v>0</v>
      </c>
      <c r="C19" s="286">
        <f>'Sources and Uses Budget'!$C18</f>
        <v>0</v>
      </c>
      <c r="D19" s="290">
        <f t="shared" si="0"/>
        <v>0</v>
      </c>
      <c r="E19" s="288"/>
      <c r="F19" s="287"/>
      <c r="G19" s="383"/>
    </row>
    <row r="20" spans="1:7" s="380" customFormat="1">
      <c r="A20" s="145" t="s">
        <v>609</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1754</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607</v>
      </c>
      <c r="B30" s="286">
        <f>'Sources and Uses Budget'!$C29</f>
        <v>1310338</v>
      </c>
      <c r="C30" s="286">
        <f>'Sources and Uses Budget'!$C29</f>
        <v>1310338</v>
      </c>
      <c r="D30" s="290">
        <f t="shared" si="0"/>
        <v>0</v>
      </c>
      <c r="E30" s="288"/>
      <c r="F30" s="287"/>
      <c r="G30" s="383"/>
    </row>
    <row r="31" spans="1:7" s="380" customFormat="1">
      <c r="A31" s="145" t="s">
        <v>608</v>
      </c>
      <c r="B31" s="286">
        <f>'Sources and Uses Budget'!$C30</f>
        <v>21279898</v>
      </c>
      <c r="C31" s="286">
        <f>'Sources and Uses Budget'!$C30</f>
        <v>21279898</v>
      </c>
      <c r="D31" s="290">
        <f t="shared" si="0"/>
        <v>0</v>
      </c>
      <c r="E31" s="288"/>
      <c r="F31" s="287"/>
      <c r="G31" s="383"/>
    </row>
    <row r="32" spans="1:7" s="380" customFormat="1">
      <c r="A32" s="145" t="s">
        <v>609</v>
      </c>
      <c r="B32" s="286">
        <f>'Sources and Uses Budget'!$C31</f>
        <v>1685419</v>
      </c>
      <c r="C32" s="286">
        <f>'Sources and Uses Budget'!$C31</f>
        <v>1685419</v>
      </c>
      <c r="D32" s="290">
        <f t="shared" si="0"/>
        <v>0</v>
      </c>
      <c r="E32" s="288"/>
      <c r="F32" s="287"/>
      <c r="G32" s="383"/>
    </row>
    <row r="33" spans="1:7" s="380" customFormat="1">
      <c r="A33" s="145" t="s">
        <v>137</v>
      </c>
      <c r="B33" s="286">
        <f>'Sources and Uses Budget'!$C32</f>
        <v>510786.5</v>
      </c>
      <c r="C33" s="286">
        <f>'Sources and Uses Budget'!$C32</f>
        <v>510786.5</v>
      </c>
      <c r="D33" s="290">
        <f t="shared" si="0"/>
        <v>0</v>
      </c>
      <c r="E33" s="288"/>
      <c r="F33" s="287"/>
      <c r="G33" s="383"/>
    </row>
    <row r="34" spans="1:7" s="380" customFormat="1">
      <c r="A34" s="145" t="s">
        <v>138</v>
      </c>
      <c r="B34" s="286">
        <f>'Sources and Uses Budget'!$C33</f>
        <v>510786.5</v>
      </c>
      <c r="C34" s="286">
        <f>'Sources and Uses Budget'!$C33</f>
        <v>510786.5</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118175</v>
      </c>
      <c r="C36" s="286">
        <f>'Sources and Uses Budget'!$C35</f>
        <v>118175</v>
      </c>
      <c r="D36" s="290">
        <f t="shared" si="0"/>
        <v>0</v>
      </c>
      <c r="E36" s="288"/>
      <c r="F36" s="287"/>
      <c r="G36" s="383"/>
    </row>
    <row r="37" spans="1:7" s="380" customFormat="1">
      <c r="A37" s="304" t="s">
        <v>1754</v>
      </c>
      <c r="B37" s="286">
        <f>'Sources and Uses Budget'!$C36</f>
        <v>0</v>
      </c>
      <c r="C37" s="286">
        <f>'Sources and Uses Budget'!$C36</f>
        <v>0</v>
      </c>
      <c r="D37" s="290"/>
      <c r="E37" s="288"/>
      <c r="F37" s="287"/>
      <c r="G37" s="383"/>
    </row>
    <row r="38" spans="1:7" s="380" customFormat="1">
      <c r="A38" s="155">
        <f>'Sources and Uses Budget'!A37</f>
        <v>0</v>
      </c>
      <c r="B38" s="286">
        <f>'Sources and Uses Budget'!$C37</f>
        <v>0</v>
      </c>
      <c r="C38" s="286">
        <f>'Sources and Uses Budget'!$C37</f>
        <v>0</v>
      </c>
      <c r="D38" s="290">
        <f t="shared" si="0"/>
        <v>0</v>
      </c>
      <c r="E38" s="288"/>
      <c r="F38" s="287"/>
      <c r="G38" s="383"/>
    </row>
    <row r="39" spans="1:7" s="380" customFormat="1">
      <c r="A39" s="291" t="s">
        <v>143</v>
      </c>
      <c r="B39" s="290">
        <f>SUM(B30:B38)</f>
        <v>25415403</v>
      </c>
      <c r="C39" s="290">
        <f>SUM(C30:C38)</f>
        <v>25415403</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560000</v>
      </c>
      <c r="C41" s="286">
        <f>'Sources and Uses Budget'!$C40</f>
        <v>560000</v>
      </c>
      <c r="D41" s="290">
        <f t="shared" si="0"/>
        <v>0</v>
      </c>
      <c r="E41" s="288"/>
      <c r="F41" s="287"/>
      <c r="G41" s="383"/>
    </row>
    <row r="42" spans="1:7" s="380" customFormat="1">
      <c r="A42" s="289" t="s">
        <v>146</v>
      </c>
      <c r="B42" s="286">
        <f>'Sources and Uses Budget'!$C41</f>
        <v>336000</v>
      </c>
      <c r="C42" s="286">
        <f>'Sources and Uses Budget'!$C41</f>
        <v>336000</v>
      </c>
      <c r="D42" s="290">
        <f t="shared" si="0"/>
        <v>0</v>
      </c>
      <c r="E42" s="288"/>
      <c r="F42" s="287"/>
      <c r="G42" s="383"/>
    </row>
    <row r="43" spans="1:7" s="380" customFormat="1">
      <c r="A43" s="291" t="s">
        <v>147</v>
      </c>
      <c r="B43" s="290">
        <f>SUM(B41:B42)</f>
        <v>896000</v>
      </c>
      <c r="C43" s="290">
        <f>SUM(C41:C42)</f>
        <v>896000</v>
      </c>
      <c r="D43" s="290">
        <f t="shared" si="0"/>
        <v>0</v>
      </c>
      <c r="E43" s="288"/>
      <c r="F43" s="287"/>
      <c r="G43" s="383"/>
    </row>
    <row r="44" spans="1:7" s="380" customFormat="1">
      <c r="A44" s="291" t="s">
        <v>148</v>
      </c>
      <c r="B44" s="286">
        <f>'Sources and Uses Budget'!$C43</f>
        <v>733000</v>
      </c>
      <c r="C44" s="286">
        <f>'Sources and Uses Budget'!$C43</f>
        <v>733000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1927294</v>
      </c>
      <c r="C46" s="286">
        <f>'Sources and Uses Budget'!$C45</f>
        <v>1927294</v>
      </c>
      <c r="D46" s="290">
        <f t="shared" si="0"/>
        <v>0</v>
      </c>
      <c r="E46" s="288"/>
      <c r="F46" s="287"/>
      <c r="G46" s="383"/>
    </row>
    <row r="47" spans="1:7" s="380" customFormat="1">
      <c r="A47" s="145" t="s">
        <v>151</v>
      </c>
      <c r="B47" s="286">
        <f>'Sources and Uses Budget'!$C46</f>
        <v>223000</v>
      </c>
      <c r="C47" s="286">
        <f>'Sources and Uses Budget'!$C46</f>
        <v>223000</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259985</v>
      </c>
      <c r="C49" s="286">
        <f>'Sources and Uses Budget'!$C48</f>
        <v>259985</v>
      </c>
      <c r="D49" s="290">
        <f t="shared" si="0"/>
        <v>0</v>
      </c>
      <c r="E49" s="288"/>
      <c r="F49" s="287"/>
      <c r="G49" s="383"/>
    </row>
    <row r="50" spans="1:7" s="380" customFormat="1">
      <c r="A50" s="145" t="s">
        <v>57</v>
      </c>
      <c r="B50" s="286">
        <f>'Sources and Uses Budget'!$C49</f>
        <v>35000</v>
      </c>
      <c r="C50" s="286">
        <f>'Sources and Uses Budget'!$C49</f>
        <v>35000</v>
      </c>
      <c r="D50" s="290">
        <f t="shared" si="0"/>
        <v>0</v>
      </c>
      <c r="E50" s="288"/>
      <c r="F50" s="287"/>
      <c r="G50" s="383"/>
    </row>
    <row r="51" spans="1:7" s="380" customFormat="1">
      <c r="A51" s="145" t="s">
        <v>156</v>
      </c>
      <c r="B51" s="286">
        <f>'Sources and Uses Budget'!$C50</f>
        <v>75000</v>
      </c>
      <c r="C51" s="286">
        <f>'Sources and Uses Budget'!$C50</f>
        <v>75000</v>
      </c>
      <c r="D51" s="290">
        <f t="shared" si="0"/>
        <v>0</v>
      </c>
      <c r="E51" s="288"/>
      <c r="F51" s="287"/>
      <c r="G51" s="383"/>
    </row>
    <row r="52" spans="1:7" s="380" customFormat="1">
      <c r="A52" s="304" t="s">
        <v>154</v>
      </c>
      <c r="B52" s="286">
        <f>'Sources and Uses Budget'!$C51</f>
        <v>750000</v>
      </c>
      <c r="C52" s="286">
        <f>'Sources and Uses Budget'!$C51</f>
        <v>750000</v>
      </c>
      <c r="D52" s="290">
        <f t="shared" si="0"/>
        <v>0</v>
      </c>
      <c r="E52" s="288"/>
      <c r="F52" s="287"/>
      <c r="G52" s="383"/>
    </row>
    <row r="53" spans="1:7" s="380" customFormat="1">
      <c r="A53" s="145" t="s">
        <v>155</v>
      </c>
      <c r="B53" s="286">
        <f>'Sources and Uses Budget'!$C52</f>
        <v>27000</v>
      </c>
      <c r="C53" s="286">
        <f>'Sources and Uses Budget'!$C52</f>
        <v>27000</v>
      </c>
      <c r="D53" s="290">
        <f t="shared" si="0"/>
        <v>0</v>
      </c>
      <c r="E53" s="288"/>
      <c r="F53" s="287"/>
      <c r="G53" s="383"/>
    </row>
    <row r="54" spans="1:7" s="380" customFormat="1">
      <c r="A54" s="155" t="str">
        <f>'Sources and Uses Budget'!A53</f>
        <v>Other: Legal, Construction Inspections</v>
      </c>
      <c r="B54" s="286">
        <f>'Sources and Uses Budget'!$C53</f>
        <v>18000</v>
      </c>
      <c r="C54" s="286">
        <f>'Sources and Uses Budget'!$C53</f>
        <v>18000</v>
      </c>
      <c r="D54" s="290">
        <f t="shared" si="0"/>
        <v>0</v>
      </c>
      <c r="E54" s="288"/>
      <c r="F54" s="287"/>
      <c r="G54" s="383"/>
    </row>
    <row r="55" spans="1:7" s="381" customFormat="1">
      <c r="A55" s="291" t="s">
        <v>157</v>
      </c>
      <c r="B55" s="293">
        <f>SUM(B46:B54)</f>
        <v>3315279</v>
      </c>
      <c r="C55" s="293">
        <f>SUM(C46:C54)</f>
        <v>3315279</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27150</v>
      </c>
      <c r="C57" s="286">
        <f>'Sources and Uses Budget'!$C56</f>
        <v>27150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13050</v>
      </c>
      <c r="C59" s="286">
        <f>'Sources and Uses Budget'!$C58</f>
        <v>13050</v>
      </c>
      <c r="D59" s="290">
        <f t="shared" si="0"/>
        <v>0</v>
      </c>
      <c r="E59" s="288"/>
      <c r="F59" s="287"/>
      <c r="G59" s="383"/>
    </row>
    <row r="60" spans="1:7" s="380" customFormat="1">
      <c r="A60" s="289" t="s">
        <v>154</v>
      </c>
      <c r="B60" s="286">
        <f>'Sources and Uses Budget'!$C59</f>
        <v>8500</v>
      </c>
      <c r="C60" s="286">
        <f>'Sources and Uses Budget'!$C59</f>
        <v>8500</v>
      </c>
      <c r="D60" s="290">
        <f t="shared" si="0"/>
        <v>0</v>
      </c>
      <c r="E60" s="288"/>
      <c r="F60" s="287"/>
      <c r="G60" s="383"/>
    </row>
    <row r="61" spans="1:7" s="380" customFormat="1">
      <c r="A61" s="289" t="s">
        <v>155</v>
      </c>
      <c r="B61" s="286">
        <f>'Sources and Uses Budget'!$C60</f>
        <v>27000</v>
      </c>
      <c r="C61" s="286">
        <f>'Sources and Uses Budget'!$C60</f>
        <v>27000</v>
      </c>
      <c r="D61" s="290">
        <f t="shared" si="0"/>
        <v>0</v>
      </c>
      <c r="E61" s="288"/>
      <c r="F61" s="287"/>
      <c r="G61" s="383"/>
    </row>
    <row r="62" spans="1:7" s="380" customFormat="1">
      <c r="A62" s="1054" t="str">
        <f>'Sources and Uses Budget'!A61</f>
        <v>Other: compliance, &amp; misc. fees</v>
      </c>
      <c r="B62" s="286">
        <f>'Sources and Uses Budget'!$C61</f>
        <v>248000</v>
      </c>
      <c r="C62" s="286">
        <f>'Sources and Uses Budget'!$C61</f>
        <v>248000</v>
      </c>
      <c r="D62" s="290">
        <f t="shared" si="0"/>
        <v>0</v>
      </c>
      <c r="E62" s="288"/>
      <c r="F62" s="287"/>
      <c r="G62" s="383"/>
    </row>
    <row r="63" spans="1:7" s="380" customFormat="1" ht="13.7" customHeight="1">
      <c r="A63" s="291" t="s">
        <v>302</v>
      </c>
      <c r="B63" s="290">
        <f>SUM(B57:B62)</f>
        <v>323700</v>
      </c>
      <c r="C63" s="290">
        <f>SUM(C57:C62)</f>
        <v>323700</v>
      </c>
      <c r="D63" s="290">
        <f t="shared" si="0"/>
        <v>0</v>
      </c>
      <c r="E63" s="288"/>
      <c r="F63" s="287"/>
      <c r="G63" s="383"/>
    </row>
    <row r="64" spans="1:7" s="380" customFormat="1">
      <c r="A64" s="294" t="s">
        <v>303</v>
      </c>
      <c r="B64" s="290">
        <f>SUM(B9+B12+B14+B15+B17+B26+B28+B39+B43+B44+B55+B63)</f>
        <v>33218542</v>
      </c>
      <c r="C64" s="290">
        <f>SUM(C9+C12+C14+C15+C17+C26+C28+C39+C43+C44+C55+C63)</f>
        <v>33218542</v>
      </c>
      <c r="D64" s="290">
        <f t="shared" si="0"/>
        <v>0</v>
      </c>
      <c r="E64" s="288"/>
      <c r="F64" s="287"/>
      <c r="G64" s="383"/>
    </row>
    <row r="65" spans="1:7" s="380" customFormat="1" ht="23.5">
      <c r="A65" s="141" t="s">
        <v>1758</v>
      </c>
      <c r="B65" s="284"/>
      <c r="C65" s="284"/>
      <c r="D65" s="284"/>
      <c r="E65" s="303"/>
      <c r="F65" s="284"/>
      <c r="G65" s="383"/>
    </row>
    <row r="66" spans="1:7" s="380" customFormat="1">
      <c r="A66" s="145" t="s">
        <v>171</v>
      </c>
      <c r="B66" s="286">
        <f>'Sources and Uses Budget'!$C65</f>
        <v>160000</v>
      </c>
      <c r="C66" s="286">
        <f>'Sources and Uses Budget'!$C65</f>
        <v>160000</v>
      </c>
      <c r="D66" s="290">
        <f t="shared" si="0"/>
        <v>0</v>
      </c>
      <c r="E66" s="288"/>
      <c r="F66" s="287"/>
      <c r="G66" s="383"/>
    </row>
    <row r="67" spans="1:7" s="380" customFormat="1" ht="23.5">
      <c r="A67" s="304" t="s">
        <v>1755</v>
      </c>
      <c r="B67" s="286">
        <f>'Sources and Uses Budget'!$C66</f>
        <v>55000</v>
      </c>
      <c r="C67" s="286">
        <f>'Sources and Uses Budget'!$C66</f>
        <v>55000</v>
      </c>
      <c r="D67" s="290"/>
      <c r="E67" s="288"/>
      <c r="F67" s="287"/>
      <c r="G67" s="383"/>
    </row>
    <row r="68" spans="1:7" s="380" customFormat="1" ht="23.5">
      <c r="A68" s="304" t="s">
        <v>1756</v>
      </c>
      <c r="B68" s="286">
        <f>'Sources and Uses Budget'!$C67</f>
        <v>0</v>
      </c>
      <c r="C68" s="286">
        <f>'Sources and Uses Budget'!$C67</f>
        <v>0</v>
      </c>
      <c r="D68" s="290"/>
      <c r="E68" s="288"/>
      <c r="F68" s="287"/>
      <c r="G68" s="383"/>
    </row>
    <row r="69" spans="1:7" s="380" customFormat="1">
      <c r="A69" s="304" t="s">
        <v>1762</v>
      </c>
      <c r="B69" s="286">
        <f>'Sources and Uses Budget'!$C68</f>
        <v>0</v>
      </c>
      <c r="C69" s="286">
        <f>'Sources and Uses Budget'!$C68</f>
        <v>0</v>
      </c>
      <c r="D69" s="290"/>
      <c r="E69" s="288"/>
      <c r="F69" s="287"/>
      <c r="G69" s="383"/>
    </row>
    <row r="70" spans="1:7" s="380" customFormat="1">
      <c r="A70" s="155" t="str">
        <f>'Sources and Uses Budget'!A69</f>
        <v>Other: (Specify)</v>
      </c>
      <c r="B70" s="286">
        <f>'Sources and Uses Budget'!$C69</f>
        <v>0</v>
      </c>
      <c r="C70" s="286">
        <f>'Sources and Uses Budget'!$C69</f>
        <v>0</v>
      </c>
      <c r="D70" s="290">
        <f t="shared" si="0"/>
        <v>0</v>
      </c>
      <c r="E70" s="288"/>
      <c r="F70" s="287"/>
      <c r="G70" s="383"/>
    </row>
    <row r="71" spans="1:7" s="380" customFormat="1">
      <c r="A71" s="149" t="s">
        <v>1759</v>
      </c>
      <c r="B71" s="290">
        <f>SUM(B66:B70)</f>
        <v>215000</v>
      </c>
      <c r="C71" s="290">
        <f>SUM(C66:C70)</f>
        <v>215000</v>
      </c>
      <c r="D71" s="290">
        <f t="shared" si="0"/>
        <v>0</v>
      </c>
      <c r="E71" s="288"/>
      <c r="F71" s="287"/>
      <c r="G71" s="383"/>
    </row>
    <row r="72" spans="1:7" s="380" customFormat="1">
      <c r="A72" s="284" t="s">
        <v>611</v>
      </c>
      <c r="B72" s="284"/>
      <c r="C72" s="284"/>
      <c r="D72" s="284"/>
      <c r="E72" s="303"/>
      <c r="F72" s="284"/>
      <c r="G72" s="383"/>
    </row>
    <row r="73" spans="1:7" s="380" customFormat="1">
      <c r="A73" s="289" t="s">
        <v>612</v>
      </c>
      <c r="B73" s="286">
        <f>'Sources and Uses Budget'!$C72</f>
        <v>0</v>
      </c>
      <c r="C73" s="286">
        <f>'Sources and Uses Budget'!$C72</f>
        <v>0</v>
      </c>
      <c r="D73" s="290">
        <f t="shared" si="0"/>
        <v>0</v>
      </c>
      <c r="E73" s="288"/>
      <c r="F73" s="287"/>
      <c r="G73" s="383"/>
    </row>
    <row r="74" spans="1:7" s="380" customFormat="1">
      <c r="A74" s="289" t="s">
        <v>613</v>
      </c>
      <c r="B74" s="286">
        <f>'Sources and Uses Budget'!$C73</f>
        <v>0</v>
      </c>
      <c r="C74" s="286">
        <f>'Sources and Uses Budget'!$C73</f>
        <v>0</v>
      </c>
      <c r="D74" s="290">
        <f t="shared" si="0"/>
        <v>0</v>
      </c>
      <c r="E74" s="288"/>
      <c r="F74" s="287"/>
      <c r="G74" s="383"/>
    </row>
    <row r="75" spans="1:7" s="380" customFormat="1">
      <c r="A75" s="309" t="s">
        <v>1008</v>
      </c>
      <c r="B75" s="286">
        <f>'Sources and Uses Budget'!$C74</f>
        <v>0</v>
      </c>
      <c r="C75" s="286">
        <f>'Sources and Uses Budget'!$C74</f>
        <v>0</v>
      </c>
      <c r="D75" s="290">
        <f t="shared" si="0"/>
        <v>0</v>
      </c>
      <c r="E75" s="288"/>
      <c r="F75" s="287"/>
      <c r="G75" s="383"/>
    </row>
    <row r="76" spans="1:7" s="380" customFormat="1">
      <c r="A76" s="289" t="s">
        <v>614</v>
      </c>
      <c r="B76" s="286">
        <f>'Sources and Uses Budget'!$C75</f>
        <v>467426</v>
      </c>
      <c r="C76" s="286">
        <f>'Sources and Uses Budget'!$C75</f>
        <v>467426</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615</v>
      </c>
      <c r="B78" s="290">
        <f>SUM(B73:B77)</f>
        <v>467426</v>
      </c>
      <c r="C78" s="290">
        <f>SUM(C73:C77)</f>
        <v>467426</v>
      </c>
      <c r="D78" s="290">
        <f t="shared" ref="D78:D106" si="1">C78-B78</f>
        <v>0</v>
      </c>
      <c r="E78" s="288"/>
      <c r="F78" s="287"/>
      <c r="G78" s="383"/>
    </row>
    <row r="79" spans="1:7" s="380" customFormat="1">
      <c r="A79" s="284" t="s">
        <v>1317</v>
      </c>
      <c r="B79" s="284"/>
      <c r="C79" s="284"/>
      <c r="D79" s="284"/>
      <c r="E79" s="303"/>
      <c r="F79" s="284"/>
      <c r="G79" s="383"/>
    </row>
    <row r="80" spans="1:7" s="380" customFormat="1">
      <c r="A80" s="544" t="s">
        <v>1319</v>
      </c>
      <c r="B80" s="286">
        <f>'Sources and Uses Budget'!$C79</f>
        <v>1299397</v>
      </c>
      <c r="C80" s="286">
        <f>'Sources and Uses Budget'!$C79</f>
        <v>1299397</v>
      </c>
      <c r="D80" s="290">
        <f t="shared" si="1"/>
        <v>0</v>
      </c>
      <c r="E80" s="288"/>
      <c r="F80" s="287"/>
      <c r="G80" s="383"/>
    </row>
    <row r="81" spans="1:7" s="380" customFormat="1">
      <c r="A81" s="544" t="s">
        <v>58</v>
      </c>
      <c r="B81" s="286">
        <f>'Sources and Uses Budget'!$C80</f>
        <v>354553</v>
      </c>
      <c r="C81" s="286">
        <f>'Sources and Uses Budget'!$C80</f>
        <v>354553</v>
      </c>
      <c r="D81" s="290">
        <f>C81-B81</f>
        <v>0</v>
      </c>
      <c r="E81" s="288"/>
      <c r="F81" s="287"/>
      <c r="G81" s="383"/>
    </row>
    <row r="82" spans="1:7" s="380" customFormat="1">
      <c r="A82" s="291" t="s">
        <v>1316</v>
      </c>
      <c r="B82" s="290">
        <f>SUM(B80:B81)</f>
        <v>1653950</v>
      </c>
      <c r="C82" s="290">
        <f>SUM(C80:C81)</f>
        <v>1653950</v>
      </c>
      <c r="D82" s="290">
        <f t="shared" si="1"/>
        <v>0</v>
      </c>
      <c r="E82" s="288"/>
      <c r="F82" s="287"/>
      <c r="G82" s="383"/>
    </row>
    <row r="83" spans="1:7" s="380" customFormat="1">
      <c r="A83" s="284" t="s">
        <v>775</v>
      </c>
      <c r="B83" s="284"/>
      <c r="C83" s="284"/>
      <c r="D83" s="284"/>
      <c r="E83" s="303"/>
      <c r="F83" s="284"/>
      <c r="G83" s="383"/>
    </row>
    <row r="84" spans="1:7" s="380" customFormat="1" ht="13.7" customHeight="1">
      <c r="A84" s="289" t="s">
        <v>776</v>
      </c>
      <c r="B84" s="286">
        <f>'Sources and Uses Budget'!$C83</f>
        <v>83138</v>
      </c>
      <c r="C84" s="286">
        <f>'Sources and Uses Budget'!$C83</f>
        <v>83138</v>
      </c>
      <c r="D84" s="290">
        <f t="shared" si="1"/>
        <v>0</v>
      </c>
      <c r="E84" s="288"/>
      <c r="F84" s="287"/>
      <c r="G84" s="383"/>
    </row>
    <row r="85" spans="1:7" s="380" customFormat="1">
      <c r="A85" s="289" t="s">
        <v>777</v>
      </c>
      <c r="B85" s="286">
        <f>'Sources and Uses Budget'!$C84</f>
        <v>0</v>
      </c>
      <c r="C85" s="286">
        <f>'Sources and Uses Budget'!$C84</f>
        <v>0</v>
      </c>
      <c r="D85" s="290">
        <f t="shared" si="1"/>
        <v>0</v>
      </c>
      <c r="E85" s="288"/>
      <c r="F85" s="287"/>
      <c r="G85" s="383"/>
    </row>
    <row r="86" spans="1:7" s="380" customFormat="1">
      <c r="A86" s="289" t="s">
        <v>778</v>
      </c>
      <c r="B86" s="286">
        <f>'Sources and Uses Budget'!$C85</f>
        <v>213918</v>
      </c>
      <c r="C86" s="286">
        <f>'Sources and Uses Budget'!$C85</f>
        <v>213918</v>
      </c>
      <c r="D86" s="290">
        <f t="shared" si="1"/>
        <v>0</v>
      </c>
      <c r="E86" s="288"/>
      <c r="F86" s="287"/>
      <c r="G86" s="383"/>
    </row>
    <row r="87" spans="1:7" s="380" customFormat="1">
      <c r="A87" s="289" t="s">
        <v>779</v>
      </c>
      <c r="B87" s="286">
        <f>'Sources and Uses Budget'!$C86</f>
        <v>500000</v>
      </c>
      <c r="C87" s="286">
        <f>'Sources and Uses Budget'!$C86</f>
        <v>500000</v>
      </c>
      <c r="D87" s="290">
        <f t="shared" si="1"/>
        <v>0</v>
      </c>
      <c r="E87" s="288"/>
      <c r="F87" s="287"/>
      <c r="G87" s="383"/>
    </row>
    <row r="88" spans="1:7" s="380" customFormat="1">
      <c r="A88" s="289" t="s">
        <v>780</v>
      </c>
      <c r="B88" s="286">
        <f>'Sources and Uses Budget'!$C87</f>
        <v>0</v>
      </c>
      <c r="C88" s="286">
        <f>'Sources and Uses Budget'!$C87</f>
        <v>0</v>
      </c>
      <c r="D88" s="290">
        <f t="shared" si="1"/>
        <v>0</v>
      </c>
      <c r="E88" s="288"/>
      <c r="F88" s="287"/>
      <c r="G88" s="383"/>
    </row>
    <row r="89" spans="1:7" s="380" customFormat="1">
      <c r="A89" s="289" t="s">
        <v>781</v>
      </c>
      <c r="B89" s="286">
        <f>'Sources and Uses Budget'!$C88</f>
        <v>100000</v>
      </c>
      <c r="C89" s="286">
        <f>'Sources and Uses Budget'!$C88</f>
        <v>100000</v>
      </c>
      <c r="D89" s="290">
        <f t="shared" si="1"/>
        <v>0</v>
      </c>
      <c r="E89" s="288"/>
      <c r="F89" s="287"/>
      <c r="G89" s="383"/>
    </row>
    <row r="90" spans="1:7" s="380" customFormat="1">
      <c r="A90" s="289" t="s">
        <v>782</v>
      </c>
      <c r="B90" s="286">
        <f>'Sources and Uses Budget'!$C89</f>
        <v>250000</v>
      </c>
      <c r="C90" s="286">
        <f>'Sources and Uses Budget'!$C89</f>
        <v>250000</v>
      </c>
      <c r="D90" s="290">
        <f t="shared" si="1"/>
        <v>0</v>
      </c>
      <c r="E90" s="288"/>
      <c r="F90" s="287"/>
      <c r="G90" s="383"/>
    </row>
    <row r="91" spans="1:7" s="380" customFormat="1">
      <c r="A91" s="289" t="s">
        <v>783</v>
      </c>
      <c r="B91" s="286">
        <f>'Sources and Uses Budget'!$C90</f>
        <v>15000</v>
      </c>
      <c r="C91" s="286">
        <f>'Sources and Uses Budget'!$C90</f>
        <v>15000</v>
      </c>
      <c r="D91" s="290">
        <f t="shared" si="1"/>
        <v>0</v>
      </c>
      <c r="E91" s="288"/>
      <c r="F91" s="287"/>
      <c r="G91" s="383"/>
    </row>
    <row r="92" spans="1:7" s="380" customFormat="1">
      <c r="A92" s="289" t="s">
        <v>373</v>
      </c>
      <c r="B92" s="286">
        <f>'Sources and Uses Budget'!$C91</f>
        <v>25000</v>
      </c>
      <c r="C92" s="286">
        <f>'Sources and Uses Budget'!$C91</f>
        <v>25000</v>
      </c>
      <c r="D92" s="290">
        <f t="shared" si="1"/>
        <v>0</v>
      </c>
      <c r="E92" s="288"/>
      <c r="F92" s="287"/>
      <c r="G92" s="383"/>
    </row>
    <row r="93" spans="1:7" s="380" customFormat="1">
      <c r="A93" s="544" t="s">
        <v>1318</v>
      </c>
      <c r="B93" s="286">
        <f>'Sources and Uses Budget'!$C92</f>
        <v>15000</v>
      </c>
      <c r="C93" s="286">
        <f>'Sources and Uses Budget'!$C92</f>
        <v>15000</v>
      </c>
      <c r="D93" s="290">
        <f t="shared" si="1"/>
        <v>0</v>
      </c>
      <c r="E93" s="288"/>
      <c r="F93" s="287"/>
      <c r="G93" s="383"/>
    </row>
    <row r="94" spans="1:7" s="380" customFormat="1">
      <c r="A94" s="292" t="s">
        <v>34</v>
      </c>
      <c r="B94" s="286">
        <f>'Sources and Uses Budget'!$C93</f>
        <v>0</v>
      </c>
      <c r="C94" s="286">
        <f>'Sources and Uses Budget'!$C93</f>
        <v>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784</v>
      </c>
      <c r="B97" s="290">
        <f>SUM(B84:B96)</f>
        <v>1202056</v>
      </c>
      <c r="C97" s="290">
        <f>SUM(C84:C96)</f>
        <v>1202056</v>
      </c>
      <c r="D97" s="290">
        <f t="shared" si="1"/>
        <v>0</v>
      </c>
      <c r="E97" s="288"/>
      <c r="F97" s="287"/>
      <c r="G97" s="383"/>
    </row>
    <row r="98" spans="1:7" s="380" customFormat="1">
      <c r="A98" s="291" t="s">
        <v>785</v>
      </c>
      <c r="B98" s="290">
        <f>SUM(B64+B71+B78+B82+B97)</f>
        <v>36756974</v>
      </c>
      <c r="C98" s="290">
        <f>SUM(C64+C71+C78+C82+C97)</f>
        <v>36756974</v>
      </c>
      <c r="D98" s="290">
        <f t="shared" si="1"/>
        <v>0</v>
      </c>
      <c r="E98" s="288"/>
      <c r="F98" s="287"/>
      <c r="G98" s="383"/>
    </row>
    <row r="99" spans="1:7" s="380" customFormat="1">
      <c r="A99" s="284" t="s">
        <v>786</v>
      </c>
      <c r="B99" s="284"/>
      <c r="C99" s="284"/>
      <c r="D99" s="284"/>
      <c r="E99" s="303"/>
      <c r="F99" s="284"/>
      <c r="G99" s="383"/>
    </row>
    <row r="100" spans="1:7" s="380" customFormat="1">
      <c r="A100" s="145" t="s">
        <v>787</v>
      </c>
      <c r="B100" s="286">
        <f>'Sources and Uses Budget'!$C99</f>
        <v>3800000</v>
      </c>
      <c r="C100" s="286">
        <f>'Sources and Uses Budget'!$C99</f>
        <v>3800000</v>
      </c>
      <c r="D100" s="290">
        <f t="shared" si="1"/>
        <v>0</v>
      </c>
      <c r="E100" s="288"/>
      <c r="F100" s="287"/>
      <c r="G100" s="383"/>
    </row>
    <row r="101" spans="1:7" s="380" customFormat="1">
      <c r="A101" s="304" t="s">
        <v>1760</v>
      </c>
      <c r="B101" s="286">
        <f>'Sources and Uses Budget'!$C100</f>
        <v>0</v>
      </c>
      <c r="C101" s="286">
        <f>'Sources and Uses Budget'!$C100</f>
        <v>0</v>
      </c>
      <c r="D101" s="290">
        <f t="shared" si="1"/>
        <v>0</v>
      </c>
      <c r="E101" s="288"/>
      <c r="F101" s="287"/>
      <c r="G101" s="383"/>
    </row>
    <row r="102" spans="1:7" s="380" customFormat="1">
      <c r="A102" s="145" t="s">
        <v>788</v>
      </c>
      <c r="B102" s="286">
        <f>'Sources and Uses Budget'!$C101</f>
        <v>0</v>
      </c>
      <c r="C102" s="286">
        <f>'Sources and Uses Budget'!$C101</f>
        <v>0</v>
      </c>
      <c r="D102" s="290">
        <f t="shared" si="1"/>
        <v>0</v>
      </c>
      <c r="E102" s="288"/>
      <c r="F102" s="287"/>
      <c r="G102" s="383"/>
    </row>
    <row r="103" spans="1:7" s="380" customFormat="1" ht="12" customHeight="1">
      <c r="A103" s="304" t="s">
        <v>1761</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789</v>
      </c>
      <c r="B105" s="290">
        <f>SUM(B100:B104)</f>
        <v>3800000</v>
      </c>
      <c r="C105" s="290">
        <f>SUM(C100:C104)</f>
        <v>3800000</v>
      </c>
      <c r="D105" s="290">
        <f t="shared" si="1"/>
        <v>0</v>
      </c>
      <c r="E105" s="288"/>
      <c r="F105" s="287"/>
      <c r="G105" s="383"/>
    </row>
    <row r="106" spans="1:7" s="380" customFormat="1">
      <c r="A106" s="291" t="s">
        <v>790</v>
      </c>
      <c r="B106" s="293">
        <f>SUM(B98+B105)</f>
        <v>40556974</v>
      </c>
      <c r="C106" s="293">
        <f>SUM(C98+C105)</f>
        <v>40556974</v>
      </c>
      <c r="D106" s="290">
        <f t="shared" si="1"/>
        <v>0</v>
      </c>
      <c r="E106" s="288"/>
      <c r="F106" s="287"/>
      <c r="G106" s="383"/>
    </row>
    <row r="107" spans="1:7" s="380" customFormat="1">
      <c r="A107" s="298" t="s">
        <v>791</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t="13.2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3" zeroHeight="1"/>
  <cols>
    <col min="1" max="1" width="3.7265625" style="6" customWidth="1"/>
    <col min="2" max="2" width="13.7265625" style="6" customWidth="1"/>
    <col min="3" max="3" width="2.7265625" style="6" customWidth="1"/>
    <col min="4" max="5" width="3.7265625" style="4" customWidth="1"/>
    <col min="6" max="6" width="65.7265625" style="4" customWidth="1"/>
    <col min="7" max="7" width="1.7265625" style="4" customWidth="1"/>
    <col min="8" max="8" width="3.7265625" hidden="1" customWidth="1"/>
    <col min="9" max="9" width="14" hidden="1" customWidth="1"/>
    <col min="10" max="16384" width="8.86328125" hidden="1"/>
  </cols>
  <sheetData>
    <row r="1" spans="1:9"/>
    <row r="2" spans="1:9">
      <c r="A2" s="1309" t="s">
        <v>1069</v>
      </c>
      <c r="B2" s="1309"/>
      <c r="C2" s="1283"/>
      <c r="D2" s="1283"/>
      <c r="E2" s="1283"/>
      <c r="F2" s="1283"/>
      <c r="G2" s="1283"/>
    </row>
    <row r="3" spans="1:9" s="173" customFormat="1">
      <c r="A3" s="1309" t="s">
        <v>1010</v>
      </c>
      <c r="B3" s="1309"/>
      <c r="C3" s="1283"/>
      <c r="D3" s="1283"/>
      <c r="E3" s="1283"/>
      <c r="F3" s="1283"/>
      <c r="G3" s="1283"/>
      <c r="I3" t="s">
        <v>308</v>
      </c>
    </row>
    <row r="4" spans="1:9">
      <c r="I4" s="3" t="s">
        <v>1070</v>
      </c>
    </row>
    <row r="5" spans="1:9">
      <c r="A5" s="1311" t="s">
        <v>1011</v>
      </c>
      <c r="B5" s="1311"/>
      <c r="C5" s="1283"/>
      <c r="D5" s="1283"/>
      <c r="E5" s="1283"/>
      <c r="F5" s="1283"/>
      <c r="G5" s="1283"/>
      <c r="I5" s="3" t="s">
        <v>1071</v>
      </c>
    </row>
    <row r="6" spans="1:9">
      <c r="A6" s="1311" t="s">
        <v>829</v>
      </c>
      <c r="B6" s="1311"/>
      <c r="C6" s="1283"/>
      <c r="D6" s="1283"/>
      <c r="E6" s="1283"/>
      <c r="F6" s="1283"/>
      <c r="G6" s="1283"/>
      <c r="I6" t="s">
        <v>600</v>
      </c>
    </row>
    <row r="7" spans="1:9" ht="11.9" customHeight="1"/>
    <row r="8" spans="1:9">
      <c r="A8" s="1309" t="s">
        <v>1166</v>
      </c>
      <c r="B8" s="1309"/>
      <c r="C8" s="1310"/>
      <c r="D8" s="1310"/>
      <c r="E8" s="1310"/>
      <c r="F8" s="1310"/>
      <c r="G8" s="1310"/>
    </row>
    <row r="9" spans="1:9">
      <c r="A9" s="1309" t="s">
        <v>1167</v>
      </c>
      <c r="B9" s="1309"/>
      <c r="C9" s="1310"/>
      <c r="D9" s="1310"/>
      <c r="E9" s="1310"/>
      <c r="F9" s="1310"/>
      <c r="G9" s="1310"/>
    </row>
    <row r="10" spans="1:9">
      <c r="A10" s="174"/>
      <c r="B10" s="174"/>
      <c r="C10" s="172"/>
      <c r="D10" s="172"/>
      <c r="E10" s="172"/>
      <c r="F10" s="172"/>
    </row>
    <row r="11" spans="1:9">
      <c r="A11" s="1290" t="s">
        <v>1169</v>
      </c>
      <c r="B11" s="1290"/>
      <c r="C11" s="1290"/>
      <c r="D11" s="1290"/>
      <c r="E11" s="1290"/>
      <c r="F11" s="1290"/>
      <c r="G11" s="1290"/>
    </row>
    <row r="12" spans="1:9">
      <c r="A12" s="172"/>
      <c r="B12" s="172"/>
      <c r="E12" s="2"/>
    </row>
    <row r="13" spans="1:9" ht="13.15" customHeight="1">
      <c r="C13" s="172"/>
      <c r="D13" s="1323" t="s">
        <v>1168</v>
      </c>
      <c r="E13" s="1323"/>
      <c r="F13" s="1323"/>
    </row>
    <row r="14" spans="1:9">
      <c r="C14" s="172"/>
      <c r="D14" s="1323"/>
      <c r="E14" s="1323"/>
      <c r="F14" s="1323"/>
    </row>
    <row r="15" spans="1:9">
      <c r="A15" s="175"/>
      <c r="B15" s="175"/>
      <c r="C15" s="175"/>
      <c r="D15" s="1286" t="s">
        <v>1151</v>
      </c>
      <c r="E15" s="1286"/>
      <c r="F15" s="1286"/>
    </row>
    <row r="16" spans="1:9">
      <c r="A16" s="175"/>
      <c r="B16" s="175"/>
      <c r="C16" s="175"/>
      <c r="D16" s="218"/>
    </row>
    <row r="17" spans="1:6">
      <c r="A17" s="176"/>
      <c r="B17" s="468" t="s">
        <v>308</v>
      </c>
      <c r="C17" s="175"/>
      <c r="D17" s="1275" t="s">
        <v>1152</v>
      </c>
      <c r="E17" s="1275"/>
      <c r="F17" s="1275"/>
    </row>
    <row r="18" spans="1:6">
      <c r="A18" s="175"/>
      <c r="B18" s="175"/>
      <c r="C18" s="175"/>
      <c r="D18" s="1275"/>
      <c r="E18" s="1275"/>
      <c r="F18" s="1275"/>
    </row>
    <row r="19" spans="1:6">
      <c r="A19" s="175"/>
      <c r="B19" s="175"/>
      <c r="C19" s="175"/>
      <c r="D19" s="1275"/>
      <c r="E19" s="1275"/>
      <c r="F19" s="1275"/>
    </row>
    <row r="20" spans="1:6">
      <c r="A20" s="175"/>
      <c r="B20" s="175"/>
      <c r="C20" s="175"/>
    </row>
    <row r="21" spans="1:6">
      <c r="A21" s="176"/>
      <c r="B21" s="468" t="s">
        <v>308</v>
      </c>
      <c r="D21" s="1318" t="s">
        <v>1153</v>
      </c>
      <c r="E21" s="1318"/>
      <c r="F21" s="1318"/>
    </row>
    <row r="22" spans="1:6">
      <c r="A22" s="176"/>
      <c r="B22" s="176"/>
      <c r="D22" s="35"/>
    </row>
    <row r="23" spans="1:6">
      <c r="A23" s="176"/>
      <c r="B23" s="468" t="s">
        <v>308</v>
      </c>
      <c r="D23" s="1275" t="s">
        <v>1154</v>
      </c>
      <c r="E23" s="1275"/>
      <c r="F23" s="1275"/>
    </row>
    <row r="24" spans="1:6">
      <c r="A24" s="176"/>
      <c r="B24" s="176"/>
      <c r="D24" s="1275"/>
      <c r="E24" s="1275"/>
      <c r="F24" s="1275"/>
    </row>
    <row r="25" spans="1:6"/>
    <row r="26" spans="1:6">
      <c r="A26" s="176"/>
      <c r="B26" s="468" t="s">
        <v>308</v>
      </c>
      <c r="D26" s="1275" t="s">
        <v>1155</v>
      </c>
      <c r="E26" s="1275"/>
      <c r="F26" s="1275"/>
    </row>
    <row r="27" spans="1:6">
      <c r="D27" s="1275"/>
      <c r="E27" s="1275"/>
      <c r="F27" s="1275"/>
    </row>
    <row r="28" spans="1:6">
      <c r="D28" s="1275"/>
      <c r="E28" s="1275"/>
      <c r="F28" s="1275"/>
    </row>
    <row r="29" spans="1:6">
      <c r="D29" s="1275"/>
      <c r="E29" s="1275"/>
      <c r="F29" s="1275"/>
    </row>
    <row r="30" spans="1:6">
      <c r="D30" s="1275"/>
      <c r="E30" s="1275"/>
      <c r="F30" s="1275"/>
    </row>
    <row r="31" spans="1:6">
      <c r="D31" s="220"/>
    </row>
    <row r="32" spans="1:6">
      <c r="B32" s="468" t="s">
        <v>308</v>
      </c>
      <c r="D32" s="1275" t="s">
        <v>1156</v>
      </c>
      <c r="E32" s="1275"/>
      <c r="F32" s="1275"/>
    </row>
    <row r="33" spans="1:6">
      <c r="D33" s="1275"/>
      <c r="E33" s="1275"/>
      <c r="F33" s="1275"/>
    </row>
    <row r="34" spans="1:6">
      <c r="A34" s="176"/>
      <c r="B34" s="176"/>
      <c r="D34" s="220"/>
    </row>
    <row r="35" spans="1:6" ht="14.45" customHeight="1">
      <c r="A35" s="176"/>
      <c r="B35" s="468" t="s">
        <v>308</v>
      </c>
      <c r="D35" s="1275" t="s">
        <v>1157</v>
      </c>
      <c r="E35" s="1275"/>
      <c r="F35" s="1275"/>
    </row>
    <row r="36" spans="1:6">
      <c r="A36" s="176"/>
      <c r="B36" s="176"/>
      <c r="D36" s="1275"/>
      <c r="E36" s="1275"/>
      <c r="F36" s="1275"/>
    </row>
    <row r="37" spans="1:6">
      <c r="A37" s="176"/>
      <c r="B37" s="176"/>
      <c r="D37" s="1275"/>
      <c r="E37" s="1275"/>
      <c r="F37" s="1275"/>
    </row>
    <row r="38" spans="1:6">
      <c r="A38" s="176"/>
      <c r="B38" s="176"/>
      <c r="D38"/>
    </row>
    <row r="39" spans="1:6">
      <c r="A39" s="176"/>
      <c r="B39" s="468" t="s">
        <v>308</v>
      </c>
      <c r="D39" s="1275" t="s">
        <v>1158</v>
      </c>
      <c r="E39" s="1275"/>
      <c r="F39" s="1275"/>
    </row>
    <row r="40" spans="1:6">
      <c r="A40" s="176"/>
      <c r="B40" s="176"/>
      <c r="D40" s="1275"/>
      <c r="E40" s="1275"/>
      <c r="F40" s="1275"/>
    </row>
    <row r="41" spans="1:6">
      <c r="A41" s="176"/>
      <c r="B41" s="176"/>
      <c r="D41" s="1275"/>
      <c r="E41" s="1275"/>
      <c r="F41" s="1275"/>
    </row>
    <row r="42" spans="1:6">
      <c r="A42" s="176"/>
      <c r="B42" s="176"/>
      <c r="D42" s="1275"/>
      <c r="E42" s="1275"/>
      <c r="F42" s="1275"/>
    </row>
    <row r="43" spans="1:6">
      <c r="A43" s="176"/>
      <c r="B43" s="176"/>
      <c r="D43" s="1275"/>
      <c r="E43" s="1275"/>
      <c r="F43" s="1275"/>
    </row>
    <row r="44" spans="1:6">
      <c r="A44" s="176"/>
      <c r="B44" s="176"/>
      <c r="D44" s="474"/>
      <c r="E44" s="474"/>
      <c r="F44" s="474"/>
    </row>
    <row r="45" spans="1:6">
      <c r="A45" s="176"/>
      <c r="B45" s="468" t="s">
        <v>308</v>
      </c>
      <c r="D45" s="1275" t="s">
        <v>1159</v>
      </c>
      <c r="E45" s="1275"/>
      <c r="F45" s="1275"/>
    </row>
    <row r="46" spans="1:6">
      <c r="A46" s="176"/>
      <c r="B46" s="176"/>
      <c r="D46" s="1275"/>
      <c r="E46" s="1275"/>
      <c r="F46" s="1275"/>
    </row>
    <row r="47" spans="1:6">
      <c r="A47" s="176"/>
      <c r="B47" s="176"/>
      <c r="D47" s="1275"/>
      <c r="E47" s="1275"/>
      <c r="F47" s="1275"/>
    </row>
    <row r="48" spans="1:6" ht="23.25" customHeight="1">
      <c r="A48" s="176"/>
      <c r="B48" s="176"/>
      <c r="D48" s="1275"/>
      <c r="E48" s="1275"/>
      <c r="F48" s="1275"/>
    </row>
    <row r="49" spans="1:7">
      <c r="A49" s="176"/>
      <c r="B49" s="176"/>
      <c r="D49" s="35"/>
    </row>
    <row r="50" spans="1:7" ht="14.45" customHeight="1">
      <c r="A50" s="176"/>
      <c r="B50" s="468" t="s">
        <v>308</v>
      </c>
      <c r="D50" s="1275" t="s">
        <v>1160</v>
      </c>
      <c r="E50" s="1275"/>
      <c r="F50" s="1275"/>
    </row>
    <row r="51" spans="1:7">
      <c r="A51" s="176"/>
      <c r="B51" s="176"/>
      <c r="D51" s="1275"/>
      <c r="E51" s="1275"/>
      <c r="F51" s="1275"/>
    </row>
    <row r="52" spans="1:7">
      <c r="A52" s="176"/>
      <c r="B52" s="176"/>
      <c r="D52" s="1275"/>
      <c r="E52" s="1275"/>
      <c r="F52" s="1275"/>
    </row>
    <row r="53" spans="1:7">
      <c r="A53" s="176"/>
      <c r="B53" s="176"/>
      <c r="C53" s="385"/>
      <c r="D53" s="3"/>
      <c r="E53" s="3"/>
      <c r="F53" s="3"/>
      <c r="G53" s="3"/>
    </row>
    <row r="54" spans="1:7">
      <c r="A54" s="176"/>
      <c r="B54" s="468" t="s">
        <v>308</v>
      </c>
      <c r="C54" s="385"/>
      <c r="D54" s="1275" t="s">
        <v>1161</v>
      </c>
      <c r="E54" s="1275"/>
      <c r="F54" s="1275"/>
      <c r="G54" s="3"/>
    </row>
    <row r="55" spans="1:7">
      <c r="A55" s="176"/>
      <c r="B55" s="176"/>
      <c r="C55" s="385"/>
      <c r="D55" s="1275"/>
      <c r="E55" s="1275"/>
      <c r="F55" s="1275"/>
      <c r="G55" s="3"/>
    </row>
    <row r="56" spans="1:7">
      <c r="D56" s="220"/>
    </row>
    <row r="57" spans="1:7">
      <c r="A57" s="176"/>
      <c r="B57" s="468" t="s">
        <v>308</v>
      </c>
      <c r="D57" s="1275" t="s">
        <v>1162</v>
      </c>
      <c r="E57" s="1275"/>
      <c r="F57" s="1275"/>
    </row>
    <row r="58" spans="1:7">
      <c r="D58" s="1275"/>
      <c r="E58" s="1275"/>
      <c r="F58" s="1275"/>
    </row>
    <row r="59" spans="1:7">
      <c r="D59" s="1275"/>
      <c r="E59" s="1275"/>
      <c r="F59" s="1275"/>
    </row>
    <row r="60" spans="1:7">
      <c r="D60" s="3"/>
    </row>
    <row r="61" spans="1:7">
      <c r="A61" s="176"/>
      <c r="B61" s="468" t="s">
        <v>308</v>
      </c>
      <c r="D61" s="1275" t="s">
        <v>1163</v>
      </c>
      <c r="E61" s="1275"/>
      <c r="F61" s="1275"/>
    </row>
    <row r="62" spans="1:7">
      <c r="D62" s="1275"/>
      <c r="E62" s="1275"/>
      <c r="F62" s="1275"/>
    </row>
    <row r="63" spans="1:7"/>
    <row r="64" spans="1:7">
      <c r="A64" s="176"/>
      <c r="B64" s="468" t="s">
        <v>308</v>
      </c>
      <c r="D64" s="1275" t="s">
        <v>1164</v>
      </c>
      <c r="E64" s="1275"/>
      <c r="F64" s="1275"/>
    </row>
    <row r="65" spans="1:7">
      <c r="D65" s="1275"/>
      <c r="E65" s="1275"/>
      <c r="F65" s="1275"/>
    </row>
    <row r="66" spans="1:7">
      <c r="D66" s="1275"/>
      <c r="E66" s="1275"/>
      <c r="F66" s="1275"/>
    </row>
    <row r="67" spans="1:7">
      <c r="D67"/>
    </row>
    <row r="68" spans="1:7">
      <c r="A68" s="176"/>
      <c r="B68" s="468" t="s">
        <v>308</v>
      </c>
      <c r="D68" s="1275" t="s">
        <v>1165</v>
      </c>
      <c r="E68" s="1275"/>
      <c r="F68" s="1275"/>
    </row>
    <row r="69" spans="1:7">
      <c r="D69" s="1275"/>
      <c r="E69" s="1275"/>
      <c r="F69" s="1275"/>
    </row>
    <row r="70" spans="1:7">
      <c r="A70" s="176"/>
      <c r="B70" s="176"/>
      <c r="D70" s="35"/>
    </row>
    <row r="71" spans="1:7">
      <c r="A71" s="1290" t="s">
        <v>1072</v>
      </c>
      <c r="B71" s="1290"/>
      <c r="C71" s="1290"/>
      <c r="D71" s="1290"/>
      <c r="E71" s="1290"/>
      <c r="F71" s="1290"/>
      <c r="G71" s="1290"/>
    </row>
    <row r="72" spans="1:7"/>
    <row r="73" spans="1:7">
      <c r="C73" s="177"/>
      <c r="D73" s="1308" t="s">
        <v>1170</v>
      </c>
      <c r="E73" s="1308"/>
      <c r="F73" s="1308"/>
    </row>
    <row r="74" spans="1:7">
      <c r="A74" s="35"/>
      <c r="B74" s="35"/>
      <c r="D74" s="1275" t="s">
        <v>1197</v>
      </c>
      <c r="E74" s="1275"/>
      <c r="F74" s="1275"/>
    </row>
    <row r="75" spans="1:7">
      <c r="A75" s="35"/>
      <c r="B75" s="35"/>
    </row>
    <row r="76" spans="1:7">
      <c r="A76" s="176"/>
      <c r="B76" s="468" t="s">
        <v>308</v>
      </c>
      <c r="D76" s="1275" t="s">
        <v>1171</v>
      </c>
      <c r="E76" s="1275"/>
      <c r="F76" s="1275"/>
    </row>
    <row r="77" spans="1:7">
      <c r="A77" s="176"/>
      <c r="B77" s="176"/>
      <c r="D77" s="1275"/>
      <c r="E77" s="1275"/>
      <c r="F77" s="1275"/>
    </row>
    <row r="78" spans="1:7">
      <c r="A78" s="176"/>
      <c r="B78" s="176"/>
      <c r="D78" s="1275"/>
      <c r="E78" s="1275"/>
      <c r="F78" s="1275"/>
    </row>
    <row r="79" spans="1:7">
      <c r="A79" s="176"/>
      <c r="B79" s="176"/>
      <c r="D79" s="1275"/>
      <c r="E79" s="1275"/>
      <c r="F79" s="1275"/>
    </row>
    <row r="80" spans="1:7">
      <c r="A80" s="176"/>
      <c r="B80" s="176"/>
      <c r="D80" s="1275"/>
      <c r="E80" s="1275"/>
      <c r="F80" s="1275"/>
    </row>
    <row r="81" spans="1:6">
      <c r="A81" s="176"/>
      <c r="B81" s="176"/>
      <c r="D81" s="1275"/>
      <c r="E81" s="1275"/>
      <c r="F81" s="1275"/>
    </row>
    <row r="82" spans="1:6">
      <c r="A82" s="176"/>
      <c r="B82" s="176"/>
      <c r="D82" s="474"/>
      <c r="E82" s="474"/>
      <c r="F82" s="474"/>
    </row>
    <row r="83" spans="1:6" ht="14.45" customHeight="1">
      <c r="A83" s="176"/>
      <c r="B83" s="468" t="s">
        <v>308</v>
      </c>
      <c r="D83" s="1284" t="s">
        <v>1270</v>
      </c>
      <c r="E83" s="1284"/>
      <c r="F83" s="1284"/>
    </row>
    <row r="84" spans="1:6">
      <c r="A84" s="176"/>
      <c r="B84" s="176"/>
      <c r="D84" s="1284"/>
      <c r="E84" s="1284"/>
      <c r="F84" s="1284"/>
    </row>
    <row r="85" spans="1:6">
      <c r="A85" s="176"/>
      <c r="B85" s="176"/>
      <c r="D85" s="1284"/>
      <c r="E85" s="1284"/>
      <c r="F85" s="1284"/>
    </row>
    <row r="86" spans="1:6">
      <c r="A86" s="176"/>
      <c r="B86" s="176"/>
      <c r="D86" s="1284"/>
      <c r="E86" s="1284"/>
      <c r="F86" s="1284"/>
    </row>
    <row r="87" spans="1:6">
      <c r="A87" s="176"/>
      <c r="B87" s="176"/>
      <c r="D87" s="1284"/>
      <c r="E87" s="1284"/>
      <c r="F87" s="1284"/>
    </row>
    <row r="88" spans="1:6">
      <c r="A88" s="176"/>
      <c r="B88" s="176"/>
      <c r="D88" s="1284"/>
      <c r="E88" s="1284"/>
      <c r="F88" s="1284"/>
    </row>
    <row r="89" spans="1:6">
      <c r="A89" s="176"/>
      <c r="B89" s="176"/>
      <c r="D89" s="1284"/>
      <c r="E89" s="1284"/>
      <c r="F89" s="1284"/>
    </row>
    <row r="90" spans="1:6">
      <c r="A90" s="176"/>
      <c r="B90" s="176"/>
      <c r="D90" s="1284"/>
      <c r="E90" s="1284"/>
      <c r="F90" s="1284"/>
    </row>
    <row r="91" spans="1:6">
      <c r="A91" s="176"/>
      <c r="B91" s="176"/>
      <c r="D91" s="1284"/>
      <c r="E91" s="1284"/>
      <c r="F91" s="1284"/>
    </row>
    <row r="92" spans="1:6">
      <c r="A92" s="176"/>
      <c r="B92" s="176"/>
      <c r="D92" s="1284"/>
      <c r="E92" s="1284"/>
      <c r="F92" s="1284"/>
    </row>
    <row r="93" spans="1:6">
      <c r="A93" s="176"/>
      <c r="B93" s="176"/>
      <c r="D93" s="1284"/>
      <c r="E93" s="1284"/>
      <c r="F93" s="1284"/>
    </row>
    <row r="94" spans="1:6">
      <c r="A94" s="176"/>
      <c r="B94" s="176"/>
      <c r="D94" s="1284"/>
      <c r="E94" s="1284"/>
      <c r="F94" s="1284"/>
    </row>
    <row r="95" spans="1:6">
      <c r="A95" s="176"/>
      <c r="B95" s="176"/>
      <c r="D95" s="1284"/>
      <c r="E95" s="1284"/>
      <c r="F95" s="1284"/>
    </row>
    <row r="96" spans="1:6">
      <c r="A96" s="176"/>
      <c r="B96" s="176"/>
      <c r="D96" s="1284"/>
      <c r="E96" s="1284"/>
      <c r="F96" s="1284"/>
    </row>
    <row r="97" spans="1:11">
      <c r="A97" s="176"/>
      <c r="B97" s="468" t="s">
        <v>308</v>
      </c>
      <c r="D97" s="1275" t="s">
        <v>1172</v>
      </c>
      <c r="E97" s="1275"/>
      <c r="F97" s="1275"/>
    </row>
    <row r="98" spans="1:11">
      <c r="A98" s="176"/>
      <c r="B98" s="176"/>
      <c r="D98" s="1275"/>
      <c r="E98" s="1275"/>
      <c r="F98" s="1275"/>
    </row>
    <row r="99" spans="1:11">
      <c r="A99" s="176"/>
      <c r="B99" s="176"/>
      <c r="D99" s="1275"/>
      <c r="E99" s="1275"/>
      <c r="F99" s="1275"/>
    </row>
    <row r="100" spans="1:11">
      <c r="A100" s="176"/>
      <c r="B100" s="176"/>
      <c r="D100" s="1275"/>
      <c r="E100" s="1275"/>
      <c r="F100" s="1275"/>
    </row>
    <row r="101" spans="1:11">
      <c r="A101" s="176"/>
      <c r="B101" s="176"/>
      <c r="D101" s="1275"/>
      <c r="E101" s="1275"/>
      <c r="F101" s="1275"/>
    </row>
    <row r="102" spans="1:11">
      <c r="A102" s="176"/>
      <c r="B102" s="176"/>
      <c r="D102" s="1275"/>
      <c r="E102" s="1275"/>
      <c r="F102" s="1275"/>
    </row>
    <row r="103" spans="1:11">
      <c r="A103" s="176"/>
      <c r="B103" s="176"/>
      <c r="D103" s="1275"/>
      <c r="E103" s="1275"/>
      <c r="F103" s="1275"/>
    </row>
    <row r="104" spans="1:11">
      <c r="A104" s="176"/>
      <c r="B104" s="176"/>
      <c r="D104" s="1275"/>
      <c r="E104" s="1275"/>
      <c r="F104" s="1275"/>
    </row>
    <row r="105" spans="1:11">
      <c r="A105" s="176"/>
      <c r="B105" s="176"/>
      <c r="D105" s="474"/>
      <c r="E105" s="474"/>
      <c r="F105" s="474"/>
    </row>
    <row r="106" spans="1:11">
      <c r="A106" s="176"/>
      <c r="B106" s="468" t="s">
        <v>308</v>
      </c>
      <c r="C106" s="179"/>
      <c r="D106" s="1312" t="s">
        <v>1173</v>
      </c>
      <c r="E106" s="1312"/>
      <c r="F106" s="1312"/>
      <c r="G106" s="183"/>
      <c r="H106" s="181"/>
      <c r="I106" s="181"/>
      <c r="J106" s="181"/>
      <c r="K106" s="181"/>
    </row>
    <row r="107" spans="1:11">
      <c r="A107" s="176"/>
      <c r="B107" s="176"/>
      <c r="C107" s="179"/>
      <c r="D107" s="1312"/>
      <c r="E107" s="1312"/>
      <c r="F107" s="1312"/>
      <c r="G107" s="183"/>
      <c r="H107" s="181"/>
      <c r="I107" s="181"/>
      <c r="J107" s="181"/>
      <c r="K107" s="181"/>
    </row>
    <row r="108" spans="1:11">
      <c r="A108" s="176"/>
      <c r="B108" s="176"/>
      <c r="C108" s="179"/>
      <c r="D108" s="1312"/>
      <c r="E108" s="1312"/>
      <c r="F108" s="1312"/>
      <c r="G108" s="183"/>
      <c r="H108" s="181"/>
      <c r="I108" s="181"/>
      <c r="J108" s="181"/>
      <c r="K108" s="181"/>
    </row>
    <row r="109" spans="1:11">
      <c r="A109" s="176"/>
      <c r="B109" s="176"/>
      <c r="C109" s="179"/>
      <c r="D109" s="1312"/>
      <c r="E109" s="1312"/>
      <c r="F109" s="1312"/>
      <c r="G109" s="183"/>
      <c r="H109" s="181"/>
      <c r="I109" s="181"/>
      <c r="J109" s="181"/>
      <c r="K109" s="181"/>
    </row>
    <row r="110" spans="1:11">
      <c r="A110" s="176"/>
      <c r="B110" s="176"/>
      <c r="C110" s="179"/>
      <c r="D110" s="1312"/>
      <c r="E110" s="1312"/>
      <c r="F110" s="1312"/>
      <c r="G110" s="183"/>
      <c r="H110" s="181"/>
      <c r="I110" s="181"/>
      <c r="J110" s="181"/>
      <c r="K110" s="181"/>
    </row>
    <row r="111" spans="1:11">
      <c r="C111"/>
      <c r="D111" s="1312"/>
      <c r="E111" s="1312"/>
      <c r="F111" s="1312"/>
      <c r="G111"/>
    </row>
    <row r="112" spans="1:11">
      <c r="C112"/>
      <c r="D112" s="1312"/>
      <c r="E112" s="1312"/>
      <c r="F112" s="1312"/>
      <c r="G112"/>
    </row>
    <row r="113" spans="1:7">
      <c r="C113"/>
      <c r="D113" s="330"/>
      <c r="E113"/>
      <c r="F113"/>
      <c r="G113"/>
    </row>
    <row r="114" spans="1:7">
      <c r="A114" s="176"/>
      <c r="B114" s="468" t="s">
        <v>308</v>
      </c>
      <c r="C114"/>
      <c r="D114" s="1313" t="s">
        <v>1174</v>
      </c>
      <c r="E114" s="1313"/>
      <c r="F114" s="1313"/>
      <c r="G114"/>
    </row>
    <row r="115" spans="1:7">
      <c r="A115" s="176"/>
      <c r="B115" s="176"/>
      <c r="C115"/>
      <c r="D115" s="1313"/>
      <c r="E115" s="1313"/>
      <c r="F115" s="1313"/>
      <c r="G115"/>
    </row>
    <row r="116" spans="1:7"/>
    <row r="117" spans="1:7">
      <c r="A117" s="176"/>
      <c r="B117" s="468" t="s">
        <v>308</v>
      </c>
      <c r="D117" s="1275" t="s">
        <v>1175</v>
      </c>
      <c r="E117" s="1275"/>
      <c r="F117" s="1275"/>
    </row>
    <row r="118" spans="1:7">
      <c r="D118" s="1275"/>
      <c r="E118" s="1275"/>
      <c r="F118" s="1275"/>
    </row>
    <row r="119" spans="1:7">
      <c r="D119" s="1275"/>
      <c r="E119" s="1275"/>
      <c r="F119" s="1275"/>
    </row>
    <row r="120" spans="1:7">
      <c r="D120" s="1275"/>
      <c r="E120" s="1275"/>
      <c r="F120" s="1275"/>
    </row>
    <row r="121" spans="1:7">
      <c r="D121" s="1275"/>
      <c r="E121" s="1275"/>
      <c r="F121" s="1275"/>
    </row>
    <row r="122" spans="1:7"/>
    <row r="123" spans="1:7">
      <c r="A123" s="176"/>
      <c r="B123" s="468" t="s">
        <v>308</v>
      </c>
      <c r="D123" s="1275" t="s">
        <v>1176</v>
      </c>
      <c r="E123" s="1275"/>
      <c r="F123" s="1275"/>
    </row>
    <row r="124" spans="1:7" s="197" customFormat="1" ht="13.7" customHeight="1">
      <c r="A124" s="195"/>
      <c r="B124" s="195"/>
      <c r="C124" s="195"/>
      <c r="D124" s="1275"/>
      <c r="E124" s="1275"/>
      <c r="F124" s="1275"/>
      <c r="G124" s="196"/>
    </row>
    <row r="125" spans="1:7" ht="13.7" customHeight="1">
      <c r="D125" s="1275"/>
      <c r="E125" s="1275"/>
      <c r="F125" s="1275"/>
    </row>
    <row r="126" spans="1:7" ht="13.7" customHeight="1">
      <c r="D126" s="1275"/>
      <c r="E126" s="1275"/>
      <c r="F126" s="1275"/>
    </row>
    <row r="127" spans="1:7" ht="13.7" customHeight="1">
      <c r="D127" s="1275"/>
      <c r="E127" s="1275"/>
      <c r="F127" s="1275"/>
    </row>
    <row r="128" spans="1:7" ht="13.7" customHeight="1">
      <c r="A128" s="256"/>
      <c r="B128" s="256"/>
      <c r="D128" s="1275"/>
      <c r="E128" s="1275"/>
      <c r="F128" s="1275"/>
    </row>
    <row r="129" spans="2:6" ht="13.7" customHeight="1">
      <c r="D129" s="1275"/>
      <c r="E129" s="1275"/>
      <c r="F129" s="1275"/>
    </row>
    <row r="130" spans="2:6" ht="13.7" customHeight="1">
      <c r="D130" s="1275"/>
      <c r="E130" s="1275"/>
      <c r="F130" s="1275"/>
    </row>
    <row r="131" spans="2:6" ht="13.7" customHeight="1">
      <c r="D131" s="1275"/>
      <c r="E131" s="1275"/>
      <c r="F131" s="1275"/>
    </row>
    <row r="132" spans="2:6" ht="13.7" customHeight="1">
      <c r="D132" s="1275"/>
      <c r="E132" s="1275"/>
      <c r="F132" s="1275"/>
    </row>
    <row r="133" spans="2:6" ht="13.7" customHeight="1">
      <c r="D133" s="1275"/>
      <c r="E133" s="1275"/>
      <c r="F133" s="1275"/>
    </row>
    <row r="134" spans="2:6" ht="13.7" customHeight="1">
      <c r="D134" s="1275"/>
      <c r="E134" s="1275"/>
      <c r="F134" s="1275"/>
    </row>
    <row r="135" spans="2:6" ht="13.7" customHeight="1">
      <c r="D135" s="218"/>
      <c r="E135" s="35"/>
      <c r="F135" s="35"/>
    </row>
    <row r="136" spans="2:6" ht="13.7" customHeight="1">
      <c r="B136" s="468" t="s">
        <v>308</v>
      </c>
      <c r="D136" s="1275" t="s">
        <v>1284</v>
      </c>
      <c r="E136" s="1275"/>
      <c r="F136" s="1275"/>
    </row>
    <row r="137" spans="2:6" ht="13.7" customHeight="1">
      <c r="D137" s="1275"/>
      <c r="E137" s="1275"/>
      <c r="F137" s="1275"/>
    </row>
    <row r="138" spans="2:6" ht="13.7" customHeight="1">
      <c r="D138" s="1275"/>
      <c r="E138" s="1275"/>
      <c r="F138" s="1275"/>
    </row>
    <row r="139" spans="2:6" ht="13.7" customHeight="1">
      <c r="D139" s="1275"/>
      <c r="E139" s="1275"/>
      <c r="F139" s="1275"/>
    </row>
    <row r="140" spans="2:6" ht="13.7" customHeight="1">
      <c r="D140" s="1275"/>
      <c r="E140" s="1275"/>
      <c r="F140" s="1275"/>
    </row>
    <row r="141" spans="2:6" ht="13.7" customHeight="1">
      <c r="D141" s="1275"/>
      <c r="E141" s="1275"/>
      <c r="F141" s="1275"/>
    </row>
    <row r="142" spans="2:6" ht="13.7" customHeight="1">
      <c r="D142" s="1275"/>
      <c r="E142" s="1275"/>
      <c r="F142" s="1275"/>
    </row>
    <row r="143" spans="2:6" ht="13.7" customHeight="1">
      <c r="D143" s="1275"/>
      <c r="E143" s="1275"/>
      <c r="F143" s="1275"/>
    </row>
    <row r="144" spans="2:6" ht="13.7" customHeight="1">
      <c r="D144" s="1275"/>
      <c r="E144" s="1275"/>
      <c r="F144" s="1275"/>
    </row>
    <row r="145" spans="1:7" ht="13.7" customHeight="1">
      <c r="D145" s="1275"/>
      <c r="E145" s="1275"/>
      <c r="F145" s="1275"/>
    </row>
    <row r="146" spans="1:7" ht="13.7" customHeight="1">
      <c r="D146" s="1275"/>
      <c r="E146" s="1275"/>
      <c r="F146" s="1275"/>
    </row>
    <row r="147" spans="1:7" ht="13.7" customHeight="1">
      <c r="D147" s="1275"/>
      <c r="E147" s="1275"/>
      <c r="F147" s="1275"/>
    </row>
    <row r="148" spans="1:7" ht="13.7" customHeight="1">
      <c r="D148" s="1275"/>
      <c r="E148" s="1275"/>
      <c r="F148" s="1275"/>
    </row>
    <row r="149" spans="1:7" ht="13.7" customHeight="1">
      <c r="D149" s="1275"/>
      <c r="E149" s="1275"/>
      <c r="F149" s="1275"/>
    </row>
    <row r="150" spans="1:7" ht="13.7" customHeight="1">
      <c r="D150" s="1275"/>
      <c r="E150" s="1275"/>
      <c r="F150" s="1275"/>
    </row>
    <row r="151" spans="1:7" ht="13.7" customHeight="1">
      <c r="D151" s="1275"/>
      <c r="E151" s="1275"/>
      <c r="F151" s="1275"/>
    </row>
    <row r="152" spans="1:7" ht="13.7" customHeight="1">
      <c r="D152" s="1275"/>
      <c r="E152" s="1275"/>
      <c r="F152" s="1275"/>
    </row>
    <row r="153" spans="1:7" ht="13.7" customHeight="1">
      <c r="D153" s="1275"/>
      <c r="E153" s="1275"/>
      <c r="F153" s="1275"/>
    </row>
    <row r="154" spans="1:7" ht="13.7" customHeight="1">
      <c r="D154" s="1275"/>
      <c r="E154" s="1275"/>
      <c r="F154" s="1275"/>
    </row>
    <row r="155" spans="1:7" ht="13.7" customHeight="1">
      <c r="D155" s="218"/>
      <c r="E155" s="35"/>
      <c r="F155" s="35"/>
    </row>
    <row r="156" spans="1:7" ht="13.7" customHeight="1">
      <c r="A156" s="256"/>
      <c r="B156" s="468" t="s">
        <v>308</v>
      </c>
      <c r="C156" s="218"/>
      <c r="D156" s="1284" t="s">
        <v>1177</v>
      </c>
      <c r="E156" s="1284"/>
      <c r="F156" s="1284"/>
      <c r="G156" s="218"/>
    </row>
    <row r="157" spans="1:7" ht="13.7" customHeight="1">
      <c r="A157" s="256"/>
      <c r="B157" s="256"/>
      <c r="C157" s="218"/>
      <c r="D157" s="1284"/>
      <c r="E157" s="1284"/>
      <c r="F157" s="1284"/>
      <c r="G157" s="218"/>
    </row>
    <row r="158" spans="1:7" ht="13.7" customHeight="1">
      <c r="A158" s="256"/>
      <c r="B158" s="256"/>
      <c r="C158" s="218"/>
      <c r="D158" s="218"/>
      <c r="E158" s="218"/>
      <c r="F158" s="218"/>
      <c r="G158" s="218"/>
    </row>
    <row r="159" spans="1:7" ht="13.7" customHeight="1">
      <c r="A159" s="256"/>
      <c r="B159" s="468" t="s">
        <v>308</v>
      </c>
      <c r="C159" s="218"/>
      <c r="D159" s="1284" t="s">
        <v>1178</v>
      </c>
      <c r="E159" s="1284"/>
      <c r="F159" s="1284"/>
      <c r="G159" s="218"/>
    </row>
    <row r="160" spans="1:7" ht="13.7" customHeight="1">
      <c r="A160" s="256"/>
      <c r="B160" s="256"/>
      <c r="C160" s="218"/>
      <c r="D160" s="1284"/>
      <c r="E160" s="1284"/>
      <c r="F160" s="1284"/>
      <c r="G160" s="218"/>
    </row>
    <row r="161" spans="1:7" ht="13.7" customHeight="1">
      <c r="A161" s="256"/>
      <c r="B161" s="256"/>
      <c r="C161" s="218"/>
      <c r="D161" s="1284"/>
      <c r="E161" s="1284"/>
      <c r="F161" s="1284"/>
      <c r="G161" s="218"/>
    </row>
    <row r="162" spans="1:7" ht="13.7" customHeight="1">
      <c r="A162" s="256"/>
      <c r="B162" s="256"/>
      <c r="C162" s="218"/>
      <c r="D162" s="1284"/>
      <c r="E162" s="1284"/>
      <c r="F162" s="1284"/>
      <c r="G162" s="218"/>
    </row>
    <row r="163" spans="1:7" ht="13.7" customHeight="1">
      <c r="D163" s="35"/>
      <c r="E163" s="35"/>
      <c r="F163" s="35"/>
    </row>
    <row r="164" spans="1:7" ht="13.7" customHeight="1">
      <c r="B164" s="468" t="s">
        <v>308</v>
      </c>
      <c r="D164" s="1289" t="s">
        <v>1179</v>
      </c>
      <c r="E164" s="1289"/>
      <c r="F164" s="1289"/>
    </row>
    <row r="165" spans="1:7" ht="13.7" customHeight="1">
      <c r="D165" s="1289"/>
      <c r="E165" s="1289"/>
      <c r="F165" s="1289"/>
    </row>
    <row r="166" spans="1:7" ht="13.7" customHeight="1">
      <c r="D166" s="1289"/>
      <c r="E166" s="1289"/>
      <c r="F166" s="1289"/>
    </row>
    <row r="167" spans="1:7" ht="13.7" customHeight="1">
      <c r="A167" s="13"/>
      <c r="B167" s="13"/>
      <c r="E167" s="35"/>
      <c r="F167" s="35"/>
    </row>
    <row r="168" spans="1:7">
      <c r="A168" s="1290" t="s">
        <v>1073</v>
      </c>
      <c r="B168" s="1290"/>
      <c r="C168" s="1290"/>
      <c r="D168" s="1290"/>
      <c r="E168" s="1290"/>
      <c r="F168" s="1290"/>
      <c r="G168" s="1290"/>
    </row>
    <row r="169" spans="1:7" ht="12" customHeight="1">
      <c r="D169" s="35"/>
      <c r="E169" s="35"/>
      <c r="F169" s="35"/>
    </row>
    <row r="170" spans="1:7">
      <c r="B170" s="1307" t="s">
        <v>449</v>
      </c>
      <c r="C170" s="1307"/>
      <c r="D170" s="1307"/>
      <c r="E170" s="1307"/>
      <c r="F170" s="1307"/>
    </row>
    <row r="171" spans="1:7" ht="12" customHeight="1">
      <c r="A171" s="172"/>
      <c r="B171" s="172"/>
      <c r="C171" s="172"/>
    </row>
    <row r="172" spans="1:7">
      <c r="A172" s="1290" t="s">
        <v>1074</v>
      </c>
      <c r="B172" s="1290"/>
      <c r="C172" s="1290"/>
      <c r="D172" s="1290"/>
      <c r="E172" s="1290"/>
      <c r="F172" s="1290"/>
      <c r="G172" s="1290"/>
    </row>
    <row r="173" spans="1:7" ht="12" customHeight="1">
      <c r="A173" s="2"/>
      <c r="B173" s="2"/>
      <c r="E173" s="2"/>
    </row>
    <row r="174" spans="1:7" ht="13.15" customHeight="1">
      <c r="A174" s="2"/>
      <c r="B174" s="2"/>
      <c r="D174" s="1304" t="s">
        <v>1182</v>
      </c>
      <c r="E174" s="1304"/>
      <c r="F174" s="1304"/>
    </row>
    <row r="175" spans="1:7">
      <c r="A175" s="2"/>
      <c r="B175" s="2"/>
      <c r="D175" s="1304"/>
      <c r="E175" s="1304"/>
      <c r="F175" s="1304"/>
    </row>
    <row r="176" spans="1:7">
      <c r="A176" s="2"/>
      <c r="B176" s="2"/>
      <c r="D176" s="1305" t="s">
        <v>1183</v>
      </c>
      <c r="E176" s="1305"/>
      <c r="F176" s="1305"/>
    </row>
    <row r="177" spans="1:7" ht="12" customHeight="1">
      <c r="A177" s="2"/>
      <c r="B177" s="2"/>
      <c r="E177" s="2"/>
    </row>
    <row r="178" spans="1:7">
      <c r="A178" s="176"/>
      <c r="B178" s="468" t="s">
        <v>308</v>
      </c>
      <c r="D178" s="1302" t="s">
        <v>1181</v>
      </c>
      <c r="E178" s="1302"/>
      <c r="F178" s="1302"/>
    </row>
    <row r="179" spans="1:7">
      <c r="A179" s="176"/>
      <c r="B179" s="176"/>
      <c r="D179" s="1302"/>
      <c r="E179" s="1302"/>
      <c r="F179" s="1302"/>
    </row>
    <row r="180" spans="1:7">
      <c r="A180" s="176"/>
      <c r="B180" s="176"/>
      <c r="D180" s="1302"/>
      <c r="E180" s="1302"/>
      <c r="F180" s="1302"/>
    </row>
    <row r="181" spans="1:7">
      <c r="D181" s="1302"/>
      <c r="E181" s="1302"/>
      <c r="F181" s="1302"/>
    </row>
    <row r="182" spans="1:7">
      <c r="D182" s="220"/>
    </row>
    <row r="183" spans="1:7">
      <c r="D183" s="1306" t="s">
        <v>1090</v>
      </c>
      <c r="E183" s="1306"/>
      <c r="F183" s="1306"/>
    </row>
    <row r="184" spans="1:7">
      <c r="D184" s="1306"/>
      <c r="E184" s="1306"/>
      <c r="F184" s="1306"/>
    </row>
    <row r="185" spans="1:7">
      <c r="D185" s="475"/>
      <c r="E185" s="475"/>
      <c r="F185" s="475"/>
    </row>
    <row r="186" spans="1:7">
      <c r="A186" s="176"/>
      <c r="B186" s="468" t="s">
        <v>308</v>
      </c>
      <c r="C186" s="385"/>
      <c r="D186" s="1275" t="s">
        <v>1180</v>
      </c>
      <c r="E186" s="1275"/>
      <c r="F186" s="1275"/>
      <c r="G186" s="3"/>
    </row>
    <row r="187" spans="1:7" ht="14.45" customHeight="1">
      <c r="A187" s="176"/>
      <c r="B187"/>
      <c r="C187" s="385"/>
      <c r="D187" s="1275"/>
      <c r="E187" s="1275"/>
      <c r="F187" s="1275"/>
      <c r="G187" s="3"/>
    </row>
    <row r="188" spans="1:7">
      <c r="A188" s="176"/>
      <c r="B188" s="385"/>
      <c r="C188" s="385"/>
      <c r="D188" s="1275"/>
      <c r="E188" s="1275"/>
      <c r="F188" s="1275"/>
      <c r="G188" s="3"/>
    </row>
    <row r="189" spans="1:7">
      <c r="A189" s="176"/>
      <c r="B189" s="385"/>
      <c r="C189" s="385"/>
      <c r="D189" s="1275"/>
      <c r="E189" s="1275"/>
      <c r="F189" s="1275"/>
      <c r="G189" s="3"/>
    </row>
    <row r="190" spans="1:7">
      <c r="D190" s="475"/>
      <c r="E190" s="475"/>
      <c r="F190" s="475"/>
    </row>
    <row r="191" spans="1:7">
      <c r="A191" s="1290" t="s">
        <v>1075</v>
      </c>
      <c r="B191" s="1290"/>
      <c r="C191" s="1290"/>
      <c r="D191" s="1290"/>
      <c r="E191" s="1290"/>
      <c r="F191" s="1290"/>
      <c r="G191" s="1290"/>
    </row>
    <row r="192" spans="1:7" ht="12" customHeight="1">
      <c r="D192" s="35"/>
      <c r="E192" s="35"/>
      <c r="F192" s="35"/>
    </row>
    <row r="193" spans="1:6">
      <c r="C193" s="177"/>
      <c r="D193" s="1291" t="s">
        <v>209</v>
      </c>
      <c r="E193" s="1291"/>
      <c r="F193" s="1291"/>
    </row>
    <row r="194" spans="1:6">
      <c r="A194" s="172"/>
      <c r="B194" s="172"/>
      <c r="C194" s="172"/>
      <c r="D194" s="1286" t="s">
        <v>1204</v>
      </c>
      <c r="E194" s="1294"/>
      <c r="F194" s="1294"/>
    </row>
    <row r="195" spans="1:6" ht="12" customHeight="1">
      <c r="A195" s="13"/>
      <c r="B195" s="13"/>
      <c r="C195" s="13"/>
    </row>
    <row r="196" spans="1:6" ht="13.15" customHeight="1">
      <c r="A196" s="13"/>
      <c r="C196" s="13"/>
      <c r="D196" s="1291" t="s">
        <v>555</v>
      </c>
      <c r="E196" s="1291"/>
      <c r="F196" s="1291"/>
    </row>
    <row r="197" spans="1:6">
      <c r="A197" s="176"/>
      <c r="B197" s="468" t="s">
        <v>308</v>
      </c>
      <c r="D197" s="1275" t="s">
        <v>1198</v>
      </c>
      <c r="E197" s="1275"/>
      <c r="F197" s="1275"/>
    </row>
    <row r="198" spans="1:6">
      <c r="A198" s="176"/>
      <c r="B198" s="176"/>
      <c r="D198" s="1275"/>
      <c r="E198" s="1275"/>
      <c r="F198" s="1275"/>
    </row>
    <row r="199" spans="1:6"/>
    <row r="200" spans="1:6">
      <c r="A200" s="176"/>
      <c r="B200" s="468" t="s">
        <v>308</v>
      </c>
      <c r="D200" s="1275" t="s">
        <v>1199</v>
      </c>
      <c r="E200" s="1275"/>
      <c r="F200" s="1275"/>
    </row>
    <row r="201" spans="1:6">
      <c r="A201" s="176"/>
      <c r="B201" s="176"/>
      <c r="D201" s="1275"/>
      <c r="E201" s="1275"/>
      <c r="F201" s="1275"/>
    </row>
    <row r="202" spans="1:6">
      <c r="A202" s="176"/>
      <c r="B202" s="176"/>
      <c r="D202" s="1275"/>
      <c r="E202" s="1275"/>
      <c r="F202" s="1275"/>
    </row>
    <row r="203" spans="1:6" ht="5.15" customHeight="1">
      <c r="A203" s="176"/>
      <c r="B203" s="176"/>
      <c r="D203" s="35"/>
      <c r="E203" s="35"/>
      <c r="F203" s="35"/>
    </row>
    <row r="204" spans="1:6">
      <c r="A204" s="176"/>
      <c r="B204" s="176"/>
      <c r="D204" s="1275" t="s">
        <v>1200</v>
      </c>
      <c r="E204" s="1275"/>
      <c r="F204" s="1275"/>
    </row>
    <row r="205" spans="1:6">
      <c r="A205" s="176"/>
      <c r="B205" s="176"/>
      <c r="D205" s="1275"/>
      <c r="E205" s="1275"/>
      <c r="F205" s="1275"/>
    </row>
    <row r="206" spans="1:6">
      <c r="A206" s="176"/>
      <c r="B206" s="176"/>
      <c r="D206" s="1275"/>
      <c r="E206" s="1275"/>
      <c r="F206" s="1275"/>
    </row>
    <row r="207" spans="1:6">
      <c r="A207" s="176"/>
      <c r="B207" s="176"/>
      <c r="D207" s="1275"/>
      <c r="E207" s="1275"/>
      <c r="F207" s="1275"/>
    </row>
    <row r="208" spans="1:6">
      <c r="A208" s="176"/>
      <c r="B208" s="176"/>
      <c r="D208" s="1275"/>
      <c r="E208" s="1275"/>
      <c r="F208" s="1275"/>
    </row>
    <row r="209" spans="1:7">
      <c r="A209" s="176"/>
      <c r="B209" s="176"/>
      <c r="D209" s="35"/>
      <c r="E209" s="35"/>
      <c r="F209" s="35"/>
    </row>
    <row r="210" spans="1:7">
      <c r="A210" s="176"/>
      <c r="B210" s="468" t="s">
        <v>308</v>
      </c>
      <c r="D210" s="1275" t="s">
        <v>1201</v>
      </c>
      <c r="E210" s="1275"/>
      <c r="F210" s="1275"/>
    </row>
    <row r="211" spans="1:7">
      <c r="A211" s="176"/>
      <c r="B211" s="176"/>
      <c r="D211" s="1275"/>
      <c r="E211" s="1275"/>
      <c r="F211" s="1275"/>
    </row>
    <row r="212" spans="1:7">
      <c r="A212" s="176"/>
      <c r="B212" s="176"/>
      <c r="D212" s="1307" t="s">
        <v>910</v>
      </c>
      <c r="E212" s="1307"/>
      <c r="F212" s="1307"/>
    </row>
    <row r="213" spans="1:7">
      <c r="A213" s="176"/>
      <c r="B213" s="176"/>
      <c r="D213" s="35"/>
      <c r="E213" s="35"/>
      <c r="F213" s="35"/>
    </row>
    <row r="214" spans="1:7" ht="14.45" customHeight="1">
      <c r="A214" s="176"/>
      <c r="B214" s="468" t="s">
        <v>308</v>
      </c>
      <c r="D214" s="1275" t="s">
        <v>1203</v>
      </c>
      <c r="E214" s="1275"/>
      <c r="F214" s="1275"/>
    </row>
    <row r="215" spans="1:7">
      <c r="A215" s="176"/>
      <c r="B215" s="176"/>
      <c r="D215" s="1275"/>
      <c r="E215" s="1275"/>
      <c r="F215" s="1275"/>
    </row>
    <row r="216" spans="1:7">
      <c r="A216" s="176"/>
      <c r="B216" s="176"/>
      <c r="D216" s="1275"/>
      <c r="E216" s="1275"/>
      <c r="F216" s="1275"/>
    </row>
    <row r="217" spans="1:7">
      <c r="A217" s="176"/>
      <c r="B217" s="176"/>
      <c r="D217" s="1275"/>
      <c r="E217" s="1275"/>
      <c r="F217" s="1275"/>
    </row>
    <row r="218" spans="1:7">
      <c r="A218" s="176"/>
      <c r="B218" s="176"/>
      <c r="D218" s="1275"/>
      <c r="E218" s="1275"/>
      <c r="F218" s="1275"/>
    </row>
    <row r="219" spans="1:7">
      <c r="D219" s="35"/>
      <c r="E219" s="35"/>
      <c r="F219" s="35"/>
    </row>
    <row r="220" spans="1:7">
      <c r="A220" s="176"/>
      <c r="B220" s="468" t="s">
        <v>308</v>
      </c>
      <c r="D220" s="1275" t="s">
        <v>1202</v>
      </c>
      <c r="E220" s="1275"/>
      <c r="F220" s="1275"/>
    </row>
    <row r="221" spans="1:7">
      <c r="A221" s="176"/>
      <c r="B221" s="176"/>
      <c r="D221" s="1275"/>
      <c r="E221" s="1275"/>
      <c r="F221" s="1275"/>
    </row>
    <row r="222" spans="1:7">
      <c r="D222" s="19"/>
    </row>
    <row r="223" spans="1:7">
      <c r="A223" s="1290" t="s">
        <v>1076</v>
      </c>
      <c r="B223" s="1290"/>
      <c r="C223" s="1290"/>
      <c r="D223" s="1290"/>
      <c r="E223" s="1290"/>
      <c r="F223" s="1290"/>
      <c r="G223" s="1290"/>
    </row>
    <row r="224" spans="1:7">
      <c r="D224" s="19"/>
    </row>
    <row r="225" spans="1:6">
      <c r="C225" s="177"/>
      <c r="D225" s="1291" t="s">
        <v>1205</v>
      </c>
      <c r="E225" s="1291"/>
      <c r="F225" s="1291"/>
    </row>
    <row r="226" spans="1:6">
      <c r="A226" s="172"/>
      <c r="B226" s="172"/>
      <c r="C226" s="172"/>
      <c r="D226" s="35"/>
      <c r="E226" s="35"/>
      <c r="F226" s="35"/>
    </row>
    <row r="227" spans="1:6">
      <c r="A227" s="175"/>
      <c r="B227" s="175"/>
      <c r="C227" s="175"/>
      <c r="D227" s="1291" t="s">
        <v>270</v>
      </c>
      <c r="E227" s="1291"/>
      <c r="F227" s="1291"/>
    </row>
    <row r="228" spans="1:6">
      <c r="A228" s="176"/>
      <c r="B228" s="468" t="s">
        <v>308</v>
      </c>
      <c r="D228" s="1293" t="s">
        <v>1206</v>
      </c>
      <c r="E228" s="1293"/>
      <c r="F228" s="1293"/>
    </row>
    <row r="229" spans="1:6">
      <c r="A229" s="176"/>
      <c r="B229" s="176"/>
      <c r="D229" s="1293"/>
      <c r="E229" s="1293"/>
      <c r="F229" s="1293"/>
    </row>
    <row r="230" spans="1:6">
      <c r="D230" s="35"/>
      <c r="E230" s="35"/>
      <c r="F230" s="35"/>
    </row>
    <row r="231" spans="1:6" ht="14.45" customHeight="1">
      <c r="A231" s="176"/>
      <c r="B231" s="468" t="s">
        <v>308</v>
      </c>
      <c r="D231" s="1275" t="s">
        <v>1207</v>
      </c>
      <c r="E231" s="1275"/>
      <c r="F231" s="1275"/>
    </row>
    <row r="232" spans="1:6">
      <c r="D232" s="1275"/>
      <c r="E232" s="1275"/>
      <c r="F232" s="1275"/>
    </row>
    <row r="233" spans="1:6">
      <c r="D233" s="1294" t="s">
        <v>902</v>
      </c>
      <c r="E233" s="1294"/>
      <c r="F233" s="1294"/>
    </row>
    <row r="234" spans="1:6">
      <c r="D234" s="35"/>
      <c r="E234" s="35"/>
      <c r="F234" s="35"/>
    </row>
    <row r="235" spans="1:6" ht="14.45" customHeight="1">
      <c r="A235" s="176"/>
      <c r="B235" s="468" t="s">
        <v>308</v>
      </c>
      <c r="D235" s="1275" t="s">
        <v>1209</v>
      </c>
      <c r="E235" s="1275"/>
      <c r="F235" s="1275"/>
    </row>
    <row r="236" spans="1:6">
      <c r="D236" s="1275"/>
      <c r="E236" s="1275"/>
      <c r="F236" s="1275"/>
    </row>
    <row r="237" spans="1:6">
      <c r="D237" s="1275"/>
      <c r="E237" s="1275"/>
      <c r="F237" s="1275"/>
    </row>
    <row r="238" spans="1:6">
      <c r="D238" s="1275"/>
      <c r="E238" s="1275"/>
      <c r="F238" s="1275"/>
    </row>
    <row r="239" spans="1:6">
      <c r="D239" s="1275"/>
      <c r="E239" s="1275"/>
      <c r="F239" s="1275"/>
    </row>
    <row r="240" spans="1:6">
      <c r="D240" s="35"/>
      <c r="E240" s="35"/>
      <c r="F240" s="35"/>
    </row>
    <row r="241" spans="1:7">
      <c r="A241" s="176"/>
      <c r="B241" s="468" t="s">
        <v>308</v>
      </c>
      <c r="D241" s="1275" t="s">
        <v>1208</v>
      </c>
      <c r="E241" s="1275"/>
      <c r="F241" s="1275"/>
    </row>
    <row r="242" spans="1:7">
      <c r="D242" s="1275"/>
      <c r="E242" s="1275"/>
      <c r="F242" s="1275"/>
    </row>
    <row r="243" spans="1:7">
      <c r="D243" s="1275"/>
      <c r="E243" s="1275"/>
      <c r="F243" s="1275"/>
    </row>
    <row r="244" spans="1:7">
      <c r="D244" s="178"/>
      <c r="E244" s="35"/>
      <c r="F244" s="35"/>
    </row>
    <row r="245" spans="1:7">
      <c r="A245" s="1290" t="s">
        <v>1077</v>
      </c>
      <c r="B245" s="1290"/>
      <c r="C245" s="1290"/>
      <c r="D245" s="1290"/>
      <c r="E245" s="1290"/>
      <c r="F245" s="1290"/>
      <c r="G245" s="1290"/>
    </row>
    <row r="246" spans="1:7">
      <c r="D246" s="178"/>
      <c r="E246" s="35"/>
      <c r="F246" s="35"/>
    </row>
    <row r="247" spans="1:7">
      <c r="C247" s="172"/>
      <c r="D247" s="1308" t="s">
        <v>1210</v>
      </c>
      <c r="E247" s="1308"/>
      <c r="F247" s="1308"/>
    </row>
    <row r="248" spans="1:7">
      <c r="C248" s="172"/>
      <c r="D248" s="1308"/>
      <c r="E248" s="1308"/>
      <c r="F248" s="1308"/>
    </row>
    <row r="249" spans="1:7">
      <c r="A249" s="175"/>
      <c r="B249" s="175"/>
      <c r="C249" s="175"/>
      <c r="D249" s="2"/>
      <c r="E249" s="3"/>
      <c r="F249" s="3"/>
    </row>
    <row r="250" spans="1:7">
      <c r="C250" s="175"/>
      <c r="D250" s="1291" t="s">
        <v>210</v>
      </c>
      <c r="E250" s="1291"/>
      <c r="F250" s="1291"/>
    </row>
    <row r="251" spans="1:7" ht="15.75" customHeight="1">
      <c r="A251" s="176"/>
      <c r="B251" s="176"/>
      <c r="D251" s="1297" t="s">
        <v>1211</v>
      </c>
      <c r="E251" s="1297"/>
      <c r="F251" s="1297"/>
    </row>
    <row r="252" spans="1:7">
      <c r="E252" s="35"/>
      <c r="F252" s="35"/>
    </row>
    <row r="253" spans="1:7">
      <c r="A253" s="176"/>
      <c r="B253" s="468" t="s">
        <v>308</v>
      </c>
      <c r="D253" s="1275" t="s">
        <v>1212</v>
      </c>
      <c r="E253" s="1275"/>
      <c r="F253" s="1275"/>
    </row>
    <row r="254" spans="1:7">
      <c r="A254" s="176"/>
      <c r="B254" s="176"/>
      <c r="D254" s="1275"/>
      <c r="E254" s="1275"/>
      <c r="F254" s="1275"/>
    </row>
    <row r="255" spans="1:7">
      <c r="D255" s="35"/>
      <c r="E255" s="35"/>
      <c r="F255" s="35"/>
    </row>
    <row r="256" spans="1:7">
      <c r="A256" s="176"/>
      <c r="B256" s="468" t="s">
        <v>308</v>
      </c>
      <c r="D256" s="1275" t="s">
        <v>1213</v>
      </c>
      <c r="E256" s="1275"/>
      <c r="F256" s="1275"/>
    </row>
    <row r="257" spans="1:7">
      <c r="A257" s="176"/>
      <c r="B257" s="176"/>
      <c r="D257" s="1275"/>
      <c r="E257" s="1275"/>
      <c r="F257" s="1275"/>
    </row>
    <row r="258" spans="1:7">
      <c r="A258" s="176"/>
      <c r="B258" s="176"/>
      <c r="D258" s="1275"/>
      <c r="E258" s="1275"/>
      <c r="F258" s="1275"/>
    </row>
    <row r="259" spans="1:7">
      <c r="D259" s="35"/>
      <c r="E259" s="35"/>
      <c r="F259" s="35"/>
    </row>
    <row r="260" spans="1:7">
      <c r="A260" s="176"/>
      <c r="B260" s="468" t="s">
        <v>308</v>
      </c>
      <c r="D260" s="1275" t="s">
        <v>1214</v>
      </c>
      <c r="E260" s="1275"/>
      <c r="F260" s="1275"/>
    </row>
    <row r="261" spans="1:7">
      <c r="A261" s="176"/>
      <c r="B261" s="176"/>
      <c r="D261" s="1275"/>
      <c r="E261" s="1275"/>
      <c r="F261" s="1275"/>
    </row>
    <row r="262" spans="1:7">
      <c r="A262" s="13"/>
      <c r="B262" s="13"/>
      <c r="E262" s="35"/>
      <c r="F262" s="35"/>
    </row>
    <row r="263" spans="1:7">
      <c r="A263" s="1290" t="s">
        <v>1078</v>
      </c>
      <c r="B263" s="1290"/>
      <c r="C263" s="1290"/>
      <c r="D263" s="1290"/>
      <c r="E263" s="1290"/>
      <c r="F263" s="1290"/>
      <c r="G263" s="1290"/>
    </row>
    <row r="264" spans="1:7">
      <c r="A264" s="13"/>
      <c r="B264" s="13"/>
      <c r="D264" s="35"/>
      <c r="E264" s="35"/>
      <c r="F264" s="35"/>
    </row>
    <row r="265" spans="1:7">
      <c r="C265" s="13"/>
      <c r="D265" s="1291" t="s">
        <v>691</v>
      </c>
      <c r="E265" s="1291"/>
      <c r="F265" s="1291"/>
    </row>
    <row r="266" spans="1:7">
      <c r="C266" s="13"/>
      <c r="D266" s="1286" t="s">
        <v>1215</v>
      </c>
      <c r="E266" s="1286"/>
      <c r="F266" s="1286"/>
    </row>
    <row r="267" spans="1:7">
      <c r="C267" s="13"/>
      <c r="D267" s="173"/>
    </row>
    <row r="268" spans="1:7">
      <c r="B268" s="468" t="s">
        <v>308</v>
      </c>
      <c r="D268" s="1286" t="s">
        <v>1216</v>
      </c>
      <c r="E268" s="1286"/>
      <c r="F268" s="1286"/>
    </row>
    <row r="269" spans="1:7">
      <c r="A269" s="176"/>
      <c r="B269" s="176"/>
      <c r="D269" s="341"/>
      <c r="E269" s="342"/>
      <c r="F269" s="342"/>
    </row>
    <row r="270" spans="1:7" ht="13.15" customHeight="1">
      <c r="B270" s="468" t="s">
        <v>308</v>
      </c>
      <c r="D270" s="1295" t="s">
        <v>1217</v>
      </c>
      <c r="E270" s="1295"/>
      <c r="F270" s="1295"/>
    </row>
    <row r="271" spans="1:7">
      <c r="A271" s="176"/>
      <c r="B271" s="176"/>
      <c r="D271" s="1295"/>
      <c r="E271" s="1295"/>
      <c r="F271" s="1295"/>
    </row>
    <row r="272" spans="1:7">
      <c r="A272" s="176"/>
      <c r="B272" s="176"/>
      <c r="D272" s="1295"/>
      <c r="E272" s="1295"/>
      <c r="F272" s="1295"/>
    </row>
    <row r="273" spans="1:6">
      <c r="A273" s="176"/>
      <c r="B273" s="176"/>
      <c r="D273" s="1295"/>
      <c r="E273" s="1295"/>
      <c r="F273" s="1295"/>
    </row>
    <row r="274" spans="1:6">
      <c r="A274" s="176"/>
      <c r="B274" s="176"/>
      <c r="D274" s="1295"/>
      <c r="E274" s="1295"/>
      <c r="F274" s="1295"/>
    </row>
    <row r="275" spans="1:6">
      <c r="A275" s="176"/>
      <c r="B275" s="176"/>
      <c r="D275" s="341"/>
      <c r="E275" s="342"/>
      <c r="F275" s="342"/>
    </row>
    <row r="276" spans="1:6" ht="13.15" customHeight="1">
      <c r="B276" s="468" t="s">
        <v>308</v>
      </c>
      <c r="D276" s="1295" t="s">
        <v>1218</v>
      </c>
      <c r="E276" s="1295"/>
      <c r="F276" s="1295"/>
    </row>
    <row r="277" spans="1:6">
      <c r="D277" s="1295"/>
      <c r="E277" s="1295"/>
      <c r="F277" s="1295"/>
    </row>
    <row r="278" spans="1:6">
      <c r="A278" s="176"/>
      <c r="B278" s="176"/>
      <c r="D278" s="341"/>
      <c r="E278" s="342"/>
      <c r="F278" s="342"/>
    </row>
    <row r="279" spans="1:6">
      <c r="B279" s="468" t="s">
        <v>308</v>
      </c>
      <c r="D279" s="1286" t="s">
        <v>1219</v>
      </c>
      <c r="E279" s="1286"/>
      <c r="F279" s="1286"/>
    </row>
    <row r="280" spans="1:6">
      <c r="E280" s="35"/>
      <c r="F280" s="35"/>
    </row>
    <row r="281" spans="1:6">
      <c r="A281" s="176"/>
      <c r="B281" s="468" t="s">
        <v>308</v>
      </c>
      <c r="D281" s="1275" t="s">
        <v>1220</v>
      </c>
      <c r="E281" s="1275"/>
      <c r="F281" s="1275"/>
    </row>
    <row r="282" spans="1:6">
      <c r="A282" s="176"/>
      <c r="B282" s="176"/>
      <c r="D282" s="1275"/>
      <c r="E282" s="1275"/>
      <c r="F282" s="1275"/>
    </row>
    <row r="283" spans="1:6">
      <c r="A283" s="176"/>
      <c r="B283" s="176"/>
      <c r="D283" s="1275"/>
      <c r="E283" s="1275"/>
      <c r="F283" s="1275"/>
    </row>
    <row r="284" spans="1:6">
      <c r="A284" s="176"/>
      <c r="B284" s="176"/>
      <c r="D284" s="1275"/>
      <c r="E284" s="1275"/>
      <c r="F284" s="1275"/>
    </row>
    <row r="285" spans="1:6">
      <c r="A285" s="176"/>
      <c r="B285" s="176"/>
      <c r="D285" s="1275"/>
      <c r="E285" s="1275"/>
      <c r="F285" s="1275"/>
    </row>
    <row r="286" spans="1:6">
      <c r="A286" s="176"/>
      <c r="B286" s="176"/>
      <c r="D286" s="1275"/>
      <c r="E286" s="1275"/>
      <c r="F286" s="1275"/>
    </row>
    <row r="287" spans="1:6">
      <c r="A287" s="176"/>
      <c r="B287" s="176"/>
      <c r="D287" s="1275"/>
      <c r="E287" s="1275"/>
      <c r="F287" s="1275"/>
    </row>
    <row r="288" spans="1:6">
      <c r="A288" s="176"/>
      <c r="B288" s="176"/>
      <c r="D288" s="1275"/>
      <c r="E288" s="1275"/>
      <c r="F288" s="1275"/>
    </row>
    <row r="289" spans="1:6">
      <c r="A289" s="176"/>
      <c r="B289" s="176"/>
      <c r="D289" s="1275"/>
      <c r="E289" s="1275"/>
      <c r="F289" s="1275"/>
    </row>
    <row r="290" spans="1:6">
      <c r="A290" s="176"/>
      <c r="B290" s="176"/>
      <c r="D290" s="1275"/>
      <c r="E290" s="1275"/>
      <c r="F290" s="1275"/>
    </row>
    <row r="291" spans="1:6">
      <c r="A291" s="176"/>
      <c r="B291" s="176"/>
      <c r="D291" s="1275"/>
      <c r="E291" s="1275"/>
      <c r="F291" s="1275"/>
    </row>
    <row r="292" spans="1:6">
      <c r="A292" s="176"/>
      <c r="B292" s="176"/>
      <c r="D292" s="1275"/>
      <c r="E292" s="1275"/>
      <c r="F292" s="1275"/>
    </row>
    <row r="293" spans="1:6">
      <c r="A293" s="176"/>
      <c r="B293" s="176"/>
      <c r="D293" s="1275"/>
      <c r="E293" s="1275"/>
      <c r="F293" s="1275"/>
    </row>
    <row r="294" spans="1:6">
      <c r="A294" s="176"/>
      <c r="B294" s="176"/>
      <c r="D294" s="1275"/>
      <c r="E294" s="1275"/>
      <c r="F294" s="1275"/>
    </row>
    <row r="295" spans="1:6">
      <c r="A295" s="176"/>
      <c r="B295" s="176"/>
      <c r="D295" s="1275"/>
      <c r="E295" s="1275"/>
      <c r="F295" s="1275"/>
    </row>
    <row r="296" spans="1:6">
      <c r="D296" s="35"/>
      <c r="E296" s="35"/>
      <c r="F296" s="35"/>
    </row>
    <row r="297" spans="1:6">
      <c r="A297" s="176"/>
      <c r="B297" s="468" t="s">
        <v>308</v>
      </c>
      <c r="D297" s="1275" t="s">
        <v>1221</v>
      </c>
      <c r="E297" s="1275"/>
      <c r="F297" s="1275"/>
    </row>
    <row r="298" spans="1:6">
      <c r="D298" s="1275"/>
      <c r="E298" s="1275"/>
      <c r="F298" s="1275"/>
    </row>
    <row r="299" spans="1:6">
      <c r="D299" s="1275"/>
      <c r="E299" s="1275"/>
      <c r="F299" s="1275"/>
    </row>
    <row r="300" spans="1:6">
      <c r="D300" s="1275"/>
      <c r="E300" s="1275"/>
      <c r="F300" s="1275"/>
    </row>
    <row r="301" spans="1:6">
      <c r="D301" s="1275"/>
      <c r="E301" s="1275"/>
      <c r="F301" s="1275"/>
    </row>
    <row r="302" spans="1:6">
      <c r="D302" s="1275"/>
      <c r="E302" s="1275"/>
      <c r="F302" s="1275"/>
    </row>
    <row r="303" spans="1:6">
      <c r="D303" s="1275"/>
      <c r="E303" s="1275"/>
      <c r="F303" s="1275"/>
    </row>
    <row r="304" spans="1:6">
      <c r="D304" s="1275"/>
      <c r="E304" s="1275"/>
      <c r="F304" s="1275"/>
    </row>
    <row r="305" spans="1:7">
      <c r="D305" s="1275"/>
      <c r="E305" s="1275"/>
      <c r="F305" s="1275"/>
    </row>
    <row r="306" spans="1:7">
      <c r="D306" s="35"/>
      <c r="E306" s="35"/>
      <c r="F306" s="35"/>
    </row>
    <row r="307" spans="1:7">
      <c r="A307" s="176"/>
      <c r="B307" s="468" t="s">
        <v>308</v>
      </c>
      <c r="D307" s="1275" t="s">
        <v>1222</v>
      </c>
      <c r="E307" s="1275"/>
      <c r="F307" s="1275"/>
    </row>
    <row r="308" spans="1:7">
      <c r="D308" s="1275"/>
      <c r="E308" s="1275"/>
      <c r="F308" s="1275"/>
      <c r="G308"/>
    </row>
    <row r="309" spans="1:7">
      <c r="D309" s="1275"/>
      <c r="E309" s="1275"/>
      <c r="F309" s="1275"/>
      <c r="G309"/>
    </row>
    <row r="310" spans="1:7">
      <c r="D310" s="1275"/>
      <c r="E310" s="1275"/>
      <c r="F310" s="1275"/>
      <c r="G310"/>
    </row>
    <row r="311" spans="1:7">
      <c r="D311" s="1275"/>
      <c r="E311" s="1275"/>
      <c r="F311" s="1275"/>
      <c r="G311"/>
    </row>
    <row r="312" spans="1:7">
      <c r="D312" s="1275"/>
      <c r="E312" s="1275"/>
      <c r="F312" s="1275"/>
      <c r="G312"/>
    </row>
    <row r="313" spans="1:7">
      <c r="D313" s="474"/>
      <c r="E313" s="474"/>
      <c r="F313" s="474"/>
      <c r="G313"/>
    </row>
    <row r="314" spans="1:7" ht="13.75" thickBot="1">
      <c r="D314" s="1298" t="s">
        <v>999</v>
      </c>
      <c r="E314" s="1298"/>
      <c r="F314" s="1298"/>
      <c r="G314"/>
    </row>
    <row r="315" spans="1:7" ht="13.75" thickTop="1">
      <c r="D315" s="1299" t="s">
        <v>1223</v>
      </c>
      <c r="E315" s="1299"/>
      <c r="F315" s="1299"/>
      <c r="G315"/>
    </row>
    <row r="316" spans="1:7">
      <c r="A316" s="218"/>
      <c r="B316" s="218"/>
      <c r="C316" s="218"/>
      <c r="D316" s="220"/>
      <c r="E316" s="220"/>
      <c r="F316" s="35"/>
      <c r="G316"/>
    </row>
    <row r="317" spans="1:7">
      <c r="A317" s="176"/>
      <c r="B317" s="468" t="s">
        <v>308</v>
      </c>
      <c r="C317" s="218"/>
      <c r="D317" s="1288" t="s">
        <v>1224</v>
      </c>
      <c r="E317" s="1288"/>
      <c r="F317" s="1288"/>
      <c r="G317"/>
    </row>
    <row r="318" spans="1:7">
      <c r="A318" s="218"/>
      <c r="B318" s="218"/>
      <c r="C318" s="218"/>
      <c r="D318" s="220"/>
      <c r="E318" s="220"/>
      <c r="F318" s="35"/>
      <c r="G318"/>
    </row>
    <row r="319" spans="1:7">
      <c r="A319" s="218"/>
      <c r="B319" s="468" t="s">
        <v>308</v>
      </c>
      <c r="C319" s="218"/>
      <c r="D319" s="1284" t="s">
        <v>1225</v>
      </c>
      <c r="E319" s="1284"/>
      <c r="F319" s="1284"/>
      <c r="G319"/>
    </row>
    <row r="320" spans="1:7">
      <c r="A320" s="218"/>
      <c r="B320" s="218"/>
      <c r="C320" s="218"/>
      <c r="D320" s="1284"/>
      <c r="E320" s="1284"/>
      <c r="F320" s="1284"/>
      <c r="G320"/>
    </row>
    <row r="321" spans="1:7">
      <c r="A321" s="218"/>
      <c r="B321" s="218"/>
      <c r="C321" s="218"/>
      <c r="D321" s="1284"/>
      <c r="E321" s="1284"/>
      <c r="F321" s="1284"/>
      <c r="G321"/>
    </row>
    <row r="322" spans="1:7">
      <c r="A322" s="218"/>
      <c r="B322" s="218"/>
      <c r="C322" s="218"/>
      <c r="D322" s="1284"/>
      <c r="E322" s="1284"/>
      <c r="F322" s="1284"/>
      <c r="G322"/>
    </row>
    <row r="323" spans="1:7">
      <c r="A323" s="218"/>
      <c r="B323" s="218"/>
      <c r="C323" s="218"/>
      <c r="D323" s="1284"/>
      <c r="E323" s="1284"/>
      <c r="F323" s="1284"/>
      <c r="G323"/>
    </row>
    <row r="324" spans="1:7">
      <c r="A324" s="218"/>
      <c r="B324" s="218"/>
      <c r="C324" s="218"/>
      <c r="D324" s="1284"/>
      <c r="E324" s="1284"/>
      <c r="F324" s="1284"/>
      <c r="G324"/>
    </row>
    <row r="325" spans="1:7">
      <c r="A325" s="218"/>
      <c r="B325" s="218"/>
      <c r="C325" s="218"/>
      <c r="D325" s="1284"/>
      <c r="E325" s="1284"/>
      <c r="F325" s="1284"/>
      <c r="G325"/>
    </row>
    <row r="326" spans="1:7">
      <c r="A326" s="218"/>
      <c r="B326" s="218"/>
      <c r="C326" s="218"/>
      <c r="D326" s="1284"/>
      <c r="E326" s="1284"/>
      <c r="F326" s="1284"/>
      <c r="G326"/>
    </row>
    <row r="327" spans="1:7">
      <c r="A327" s="218"/>
      <c r="B327" s="218"/>
      <c r="C327" s="218"/>
      <c r="D327" s="1284"/>
      <c r="E327" s="1284"/>
      <c r="F327" s="1284"/>
      <c r="G327"/>
    </row>
    <row r="328" spans="1:7">
      <c r="A328" s="218"/>
      <c r="B328" s="218"/>
      <c r="C328" s="218"/>
      <c r="D328" s="1284"/>
      <c r="E328" s="1284"/>
      <c r="F328" s="1284"/>
      <c r="G328"/>
    </row>
    <row r="329" spans="1:7">
      <c r="A329" s="218"/>
      <c r="B329" s="218"/>
      <c r="C329" s="218"/>
      <c r="D329" s="1284"/>
      <c r="E329" s="1284"/>
      <c r="F329" s="1284"/>
      <c r="G329"/>
    </row>
    <row r="330" spans="1:7">
      <c r="A330" s="218"/>
      <c r="B330" s="218"/>
      <c r="C330" s="218"/>
      <c r="D330"/>
      <c r="E330" s="220"/>
      <c r="F330" s="35"/>
      <c r="G330"/>
    </row>
    <row r="331" spans="1:7">
      <c r="A331" s="176"/>
      <c r="B331" s="468" t="s">
        <v>308</v>
      </c>
      <c r="C331" s="218"/>
      <c r="D331" s="1284" t="s">
        <v>1226</v>
      </c>
      <c r="E331" s="1284"/>
      <c r="F331" s="1284"/>
      <c r="G331"/>
    </row>
    <row r="332" spans="1:7">
      <c r="A332" s="218"/>
      <c r="B332" s="218"/>
      <c r="C332" s="218"/>
      <c r="D332" s="1284"/>
      <c r="E332" s="1284"/>
      <c r="F332" s="1284"/>
      <c r="G332"/>
    </row>
    <row r="333" spans="1:7">
      <c r="A333" s="218"/>
      <c r="B333" s="218"/>
      <c r="C333" s="218"/>
      <c r="D333" s="1284"/>
      <c r="E333" s="1284"/>
      <c r="F333" s="1284"/>
      <c r="G333"/>
    </row>
    <row r="334" spans="1:7">
      <c r="A334" s="218"/>
      <c r="B334" s="218"/>
      <c r="C334" s="218"/>
      <c r="D334" s="1284"/>
      <c r="E334" s="1284"/>
      <c r="F334" s="1284"/>
      <c r="G334"/>
    </row>
    <row r="335" spans="1:7">
      <c r="A335" s="218"/>
      <c r="B335" s="218"/>
      <c r="C335" s="218"/>
      <c r="D335" s="220"/>
      <c r="E335" s="220"/>
      <c r="F335" s="35"/>
      <c r="G335"/>
    </row>
    <row r="336" spans="1:7">
      <c r="A336" s="218"/>
      <c r="B336" s="218"/>
      <c r="C336" s="218"/>
      <c r="D336" s="1284" t="s">
        <v>1227</v>
      </c>
      <c r="E336" s="1284"/>
      <c r="F336" s="1284"/>
      <c r="G336"/>
    </row>
    <row r="337" spans="1:7">
      <c r="A337" s="218"/>
      <c r="B337" s="218"/>
      <c r="C337" s="218"/>
      <c r="D337" s="1284"/>
      <c r="E337" s="1284"/>
      <c r="F337" s="1284"/>
      <c r="G337"/>
    </row>
    <row r="338" spans="1:7">
      <c r="A338" s="218"/>
      <c r="B338" s="218"/>
      <c r="C338" s="218"/>
      <c r="D338" s="1284"/>
      <c r="E338" s="1284"/>
      <c r="F338" s="1284"/>
      <c r="G338"/>
    </row>
    <row r="339" spans="1:7">
      <c r="A339" s="218"/>
      <c r="B339" s="218"/>
      <c r="C339" s="218"/>
      <c r="D339" s="1284"/>
      <c r="E339" s="1284"/>
      <c r="F339" s="1284"/>
      <c r="G339"/>
    </row>
    <row r="340" spans="1:7" ht="18" customHeight="1">
      <c r="A340" s="218"/>
      <c r="B340" s="218"/>
      <c r="C340" s="218"/>
      <c r="D340" s="1284"/>
      <c r="E340" s="1284"/>
      <c r="F340" s="1284"/>
      <c r="G340"/>
    </row>
    <row r="341" spans="1:7">
      <c r="A341" s="218"/>
      <c r="B341" s="218"/>
      <c r="C341" s="218"/>
      <c r="D341" s="1284"/>
      <c r="E341" s="1284"/>
      <c r="F341" s="1284"/>
      <c r="G341"/>
    </row>
    <row r="342" spans="1:7">
      <c r="A342" s="218"/>
      <c r="B342" s="218"/>
      <c r="C342" s="218"/>
      <c r="D342" s="1284"/>
      <c r="E342" s="1284"/>
      <c r="F342" s="1284"/>
      <c r="G342"/>
    </row>
    <row r="343" spans="1:7">
      <c r="A343" s="218"/>
      <c r="B343" s="218"/>
      <c r="C343" s="218"/>
      <c r="D343" s="1284"/>
      <c r="E343" s="1284"/>
      <c r="F343" s="1284"/>
      <c r="G343"/>
    </row>
    <row r="344" spans="1:7" ht="8.25" customHeight="1">
      <c r="A344" s="218"/>
      <c r="B344" s="218"/>
      <c r="C344" s="218"/>
      <c r="D344" s="1284"/>
      <c r="E344" s="1284"/>
      <c r="F344" s="1284"/>
      <c r="G344"/>
    </row>
    <row r="345" spans="1:7" ht="13.15" customHeight="1">
      <c r="A345" s="218"/>
      <c r="B345" s="218"/>
      <c r="C345" s="218"/>
      <c r="D345" s="1284" t="s">
        <v>1228</v>
      </c>
      <c r="E345" s="1284"/>
      <c r="F345" s="1284"/>
      <c r="G345"/>
    </row>
    <row r="346" spans="1:7">
      <c r="A346" s="218"/>
      <c r="B346" s="218"/>
      <c r="C346" s="218"/>
      <c r="D346" s="1284"/>
      <c r="E346" s="1284"/>
      <c r="F346" s="1284"/>
      <c r="G346"/>
    </row>
    <row r="347" spans="1:7">
      <c r="A347" s="218"/>
      <c r="B347" s="218"/>
      <c r="C347" s="218"/>
      <c r="D347" s="1284"/>
      <c r="E347" s="1284"/>
      <c r="F347" s="1284"/>
      <c r="G347"/>
    </row>
    <row r="348" spans="1:7">
      <c r="A348" s="218"/>
      <c r="B348" s="218"/>
      <c r="C348" s="218"/>
      <c r="D348" s="1284"/>
      <c r="E348" s="1284"/>
      <c r="F348" s="1284"/>
      <c r="G348"/>
    </row>
    <row r="349" spans="1:7">
      <c r="A349" s="218"/>
      <c r="B349" s="218"/>
      <c r="C349" s="218"/>
      <c r="D349" s="1284"/>
      <c r="E349" s="1284"/>
      <c r="F349" s="1284"/>
      <c r="G349"/>
    </row>
    <row r="350" spans="1:7">
      <c r="A350" s="218"/>
      <c r="B350" s="218"/>
      <c r="C350" s="218"/>
      <c r="D350" s="1284"/>
      <c r="E350" s="1284"/>
      <c r="F350" s="1284"/>
      <c r="G350"/>
    </row>
    <row r="351" spans="1:7">
      <c r="A351" s="218"/>
      <c r="B351" s="218"/>
      <c r="C351" s="218"/>
      <c r="D351" s="1284"/>
      <c r="E351" s="1284"/>
      <c r="F351" s="1284"/>
      <c r="G351"/>
    </row>
    <row r="352" spans="1:7">
      <c r="A352" s="218"/>
      <c r="B352" s="218"/>
      <c r="C352" s="218"/>
      <c r="D352" s="1284"/>
      <c r="E352" s="1284"/>
      <c r="F352" s="1284"/>
      <c r="G352"/>
    </row>
    <row r="353" spans="1:7">
      <c r="A353" s="218"/>
      <c r="B353" s="218"/>
      <c r="C353" s="218"/>
      <c r="D353" s="1284"/>
      <c r="E353" s="1284"/>
      <c r="F353" s="1284"/>
      <c r="G353"/>
    </row>
    <row r="354" spans="1:7">
      <c r="A354" s="218"/>
      <c r="B354" s="218"/>
      <c r="C354" s="218"/>
      <c r="D354" s="1284"/>
      <c r="E354" s="1284"/>
      <c r="F354" s="1284"/>
      <c r="G354"/>
    </row>
    <row r="355" spans="1:7">
      <c r="A355" s="218"/>
      <c r="B355" s="218"/>
      <c r="C355" s="218"/>
      <c r="D355" s="1284"/>
      <c r="E355" s="1284"/>
      <c r="F355" s="1284"/>
      <c r="G355"/>
    </row>
    <row r="356" spans="1:7">
      <c r="A356" s="218"/>
      <c r="B356" s="218"/>
      <c r="C356" s="218"/>
      <c r="D356" s="1284"/>
      <c r="E356" s="1284"/>
      <c r="F356" s="1284"/>
      <c r="G356"/>
    </row>
    <row r="357" spans="1:7">
      <c r="A357" s="218"/>
      <c r="B357" s="218"/>
      <c r="C357" s="347"/>
      <c r="D357" s="1284"/>
      <c r="E357" s="1284"/>
      <c r="F357" s="1284"/>
      <c r="G357"/>
    </row>
    <row r="358" spans="1:7">
      <c r="A358" s="218"/>
      <c r="B358" s="218"/>
      <c r="C358" s="347"/>
      <c r="D358" s="1284"/>
      <c r="E358" s="1284"/>
      <c r="F358" s="1284"/>
      <c r="G358"/>
    </row>
    <row r="359" spans="1:7">
      <c r="A359" s="218"/>
      <c r="B359" s="218"/>
      <c r="C359" s="218"/>
      <c r="D359" s="1284"/>
      <c r="E359" s="1284"/>
      <c r="F359" s="1284"/>
      <c r="G359"/>
    </row>
    <row r="360" spans="1:7">
      <c r="A360" s="218"/>
      <c r="B360" s="218"/>
      <c r="C360" s="347"/>
      <c r="D360" s="1284"/>
      <c r="E360" s="1284"/>
      <c r="F360" s="1284"/>
      <c r="G360"/>
    </row>
    <row r="361" spans="1:7">
      <c r="A361" s="218"/>
      <c r="B361" s="218"/>
      <c r="C361" s="347"/>
      <c r="D361" s="1284"/>
      <c r="E361" s="1284"/>
      <c r="F361" s="1284"/>
      <c r="G361"/>
    </row>
    <row r="362" spans="1:7">
      <c r="A362" s="218"/>
      <c r="B362" s="218"/>
      <c r="C362" s="347"/>
      <c r="D362" s="1284"/>
      <c r="E362" s="1284"/>
      <c r="F362" s="1284"/>
      <c r="G362"/>
    </row>
    <row r="363" spans="1:7">
      <c r="A363" s="218"/>
      <c r="B363" s="218"/>
      <c r="C363" s="218"/>
      <c r="D363" s="220"/>
      <c r="E363" s="220"/>
      <c r="F363" s="35"/>
      <c r="G363"/>
    </row>
    <row r="364" spans="1:7">
      <c r="A364" s="218"/>
      <c r="B364" s="468" t="s">
        <v>308</v>
      </c>
      <c r="C364" s="218"/>
      <c r="D364" s="1284" t="s">
        <v>1229</v>
      </c>
      <c r="E364" s="1284"/>
      <c r="F364" s="1284"/>
      <c r="G364"/>
    </row>
    <row r="365" spans="1:7">
      <c r="A365" s="218"/>
      <c r="B365" s="218"/>
      <c r="C365" s="218"/>
      <c r="D365" s="1284"/>
      <c r="E365" s="1284"/>
      <c r="F365" s="1284"/>
      <c r="G365"/>
    </row>
    <row r="366" spans="1:7">
      <c r="A366" s="218"/>
      <c r="B366" s="218"/>
      <c r="C366" s="218"/>
      <c r="D366" s="220"/>
      <c r="E366" s="220"/>
      <c r="F366" s="35"/>
      <c r="G366"/>
    </row>
    <row r="367" spans="1:7">
      <c r="A367" s="176"/>
      <c r="B367" s="468" t="s">
        <v>308</v>
      </c>
      <c r="C367" s="218"/>
      <c r="D367" s="1284" t="s">
        <v>1230</v>
      </c>
      <c r="E367" s="1284"/>
      <c r="F367" s="1284"/>
      <c r="G367"/>
    </row>
    <row r="368" spans="1:7">
      <c r="A368" s="346"/>
      <c r="B368" s="346"/>
      <c r="C368" s="218"/>
      <c r="D368" s="1284"/>
      <c r="E368" s="1284"/>
      <c r="F368" s="1284"/>
      <c r="G368"/>
    </row>
    <row r="369" spans="1:7">
      <c r="A369" s="346"/>
      <c r="B369" s="346"/>
      <c r="C369" s="218"/>
      <c r="D369" s="1284"/>
      <c r="E369" s="1284"/>
      <c r="F369" s="1284"/>
      <c r="G369"/>
    </row>
    <row r="370" spans="1:7">
      <c r="A370" s="346"/>
      <c r="B370" s="346"/>
      <c r="C370" s="218"/>
      <c r="D370" s="1284"/>
      <c r="E370" s="1284"/>
      <c r="F370" s="1284"/>
      <c r="G370"/>
    </row>
    <row r="371" spans="1:7">
      <c r="A371" s="346"/>
      <c r="B371" s="346"/>
      <c r="C371" s="218"/>
      <c r="D371" s="1284"/>
      <c r="E371" s="1284"/>
      <c r="F371" s="1284"/>
      <c r="G371"/>
    </row>
    <row r="372" spans="1:7">
      <c r="D372" s="35"/>
      <c r="E372" s="35"/>
      <c r="F372" s="35"/>
      <c r="G372"/>
    </row>
    <row r="373" spans="1:7">
      <c r="A373" s="176"/>
      <c r="B373" s="468" t="s">
        <v>308</v>
      </c>
      <c r="C373" s="179"/>
      <c r="D373" s="1275" t="s">
        <v>1231</v>
      </c>
      <c r="E373" s="1275"/>
      <c r="F373" s="1275"/>
      <c r="G373"/>
    </row>
    <row r="374" spans="1:7">
      <c r="A374" s="176"/>
      <c r="B374" s="176"/>
      <c r="D374" s="1275"/>
      <c r="E374" s="1275"/>
      <c r="F374" s="1275"/>
      <c r="G374"/>
    </row>
    <row r="375" spans="1:7">
      <c r="D375" s="1275"/>
      <c r="E375" s="1275"/>
      <c r="F375" s="1275"/>
      <c r="G375"/>
    </row>
    <row r="376" spans="1:7">
      <c r="D376" s="1275"/>
      <c r="E376" s="1275"/>
      <c r="F376" s="1275"/>
      <c r="G376"/>
    </row>
    <row r="377" spans="1:7">
      <c r="D377" s="1275"/>
      <c r="E377" s="1275"/>
      <c r="F377" s="1275"/>
      <c r="G377"/>
    </row>
    <row r="378" spans="1:7">
      <c r="D378" s="1275"/>
      <c r="E378" s="1275"/>
      <c r="F378" s="1275"/>
      <c r="G378"/>
    </row>
    <row r="379" spans="1:7">
      <c r="D379" s="1275"/>
      <c r="E379" s="1275"/>
      <c r="F379" s="1275"/>
      <c r="G379"/>
    </row>
    <row r="380" spans="1:7">
      <c r="D380" s="1275"/>
      <c r="E380" s="1275"/>
      <c r="F380" s="1275"/>
      <c r="G380"/>
    </row>
    <row r="381" spans="1:7">
      <c r="D381" s="1275"/>
      <c r="E381" s="1275"/>
      <c r="F381" s="1275"/>
      <c r="G381"/>
    </row>
    <row r="382" spans="1:7">
      <c r="D382" s="1275"/>
      <c r="E382" s="1275"/>
      <c r="F382" s="1275"/>
      <c r="G382"/>
    </row>
    <row r="383" spans="1:7">
      <c r="D383" s="1275"/>
      <c r="E383" s="1275"/>
      <c r="F383" s="1275"/>
      <c r="G383"/>
    </row>
    <row r="384" spans="1:7">
      <c r="D384" s="1275"/>
      <c r="E384" s="1275"/>
      <c r="F384" s="1275"/>
      <c r="G384"/>
    </row>
    <row r="385" spans="1:7">
      <c r="D385" s="1275"/>
      <c r="E385" s="1275"/>
      <c r="F385" s="1275"/>
      <c r="G385"/>
    </row>
    <row r="386" spans="1:7">
      <c r="A386"/>
      <c r="B386"/>
      <c r="C386"/>
      <c r="D386" s="1275"/>
      <c r="E386" s="1275"/>
      <c r="F386" s="1275"/>
      <c r="G386"/>
    </row>
    <row r="387" spans="1:7">
      <c r="A387"/>
      <c r="B387"/>
      <c r="C387"/>
      <c r="D387" s="1275"/>
      <c r="E387" s="1275"/>
      <c r="F387" s="1275"/>
      <c r="G387"/>
    </row>
    <row r="388" spans="1:7">
      <c r="A388"/>
      <c r="B388"/>
      <c r="C388"/>
      <c r="D388" s="1275"/>
      <c r="E388" s="1275"/>
      <c r="F388" s="1275"/>
      <c r="G388"/>
    </row>
    <row r="389" spans="1:7">
      <c r="A389"/>
      <c r="B389"/>
      <c r="C389"/>
      <c r="D389" s="1275"/>
      <c r="E389" s="1275"/>
      <c r="F389" s="1275"/>
      <c r="G389"/>
    </row>
    <row r="390" spans="1:7">
      <c r="A390"/>
      <c r="B390"/>
      <c r="C390"/>
      <c r="D390" s="1275"/>
      <c r="E390" s="1275"/>
      <c r="F390" s="1275"/>
      <c r="G390"/>
    </row>
    <row r="391" spans="1:7">
      <c r="A391"/>
      <c r="B391"/>
      <c r="C391"/>
      <c r="D391" s="1275"/>
      <c r="E391" s="1275"/>
      <c r="F391" s="1275"/>
      <c r="G391"/>
    </row>
    <row r="392" spans="1:7">
      <c r="A392"/>
      <c r="B392"/>
      <c r="C392"/>
      <c r="D392" s="1275"/>
      <c r="E392" s="1275"/>
      <c r="F392" s="1275"/>
      <c r="G392"/>
    </row>
    <row r="393" spans="1:7">
      <c r="A393"/>
      <c r="B393"/>
      <c r="C393"/>
      <c r="D393" s="1275"/>
      <c r="E393" s="1275"/>
      <c r="F393" s="1275"/>
      <c r="G393"/>
    </row>
    <row r="394" spans="1:7">
      <c r="A394"/>
      <c r="B394"/>
      <c r="C394"/>
      <c r="D394" s="1275"/>
      <c r="E394" s="1275"/>
      <c r="F394" s="1275"/>
      <c r="G394"/>
    </row>
    <row r="395" spans="1:7">
      <c r="A395"/>
      <c r="B395"/>
      <c r="C395"/>
      <c r="D395" s="1275"/>
      <c r="E395" s="1275"/>
      <c r="F395" s="1275"/>
      <c r="G395"/>
    </row>
    <row r="396" spans="1:7">
      <c r="A396"/>
      <c r="B396"/>
      <c r="C396"/>
      <c r="D396" s="1275"/>
      <c r="E396" s="1275"/>
      <c r="F396" s="1275"/>
      <c r="G396"/>
    </row>
    <row r="397" spans="1:7">
      <c r="A397"/>
      <c r="B397"/>
      <c r="C397"/>
      <c r="D397" s="1275"/>
      <c r="E397" s="1275"/>
      <c r="F397" s="1275"/>
      <c r="G397"/>
    </row>
    <row r="398" spans="1:7">
      <c r="A398"/>
      <c r="B398"/>
      <c r="C398"/>
      <c r="D398" s="1275"/>
      <c r="E398" s="1275"/>
      <c r="F398" s="1275"/>
      <c r="G398"/>
    </row>
    <row r="399" spans="1:7">
      <c r="A399"/>
      <c r="B399"/>
      <c r="C399"/>
      <c r="D399" s="1275"/>
      <c r="E399" s="1275"/>
      <c r="F399" s="1275"/>
      <c r="G399"/>
    </row>
    <row r="400" spans="1:7">
      <c r="A400"/>
      <c r="B400"/>
      <c r="C400"/>
      <c r="D400" s="1275"/>
      <c r="E400" s="1275"/>
      <c r="F400" s="1275"/>
      <c r="G400"/>
    </row>
    <row r="401" spans="1:7">
      <c r="A401"/>
      <c r="B401"/>
      <c r="C401"/>
      <c r="D401" s="1275"/>
      <c r="E401" s="1275"/>
      <c r="F401" s="1275"/>
      <c r="G401"/>
    </row>
    <row r="402" spans="1:7">
      <c r="D402" s="1275"/>
      <c r="E402" s="1275"/>
      <c r="F402" s="1275"/>
    </row>
    <row r="403" spans="1:7" ht="40.700000000000003" customHeight="1">
      <c r="D403" s="1275"/>
      <c r="E403" s="1275"/>
      <c r="F403" s="1275"/>
    </row>
    <row r="404" spans="1:7">
      <c r="D404" s="35"/>
      <c r="E404" s="35"/>
      <c r="F404" s="35"/>
    </row>
    <row r="405" spans="1:7">
      <c r="A405" s="176"/>
      <c r="B405" s="468" t="s">
        <v>308</v>
      </c>
      <c r="C405" s="179"/>
      <c r="D405" s="1286" t="s">
        <v>1232</v>
      </c>
      <c r="E405" s="1286"/>
      <c r="F405" s="1286"/>
    </row>
    <row r="406" spans="1:7">
      <c r="D406" s="1296" t="s">
        <v>1007</v>
      </c>
      <c r="E406" s="1296"/>
      <c r="F406" s="1296"/>
    </row>
    <row r="407" spans="1:7">
      <c r="D407" s="1275" t="s">
        <v>1233</v>
      </c>
      <c r="E407" s="1275"/>
      <c r="F407" s="1275"/>
    </row>
    <row r="408" spans="1:7">
      <c r="D408" s="1275"/>
      <c r="E408" s="1275"/>
      <c r="F408" s="1275"/>
    </row>
    <row r="409" spans="1:7">
      <c r="D409" s="1275"/>
      <c r="E409" s="1275"/>
      <c r="F409" s="1275"/>
    </row>
    <row r="410" spans="1:7">
      <c r="D410" s="1275"/>
      <c r="E410" s="1275"/>
      <c r="F410" s="1275"/>
    </row>
    <row r="411" spans="1:7">
      <c r="D411" s="35"/>
      <c r="E411" s="35"/>
      <c r="F411" s="35"/>
      <c r="G411"/>
    </row>
    <row r="412" spans="1:7">
      <c r="A412" s="176"/>
      <c r="B412" s="468" t="s">
        <v>308</v>
      </c>
      <c r="C412" s="179"/>
      <c r="D412" s="1275" t="s">
        <v>1234</v>
      </c>
      <c r="E412" s="1275"/>
      <c r="F412" s="1275"/>
      <c r="G412"/>
    </row>
    <row r="413" spans="1:7">
      <c r="D413" s="1275"/>
      <c r="E413" s="1275"/>
      <c r="F413" s="1275"/>
      <c r="G413"/>
    </row>
    <row r="414" spans="1:7">
      <c r="D414" s="1275"/>
      <c r="E414" s="1275"/>
      <c r="F414" s="1275"/>
      <c r="G414"/>
    </row>
    <row r="415" spans="1:7">
      <c r="D415" s="474"/>
      <c r="E415" s="474"/>
      <c r="F415" s="474"/>
      <c r="G415"/>
    </row>
    <row r="416" spans="1:7">
      <c r="B416" s="468" t="s">
        <v>308</v>
      </c>
      <c r="C416" s="176"/>
      <c r="D416" s="1275" t="s">
        <v>1235</v>
      </c>
      <c r="E416" s="1275"/>
      <c r="F416" s="1275"/>
      <c r="G416"/>
    </row>
    <row r="417" spans="1:7">
      <c r="D417" s="1275"/>
      <c r="E417" s="1275"/>
      <c r="F417" s="1275"/>
      <c r="G417"/>
    </row>
    <row r="418" spans="1:7">
      <c r="D418" s="35"/>
      <c r="E418" s="35"/>
      <c r="F418" s="35"/>
      <c r="G418"/>
    </row>
    <row r="419" spans="1:7">
      <c r="B419" s="468" t="s">
        <v>308</v>
      </c>
      <c r="C419" s="176"/>
      <c r="D419" s="1275" t="s">
        <v>1236</v>
      </c>
      <c r="E419" s="1275"/>
      <c r="F419" s="1275"/>
      <c r="G419"/>
    </row>
    <row r="420" spans="1:7">
      <c r="D420" s="1275"/>
      <c r="E420" s="1275"/>
      <c r="F420" s="1275"/>
      <c r="G420"/>
    </row>
    <row r="421" spans="1:7">
      <c r="D421" s="1275"/>
      <c r="E421" s="1275"/>
      <c r="F421" s="1275"/>
      <c r="G421"/>
    </row>
    <row r="422" spans="1:7">
      <c r="D422" s="1275"/>
      <c r="E422" s="1275"/>
      <c r="F422" s="1275"/>
      <c r="G422"/>
    </row>
    <row r="423" spans="1:7">
      <c r="B423" s="468" t="s">
        <v>308</v>
      </c>
      <c r="D423" s="1275"/>
      <c r="E423" s="1275"/>
      <c r="F423" s="1275"/>
      <c r="G423"/>
    </row>
    <row r="424" spans="1:7">
      <c r="A424"/>
      <c r="B424"/>
      <c r="C424"/>
      <c r="D424" s="1275"/>
      <c r="E424" s="1275"/>
      <c r="F424" s="1275"/>
      <c r="G424"/>
    </row>
    <row r="425" spans="1:7">
      <c r="A425"/>
      <c r="C425"/>
      <c r="D425" s="1275"/>
      <c r="E425" s="1275"/>
      <c r="F425" s="1275"/>
      <c r="G425"/>
    </row>
    <row r="426" spans="1:7">
      <c r="A426"/>
      <c r="B426" s="468" t="s">
        <v>308</v>
      </c>
      <c r="C426"/>
      <c r="D426" s="1275"/>
      <c r="E426" s="1275"/>
      <c r="F426" s="1275"/>
      <c r="G426"/>
    </row>
    <row r="427" spans="1:7">
      <c r="A427"/>
      <c r="B427"/>
      <c r="C427"/>
      <c r="D427" s="1275"/>
      <c r="E427" s="1275"/>
      <c r="F427" s="1275"/>
      <c r="G427"/>
    </row>
    <row r="428" spans="1:7">
      <c r="A428"/>
      <c r="C428"/>
      <c r="D428" s="1275"/>
      <c r="E428" s="1275"/>
      <c r="F428" s="1275"/>
      <c r="G428"/>
    </row>
    <row r="429" spans="1:7">
      <c r="A429"/>
      <c r="C429"/>
      <c r="D429" s="1275"/>
      <c r="E429" s="1275"/>
      <c r="F429" s="1275"/>
      <c r="G429"/>
    </row>
    <row r="430" spans="1:7">
      <c r="A430"/>
      <c r="B430" s="468" t="s">
        <v>308</v>
      </c>
      <c r="C430"/>
      <c r="D430" s="1275"/>
      <c r="E430" s="1275"/>
      <c r="F430" s="1275"/>
      <c r="G430"/>
    </row>
    <row r="431" spans="1:7">
      <c r="A431"/>
      <c r="B431"/>
      <c r="C431"/>
      <c r="D431" s="1275"/>
      <c r="E431" s="1275"/>
      <c r="F431" s="1275"/>
      <c r="G431"/>
    </row>
    <row r="432" spans="1:7">
      <c r="A432"/>
      <c r="B432" s="468" t="s">
        <v>308</v>
      </c>
      <c r="C432"/>
      <c r="D432" s="1275"/>
      <c r="E432" s="1275"/>
      <c r="F432" s="1275"/>
      <c r="G432"/>
    </row>
    <row r="433" spans="1:7">
      <c r="A433"/>
      <c r="B433"/>
      <c r="C433"/>
      <c r="D433" s="474"/>
      <c r="E433" s="474"/>
      <c r="F433" s="474"/>
      <c r="G433"/>
    </row>
    <row r="434" spans="1:7">
      <c r="A434"/>
      <c r="B434" s="468" t="s">
        <v>308</v>
      </c>
      <c r="C434"/>
      <c r="D434" s="1275" t="s">
        <v>1237</v>
      </c>
      <c r="E434" s="1275"/>
      <c r="F434" s="1275"/>
      <c r="G434"/>
    </row>
    <row r="435" spans="1:7">
      <c r="A435"/>
      <c r="B435"/>
      <c r="C435"/>
      <c r="D435" s="1275"/>
      <c r="E435" s="1275"/>
      <c r="F435" s="1275"/>
      <c r="G435"/>
    </row>
    <row r="436" spans="1:7">
      <c r="A436"/>
      <c r="B436"/>
      <c r="C436"/>
      <c r="D436" s="1275"/>
      <c r="E436" s="1275"/>
      <c r="F436" s="1275"/>
      <c r="G436"/>
    </row>
    <row r="437" spans="1:7">
      <c r="A437"/>
      <c r="B437"/>
      <c r="C437"/>
      <c r="D437" s="1275"/>
      <c r="E437" s="1275"/>
      <c r="F437" s="1275"/>
      <c r="G437"/>
    </row>
    <row r="438" spans="1:7">
      <c r="D438" s="1275"/>
      <c r="E438" s="1275"/>
      <c r="F438" s="1275"/>
    </row>
    <row r="439" spans="1:7">
      <c r="D439" s="35"/>
      <c r="E439" s="35"/>
      <c r="F439" s="35"/>
    </row>
    <row r="440" spans="1:7">
      <c r="B440" s="468" t="s">
        <v>308</v>
      </c>
      <c r="D440" s="1286" t="s">
        <v>1238</v>
      </c>
      <c r="E440" s="1286"/>
      <c r="F440" s="1286"/>
    </row>
    <row r="441" spans="1:7">
      <c r="A441" s="35"/>
      <c r="B441" s="35"/>
    </row>
    <row r="442" spans="1:7">
      <c r="A442" s="1290" t="s">
        <v>1079</v>
      </c>
      <c r="B442" s="1290"/>
      <c r="C442" s="1290"/>
      <c r="D442" s="1290"/>
      <c r="E442" s="1290"/>
      <c r="F442" s="1290"/>
      <c r="G442" s="1290"/>
    </row>
    <row r="443" spans="1:7">
      <c r="A443" s="35"/>
      <c r="B443" s="35"/>
    </row>
    <row r="444" spans="1:7">
      <c r="D444" s="1287" t="s">
        <v>896</v>
      </c>
      <c r="E444" s="1287"/>
      <c r="F444" s="1287"/>
    </row>
    <row r="445" spans="1:7">
      <c r="A445" s="176"/>
      <c r="B445" s="176"/>
      <c r="D445" s="1288" t="s">
        <v>1239</v>
      </c>
      <c r="E445" s="1288"/>
      <c r="F445" s="1288"/>
    </row>
    <row r="446" spans="1:7">
      <c r="A446" s="176"/>
      <c r="B446" s="176"/>
      <c r="D446" s="481"/>
      <c r="E446" s="3"/>
      <c r="F446" s="3"/>
    </row>
    <row r="447" spans="1:7">
      <c r="A447" s="176"/>
      <c r="B447" s="468" t="s">
        <v>308</v>
      </c>
      <c r="D447" s="1284" t="s">
        <v>1240</v>
      </c>
      <c r="E447" s="1284"/>
      <c r="F447" s="1284"/>
    </row>
    <row r="448" spans="1:7">
      <c r="A448" s="176"/>
      <c r="B448" s="176"/>
      <c r="D448" s="1284"/>
      <c r="E448" s="1284"/>
      <c r="F448" s="1284"/>
    </row>
    <row r="449" spans="1:7">
      <c r="A449" s="176"/>
      <c r="B449" s="176"/>
      <c r="D449" s="118"/>
      <c r="E449" s="3"/>
      <c r="F449" s="3"/>
    </row>
    <row r="450" spans="1:7">
      <c r="B450" s="468" t="s">
        <v>308</v>
      </c>
      <c r="D450" s="1289" t="s">
        <v>1241</v>
      </c>
      <c r="E450" s="1289"/>
      <c r="F450" s="1289"/>
    </row>
    <row r="451" spans="1:7">
      <c r="A451" s="176"/>
      <c r="D451" s="1289"/>
      <c r="E451" s="1289"/>
      <c r="F451" s="1289"/>
    </row>
    <row r="452" spans="1:7">
      <c r="A452" s="176"/>
      <c r="B452" s="176"/>
      <c r="D452" s="1289"/>
      <c r="E452" s="1289"/>
      <c r="F452" s="1289"/>
    </row>
    <row r="453" spans="1:7">
      <c r="A453" s="176"/>
      <c r="B453" s="176"/>
      <c r="D453" s="1289"/>
      <c r="E453" s="1289"/>
      <c r="F453" s="1289"/>
    </row>
    <row r="454" spans="1:7">
      <c r="D454" s="3"/>
      <c r="E454" s="3"/>
      <c r="F454" s="3"/>
      <c r="G454"/>
    </row>
    <row r="455" spans="1:7">
      <c r="A455" s="176"/>
      <c r="B455" s="468" t="s">
        <v>308</v>
      </c>
      <c r="D455" s="1275" t="s">
        <v>1242</v>
      </c>
      <c r="E455" s="1275"/>
      <c r="F455" s="1275"/>
      <c r="G455"/>
    </row>
    <row r="456" spans="1:7">
      <c r="A456" s="176"/>
      <c r="B456" s="176"/>
      <c r="D456" s="1275"/>
      <c r="E456" s="1275"/>
      <c r="F456" s="1275"/>
      <c r="G456"/>
    </row>
    <row r="457" spans="1:7">
      <c r="A457" s="176"/>
      <c r="D457" s="1275"/>
      <c r="E457" s="1275"/>
      <c r="F457" s="1275"/>
      <c r="G457"/>
    </row>
    <row r="458" spans="1:7">
      <c r="A458" s="176"/>
      <c r="B458" s="176"/>
      <c r="D458" s="3"/>
      <c r="E458" s="3"/>
      <c r="F458" s="3"/>
      <c r="G458"/>
    </row>
    <row r="459" spans="1:7">
      <c r="A459" s="176"/>
      <c r="B459" s="468" t="s">
        <v>308</v>
      </c>
      <c r="D459" s="1286" t="s">
        <v>1243</v>
      </c>
      <c r="E459" s="1286"/>
      <c r="F459" s="1286"/>
      <c r="G459"/>
    </row>
    <row r="460" spans="1:7">
      <c r="A460" s="176"/>
      <c r="B460" s="176"/>
      <c r="D460" s="118"/>
      <c r="E460" s="3"/>
      <c r="F460" s="3"/>
      <c r="G460"/>
    </row>
    <row r="461" spans="1:7">
      <c r="A461" s="176"/>
      <c r="B461" s="468" t="s">
        <v>308</v>
      </c>
      <c r="D461" s="1275" t="s">
        <v>1244</v>
      </c>
      <c r="E461" s="1275"/>
      <c r="F461" s="1275"/>
      <c r="G461"/>
    </row>
    <row r="462" spans="1:7">
      <c r="A462" s="176"/>
      <c r="D462" s="1275"/>
      <c r="E462" s="1275"/>
      <c r="F462" s="1275"/>
      <c r="G462"/>
    </row>
    <row r="463" spans="1:7">
      <c r="A463" s="13"/>
      <c r="B463" s="13"/>
      <c r="D463" s="481"/>
      <c r="E463" s="3"/>
      <c r="F463" s="3"/>
      <c r="G463"/>
    </row>
    <row r="464" spans="1:7">
      <c r="A464" s="13"/>
      <c r="B464" s="468" t="s">
        <v>308</v>
      </c>
      <c r="D464" s="1286" t="s">
        <v>1245</v>
      </c>
      <c r="E464" s="1286"/>
      <c r="F464" s="1286"/>
      <c r="G464"/>
    </row>
    <row r="465" spans="1:7">
      <c r="A465" s="176"/>
      <c r="B465" s="176"/>
      <c r="D465" s="35"/>
    </row>
    <row r="466" spans="1:7">
      <c r="A466" s="1290" t="s">
        <v>1080</v>
      </c>
      <c r="B466" s="1290"/>
      <c r="C466" s="1290"/>
      <c r="D466" s="1290"/>
      <c r="E466" s="1290"/>
      <c r="F466" s="1290"/>
      <c r="G466" s="1290"/>
    </row>
    <row r="467" spans="1:7" ht="12" customHeight="1">
      <c r="A467" s="176"/>
      <c r="B467" s="176"/>
      <c r="D467" s="35"/>
    </row>
    <row r="468" spans="1:7">
      <c r="C468" s="172"/>
      <c r="D468" s="1291" t="s">
        <v>803</v>
      </c>
      <c r="E468" s="1291"/>
      <c r="F468" s="1291"/>
    </row>
    <row r="469" spans="1:7" ht="13.15" customHeight="1">
      <c r="A469" s="175"/>
      <c r="B469" s="175"/>
      <c r="C469" s="175"/>
      <c r="D469" s="1292" t="s">
        <v>1123</v>
      </c>
      <c r="E469" s="1292"/>
      <c r="F469" s="1292"/>
    </row>
    <row r="470" spans="1:7">
      <c r="A470" s="175"/>
      <c r="B470" s="175"/>
      <c r="C470" s="175"/>
      <c r="D470" s="1292"/>
      <c r="E470" s="1292"/>
      <c r="F470" s="1292"/>
    </row>
    <row r="471" spans="1:7">
      <c r="A471" s="175"/>
      <c r="B471" s="175"/>
      <c r="C471" s="175"/>
      <c r="D471" s="1292"/>
      <c r="E471" s="1292"/>
      <c r="F471" s="1292"/>
    </row>
    <row r="472" spans="1:7">
      <c r="A472" s="175"/>
      <c r="B472" s="175"/>
      <c r="C472" s="175"/>
      <c r="D472" s="1292"/>
      <c r="E472" s="1292"/>
      <c r="F472" s="1292"/>
    </row>
    <row r="473" spans="1:7">
      <c r="A473" s="175"/>
      <c r="B473" s="175"/>
      <c r="C473" s="175"/>
      <c r="D473" s="1292"/>
      <c r="E473" s="1292"/>
      <c r="F473" s="1292"/>
    </row>
    <row r="474" spans="1:7">
      <c r="A474" s="175"/>
      <c r="B474" s="175"/>
      <c r="C474" s="175"/>
      <c r="D474" s="326"/>
      <c r="F474" s="35"/>
    </row>
    <row r="475" spans="1:7" ht="14.45" customHeight="1">
      <c r="A475" s="176"/>
      <c r="B475" s="468" t="s">
        <v>308</v>
      </c>
      <c r="C475" s="175"/>
      <c r="D475" s="1306" t="s">
        <v>1114</v>
      </c>
      <c r="E475" s="1306"/>
      <c r="F475" s="1306"/>
    </row>
    <row r="476" spans="1:7">
      <c r="A476" s="175"/>
      <c r="B476" s="175"/>
      <c r="C476" s="175"/>
      <c r="D476" s="1306"/>
      <c r="E476" s="1306"/>
      <c r="F476" s="1306"/>
    </row>
    <row r="477" spans="1:7">
      <c r="A477" s="175"/>
      <c r="B477" s="175"/>
      <c r="C477" s="175"/>
      <c r="D477" s="1306"/>
      <c r="E477" s="1306"/>
      <c r="F477" s="1306"/>
    </row>
    <row r="478" spans="1:7">
      <c r="A478" s="175"/>
      <c r="B478" s="175"/>
      <c r="C478" s="175"/>
      <c r="D478" s="1306"/>
      <c r="E478" s="1306"/>
      <c r="F478" s="1306"/>
    </row>
    <row r="479" spans="1:7">
      <c r="A479" s="175"/>
      <c r="B479" s="175"/>
      <c r="C479" s="175"/>
      <c r="D479" s="1306"/>
      <c r="E479" s="1306"/>
      <c r="F479" s="1306"/>
    </row>
    <row r="480" spans="1:7">
      <c r="A480" s="175"/>
      <c r="B480" s="175"/>
      <c r="C480" s="175"/>
      <c r="D480" s="220"/>
      <c r="F480" s="35"/>
    </row>
    <row r="481" spans="1:6" ht="14.45" customHeight="1">
      <c r="A481" s="176"/>
      <c r="B481" s="468" t="s">
        <v>308</v>
      </c>
      <c r="C481" s="175"/>
      <c r="D481" s="1306" t="s">
        <v>1117</v>
      </c>
      <c r="E481" s="1306"/>
      <c r="F481" s="1306"/>
    </row>
    <row r="482" spans="1:6">
      <c r="A482" s="175"/>
      <c r="B482" s="175"/>
      <c r="C482" s="175"/>
      <c r="D482" s="1306"/>
      <c r="E482" s="1306"/>
      <c r="F482" s="1306"/>
    </row>
    <row r="483" spans="1:6">
      <c r="A483" s="175"/>
      <c r="B483" s="175"/>
      <c r="C483" s="175"/>
      <c r="D483" s="1306"/>
      <c r="E483" s="1306"/>
      <c r="F483" s="1306"/>
    </row>
    <row r="484" spans="1:6">
      <c r="A484" s="175"/>
      <c r="B484" s="175"/>
      <c r="C484" s="175"/>
      <c r="D484" s="1306"/>
      <c r="E484" s="1306"/>
      <c r="F484" s="1306"/>
    </row>
    <row r="485" spans="1:6" ht="9.9499999999999993" customHeight="1">
      <c r="A485" s="175"/>
      <c r="B485" s="175"/>
      <c r="C485" s="175"/>
      <c r="D485" s="220"/>
      <c r="F485" s="35"/>
    </row>
    <row r="486" spans="1:6" ht="14.45" customHeight="1">
      <c r="A486" s="176"/>
      <c r="B486" s="468" t="s">
        <v>308</v>
      </c>
      <c r="C486" s="175"/>
      <c r="D486" s="1306" t="s">
        <v>1115</v>
      </c>
      <c r="E486" s="1306"/>
      <c r="F486" s="1306"/>
    </row>
    <row r="487" spans="1:6">
      <c r="A487" s="175"/>
      <c r="B487" s="175"/>
      <c r="C487" s="175"/>
      <c r="D487" s="1306"/>
      <c r="E487" s="1306"/>
      <c r="F487" s="1306"/>
    </row>
    <row r="488" spans="1:6">
      <c r="A488" s="175"/>
      <c r="B488" s="175"/>
      <c r="C488" s="175"/>
      <c r="D488" s="1306"/>
      <c r="E488" s="1306"/>
      <c r="F488" s="1306"/>
    </row>
    <row r="489" spans="1:6">
      <c r="A489" s="175"/>
      <c r="B489" s="175"/>
      <c r="C489" s="175"/>
      <c r="D489" s="475"/>
      <c r="E489" s="475"/>
      <c r="F489" s="475"/>
    </row>
    <row r="490" spans="1:6" ht="14.45" customHeight="1">
      <c r="A490" s="176"/>
      <c r="B490" s="468" t="s">
        <v>308</v>
      </c>
      <c r="C490" s="175"/>
      <c r="D490" s="1306" t="s">
        <v>1116</v>
      </c>
      <c r="E490" s="1306"/>
      <c r="F490" s="1306"/>
    </row>
    <row r="491" spans="1:6">
      <c r="A491" s="175"/>
      <c r="B491" s="175"/>
      <c r="C491" s="175"/>
      <c r="D491" s="1306"/>
      <c r="E491" s="1306"/>
      <c r="F491" s="1306"/>
    </row>
    <row r="492" spans="1:6">
      <c r="A492" s="175"/>
      <c r="B492" s="175"/>
      <c r="C492" s="175"/>
      <c r="D492" s="1306"/>
      <c r="E492" s="1306"/>
      <c r="F492" s="1306"/>
    </row>
    <row r="493" spans="1:6">
      <c r="A493" s="175"/>
      <c r="B493" s="175"/>
      <c r="C493" s="175"/>
      <c r="D493" s="1306"/>
      <c r="E493" s="1306"/>
      <c r="F493" s="1306"/>
    </row>
    <row r="494" spans="1:6">
      <c r="A494" s="175"/>
      <c r="B494" s="175"/>
      <c r="C494" s="175"/>
      <c r="D494" s="1306"/>
      <c r="E494" s="1306"/>
      <c r="F494" s="1306"/>
    </row>
    <row r="495" spans="1:6">
      <c r="A495" s="175"/>
      <c r="B495" s="175"/>
      <c r="C495" s="175"/>
      <c r="D495" s="1306"/>
      <c r="E495" s="1306"/>
      <c r="F495" s="1306"/>
    </row>
    <row r="496" spans="1:6">
      <c r="A496" s="175"/>
      <c r="B496" s="175"/>
      <c r="C496" s="175"/>
      <c r="D496" s="1306"/>
      <c r="E496" s="1306"/>
      <c r="F496" s="1306"/>
    </row>
    <row r="497" spans="1:7">
      <c r="A497" s="175"/>
      <c r="B497" s="175"/>
      <c r="C497" s="175"/>
      <c r="D497" s="1306"/>
      <c r="E497" s="1306"/>
      <c r="F497" s="1306"/>
    </row>
    <row r="498" spans="1:7">
      <c r="A498" s="175"/>
      <c r="B498" s="175"/>
      <c r="C498" s="175"/>
      <c r="D498" s="1306"/>
      <c r="E498" s="1306"/>
      <c r="F498" s="1306"/>
    </row>
    <row r="499" spans="1:7">
      <c r="A499" s="175"/>
      <c r="B499" s="175"/>
      <c r="C499" s="175"/>
      <c r="D499" s="220"/>
      <c r="F499" s="35"/>
    </row>
    <row r="500" spans="1:7" ht="13.15" customHeight="1">
      <c r="A500" s="175"/>
      <c r="B500" s="468" t="s">
        <v>308</v>
      </c>
      <c r="C500" s="175"/>
      <c r="D500" s="1284" t="s">
        <v>1260</v>
      </c>
      <c r="E500" s="1284"/>
      <c r="F500" s="1284"/>
    </row>
    <row r="501" spans="1:7">
      <c r="A501" s="175"/>
      <c r="B501" s="175"/>
      <c r="C501" s="175"/>
      <c r="D501" s="1284"/>
      <c r="E501" s="1284"/>
      <c r="F501" s="1284"/>
    </row>
    <row r="502" spans="1:7">
      <c r="A502" s="175"/>
      <c r="B502" s="175"/>
      <c r="C502" s="175"/>
      <c r="D502" s="1284"/>
      <c r="E502" s="1284"/>
      <c r="F502" s="1284"/>
    </row>
    <row r="503" spans="1:7">
      <c r="A503" s="175"/>
      <c r="B503" s="175"/>
      <c r="C503" s="175"/>
      <c r="D503" s="1284"/>
      <c r="E503" s="1284"/>
      <c r="F503" s="1284"/>
    </row>
    <row r="504" spans="1:7">
      <c r="A504" s="175"/>
      <c r="B504" s="175"/>
      <c r="C504" s="175"/>
      <c r="D504" s="1284"/>
      <c r="E504" s="1284"/>
      <c r="F504" s="1284"/>
    </row>
    <row r="505" spans="1:7">
      <c r="A505" s="175"/>
      <c r="B505" s="175"/>
      <c r="C505" s="175"/>
      <c r="D505" s="485"/>
      <c r="E505" s="485"/>
      <c r="F505" s="485"/>
    </row>
    <row r="506" spans="1:7" ht="14.45" customHeight="1">
      <c r="A506" s="176"/>
      <c r="B506" s="468" t="s">
        <v>308</v>
      </c>
      <c r="D506" s="1306" t="s">
        <v>1118</v>
      </c>
      <c r="E506" s="1306"/>
      <c r="F506" s="1306"/>
    </row>
    <row r="507" spans="1:7">
      <c r="D507" s="1306"/>
      <c r="E507" s="1306"/>
      <c r="F507" s="1306"/>
    </row>
    <row r="508" spans="1:7">
      <c r="D508" s="1306"/>
      <c r="E508" s="1306"/>
      <c r="F508" s="1306"/>
    </row>
    <row r="509" spans="1:7" ht="12" customHeight="1">
      <c r="A509" s="35"/>
      <c r="B509" s="35"/>
      <c r="C509" s="179"/>
      <c r="D509" s="35"/>
      <c r="F509" s="57"/>
    </row>
    <row r="510" spans="1:7">
      <c r="A510" s="1290" t="s">
        <v>1081</v>
      </c>
      <c r="B510" s="1290"/>
      <c r="C510" s="1290"/>
      <c r="D510" s="1290"/>
      <c r="E510" s="1290"/>
      <c r="F510" s="1290"/>
      <c r="G510" s="1290"/>
    </row>
    <row r="511" spans="1:7">
      <c r="A511" s="35"/>
      <c r="B511" s="35"/>
      <c r="C511" s="179"/>
      <c r="F511" s="57"/>
    </row>
    <row r="512" spans="1:7">
      <c r="B512" s="1307" t="s">
        <v>449</v>
      </c>
      <c r="C512" s="1307"/>
      <c r="D512" s="1307"/>
      <c r="E512" s="1307"/>
      <c r="F512" s="1307"/>
    </row>
    <row r="513" spans="1:7">
      <c r="A513" s="35"/>
      <c r="B513" s="35"/>
      <c r="C513" s="179"/>
      <c r="D513" s="35"/>
      <c r="F513" s="35"/>
    </row>
    <row r="514" spans="1:7">
      <c r="A514" s="1321" t="s">
        <v>1082</v>
      </c>
      <c r="B514" s="1321"/>
      <c r="C514" s="1321"/>
      <c r="D514" s="1321"/>
      <c r="E514" s="1321"/>
      <c r="F514" s="1321"/>
      <c r="G514" s="1321"/>
    </row>
    <row r="515" spans="1:7">
      <c r="A515" s="35"/>
      <c r="B515" s="35"/>
      <c r="C515" s="179"/>
      <c r="D515" s="35"/>
      <c r="F515" s="35"/>
    </row>
    <row r="516" spans="1:7">
      <c r="C516" s="179"/>
      <c r="D516" s="1291" t="s">
        <v>692</v>
      </c>
      <c r="E516" s="1291"/>
      <c r="F516" s="1291"/>
    </row>
    <row r="517" spans="1:7">
      <c r="C517" s="179"/>
      <c r="D517" s="1286" t="s">
        <v>1139</v>
      </c>
      <c r="E517" s="1286"/>
      <c r="F517" s="1286"/>
    </row>
    <row r="518" spans="1:7">
      <c r="C518" s="179"/>
      <c r="D518" s="118"/>
      <c r="E518" s="118"/>
      <c r="F518" s="118"/>
    </row>
    <row r="519" spans="1:7" ht="13.15" customHeight="1">
      <c r="A519" s="176"/>
      <c r="B519" s="468" t="s">
        <v>308</v>
      </c>
      <c r="C519" s="179"/>
      <c r="D519" s="1286" t="s">
        <v>897</v>
      </c>
      <c r="E519" s="1286"/>
      <c r="F519" s="1286"/>
      <c r="G519"/>
    </row>
    <row r="520" spans="1:7" ht="13.15" customHeight="1">
      <c r="A520" s="179"/>
      <c r="B520" s="179"/>
      <c r="C520" s="179"/>
      <c r="D520" s="118"/>
      <c r="E520"/>
      <c r="F520"/>
      <c r="G520"/>
    </row>
    <row r="521" spans="1:7">
      <c r="A521" s="176"/>
      <c r="B521" s="468" t="s">
        <v>308</v>
      </c>
      <c r="C521" s="179"/>
      <c r="D521" s="1275" t="s">
        <v>1140</v>
      </c>
      <c r="E521" s="1275"/>
      <c r="F521" s="1275"/>
      <c r="G521"/>
    </row>
    <row r="522" spans="1:7">
      <c r="A522" s="179"/>
      <c r="B522" s="179"/>
      <c r="C522" s="179"/>
      <c r="D522" s="1275"/>
      <c r="E522" s="1275"/>
      <c r="F522" s="1275"/>
      <c r="G522"/>
    </row>
    <row r="523" spans="1:7">
      <c r="A523" s="179"/>
      <c r="B523" s="179"/>
      <c r="C523" s="179"/>
      <c r="D523" s="35"/>
      <c r="E523" s="35"/>
      <c r="F523" s="35"/>
      <c r="G523"/>
    </row>
    <row r="524" spans="1:7">
      <c r="A524" s="176"/>
      <c r="B524" s="468" t="s">
        <v>308</v>
      </c>
      <c r="C524" s="179"/>
      <c r="D524" s="1275" t="s">
        <v>1141</v>
      </c>
      <c r="E524" s="1275"/>
      <c r="F524" s="1275"/>
      <c r="G524"/>
    </row>
    <row r="525" spans="1:7">
      <c r="A525" s="179"/>
      <c r="B525" s="179"/>
      <c r="C525" s="179"/>
      <c r="D525" s="1275"/>
      <c r="E525" s="1275"/>
      <c r="F525" s="1275"/>
      <c r="G525"/>
    </row>
    <row r="526" spans="1:7">
      <c r="A526" s="179"/>
      <c r="B526" s="179"/>
      <c r="C526" s="179"/>
      <c r="D526" s="35"/>
      <c r="E526" s="35"/>
      <c r="F526" s="35"/>
      <c r="G526"/>
    </row>
    <row r="527" spans="1:7">
      <c r="A527" s="176"/>
      <c r="B527" s="468" t="s">
        <v>308</v>
      </c>
      <c r="C527" s="179"/>
      <c r="D527" s="1275" t="s">
        <v>1142</v>
      </c>
      <c r="E527" s="1275"/>
      <c r="F527" s="1275"/>
      <c r="G527"/>
    </row>
    <row r="528" spans="1:7">
      <c r="A528" s="179"/>
      <c r="B528" s="179"/>
      <c r="C528" s="179"/>
      <c r="D528" s="1275"/>
      <c r="E528" s="1275"/>
      <c r="F528" s="1275"/>
      <c r="G528"/>
    </row>
    <row r="529" spans="1:7">
      <c r="A529" s="179"/>
      <c r="B529" s="179"/>
      <c r="C529" s="179"/>
      <c r="D529" s="35"/>
      <c r="E529" s="35"/>
      <c r="F529" s="35"/>
      <c r="G529"/>
    </row>
    <row r="530" spans="1:7">
      <c r="A530" s="176"/>
      <c r="B530" s="468" t="s">
        <v>308</v>
      </c>
      <c r="C530" s="179"/>
      <c r="D530" s="1275" t="s">
        <v>1143</v>
      </c>
      <c r="E530" s="1275"/>
      <c r="F530" s="1275"/>
      <c r="G530"/>
    </row>
    <row r="531" spans="1:7">
      <c r="A531" s="179"/>
      <c r="B531" s="179"/>
      <c r="C531" s="179"/>
      <c r="D531" s="1275"/>
      <c r="E531" s="1275"/>
      <c r="F531" s="1275"/>
      <c r="G531"/>
    </row>
    <row r="532" spans="1:7">
      <c r="A532" s="179"/>
      <c r="B532" s="179"/>
      <c r="C532" s="179"/>
      <c r="D532" s="1275"/>
      <c r="E532" s="1275"/>
      <c r="F532" s="1275"/>
      <c r="G532"/>
    </row>
    <row r="533" spans="1:7">
      <c r="A533" s="179"/>
      <c r="B533" s="179"/>
      <c r="C533" s="179"/>
      <c r="D533" s="35"/>
      <c r="E533" s="35"/>
      <c r="F533" s="35"/>
    </row>
    <row r="534" spans="1:7">
      <c r="A534" s="176"/>
      <c r="B534" s="468" t="s">
        <v>308</v>
      </c>
      <c r="C534" s="179"/>
      <c r="D534" s="1275" t="s">
        <v>1261</v>
      </c>
      <c r="E534" s="1275"/>
      <c r="F534" s="1275"/>
    </row>
    <row r="535" spans="1:7">
      <c r="A535" s="179"/>
      <c r="B535" s="179"/>
      <c r="C535" s="179"/>
      <c r="D535" s="1275"/>
      <c r="E535" s="1275"/>
      <c r="F535" s="1275"/>
    </row>
    <row r="536" spans="1:7">
      <c r="A536" s="179"/>
      <c r="B536" s="179"/>
      <c r="C536" s="179"/>
      <c r="D536" s="35"/>
      <c r="E536" s="35"/>
      <c r="F536" s="35"/>
    </row>
    <row r="537" spans="1:7">
      <c r="A537" s="176"/>
      <c r="B537" s="468" t="s">
        <v>308</v>
      </c>
      <c r="C537" s="179"/>
      <c r="D537" s="1275" t="s">
        <v>1144</v>
      </c>
      <c r="E537" s="1275"/>
      <c r="F537" s="1275"/>
    </row>
    <row r="538" spans="1:7">
      <c r="A538" s="179"/>
      <c r="B538" s="179"/>
      <c r="C538" s="179"/>
      <c r="D538" s="1275"/>
      <c r="E538" s="1275"/>
      <c r="F538" s="1275"/>
    </row>
    <row r="539" spans="1:7">
      <c r="A539" s="179"/>
      <c r="B539" s="179"/>
      <c r="C539" s="179"/>
      <c r="D539" s="35"/>
      <c r="E539" s="35"/>
      <c r="F539" s="35"/>
    </row>
    <row r="540" spans="1:7">
      <c r="A540" s="176"/>
      <c r="B540" s="468" t="s">
        <v>308</v>
      </c>
      <c r="C540" s="179"/>
      <c r="D540" s="1275" t="s">
        <v>1145</v>
      </c>
      <c r="E540" s="1275"/>
      <c r="F540" s="1275"/>
    </row>
    <row r="541" spans="1:7">
      <c r="A541" s="179"/>
      <c r="B541" s="179"/>
      <c r="C541" s="179"/>
      <c r="D541" s="1275"/>
      <c r="E541" s="1275"/>
      <c r="F541" s="1275"/>
    </row>
    <row r="542" spans="1:7">
      <c r="A542" s="179"/>
      <c r="B542" s="179"/>
      <c r="C542" s="179"/>
      <c r="D542" s="35"/>
      <c r="E542" s="35"/>
      <c r="F542" s="35"/>
    </row>
    <row r="543" spans="1:7">
      <c r="A543" s="176"/>
      <c r="B543" s="468" t="s">
        <v>308</v>
      </c>
      <c r="C543" s="179"/>
      <c r="D543" s="1286" t="s">
        <v>1146</v>
      </c>
      <c r="E543" s="1286"/>
      <c r="F543" s="1286"/>
    </row>
    <row r="544" spans="1:7">
      <c r="A544" s="13"/>
      <c r="B544" s="13"/>
      <c r="C544" s="179"/>
      <c r="D544" s="1286" t="s">
        <v>830</v>
      </c>
      <c r="E544" s="1286"/>
      <c r="F544" s="1286"/>
    </row>
    <row r="545" spans="1:7">
      <c r="A545" s="13"/>
      <c r="B545" s="13"/>
      <c r="C545" s="179"/>
      <c r="D545" s="3"/>
      <c r="E545" s="1297" t="s">
        <v>1147</v>
      </c>
      <c r="F545" s="1297"/>
    </row>
    <row r="546" spans="1:7">
      <c r="A546" s="176"/>
      <c r="B546" s="176"/>
      <c r="C546" s="179"/>
      <c r="E546" s="35"/>
      <c r="F546" s="35"/>
    </row>
    <row r="547" spans="1:7">
      <c r="A547" s="176"/>
      <c r="B547" s="468" t="s">
        <v>308</v>
      </c>
      <c r="C547" s="179"/>
      <c r="D547" s="1286" t="s">
        <v>1148</v>
      </c>
      <c r="E547" s="1286"/>
      <c r="F547" s="1286"/>
    </row>
    <row r="548" spans="1:7">
      <c r="C548" s="179"/>
      <c r="D548" s="1275" t="s">
        <v>1149</v>
      </c>
      <c r="E548" s="1275"/>
      <c r="F548" s="1275"/>
    </row>
    <row r="549" spans="1:7">
      <c r="A549" s="179"/>
      <c r="B549" s="179"/>
      <c r="C549" s="179"/>
      <c r="D549" s="1275"/>
      <c r="E549" s="1275"/>
      <c r="F549" s="1275"/>
    </row>
    <row r="550" spans="1:7">
      <c r="A550" s="179"/>
      <c r="B550" s="179"/>
      <c r="C550" s="179"/>
      <c r="D550" s="1275"/>
      <c r="E550" s="1275"/>
      <c r="F550" s="1275"/>
    </row>
    <row r="551" spans="1:7">
      <c r="A551" s="179"/>
      <c r="B551" s="179"/>
      <c r="C551" s="179"/>
      <c r="D551" s="35"/>
      <c r="E551" s="35"/>
      <c r="F551" s="35"/>
    </row>
    <row r="552" spans="1:7">
      <c r="A552" s="176"/>
      <c r="B552" s="468" t="s">
        <v>308</v>
      </c>
      <c r="C552" s="179"/>
      <c r="D552" s="1275" t="s">
        <v>1150</v>
      </c>
      <c r="E552" s="1275"/>
      <c r="F552" s="1275"/>
    </row>
    <row r="553" spans="1:7">
      <c r="A553" s="176"/>
      <c r="B553" s="176"/>
      <c r="C553" s="179"/>
      <c r="D553" s="1275"/>
      <c r="E553" s="1275"/>
      <c r="F553" s="1275"/>
    </row>
    <row r="554" spans="1:7">
      <c r="A554" s="176"/>
      <c r="B554" s="176"/>
      <c r="C554" s="179"/>
      <c r="D554" s="1275"/>
      <c r="E554" s="1275"/>
      <c r="F554" s="1275"/>
    </row>
    <row r="555" spans="1:7">
      <c r="A555" s="176"/>
      <c r="B555" s="176"/>
      <c r="C555" s="179"/>
      <c r="D555" s="1275"/>
      <c r="E555" s="1275"/>
      <c r="F555" s="1275"/>
    </row>
    <row r="556" spans="1:7">
      <c r="A556" s="176"/>
      <c r="B556" s="176"/>
      <c r="C556" s="179"/>
      <c r="D556" s="35"/>
      <c r="E556" s="35"/>
      <c r="F556" s="35"/>
    </row>
    <row r="557" spans="1:7">
      <c r="A557" s="1290" t="s">
        <v>1083</v>
      </c>
      <c r="B557" s="1290"/>
      <c r="C557" s="1290"/>
      <c r="D557" s="1290"/>
      <c r="E557" s="1290"/>
      <c r="F557" s="1290"/>
      <c r="G557" s="1290"/>
    </row>
    <row r="558" spans="1:7">
      <c r="A558" s="179"/>
      <c r="B558" s="179"/>
      <c r="C558" s="179"/>
      <c r="E558" s="35"/>
      <c r="F558" s="35"/>
    </row>
    <row r="559" spans="1:7" ht="12.75" customHeight="1">
      <c r="C559" s="172"/>
      <c r="D559" s="1308" t="s">
        <v>211</v>
      </c>
      <c r="E559" s="1308"/>
      <c r="F559" s="1308"/>
    </row>
    <row r="560" spans="1:7">
      <c r="A560" s="175"/>
      <c r="B560" s="175"/>
      <c r="C560" s="175"/>
      <c r="D560" s="1289" t="s">
        <v>1099</v>
      </c>
      <c r="E560" s="1289"/>
      <c r="F560" s="1289"/>
    </row>
    <row r="561" spans="1:6">
      <c r="A561"/>
      <c r="B561"/>
      <c r="C561" s="175"/>
      <c r="D561" s="255"/>
    </row>
    <row r="562" spans="1:6">
      <c r="A562" s="175"/>
      <c r="B562" s="468" t="s">
        <v>308</v>
      </c>
      <c r="D562" s="1289" t="s">
        <v>903</v>
      </c>
      <c r="E562" s="1289"/>
      <c r="F562" s="1289"/>
    </row>
    <row r="563" spans="1:6">
      <c r="A563" s="13"/>
      <c r="B563" s="13"/>
      <c r="D563" s="218"/>
    </row>
    <row r="564" spans="1:6">
      <c r="A564" s="13"/>
      <c r="B564" s="468" t="s">
        <v>308</v>
      </c>
      <c r="D564" s="1289" t="s">
        <v>1100</v>
      </c>
      <c r="E564" s="1289"/>
      <c r="F564" s="1289"/>
    </row>
    <row r="565" spans="1:6">
      <c r="A565" s="13"/>
      <c r="B565" s="13"/>
      <c r="D565" s="1289"/>
      <c r="E565" s="1289"/>
      <c r="F565" s="1289"/>
    </row>
    <row r="566" spans="1:6">
      <c r="A566" s="13"/>
      <c r="B566" s="13"/>
      <c r="D566" s="1289"/>
      <c r="E566" s="1289"/>
      <c r="F566" s="1289"/>
    </row>
    <row r="567" spans="1:6">
      <c r="A567" s="13"/>
      <c r="B567" s="13"/>
      <c r="D567" s="255"/>
    </row>
    <row r="568" spans="1:6">
      <c r="A568" s="13"/>
      <c r="B568" s="468" t="s">
        <v>308</v>
      </c>
      <c r="D568" s="1289" t="s">
        <v>1101</v>
      </c>
      <c r="E568" s="1289"/>
      <c r="F568" s="1289"/>
    </row>
    <row r="569" spans="1:6">
      <c r="A569" s="13"/>
      <c r="B569" s="13"/>
      <c r="D569" s="1289"/>
      <c r="E569" s="1289"/>
      <c r="F569" s="1289"/>
    </row>
    <row r="570" spans="1:6">
      <c r="A570" s="13"/>
      <c r="B570" s="13"/>
      <c r="D570" s="1289"/>
      <c r="E570" s="1289"/>
      <c r="F570" s="1289"/>
    </row>
    <row r="571" spans="1:6">
      <c r="A571" s="13"/>
      <c r="B571" s="13"/>
      <c r="D571" s="1289"/>
      <c r="E571" s="1289"/>
      <c r="F571" s="1289"/>
    </row>
    <row r="572" spans="1:6">
      <c r="A572" s="13"/>
      <c r="B572" s="13"/>
      <c r="D572" s="473"/>
      <c r="E572" s="473"/>
      <c r="F572" s="473"/>
    </row>
    <row r="573" spans="1:6">
      <c r="A573" s="13"/>
      <c r="B573" s="468" t="s">
        <v>308</v>
      </c>
      <c r="D573" s="1289" t="s">
        <v>1102</v>
      </c>
      <c r="E573" s="1289"/>
      <c r="F573" s="1289"/>
    </row>
    <row r="574" spans="1:6">
      <c r="A574" s="13"/>
      <c r="B574" s="13"/>
      <c r="D574" s="1289"/>
      <c r="E574" s="1289"/>
      <c r="F574" s="1289"/>
    </row>
    <row r="575" spans="1:6">
      <c r="A575" s="13"/>
      <c r="B575" s="13"/>
      <c r="D575" s="255"/>
    </row>
    <row r="576" spans="1:6">
      <c r="A576" s="13"/>
      <c r="B576" s="468" t="s">
        <v>308</v>
      </c>
      <c r="D576" s="1289" t="s">
        <v>1103</v>
      </c>
      <c r="E576" s="1289"/>
      <c r="F576" s="1289"/>
    </row>
    <row r="577" spans="1:7">
      <c r="A577" s="13"/>
      <c r="B577" s="13"/>
      <c r="D577" s="1289"/>
      <c r="E577" s="1289"/>
      <c r="F577" s="1289"/>
    </row>
    <row r="578" spans="1:7">
      <c r="A578" s="13"/>
      <c r="B578" s="13"/>
      <c r="D578" s="255"/>
    </row>
    <row r="579" spans="1:7">
      <c r="A579" s="176"/>
      <c r="B579" s="468" t="s">
        <v>308</v>
      </c>
      <c r="D579" s="1289" t="s">
        <v>898</v>
      </c>
      <c r="E579" s="1289"/>
      <c r="F579" s="1289"/>
    </row>
    <row r="580" spans="1:7">
      <c r="A580" s="176"/>
      <c r="B580" s="176"/>
      <c r="D580" s="255"/>
    </row>
    <row r="581" spans="1:7">
      <c r="A581" s="176"/>
      <c r="B581" s="468" t="s">
        <v>308</v>
      </c>
      <c r="D581" s="1289" t="s">
        <v>1104</v>
      </c>
      <c r="E581" s="1289"/>
      <c r="F581" s="1289"/>
    </row>
    <row r="582" spans="1:7">
      <c r="A582" s="176"/>
      <c r="B582" s="176"/>
      <c r="D582" s="1289"/>
      <c r="E582" s="1289"/>
      <c r="F582" s="1289"/>
    </row>
    <row r="583" spans="1:7">
      <c r="D583" s="1289"/>
      <c r="E583" s="1289"/>
      <c r="F583" s="1289"/>
    </row>
    <row r="584" spans="1:7">
      <c r="D584" s="1289"/>
      <c r="E584" s="1289"/>
      <c r="F584" s="1289"/>
    </row>
    <row r="585" spans="1:7">
      <c r="D585" s="1289"/>
      <c r="E585" s="1289"/>
      <c r="F585" s="1289"/>
    </row>
    <row r="586" spans="1:7">
      <c r="D586" s="1289"/>
      <c r="E586" s="1289"/>
      <c r="F586" s="1289"/>
    </row>
    <row r="587" spans="1:7"/>
    <row r="588" spans="1:7">
      <c r="A588" s="1290" t="s">
        <v>1084</v>
      </c>
      <c r="B588" s="1290"/>
      <c r="C588" s="1290"/>
      <c r="D588" s="1290"/>
      <c r="E588" s="1290"/>
      <c r="F588" s="1290"/>
      <c r="G588" s="1290"/>
    </row>
    <row r="589" spans="1:7"/>
    <row r="590" spans="1:7">
      <c r="D590" s="1301" t="s">
        <v>1184</v>
      </c>
      <c r="E590" s="1301"/>
      <c r="F590" s="1301"/>
    </row>
    <row r="591" spans="1:7">
      <c r="D591" s="1324" t="s">
        <v>1185</v>
      </c>
      <c r="E591" s="1324"/>
      <c r="F591" s="1324"/>
    </row>
    <row r="592" spans="1:7">
      <c r="D592" s="478"/>
      <c r="E592" s="433"/>
      <c r="F592" s="433"/>
    </row>
    <row r="593" spans="1:7">
      <c r="A593" s="176"/>
      <c r="B593" s="468" t="s">
        <v>308</v>
      </c>
      <c r="D593" s="1302" t="s">
        <v>1186</v>
      </c>
      <c r="E593" s="1302"/>
      <c r="F593" s="1302"/>
    </row>
    <row r="594" spans="1:7">
      <c r="D594" s="1302"/>
      <c r="E594" s="1302"/>
      <c r="F594" s="1302"/>
    </row>
    <row r="595" spans="1:7">
      <c r="D595" s="1302"/>
      <c r="E595" s="1302"/>
      <c r="F595" s="1302"/>
    </row>
    <row r="596" spans="1:7"/>
    <row r="597" spans="1:7">
      <c r="A597" s="1290" t="s">
        <v>1085</v>
      </c>
      <c r="B597" s="1290"/>
      <c r="C597" s="1290"/>
      <c r="D597" s="1290"/>
      <c r="E597" s="1290"/>
      <c r="F597" s="1290"/>
      <c r="G597" s="1290"/>
    </row>
    <row r="598" spans="1:7">
      <c r="A598" s="35"/>
      <c r="B598" s="35"/>
    </row>
    <row r="599" spans="1:7">
      <c r="A599" s="172"/>
      <c r="B599" s="172"/>
      <c r="C599" s="172"/>
      <c r="D599" s="1325" t="s">
        <v>1187</v>
      </c>
      <c r="E599" s="1325"/>
      <c r="F599" s="1325"/>
    </row>
    <row r="600" spans="1:7">
      <c r="A600" s="172"/>
      <c r="B600" s="172"/>
      <c r="C600" s="172"/>
      <c r="D600" s="1325"/>
      <c r="E600" s="1325"/>
      <c r="F600" s="1325"/>
    </row>
    <row r="601" spans="1:7">
      <c r="C601" s="175"/>
      <c r="D601" s="1324" t="s">
        <v>1188</v>
      </c>
      <c r="E601" s="1324"/>
      <c r="F601" s="1324"/>
    </row>
    <row r="602" spans="1:7">
      <c r="C602" s="175"/>
      <c r="D602" s="478"/>
      <c r="E602" s="478"/>
      <c r="F602" s="478"/>
    </row>
    <row r="603" spans="1:7">
      <c r="A603" s="13"/>
      <c r="B603" s="468" t="s">
        <v>308</v>
      </c>
      <c r="D603" s="1324" t="s">
        <v>433</v>
      </c>
      <c r="E603" s="1324"/>
      <c r="F603" s="1324"/>
    </row>
    <row r="604" spans="1:7">
      <c r="C604" s="180"/>
      <c r="E604"/>
    </row>
    <row r="605" spans="1:7">
      <c r="A605" s="13"/>
      <c r="B605" s="468" t="s">
        <v>308</v>
      </c>
      <c r="D605" s="1300" t="s">
        <v>1189</v>
      </c>
      <c r="E605" s="1300"/>
      <c r="F605" s="1300"/>
    </row>
    <row r="606" spans="1:7">
      <c r="D606" s="1300"/>
      <c r="E606" s="1300"/>
      <c r="F606" s="1300"/>
    </row>
    <row r="607" spans="1:7">
      <c r="D607"/>
    </row>
    <row r="608" spans="1:7">
      <c r="B608" s="468" t="s">
        <v>308</v>
      </c>
      <c r="D608" s="1300" t="s">
        <v>1190</v>
      </c>
      <c r="E608" s="1300"/>
      <c r="F608" s="1300"/>
    </row>
    <row r="609" spans="1:7">
      <c r="C609" s="180"/>
      <c r="D609" s="1300"/>
      <c r="E609" s="1300"/>
      <c r="F609" s="1300"/>
    </row>
    <row r="610" spans="1:7">
      <c r="C610" s="180"/>
    </row>
    <row r="611" spans="1:7">
      <c r="B611" s="468" t="s">
        <v>308</v>
      </c>
      <c r="C611" s="180"/>
      <c r="D611" s="1300" t="s">
        <v>1191</v>
      </c>
      <c r="E611" s="1300"/>
      <c r="F611" s="1300"/>
    </row>
    <row r="612" spans="1:7">
      <c r="C612" s="180"/>
      <c r="D612" s="1300"/>
      <c r="E612" s="1300"/>
      <c r="F612" s="1300"/>
    </row>
    <row r="613" spans="1:7">
      <c r="C613" s="180"/>
    </row>
    <row r="614" spans="1:7">
      <c r="A614" s="1290" t="s">
        <v>1086</v>
      </c>
      <c r="B614" s="1290"/>
      <c r="C614" s="1290"/>
      <c r="D614" s="1290"/>
      <c r="E614" s="1290"/>
      <c r="F614" s="1290"/>
      <c r="G614" s="1290"/>
    </row>
    <row r="615" spans="1:7">
      <c r="A615" s="172"/>
      <c r="B615" s="172"/>
      <c r="C615" s="172"/>
    </row>
    <row r="616" spans="1:7">
      <c r="C616" s="13"/>
      <c r="D616" s="1301" t="s">
        <v>1192</v>
      </c>
      <c r="E616" s="1301"/>
      <c r="F616" s="1301"/>
    </row>
    <row r="617" spans="1:7">
      <c r="A617" s="13"/>
      <c r="B617" s="13"/>
      <c r="D617" s="2"/>
    </row>
    <row r="618" spans="1:7">
      <c r="A618" s="176"/>
      <c r="B618" s="468" t="s">
        <v>308</v>
      </c>
      <c r="D618" s="1302" t="s">
        <v>1193</v>
      </c>
      <c r="E618" s="1302"/>
      <c r="F618" s="1302"/>
    </row>
    <row r="619" spans="1:7">
      <c r="D619" s="1302"/>
      <c r="E619" s="1302"/>
      <c r="F619" s="1302"/>
    </row>
    <row r="620" spans="1:7">
      <c r="D620" s="1302"/>
      <c r="E620" s="1302"/>
      <c r="F620" s="1302"/>
    </row>
    <row r="621" spans="1:7">
      <c r="D621" s="1302"/>
      <c r="E621" s="1302"/>
      <c r="F621" s="1302"/>
    </row>
    <row r="622" spans="1:7">
      <c r="D622" s="1302"/>
      <c r="E622" s="1302"/>
      <c r="F622" s="1302"/>
    </row>
    <row r="623" spans="1:7">
      <c r="D623" s="1302"/>
      <c r="E623" s="1302"/>
      <c r="F623" s="1302"/>
    </row>
    <row r="624" spans="1:7">
      <c r="D624" s="479"/>
      <c r="E624" s="479"/>
      <c r="F624" s="479"/>
    </row>
    <row r="625" spans="1:7">
      <c r="A625" s="176"/>
      <c r="B625" s="468" t="s">
        <v>308</v>
      </c>
      <c r="D625" s="1302" t="s">
        <v>1194</v>
      </c>
      <c r="E625" s="1302"/>
      <c r="F625" s="1302"/>
    </row>
    <row r="626" spans="1:7">
      <c r="A626" s="179"/>
      <c r="B626" s="179"/>
      <c r="C626" s="179"/>
      <c r="D626" s="1302"/>
      <c r="E626" s="1302"/>
      <c r="F626" s="1302"/>
    </row>
    <row r="627" spans="1:7">
      <c r="A627" s="179"/>
      <c r="B627" s="179"/>
      <c r="C627" s="179"/>
      <c r="D627" s="35"/>
      <c r="E627" s="35"/>
      <c r="F627" s="35"/>
    </row>
    <row r="628" spans="1:7">
      <c r="A628" s="176"/>
      <c r="B628" s="468" t="s">
        <v>308</v>
      </c>
      <c r="C628" s="179"/>
      <c r="D628" s="1302" t="s">
        <v>1195</v>
      </c>
      <c r="E628" s="1302"/>
      <c r="F628" s="1302"/>
    </row>
    <row r="629" spans="1:7">
      <c r="A629" s="176"/>
      <c r="B629" s="176"/>
      <c r="C629" s="179"/>
      <c r="D629" s="1302"/>
      <c r="E629" s="1302"/>
      <c r="F629" s="1302"/>
    </row>
    <row r="630" spans="1:7">
      <c r="A630" s="176"/>
      <c r="B630" s="176"/>
      <c r="C630" s="179"/>
      <c r="D630" s="1302"/>
      <c r="E630" s="1302"/>
      <c r="F630" s="1302"/>
    </row>
    <row r="631" spans="1:7">
      <c r="A631" s="179"/>
      <c r="B631" s="179"/>
      <c r="C631" s="179"/>
      <c r="D631" s="1302"/>
      <c r="E631" s="1302"/>
      <c r="F631" s="1302"/>
    </row>
    <row r="632" spans="1:7">
      <c r="A632" s="179"/>
      <c r="B632" s="179"/>
      <c r="C632" s="179"/>
      <c r="D632" s="479"/>
      <c r="E632" s="479"/>
      <c r="F632" s="479"/>
    </row>
    <row r="633" spans="1:7">
      <c r="A633" s="179"/>
      <c r="B633" s="468" t="s">
        <v>308</v>
      </c>
      <c r="C633" s="179"/>
      <c r="D633" s="1303" t="s">
        <v>1196</v>
      </c>
      <c r="E633" s="1303"/>
      <c r="F633" s="1303"/>
    </row>
    <row r="634" spans="1:7">
      <c r="A634" s="179"/>
      <c r="B634" s="179"/>
      <c r="C634" s="179"/>
      <c r="D634" s="480"/>
      <c r="E634" s="480"/>
      <c r="F634" s="480"/>
    </row>
    <row r="635" spans="1:7">
      <c r="A635" s="1290" t="s">
        <v>1087</v>
      </c>
      <c r="B635" s="1290"/>
      <c r="C635" s="1290"/>
      <c r="D635" s="1290"/>
      <c r="E635" s="1290"/>
      <c r="F635" s="1290"/>
      <c r="G635" s="1290"/>
    </row>
    <row r="636" spans="1:7">
      <c r="A636" s="35"/>
      <c r="B636" s="35"/>
      <c r="C636" s="179"/>
      <c r="D636" s="35"/>
      <c r="E636" s="35"/>
      <c r="F636" s="35"/>
    </row>
    <row r="637" spans="1:7">
      <c r="C637" s="172"/>
      <c r="D637" s="1291" t="s">
        <v>1246</v>
      </c>
      <c r="E637" s="1291"/>
      <c r="F637" s="1291"/>
    </row>
    <row r="638" spans="1:7">
      <c r="A638" s="175"/>
      <c r="B638" s="175"/>
      <c r="C638" s="175"/>
      <c r="D638" s="1286" t="s">
        <v>1247</v>
      </c>
      <c r="E638" s="1286"/>
      <c r="F638" s="1286"/>
    </row>
    <row r="639" spans="1:7">
      <c r="A639" s="175"/>
      <c r="B639" s="175"/>
      <c r="C639" s="175"/>
      <c r="D639" s="118"/>
      <c r="E639" s="118"/>
      <c r="F639" s="118"/>
    </row>
    <row r="640" spans="1:7" ht="14.45" customHeight="1">
      <c r="A640" s="176"/>
      <c r="B640" s="468" t="s">
        <v>308</v>
      </c>
      <c r="C640" s="179"/>
      <c r="D640" s="1275" t="s">
        <v>1248</v>
      </c>
      <c r="E640" s="1275"/>
      <c r="F640" s="1275"/>
    </row>
    <row r="641" spans="1:11">
      <c r="A641" s="176"/>
      <c r="B641" s="176"/>
      <c r="C641" s="179"/>
      <c r="D641" s="1275"/>
      <c r="E641" s="1275"/>
      <c r="F641" s="1275"/>
    </row>
    <row r="642" spans="1:11">
      <c r="A642" s="176"/>
      <c r="B642" s="176"/>
      <c r="C642" s="179"/>
      <c r="D642" s="1275"/>
      <c r="E642" s="1275"/>
      <c r="F642" s="1275"/>
    </row>
    <row r="643" spans="1:11">
      <c r="A643" s="176"/>
      <c r="B643" s="176"/>
      <c r="C643" s="179"/>
      <c r="D643" s="1275"/>
      <c r="E643" s="1275"/>
      <c r="F643" s="1275"/>
    </row>
    <row r="644" spans="1:11">
      <c r="A644" s="176"/>
      <c r="B644" s="176"/>
      <c r="C644" s="179"/>
      <c r="D644" s="1275"/>
      <c r="E644" s="1275"/>
      <c r="F644" s="1275"/>
    </row>
    <row r="645" spans="1:11">
      <c r="A645" s="176"/>
      <c r="B645" s="176"/>
      <c r="C645" s="179"/>
      <c r="D645" s="474"/>
      <c r="E645" s="474"/>
      <c r="F645" s="474"/>
    </row>
    <row r="646" spans="1:11">
      <c r="A646" s="176"/>
      <c r="B646" s="468" t="s">
        <v>308</v>
      </c>
      <c r="C646" s="179"/>
      <c r="D646" s="1314" t="s">
        <v>1098</v>
      </c>
      <c r="E646" s="1314"/>
      <c r="F646" s="1314"/>
    </row>
    <row r="647" spans="1:11">
      <c r="A647" s="176"/>
      <c r="B647" s="176"/>
      <c r="C647" s="179"/>
      <c r="D647" s="1315" t="s">
        <v>1249</v>
      </c>
      <c r="E647" s="1315"/>
      <c r="F647" s="1315"/>
    </row>
    <row r="648" spans="1:11">
      <c r="A648" s="176"/>
      <c r="B648" s="176"/>
      <c r="C648" s="179"/>
      <c r="D648" s="1315"/>
      <c r="E648" s="1315"/>
      <c r="F648" s="1315"/>
    </row>
    <row r="649" spans="1:11">
      <c r="A649" s="176"/>
      <c r="B649" s="176"/>
      <c r="C649" s="179"/>
      <c r="D649" s="1315"/>
      <c r="E649" s="1315"/>
      <c r="F649" s="1315"/>
    </row>
    <row r="650" spans="1:11">
      <c r="A650" s="176"/>
      <c r="B650" s="176"/>
      <c r="C650" s="179"/>
      <c r="D650" s="1315"/>
      <c r="E650" s="1315"/>
      <c r="F650" s="1315"/>
    </row>
    <row r="651" spans="1:11">
      <c r="A651" s="176"/>
      <c r="B651" s="176"/>
      <c r="C651" s="179"/>
      <c r="D651" s="1315"/>
      <c r="E651" s="1315"/>
      <c r="F651" s="1315"/>
    </row>
    <row r="652" spans="1:11">
      <c r="A652" s="176"/>
      <c r="B652" s="176"/>
      <c r="C652" s="179"/>
      <c r="D652" s="1316" t="s">
        <v>1250</v>
      </c>
      <c r="E652" s="1316"/>
      <c r="F652" s="1316"/>
    </row>
    <row r="653" spans="1:11">
      <c r="A653" s="179"/>
      <c r="B653" s="179"/>
      <c r="C653" s="179"/>
      <c r="D653" s="35"/>
      <c r="E653" s="35"/>
      <c r="F653" s="35"/>
    </row>
    <row r="654" spans="1:11">
      <c r="A654" s="1290" t="s">
        <v>1088</v>
      </c>
      <c r="B654" s="1290"/>
      <c r="C654" s="1290"/>
      <c r="D654" s="1290"/>
      <c r="E654" s="1290"/>
      <c r="F654" s="1290"/>
      <c r="G654" s="1290"/>
      <c r="H654" s="181"/>
      <c r="I654" s="181"/>
      <c r="J654" s="181"/>
      <c r="K654" s="181"/>
    </row>
    <row r="655" spans="1:11">
      <c r="A655" s="482"/>
      <c r="B655" s="482"/>
      <c r="C655" s="482"/>
      <c r="D655" s="482"/>
      <c r="E655" s="482"/>
      <c r="F655" s="482"/>
      <c r="G655" s="482"/>
      <c r="H655" s="181"/>
      <c r="I655" s="181"/>
      <c r="J655" s="181"/>
      <c r="K655" s="181"/>
    </row>
    <row r="656" spans="1:11">
      <c r="C656" s="172"/>
      <c r="D656" s="1291" t="s">
        <v>99</v>
      </c>
      <c r="E656" s="1291"/>
      <c r="F656" s="1291"/>
      <c r="H656" s="181"/>
      <c r="I656" s="181"/>
      <c r="J656" s="181"/>
      <c r="K656" s="181"/>
    </row>
    <row r="657" spans="1:11">
      <c r="A657" s="172"/>
      <c r="B657" s="172"/>
      <c r="C657" s="172"/>
      <c r="D657" s="1291" t="s">
        <v>123</v>
      </c>
      <c r="E657" s="1291"/>
      <c r="F657" s="1291"/>
      <c r="H657" s="181"/>
      <c r="I657" s="181"/>
      <c r="J657" s="181"/>
      <c r="K657" s="181"/>
    </row>
    <row r="658" spans="1:11">
      <c r="A658" s="175"/>
      <c r="B658" s="175"/>
      <c r="C658" s="175"/>
      <c r="D658" s="1286" t="s">
        <v>1124</v>
      </c>
      <c r="E658" s="1286"/>
      <c r="F658" s="1286"/>
      <c r="H658" s="181"/>
      <c r="I658" s="181"/>
      <c r="J658" s="181"/>
      <c r="K658" s="181"/>
    </row>
    <row r="659" spans="1:11">
      <c r="A659" s="175"/>
      <c r="B659" s="175"/>
      <c r="C659" s="175"/>
      <c r="H659" s="181"/>
      <c r="I659" s="181"/>
      <c r="J659" s="181"/>
      <c r="K659" s="181"/>
    </row>
    <row r="660" spans="1:11">
      <c r="A660" s="176"/>
      <c r="B660" s="468" t="s">
        <v>308</v>
      </c>
      <c r="C660" s="175"/>
      <c r="D660" s="1286" t="s">
        <v>899</v>
      </c>
      <c r="E660" s="1286"/>
      <c r="F660" s="1286"/>
      <c r="H660" s="181"/>
      <c r="I660" s="181"/>
      <c r="J660" s="181"/>
      <c r="K660" s="181"/>
    </row>
    <row r="661" spans="1:11">
      <c r="A661" s="175"/>
      <c r="B661" s="175"/>
      <c r="C661" s="175"/>
      <c r="D661" s="1286" t="s">
        <v>909</v>
      </c>
      <c r="E661" s="1286"/>
      <c r="F661" s="1286"/>
      <c r="H661" s="181"/>
      <c r="I661" s="181"/>
      <c r="J661" s="181"/>
      <c r="K661" s="181"/>
    </row>
    <row r="662" spans="1:11">
      <c r="A662" s="175"/>
      <c r="B662" s="175"/>
      <c r="C662" s="175"/>
      <c r="D662" s="3"/>
      <c r="E662" s="1285" t="s">
        <v>1125</v>
      </c>
      <c r="F662" s="1285"/>
      <c r="H662" s="181"/>
      <c r="I662" s="181"/>
      <c r="J662" s="181"/>
      <c r="K662" s="181"/>
    </row>
    <row r="663" spans="1:11">
      <c r="A663" s="175"/>
      <c r="B663" s="175"/>
      <c r="C663" s="175"/>
      <c r="D663" s="3"/>
      <c r="E663" s="1285"/>
      <c r="F663" s="1285"/>
      <c r="H663" s="181"/>
      <c r="I663" s="181"/>
      <c r="J663" s="181"/>
      <c r="K663" s="181"/>
    </row>
    <row r="664" spans="1:11">
      <c r="A664" s="175"/>
      <c r="B664" s="175"/>
      <c r="C664" s="175"/>
      <c r="D664" s="182"/>
      <c r="E664" s="35"/>
      <c r="H664" s="181"/>
      <c r="I664" s="181"/>
      <c r="J664" s="181"/>
      <c r="K664" s="181"/>
    </row>
    <row r="665" spans="1:11">
      <c r="A665" s="176"/>
      <c r="B665" s="468" t="s">
        <v>308</v>
      </c>
      <c r="C665" s="175"/>
      <c r="D665" s="1275" t="s">
        <v>1126</v>
      </c>
      <c r="E665" s="1275"/>
      <c r="F665" s="1275"/>
      <c r="H665" s="181"/>
      <c r="I665" s="181"/>
      <c r="J665" s="181"/>
      <c r="K665" s="181"/>
    </row>
    <row r="666" spans="1:11">
      <c r="A666" s="13"/>
      <c r="B666" s="13"/>
      <c r="C666" s="175"/>
      <c r="D666" s="1275"/>
      <c r="E666" s="1275"/>
      <c r="F666" s="1275"/>
      <c r="H666" s="181"/>
      <c r="I666" s="181"/>
      <c r="J666" s="181"/>
      <c r="K666" s="181"/>
    </row>
    <row r="667" spans="1:11">
      <c r="A667" s="175"/>
      <c r="B667" s="175"/>
      <c r="C667" s="175"/>
      <c r="D667" s="1275"/>
      <c r="E667" s="1275"/>
      <c r="F667" s="1275"/>
      <c r="H667" s="181"/>
      <c r="I667" s="181"/>
      <c r="J667" s="181"/>
      <c r="K667" s="181"/>
    </row>
    <row r="668" spans="1:11">
      <c r="A668" s="175"/>
      <c r="B668" s="175"/>
      <c r="C668" s="175"/>
      <c r="H668" s="181"/>
      <c r="I668" s="181"/>
      <c r="J668" s="181"/>
      <c r="K668" s="181"/>
    </row>
    <row r="669" spans="1:11">
      <c r="A669" s="176"/>
      <c r="B669" s="468" t="s">
        <v>308</v>
      </c>
      <c r="C669" s="175"/>
      <c r="D669" s="1286" t="s">
        <v>937</v>
      </c>
      <c r="E669" s="1286"/>
      <c r="F669" s="1286"/>
      <c r="H669" s="181"/>
      <c r="I669" s="181"/>
      <c r="J669" s="181"/>
      <c r="K669" s="181"/>
    </row>
    <row r="670" spans="1:11">
      <c r="A670" s="176"/>
      <c r="B670" s="176"/>
      <c r="C670" s="175"/>
      <c r="D670" s="1286" t="s">
        <v>909</v>
      </c>
      <c r="E670" s="1286"/>
      <c r="F670" s="1286"/>
      <c r="H670" s="181"/>
      <c r="I670" s="181"/>
      <c r="J670" s="181"/>
      <c r="K670" s="181"/>
    </row>
    <row r="671" spans="1:11">
      <c r="A671" s="175"/>
      <c r="B671" s="175"/>
      <c r="C671" s="175"/>
      <c r="D671" s="3"/>
      <c r="E671" s="1297" t="s">
        <v>1127</v>
      </c>
      <c r="F671" s="1297"/>
      <c r="H671" s="181"/>
      <c r="I671" s="181"/>
      <c r="J671" s="181"/>
      <c r="K671" s="181"/>
    </row>
    <row r="672" spans="1:11">
      <c r="A672" s="175"/>
      <c r="B672" s="175"/>
      <c r="C672" s="175"/>
      <c r="D672" s="2"/>
      <c r="H672" s="181"/>
      <c r="I672" s="181"/>
      <c r="J672" s="181"/>
      <c r="K672" s="181"/>
    </row>
    <row r="673" spans="1:11">
      <c r="A673" s="176"/>
      <c r="B673" s="468" t="s">
        <v>308</v>
      </c>
      <c r="C673" s="175"/>
      <c r="D673" s="1275" t="s">
        <v>1137</v>
      </c>
      <c r="E673" s="1275"/>
      <c r="F673" s="1275"/>
      <c r="H673" s="181"/>
      <c r="I673" s="181"/>
      <c r="J673" s="181"/>
      <c r="K673" s="181"/>
    </row>
    <row r="674" spans="1:11">
      <c r="A674" s="175"/>
      <c r="B674" s="175"/>
      <c r="C674" s="175"/>
      <c r="D674" s="1275"/>
      <c r="E674" s="1275"/>
      <c r="F674" s="1275"/>
      <c r="H674" s="181"/>
      <c r="I674" s="181"/>
      <c r="J674" s="181"/>
      <c r="K674" s="181"/>
    </row>
    <row r="675" spans="1:11">
      <c r="A675" s="175"/>
      <c r="B675" s="175"/>
      <c r="C675" s="175"/>
      <c r="D675" s="1275"/>
      <c r="E675" s="1275"/>
      <c r="F675" s="1275"/>
      <c r="H675" s="181"/>
      <c r="I675" s="181"/>
      <c r="J675" s="181"/>
      <c r="K675" s="181"/>
    </row>
    <row r="676" spans="1:11">
      <c r="A676" s="175"/>
      <c r="B676" s="175"/>
      <c r="C676" s="175"/>
      <c r="D676" s="1275"/>
      <c r="E676" s="1275"/>
      <c r="F676" s="1275"/>
      <c r="H676" s="181"/>
      <c r="I676" s="181"/>
      <c r="J676" s="181"/>
      <c r="K676" s="181"/>
    </row>
    <row r="677" spans="1:11">
      <c r="A677" s="175"/>
      <c r="B677" s="175"/>
      <c r="C677" s="175"/>
      <c r="D677" s="1275"/>
      <c r="E677" s="1275"/>
      <c r="F677" s="1275"/>
      <c r="H677" s="181"/>
      <c r="I677" s="181"/>
      <c r="J677" s="181"/>
      <c r="K677" s="181"/>
    </row>
    <row r="678" spans="1:11">
      <c r="A678" s="175"/>
      <c r="B678" s="175"/>
      <c r="C678" s="175"/>
      <c r="D678" s="1275"/>
      <c r="E678" s="1275"/>
      <c r="F678" s="1275"/>
      <c r="H678" s="181"/>
      <c r="I678" s="181"/>
      <c r="J678" s="181"/>
      <c r="K678" s="181"/>
    </row>
    <row r="679" spans="1:11">
      <c r="A679" s="175"/>
      <c r="B679" s="175"/>
      <c r="C679" s="175"/>
      <c r="D679" s="474"/>
      <c r="E679" s="474"/>
      <c r="F679" s="474"/>
      <c r="H679" s="181"/>
      <c r="I679" s="181"/>
      <c r="J679" s="181"/>
      <c r="K679" s="181"/>
    </row>
    <row r="680" spans="1:11">
      <c r="A680" s="176"/>
      <c r="B680" s="468" t="s">
        <v>308</v>
      </c>
      <c r="C680" s="175"/>
      <c r="D680" s="1275" t="s">
        <v>1128</v>
      </c>
      <c r="E680" s="1275"/>
      <c r="F680" s="1275"/>
      <c r="H680" s="181"/>
      <c r="I680" s="181"/>
      <c r="J680" s="181"/>
      <c r="K680" s="181"/>
    </row>
    <row r="681" spans="1:11">
      <c r="A681" s="175"/>
      <c r="B681" s="175"/>
      <c r="C681" s="175"/>
      <c r="D681" s="1275"/>
      <c r="E681" s="1275"/>
      <c r="F681" s="1275"/>
      <c r="H681" s="181"/>
      <c r="I681" s="181"/>
      <c r="J681" s="181"/>
      <c r="K681" s="181"/>
    </row>
    <row r="682" spans="1:11">
      <c r="A682" s="175"/>
      <c r="B682" s="175"/>
      <c r="C682" s="175"/>
      <c r="D682" s="1275"/>
      <c r="E682" s="1275"/>
      <c r="F682" s="1275"/>
      <c r="H682" s="181"/>
      <c r="I682" s="181"/>
      <c r="J682" s="181"/>
      <c r="K682" s="181"/>
    </row>
    <row r="683" spans="1:11" ht="15" customHeight="1">
      <c r="A683" s="175"/>
      <c r="B683" s="175"/>
      <c r="C683" s="175"/>
      <c r="D683" s="1275"/>
      <c r="E683" s="1275"/>
      <c r="F683" s="1275"/>
      <c r="H683" s="181"/>
      <c r="I683" s="181"/>
      <c r="J683" s="181"/>
      <c r="K683" s="181"/>
    </row>
    <row r="684" spans="1:11" ht="15" customHeight="1">
      <c r="A684" s="175"/>
      <c r="B684" s="175"/>
      <c r="C684" s="175"/>
      <c r="D684" s="1275"/>
      <c r="E684" s="1275"/>
      <c r="F684" s="1275"/>
      <c r="H684" s="181"/>
      <c r="I684" s="181"/>
      <c r="J684" s="181"/>
      <c r="K684" s="181"/>
    </row>
    <row r="685" spans="1:11">
      <c r="A685" s="175"/>
      <c r="B685" s="175"/>
      <c r="C685" s="175"/>
      <c r="D685" s="1275"/>
      <c r="E685" s="1275"/>
      <c r="F685" s="1275"/>
      <c r="H685" s="181"/>
      <c r="I685" s="181"/>
      <c r="J685" s="181"/>
      <c r="K685" s="181"/>
    </row>
    <row r="686" spans="1:11">
      <c r="A686" s="175"/>
      <c r="B686" s="175"/>
      <c r="C686" s="175"/>
      <c r="D686" s="1275"/>
      <c r="E686" s="1275"/>
      <c r="F686" s="1275"/>
      <c r="H686" s="181"/>
      <c r="I686" s="181"/>
      <c r="J686" s="181"/>
      <c r="K686" s="181"/>
    </row>
    <row r="687" spans="1:11">
      <c r="A687" s="175"/>
      <c r="B687" s="175"/>
      <c r="C687" s="175"/>
      <c r="D687" s="1275"/>
      <c r="E687" s="1275"/>
      <c r="F687" s="1275"/>
      <c r="H687" s="181"/>
      <c r="I687" s="181"/>
      <c r="J687" s="181"/>
      <c r="K687" s="181"/>
    </row>
    <row r="688" spans="1:11" ht="15" customHeight="1">
      <c r="A688" s="175"/>
      <c r="B688" s="175"/>
      <c r="C688" s="175"/>
      <c r="D688" s="1275"/>
      <c r="E688" s="1275"/>
      <c r="F688" s="1275"/>
      <c r="H688" s="181"/>
      <c r="I688" s="181"/>
      <c r="J688" s="181"/>
      <c r="K688" s="181"/>
    </row>
    <row r="689" spans="1:11">
      <c r="A689" s="175"/>
      <c r="B689" s="175"/>
      <c r="C689" s="175"/>
      <c r="D689" s="1275"/>
      <c r="E689" s="1275"/>
      <c r="F689" s="1275"/>
      <c r="H689" s="181"/>
      <c r="I689" s="181"/>
      <c r="J689" s="181"/>
      <c r="K689" s="181"/>
    </row>
    <row r="690" spans="1:11">
      <c r="A690" s="175"/>
      <c r="B690" s="175"/>
      <c r="C690" s="175"/>
      <c r="D690" s="1275"/>
      <c r="E690" s="1275"/>
      <c r="F690" s="1275"/>
      <c r="H690" s="181"/>
      <c r="I690" s="181"/>
      <c r="J690" s="181"/>
      <c r="K690" s="181"/>
    </row>
    <row r="691" spans="1:11">
      <c r="A691" s="175"/>
      <c r="B691" s="175"/>
      <c r="C691" s="175"/>
      <c r="D691" s="1275"/>
      <c r="E691" s="1275"/>
      <c r="F691" s="1275"/>
      <c r="H691" s="181"/>
      <c r="I691" s="181"/>
      <c r="J691" s="181"/>
      <c r="K691" s="181"/>
    </row>
    <row r="692" spans="1:11">
      <c r="A692" s="175"/>
      <c r="B692" s="175"/>
      <c r="C692" s="175"/>
      <c r="D692" s="474"/>
      <c r="E692" s="474"/>
      <c r="F692" s="474"/>
      <c r="H692" s="181"/>
      <c r="I692" s="181"/>
      <c r="J692" s="181"/>
      <c r="K692" s="181"/>
    </row>
    <row r="693" spans="1:11">
      <c r="A693" s="176"/>
      <c r="B693" s="468" t="s">
        <v>308</v>
      </c>
      <c r="C693" s="175"/>
      <c r="D693" s="1275" t="s">
        <v>1138</v>
      </c>
      <c r="E693" s="1275"/>
      <c r="F693" s="1275"/>
      <c r="H693" s="181"/>
      <c r="I693" s="181"/>
      <c r="J693" s="181"/>
      <c r="K693" s="181"/>
    </row>
    <row r="694" spans="1:11">
      <c r="A694" s="175"/>
      <c r="B694" s="175"/>
      <c r="C694" s="175"/>
      <c r="D694" s="1275"/>
      <c r="E694" s="1275"/>
      <c r="F694" s="1275"/>
      <c r="H694" s="181"/>
      <c r="I694" s="181"/>
      <c r="J694" s="181"/>
      <c r="K694" s="181"/>
    </row>
    <row r="695" spans="1:11">
      <c r="A695" s="175"/>
      <c r="B695" s="175"/>
      <c r="C695" s="175"/>
      <c r="D695" s="1275"/>
      <c r="E695" s="1275"/>
      <c r="F695" s="1275"/>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75" t="s">
        <v>1135</v>
      </c>
      <c r="E697" s="1275"/>
      <c r="F697" s="1275"/>
      <c r="H697" s="181"/>
      <c r="I697" s="181"/>
      <c r="J697" s="181"/>
      <c r="K697" s="181"/>
    </row>
    <row r="698" spans="1:11">
      <c r="A698" s="175"/>
      <c r="B698" s="175"/>
      <c r="C698" s="175"/>
      <c r="D698" s="1275"/>
      <c r="E698" s="1275"/>
      <c r="F698" s="1275"/>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75" t="s">
        <v>1136</v>
      </c>
      <c r="E700" s="1275"/>
      <c r="F700" s="1275"/>
      <c r="H700" s="181"/>
      <c r="I700" s="181"/>
      <c r="J700" s="181"/>
      <c r="K700" s="181"/>
    </row>
    <row r="701" spans="1:11">
      <c r="A701" s="175"/>
      <c r="B701" s="175"/>
      <c r="C701" s="175"/>
      <c r="D701" s="1275"/>
      <c r="E701" s="1275"/>
      <c r="F701" s="1275"/>
      <c r="H701" s="181"/>
      <c r="I701" s="181"/>
      <c r="J701" s="181"/>
      <c r="K701" s="181"/>
    </row>
    <row r="702" spans="1:11">
      <c r="A702" s="175"/>
      <c r="B702" s="175"/>
      <c r="C702" s="175"/>
      <c r="D702" s="1275"/>
      <c r="E702" s="1275"/>
      <c r="F702" s="1275"/>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75" t="s">
        <v>1129</v>
      </c>
      <c r="E704" s="1275"/>
      <c r="F704" s="1275"/>
      <c r="H704" s="181"/>
      <c r="I704" s="181"/>
      <c r="J704" s="181"/>
      <c r="K704" s="181"/>
    </row>
    <row r="705" spans="1:11">
      <c r="A705" s="175"/>
      <c r="B705" s="175"/>
      <c r="C705" s="175"/>
      <c r="D705" s="1275"/>
      <c r="E705" s="1275"/>
      <c r="F705" s="1275"/>
      <c r="H705" s="181"/>
      <c r="I705" s="181"/>
      <c r="J705" s="181"/>
      <c r="K705" s="181"/>
    </row>
    <row r="706" spans="1:11">
      <c r="A706" s="175"/>
      <c r="B706" s="175"/>
      <c r="C706" s="175"/>
      <c r="D706" s="1275"/>
      <c r="E706" s="1275"/>
      <c r="F706" s="1275"/>
      <c r="H706" s="181"/>
      <c r="I706" s="181"/>
      <c r="J706" s="181"/>
      <c r="K706" s="181"/>
    </row>
    <row r="707" spans="1:11">
      <c r="A707" s="175"/>
      <c r="B707" s="175"/>
      <c r="C707" s="175"/>
      <c r="H707" s="181"/>
      <c r="I707" s="181"/>
      <c r="J707" s="181"/>
      <c r="K707" s="181"/>
    </row>
    <row r="708" spans="1:11">
      <c r="A708" s="175"/>
      <c r="B708" s="468" t="s">
        <v>308</v>
      </c>
      <c r="C708" s="175"/>
      <c r="D708" s="1275" t="s">
        <v>1130</v>
      </c>
      <c r="E708" s="1275"/>
      <c r="F708" s="1275"/>
      <c r="H708" s="181"/>
      <c r="I708" s="181"/>
      <c r="J708" s="181"/>
      <c r="K708" s="181"/>
    </row>
    <row r="709" spans="1:11">
      <c r="A709" s="175"/>
      <c r="B709" s="175"/>
      <c r="C709" s="175"/>
      <c r="D709" s="1275"/>
      <c r="E709" s="1275"/>
      <c r="F709" s="1275"/>
      <c r="H709" s="181"/>
      <c r="I709" s="181"/>
      <c r="J709" s="181"/>
      <c r="K709" s="181"/>
    </row>
    <row r="710" spans="1:11">
      <c r="A710" s="175"/>
      <c r="B710" s="175"/>
      <c r="C710" s="175"/>
      <c r="D710" s="1275"/>
      <c r="E710" s="1275"/>
      <c r="F710" s="1275"/>
      <c r="H710" s="181"/>
      <c r="I710" s="181"/>
      <c r="J710" s="181"/>
      <c r="K710" s="181"/>
    </row>
    <row r="711" spans="1:11">
      <c r="A711" s="175"/>
      <c r="B711" s="175"/>
      <c r="C711" s="175"/>
      <c r="D711"/>
      <c r="H711" s="181"/>
      <c r="I711" s="181"/>
      <c r="J711" s="181"/>
      <c r="K711" s="181"/>
    </row>
    <row r="712" spans="1:11">
      <c r="A712" s="176"/>
      <c r="B712" s="468" t="s">
        <v>308</v>
      </c>
      <c r="C712" s="175"/>
      <c r="D712" s="1275" t="s">
        <v>1131</v>
      </c>
      <c r="E712" s="1275"/>
      <c r="F712" s="1275"/>
      <c r="H712" s="181"/>
      <c r="I712" s="181"/>
      <c r="J712" s="181"/>
      <c r="K712" s="181"/>
    </row>
    <row r="713" spans="1:11">
      <c r="A713" s="175"/>
      <c r="B713" s="175"/>
      <c r="C713" s="175"/>
      <c r="D713" s="1275"/>
      <c r="E713" s="1275"/>
      <c r="F713" s="1275"/>
      <c r="H713" s="181"/>
      <c r="I713" s="181"/>
      <c r="J713" s="181"/>
      <c r="K713" s="181"/>
    </row>
    <row r="714" spans="1:11">
      <c r="A714" s="175"/>
      <c r="B714" s="175"/>
      <c r="C714" s="175"/>
      <c r="D714" s="1275"/>
      <c r="E714" s="1275"/>
      <c r="F714" s="1275"/>
      <c r="H714" s="181"/>
      <c r="I714" s="181"/>
      <c r="J714" s="181"/>
      <c r="K714" s="181"/>
    </row>
    <row r="715" spans="1:11">
      <c r="A715" s="175"/>
      <c r="B715" s="175"/>
      <c r="C715" s="175"/>
      <c r="D715" s="1275"/>
      <c r="E715" s="1275"/>
      <c r="F715" s="1275"/>
      <c r="H715" s="181"/>
      <c r="I715" s="181"/>
      <c r="J715" s="181"/>
      <c r="K715" s="181"/>
    </row>
    <row r="716" spans="1:11">
      <c r="A716" s="175"/>
      <c r="B716" s="175"/>
      <c r="C716" s="175"/>
      <c r="D716" s="178"/>
      <c r="H716" s="181"/>
      <c r="I716" s="181"/>
      <c r="J716" s="181"/>
      <c r="K716" s="181"/>
    </row>
    <row r="717" spans="1:11">
      <c r="A717" s="176"/>
      <c r="B717" s="468" t="s">
        <v>308</v>
      </c>
      <c r="C717" s="175"/>
      <c r="D717" s="1275" t="s">
        <v>1264</v>
      </c>
      <c r="E717" s="1275"/>
      <c r="F717" s="1275"/>
      <c r="H717" s="181"/>
      <c r="I717" s="181"/>
      <c r="J717" s="181"/>
      <c r="K717" s="181"/>
    </row>
    <row r="718" spans="1:11">
      <c r="A718" s="175"/>
      <c r="B718" s="175"/>
      <c r="C718" s="175"/>
      <c r="D718" s="1275"/>
      <c r="E718" s="1275"/>
      <c r="F718" s="1275"/>
      <c r="H718" s="181"/>
      <c r="I718" s="181"/>
      <c r="J718" s="181"/>
      <c r="K718" s="181"/>
    </row>
    <row r="719" spans="1:11">
      <c r="A719" s="175"/>
      <c r="B719" s="175"/>
      <c r="C719" s="175"/>
      <c r="D719" s="1275"/>
      <c r="E719" s="1275"/>
      <c r="F719" s="1275"/>
      <c r="H719" s="181"/>
      <c r="I719" s="181"/>
      <c r="J719" s="181"/>
      <c r="K719" s="181"/>
    </row>
    <row r="720" spans="1:11">
      <c r="A720" s="175"/>
      <c r="B720" s="175"/>
      <c r="C720" s="175"/>
      <c r="D720" s="1275"/>
      <c r="E720" s="1275"/>
      <c r="F720" s="1275"/>
      <c r="H720" s="181"/>
      <c r="I720" s="181"/>
      <c r="J720" s="181"/>
      <c r="K720" s="181"/>
    </row>
    <row r="721" spans="1:11">
      <c r="A721" s="175"/>
      <c r="B721" s="175"/>
      <c r="C721" s="175"/>
      <c r="D721" s="1275"/>
      <c r="E721" s="1275"/>
      <c r="F721" s="1275"/>
      <c r="H721" s="181"/>
      <c r="I721" s="181"/>
      <c r="J721" s="181"/>
      <c r="K721" s="181"/>
    </row>
    <row r="722" spans="1:11">
      <c r="A722" s="175"/>
      <c r="B722" s="175"/>
      <c r="C722" s="175"/>
      <c r="D722" s="1275"/>
      <c r="E722" s="1275"/>
      <c r="F722" s="1275"/>
      <c r="H722" s="181"/>
      <c r="I722" s="181"/>
      <c r="J722" s="181"/>
      <c r="K722" s="181"/>
    </row>
    <row r="723" spans="1:11">
      <c r="A723" s="175"/>
      <c r="B723" s="175"/>
      <c r="C723" s="175"/>
      <c r="D723" s="1275"/>
      <c r="E723" s="1275"/>
      <c r="F723" s="1275"/>
      <c r="H723" s="181"/>
      <c r="I723" s="181"/>
      <c r="J723" s="181"/>
      <c r="K723" s="181"/>
    </row>
    <row r="724" spans="1:11">
      <c r="A724" s="175"/>
      <c r="B724" s="175"/>
      <c r="C724" s="175"/>
      <c r="D724" s="1319" t="s">
        <v>1132</v>
      </c>
      <c r="E724" s="1319"/>
      <c r="F724" s="1319"/>
      <c r="H724" s="181"/>
      <c r="I724" s="181"/>
      <c r="J724" s="181"/>
      <c r="K724" s="181"/>
    </row>
    <row r="725" spans="1:11">
      <c r="A725" s="175"/>
      <c r="B725" s="175"/>
      <c r="C725" s="175"/>
      <c r="D725" s="369"/>
      <c r="H725" s="181"/>
      <c r="I725" s="181"/>
      <c r="J725" s="181"/>
      <c r="K725" s="181"/>
    </row>
    <row r="726" spans="1:11">
      <c r="A726" s="1321" t="s">
        <v>1089</v>
      </c>
      <c r="B726" s="1321"/>
      <c r="C726" s="1321"/>
      <c r="D726" s="1321"/>
      <c r="E726" s="1321"/>
      <c r="F726" s="1321"/>
      <c r="G726" s="1321"/>
      <c r="H726" s="181"/>
      <c r="I726" s="181"/>
      <c r="J726" s="181"/>
      <c r="K726" s="181"/>
    </row>
    <row r="727" spans="1:11">
      <c r="A727" s="175"/>
      <c r="B727" s="175"/>
      <c r="C727" s="175"/>
      <c r="D727" s="178"/>
      <c r="G727" s="183"/>
      <c r="H727" s="181"/>
      <c r="I727" s="181"/>
      <c r="J727" s="181"/>
      <c r="K727" s="181"/>
    </row>
    <row r="728" spans="1:11" ht="13.15" customHeight="1">
      <c r="C728" s="175"/>
      <c r="D728" s="1308" t="s">
        <v>1105</v>
      </c>
      <c r="E728" s="1308"/>
      <c r="F728" s="1308"/>
      <c r="G728" s="183"/>
      <c r="H728" s="181"/>
      <c r="I728" s="181"/>
      <c r="J728" s="181"/>
      <c r="K728" s="181"/>
    </row>
    <row r="729" spans="1:11">
      <c r="A729" s="175"/>
      <c r="B729" s="175"/>
      <c r="C729" s="175"/>
      <c r="D729" s="1318" t="s">
        <v>1106</v>
      </c>
      <c r="E729" s="1318"/>
      <c r="F729" s="1318"/>
      <c r="G729" s="183"/>
      <c r="H729" s="181"/>
      <c r="I729" s="181"/>
      <c r="J729" s="181"/>
      <c r="K729" s="181"/>
    </row>
    <row r="730" spans="1:11">
      <c r="A730" s="175"/>
      <c r="B730" s="175"/>
      <c r="C730" s="175"/>
      <c r="G730" s="183"/>
      <c r="H730" s="181"/>
      <c r="I730" s="181"/>
      <c r="J730" s="181"/>
      <c r="K730" s="181"/>
    </row>
    <row r="731" spans="1:11">
      <c r="A731" s="176"/>
      <c r="B731" s="468" t="s">
        <v>308</v>
      </c>
      <c r="D731" s="1275" t="s">
        <v>1107</v>
      </c>
      <c r="E731" s="1275"/>
      <c r="F731" s="1275"/>
      <c r="G731" s="183"/>
      <c r="H731" s="181"/>
      <c r="I731" s="181"/>
      <c r="J731" s="181"/>
      <c r="K731" s="181"/>
    </row>
    <row r="732" spans="1:11" ht="10.5" customHeight="1">
      <c r="D732" s="1275"/>
      <c r="E732" s="1275"/>
      <c r="F732" s="1275"/>
      <c r="G732" s="183"/>
      <c r="H732" s="181"/>
      <c r="I732" s="181"/>
      <c r="J732" s="181"/>
      <c r="K732" s="181"/>
    </row>
    <row r="733" spans="1:11">
      <c r="D733" s="1275"/>
      <c r="E733" s="1275"/>
      <c r="F733" s="1275"/>
      <c r="G733" s="183"/>
      <c r="H733" s="181"/>
      <c r="I733" s="181"/>
      <c r="J733" s="181"/>
      <c r="K733" s="181"/>
    </row>
    <row r="734" spans="1:11">
      <c r="D734" s="1275"/>
      <c r="E734" s="1275"/>
      <c r="F734" s="1275"/>
      <c r="G734" s="183"/>
      <c r="H734" s="181"/>
      <c r="I734" s="181"/>
      <c r="J734" s="181"/>
      <c r="K734" s="181"/>
    </row>
    <row r="735" spans="1:11">
      <c r="D735" s="1275"/>
      <c r="E735" s="1275"/>
      <c r="F735" s="1275"/>
      <c r="G735" s="183"/>
      <c r="H735" s="181"/>
      <c r="I735" s="181"/>
      <c r="J735" s="181"/>
      <c r="K735" s="181"/>
    </row>
    <row r="736" spans="1:11" ht="15.65" customHeight="1">
      <c r="D736" s="1275"/>
      <c r="E736" s="1275"/>
      <c r="F736" s="1275"/>
      <c r="G736" s="183"/>
      <c r="H736" s="181"/>
      <c r="I736" s="181"/>
      <c r="J736" s="181"/>
      <c r="K736" s="181"/>
    </row>
    <row r="737" spans="1:11">
      <c r="D737" s="255"/>
      <c r="E737" s="35"/>
      <c r="F737" s="35"/>
      <c r="G737" s="183"/>
      <c r="H737" s="181"/>
      <c r="I737" s="181"/>
      <c r="J737" s="181"/>
      <c r="K737" s="181"/>
    </row>
    <row r="738" spans="1:11" s="274" customFormat="1">
      <c r="A738" s="272"/>
      <c r="B738" s="468" t="s">
        <v>308</v>
      </c>
      <c r="C738" s="273"/>
      <c r="D738" s="1275" t="s">
        <v>1108</v>
      </c>
      <c r="E738" s="1275"/>
      <c r="F738" s="1275"/>
      <c r="G738" s="210"/>
    </row>
    <row r="739" spans="1:11" s="274" customFormat="1">
      <c r="A739" s="273"/>
      <c r="B739" s="273"/>
      <c r="C739" s="273"/>
      <c r="D739" s="1275"/>
      <c r="E739" s="1275"/>
      <c r="F739" s="1275"/>
      <c r="G739" s="210"/>
    </row>
    <row r="740" spans="1:11" s="274" customFormat="1">
      <c r="A740" s="273"/>
      <c r="B740" s="273"/>
      <c r="C740" s="273"/>
      <c r="D740" s="1275"/>
      <c r="E740" s="1275"/>
      <c r="F740" s="1275"/>
      <c r="G740" s="210"/>
    </row>
    <row r="741" spans="1:11" s="274" customFormat="1">
      <c r="A741" s="273"/>
      <c r="B741" s="273"/>
      <c r="C741" s="273"/>
      <c r="D741" s="1275"/>
      <c r="E741" s="1275"/>
      <c r="F741" s="1275"/>
      <c r="G741" s="210"/>
    </row>
    <row r="742" spans="1:11" s="274" customFormat="1">
      <c r="A742" s="273"/>
      <c r="B742" s="273"/>
      <c r="C742" s="273"/>
      <c r="D742" s="255"/>
      <c r="E742" s="210"/>
      <c r="F742" s="210"/>
      <c r="G742" s="210"/>
    </row>
    <row r="743" spans="1:11" s="274" customFormat="1">
      <c r="A743" s="176"/>
      <c r="B743" s="468" t="s">
        <v>308</v>
      </c>
      <c r="C743" s="273"/>
      <c r="D743" s="1315" t="s">
        <v>1109</v>
      </c>
      <c r="E743" s="1315"/>
      <c r="F743" s="1315"/>
      <c r="G743" s="210"/>
    </row>
    <row r="744" spans="1:11" s="274" customFormat="1">
      <c r="A744" s="273"/>
      <c r="B744" s="273"/>
      <c r="C744" s="273"/>
      <c r="D744" s="1315"/>
      <c r="E744" s="1315"/>
      <c r="F744" s="1315"/>
      <c r="G744" s="210"/>
    </row>
    <row r="745" spans="1:11" s="274" customFormat="1">
      <c r="A745" s="273"/>
      <c r="B745" s="273"/>
      <c r="C745" s="273"/>
      <c r="D745" s="1315"/>
      <c r="E745" s="1315"/>
      <c r="F745" s="1315"/>
      <c r="G745" s="210"/>
    </row>
    <row r="746" spans="1:11">
      <c r="D746" s="255"/>
      <c r="E746" s="35"/>
      <c r="F746" s="35"/>
      <c r="G746" s="183"/>
      <c r="H746" s="181"/>
      <c r="I746" s="181"/>
      <c r="J746" s="181"/>
      <c r="K746" s="181"/>
    </row>
    <row r="747" spans="1:11">
      <c r="A747" s="176"/>
      <c r="B747" s="468" t="s">
        <v>308</v>
      </c>
      <c r="D747" s="1275" t="s">
        <v>1110</v>
      </c>
      <c r="E747" s="1275"/>
      <c r="F747" s="1275"/>
      <c r="G747" s="183"/>
      <c r="H747" s="181"/>
      <c r="I747" s="181"/>
      <c r="J747" s="181"/>
      <c r="K747" s="181"/>
    </row>
    <row r="748" spans="1:11">
      <c r="D748" s="1275"/>
      <c r="E748" s="1275"/>
      <c r="F748" s="1275"/>
      <c r="G748" s="183"/>
      <c r="H748" s="181"/>
      <c r="I748" s="181"/>
      <c r="J748" s="181"/>
      <c r="K748" s="181"/>
    </row>
    <row r="749" spans="1:11">
      <c r="D749" s="474"/>
      <c r="E749" s="474"/>
      <c r="F749" s="474"/>
      <c r="G749" s="183"/>
      <c r="H749" s="181"/>
      <c r="I749" s="181"/>
      <c r="J749" s="181"/>
      <c r="K749" s="181"/>
    </row>
    <row r="750" spans="1:11">
      <c r="B750" s="468" t="s">
        <v>308</v>
      </c>
      <c r="D750" s="1275" t="s">
        <v>1111</v>
      </c>
      <c r="E750" s="1275"/>
      <c r="F750" s="1275"/>
      <c r="G750" s="183"/>
      <c r="H750" s="181"/>
      <c r="I750" s="181"/>
      <c r="J750" s="181"/>
      <c r="K750" s="181"/>
    </row>
    <row r="751" spans="1:11">
      <c r="D751" s="1275"/>
      <c r="E751" s="1275"/>
      <c r="F751" s="1275"/>
      <c r="G751" s="183"/>
      <c r="H751" s="181"/>
      <c r="I751" s="181"/>
      <c r="J751" s="181"/>
      <c r="K751" s="181"/>
    </row>
    <row r="752" spans="1:11">
      <c r="D752" s="1275"/>
      <c r="E752" s="1275"/>
      <c r="F752" s="1275"/>
      <c r="G752" s="183"/>
      <c r="H752" s="181"/>
      <c r="I752" s="181"/>
      <c r="J752" s="181"/>
      <c r="K752" s="181"/>
    </row>
    <row r="753" spans="1:11">
      <c r="D753" s="474"/>
      <c r="E753" s="474"/>
      <c r="F753" s="474"/>
      <c r="G753" s="183"/>
      <c r="H753" s="181"/>
      <c r="I753" s="181"/>
      <c r="J753" s="181"/>
      <c r="K753" s="181"/>
    </row>
    <row r="754" spans="1:11">
      <c r="A754" s="1290" t="s">
        <v>1112</v>
      </c>
      <c r="B754" s="1290"/>
      <c r="C754" s="1290"/>
      <c r="D754" s="1290"/>
      <c r="E754" s="1290"/>
      <c r="F754" s="1290"/>
      <c r="G754" s="1290"/>
    </row>
    <row r="755" spans="1:11">
      <c r="A755" s="175"/>
      <c r="B755" s="175"/>
      <c r="C755" s="175"/>
      <c r="D755" s="184"/>
      <c r="F755" s="35"/>
      <c r="G755" s="183"/>
    </row>
    <row r="756" spans="1:11">
      <c r="D756" s="1322" t="s">
        <v>1096</v>
      </c>
      <c r="E756" s="1322"/>
      <c r="F756" s="1322"/>
      <c r="G756" s="183"/>
    </row>
    <row r="757" spans="1:11">
      <c r="A757" s="345"/>
      <c r="B757" s="345"/>
      <c r="C757" s="345"/>
      <c r="D757" s="1305" t="s">
        <v>1113</v>
      </c>
      <c r="E757" s="1305"/>
      <c r="F757" s="1305"/>
      <c r="G757" s="183"/>
    </row>
    <row r="758" spans="1:11">
      <c r="D758" s="433"/>
      <c r="E758" s="433"/>
      <c r="F758" s="433"/>
      <c r="G758" s="183"/>
    </row>
    <row r="759" spans="1:11">
      <c r="A759" s="176"/>
      <c r="B759" s="468" t="s">
        <v>308</v>
      </c>
      <c r="D759" s="1305" t="s">
        <v>1006</v>
      </c>
      <c r="E759" s="1305"/>
      <c r="F759" s="1305"/>
      <c r="G759" s="183"/>
    </row>
    <row r="760" spans="1:11">
      <c r="D760" s="433"/>
      <c r="E760" s="1317" t="s">
        <v>1097</v>
      </c>
      <c r="F760" s="1317"/>
      <c r="G760" s="183"/>
    </row>
    <row r="761" spans="1:11">
      <c r="A761" s="172"/>
      <c r="B761" s="172"/>
      <c r="C761" s="172"/>
      <c r="D761" s="35"/>
      <c r="G761" s="183"/>
    </row>
    <row r="762" spans="1:11">
      <c r="A762" s="1320" t="s">
        <v>450</v>
      </c>
      <c r="B762" s="1320"/>
      <c r="C762" s="1320"/>
      <c r="D762" s="1320"/>
      <c r="E762" s="1320"/>
      <c r="F762" s="1320"/>
      <c r="G762" s="1320"/>
    </row>
    <row r="763" spans="1:11">
      <c r="A763" s="172"/>
      <c r="B763" s="172"/>
      <c r="C763" s="179"/>
      <c r="D763" s="183"/>
      <c r="E763" s="183"/>
      <c r="F763" s="183"/>
      <c r="G763" s="183"/>
    </row>
    <row r="764" spans="1:11">
      <c r="A764" s="35"/>
      <c r="B764" s="1318" t="s">
        <v>1005</v>
      </c>
      <c r="C764" s="1318"/>
      <c r="D764" s="1318"/>
      <c r="E764" s="1318"/>
      <c r="F764" s="1318"/>
      <c r="G764" s="183"/>
    </row>
    <row r="765" spans="1:11">
      <c r="A765" s="13"/>
      <c r="B765" s="13"/>
      <c r="G765" s="183"/>
    </row>
    <row r="766" spans="1:11">
      <c r="A766" s="1320" t="s">
        <v>451</v>
      </c>
      <c r="B766" s="1320"/>
      <c r="C766" s="1320"/>
      <c r="D766" s="1320"/>
      <c r="E766" s="1320"/>
      <c r="F766" s="1320"/>
      <c r="G766" s="1320"/>
    </row>
    <row r="767" spans="1:11">
      <c r="A767" s="172"/>
      <c r="B767" s="172"/>
      <c r="C767" s="172"/>
      <c r="D767" s="178"/>
      <c r="G767" s="183"/>
    </row>
    <row r="768" spans="1:11">
      <c r="A768" s="35"/>
      <c r="B768" s="1286" t="s">
        <v>449</v>
      </c>
      <c r="C768" s="1286"/>
      <c r="D768" s="1286"/>
      <c r="E768" s="1286"/>
      <c r="F768" s="1286"/>
      <c r="G768" s="183"/>
    </row>
    <row r="769" spans="1:7">
      <c r="A769" s="176"/>
      <c r="B769" s="176"/>
      <c r="D769" s="35"/>
      <c r="E769" s="35"/>
      <c r="F769" s="183"/>
      <c r="G769" s="183"/>
    </row>
    <row r="770" spans="1:7">
      <c r="A770" s="1320" t="s">
        <v>452</v>
      </c>
      <c r="B770" s="1320"/>
      <c r="C770" s="1320"/>
      <c r="D770" s="1320"/>
      <c r="E770" s="1320"/>
      <c r="F770" s="1320"/>
      <c r="G770" s="1320"/>
    </row>
    <row r="771" spans="1:7">
      <c r="C771" s="175"/>
      <c r="D771" s="173"/>
      <c r="E771" s="35"/>
      <c r="F771" s="183"/>
      <c r="G771" s="183"/>
    </row>
    <row r="772" spans="1:7">
      <c r="A772" s="35"/>
      <c r="B772" s="1286" t="s">
        <v>449</v>
      </c>
      <c r="C772" s="1286"/>
      <c r="D772" s="1286"/>
      <c r="E772" s="1286"/>
      <c r="F772" s="1286"/>
      <c r="G772" s="183"/>
    </row>
    <row r="773" spans="1:7">
      <c r="A773" s="35"/>
      <c r="B773" s="35"/>
      <c r="C773" s="179"/>
      <c r="D773" s="183"/>
      <c r="E773" s="183"/>
      <c r="F773" s="183"/>
      <c r="G773" s="183"/>
    </row>
    <row r="774" spans="1:7">
      <c r="A774" s="1320" t="s">
        <v>453</v>
      </c>
      <c r="B774" s="1320"/>
      <c r="C774" s="1320"/>
      <c r="D774" s="1320"/>
      <c r="E774" s="1320"/>
      <c r="F774" s="1320"/>
      <c r="G774" s="1320"/>
    </row>
    <row r="775" spans="1:7">
      <c r="A775" s="35"/>
      <c r="B775" s="35"/>
    </row>
    <row r="776" spans="1:7">
      <c r="A776" s="35"/>
      <c r="B776" s="1286" t="s">
        <v>449</v>
      </c>
      <c r="C776" s="1286"/>
      <c r="D776" s="1286"/>
      <c r="E776" s="1286"/>
      <c r="F776" s="1286"/>
    </row>
    <row r="777" spans="1:7">
      <c r="A777" s="179"/>
      <c r="B777" s="179"/>
      <c r="C777" s="179"/>
      <c r="D777" s="174"/>
      <c r="F777" s="183"/>
    </row>
    <row r="778" spans="1:7">
      <c r="A778" s="1320" t="s">
        <v>454</v>
      </c>
      <c r="B778" s="1320"/>
      <c r="C778" s="1320"/>
      <c r="D778" s="1320"/>
      <c r="E778" s="1320"/>
      <c r="F778" s="1320"/>
      <c r="G778" s="1320"/>
    </row>
    <row r="779" spans="1:7">
      <c r="A779" s="35"/>
      <c r="B779" s="35"/>
    </row>
    <row r="780" spans="1:7">
      <c r="A780" s="35"/>
      <c r="B780" s="1286" t="s">
        <v>449</v>
      </c>
      <c r="C780" s="1286"/>
      <c r="D780" s="1286"/>
      <c r="E780" s="1286"/>
      <c r="F780" s="1286"/>
    </row>
    <row r="781" spans="1:7">
      <c r="A781" s="179"/>
      <c r="B781" s="179"/>
      <c r="C781" s="179"/>
      <c r="D781" s="174"/>
      <c r="F781" s="183"/>
    </row>
    <row r="782" spans="1:7">
      <c r="A782" s="1320" t="s">
        <v>455</v>
      </c>
      <c r="B782" s="1320"/>
      <c r="C782" s="1320"/>
      <c r="D782" s="1320"/>
      <c r="E782" s="1320"/>
      <c r="F782" s="1320"/>
      <c r="G782" s="1320"/>
    </row>
    <row r="783" spans="1:7">
      <c r="A783" s="35"/>
      <c r="B783" s="35"/>
    </row>
    <row r="784" spans="1:7">
      <c r="A784" s="35"/>
      <c r="B784" s="1286" t="s">
        <v>449</v>
      </c>
      <c r="C784" s="1286"/>
      <c r="D784" s="1286"/>
      <c r="E784" s="1286"/>
      <c r="F784" s="1286"/>
    </row>
    <row r="785" spans="1:7">
      <c r="D785" s="174"/>
    </row>
    <row r="786" spans="1:7">
      <c r="A786" s="1320" t="s">
        <v>187</v>
      </c>
      <c r="B786" s="1320"/>
      <c r="C786" s="1320"/>
      <c r="D786" s="1320"/>
      <c r="E786" s="1320"/>
      <c r="F786" s="1320"/>
      <c r="G786" s="1320"/>
    </row>
    <row r="787" spans="1:7">
      <c r="A787" s="35"/>
      <c r="B787" s="35"/>
    </row>
    <row r="788" spans="1:7">
      <c r="A788" s="35"/>
      <c r="B788" s="1286" t="s">
        <v>449</v>
      </c>
      <c r="C788" s="1286"/>
      <c r="D788" s="1286"/>
      <c r="E788" s="1286"/>
      <c r="F788" s="1286"/>
    </row>
    <row r="789" spans="1:7">
      <c r="A789" s="35"/>
      <c r="B789" s="35"/>
      <c r="D789" s="174"/>
    </row>
    <row r="790" spans="1:7">
      <c r="A790" s="1320" t="s">
        <v>886</v>
      </c>
      <c r="B790" s="1320"/>
      <c r="C790" s="1320"/>
      <c r="D790" s="1320"/>
      <c r="E790" s="1320"/>
      <c r="F790" s="1320"/>
      <c r="G790" s="1320"/>
    </row>
    <row r="791" spans="1:7">
      <c r="A791" s="35"/>
      <c r="B791" s="35"/>
    </row>
    <row r="792" spans="1:7">
      <c r="A792" s="35"/>
      <c r="B792" s="1286" t="s">
        <v>449</v>
      </c>
      <c r="C792" s="1286"/>
      <c r="D792" s="1286"/>
      <c r="E792" s="1286"/>
      <c r="F792" s="1286"/>
      <c r="G792"/>
    </row>
    <row r="793" spans="1:7">
      <c r="A793" s="172"/>
      <c r="B793" s="172"/>
      <c r="C793" s="172"/>
      <c r="E793"/>
      <c r="F793"/>
      <c r="G793"/>
    </row>
    <row r="794" spans="1:7">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3"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topLeftCell="A64" workbookViewId="0">
      <selection activeCell="A2" sqref="A2:J2"/>
    </sheetView>
  </sheetViews>
  <sheetFormatPr defaultColWidth="0" defaultRowHeight="12.4" customHeight="1" zeroHeight="1"/>
  <cols>
    <col min="1" max="10" width="10.7265625" style="433" customWidth="1"/>
    <col min="11" max="16384" width="8.86328125" style="433" hidden="1"/>
  </cols>
  <sheetData>
    <row r="1" spans="1:10" ht="14.25" customHeight="1"/>
    <row r="2" spans="1:10" ht="15.5">
      <c r="A2" s="1326" t="s">
        <v>2061</v>
      </c>
      <c r="B2" s="1327"/>
      <c r="C2" s="1327"/>
      <c r="D2" s="1327"/>
      <c r="E2" s="1327"/>
      <c r="F2" s="1327"/>
      <c r="G2" s="1327"/>
      <c r="H2" s="1327"/>
      <c r="I2" s="1327"/>
      <c r="J2" s="1327"/>
    </row>
    <row r="3" spans="1:10" ht="15.25">
      <c r="A3" s="1330" t="s">
        <v>1379</v>
      </c>
      <c r="B3" s="1331"/>
      <c r="C3" s="1331"/>
      <c r="D3" s="1331"/>
      <c r="E3" s="1331"/>
      <c r="F3" s="1331"/>
      <c r="G3" s="1331"/>
      <c r="H3" s="1331"/>
      <c r="I3" s="1331"/>
      <c r="J3" s="1331"/>
    </row>
    <row r="4" spans="1:10" ht="13"/>
    <row r="5" spans="1:10" ht="12.75" customHeight="1">
      <c r="A5" s="1328" t="s">
        <v>2362</v>
      </c>
      <c r="B5" s="1328"/>
      <c r="C5" s="1328"/>
      <c r="D5" s="1328"/>
      <c r="E5" s="1328"/>
      <c r="F5" s="1328"/>
      <c r="G5" s="1328"/>
      <c r="H5" s="1328"/>
      <c r="I5" s="1328"/>
      <c r="J5" s="1328"/>
    </row>
    <row r="6" spans="1:10" ht="13">
      <c r="A6" s="1328"/>
      <c r="B6" s="1328"/>
      <c r="C6" s="1328"/>
      <c r="D6" s="1328"/>
      <c r="E6" s="1328"/>
      <c r="F6" s="1328"/>
      <c r="G6" s="1328"/>
      <c r="H6" s="1328"/>
      <c r="I6" s="1328"/>
      <c r="J6" s="1328"/>
    </row>
    <row r="7" spans="1:10" ht="30" customHeight="1">
      <c r="A7" s="1328"/>
      <c r="B7" s="1328"/>
      <c r="C7" s="1328"/>
      <c r="D7" s="1328"/>
      <c r="E7" s="1328"/>
      <c r="F7" s="1328"/>
      <c r="G7" s="1328"/>
      <c r="H7" s="1328"/>
      <c r="I7" s="1328"/>
      <c r="J7" s="1328"/>
    </row>
    <row r="8" spans="1:10" ht="13">
      <c r="A8" s="447"/>
      <c r="B8" s="447"/>
      <c r="C8" s="447"/>
      <c r="D8" s="447"/>
      <c r="E8" s="447"/>
      <c r="F8" s="447"/>
      <c r="G8" s="447"/>
      <c r="H8" s="447"/>
      <c r="I8" s="447"/>
      <c r="J8" s="447"/>
    </row>
    <row r="9" spans="1:10" ht="12.75" customHeight="1">
      <c r="A9" s="433" t="s">
        <v>2064</v>
      </c>
      <c r="B9" s="447"/>
      <c r="C9" s="447"/>
      <c r="D9" s="447"/>
      <c r="E9" s="447"/>
      <c r="F9" s="447"/>
      <c r="G9" s="447"/>
      <c r="H9" s="447"/>
      <c r="I9" s="447"/>
      <c r="J9" s="447"/>
    </row>
    <row r="10" spans="1:10" ht="13"/>
    <row r="11" spans="1:10" ht="12.75" customHeight="1">
      <c r="A11" s="1332" t="s">
        <v>2066</v>
      </c>
      <c r="B11" s="1332"/>
      <c r="C11" s="1332"/>
      <c r="D11" s="1332"/>
      <c r="E11" s="1332"/>
      <c r="F11" s="1332"/>
      <c r="G11" s="1332"/>
      <c r="H11" s="1332"/>
      <c r="I11" s="1332"/>
      <c r="J11" s="1332"/>
    </row>
    <row r="12" spans="1:10" ht="13">
      <c r="A12" s="1332"/>
      <c r="B12" s="1332"/>
      <c r="C12" s="1332"/>
      <c r="D12" s="1332"/>
      <c r="E12" s="1332"/>
      <c r="F12" s="1332"/>
      <c r="G12" s="1332"/>
      <c r="H12" s="1332"/>
      <c r="I12" s="1332"/>
      <c r="J12" s="1332"/>
    </row>
    <row r="13" spans="1:10" ht="13">
      <c r="A13" s="1332"/>
      <c r="B13" s="1332"/>
      <c r="C13" s="1332"/>
      <c r="D13" s="1332"/>
      <c r="E13" s="1332"/>
      <c r="F13" s="1332"/>
      <c r="G13" s="1332"/>
      <c r="H13" s="1332"/>
      <c r="I13" s="1332"/>
      <c r="J13" s="1332"/>
    </row>
    <row r="14" spans="1:10" ht="13">
      <c r="A14" s="1332"/>
      <c r="B14" s="1332"/>
      <c r="C14" s="1332"/>
      <c r="D14" s="1332"/>
      <c r="E14" s="1332"/>
      <c r="F14" s="1332"/>
      <c r="G14" s="1332"/>
      <c r="H14" s="1332"/>
      <c r="I14" s="1332"/>
      <c r="J14" s="1332"/>
    </row>
    <row r="15" spans="1:10" ht="13">
      <c r="A15" s="1332"/>
      <c r="B15" s="1332"/>
      <c r="C15" s="1332"/>
      <c r="D15" s="1332"/>
      <c r="E15" s="1332"/>
      <c r="F15" s="1332"/>
      <c r="G15" s="1332"/>
      <c r="H15" s="1332"/>
      <c r="I15" s="1332"/>
      <c r="J15" s="1332"/>
    </row>
    <row r="16" spans="1:10" ht="13">
      <c r="A16" s="1332"/>
      <c r="B16" s="1332"/>
      <c r="C16" s="1332"/>
      <c r="D16" s="1332"/>
      <c r="E16" s="1332"/>
      <c r="F16" s="1332"/>
      <c r="G16" s="1332"/>
      <c r="H16" s="1332"/>
      <c r="I16" s="1332"/>
      <c r="J16" s="1332"/>
    </row>
    <row r="17" spans="1:10" ht="13">
      <c r="A17" s="558"/>
      <c r="B17" s="558"/>
      <c r="C17" s="558"/>
      <c r="D17" s="558"/>
      <c r="E17" s="558"/>
      <c r="F17" s="558"/>
      <c r="G17" s="558"/>
      <c r="H17" s="558"/>
      <c r="I17" s="558"/>
      <c r="J17" s="558"/>
    </row>
    <row r="18" spans="1:10" ht="13">
      <c r="A18" s="510" t="s">
        <v>2065</v>
      </c>
      <c r="B18" s="447"/>
      <c r="C18" s="447"/>
      <c r="D18" s="447"/>
      <c r="E18" s="447"/>
      <c r="F18" s="447"/>
      <c r="G18" s="447"/>
      <c r="H18" s="447"/>
      <c r="I18" s="447"/>
      <c r="J18" s="447"/>
    </row>
    <row r="19" spans="1:10" ht="13">
      <c r="A19" s="447" t="s">
        <v>251</v>
      </c>
      <c r="B19" s="447"/>
      <c r="C19" s="447"/>
      <c r="D19" s="447"/>
      <c r="E19" s="447"/>
      <c r="F19" s="447"/>
      <c r="G19" s="447"/>
      <c r="H19" s="447"/>
      <c r="I19" s="447"/>
      <c r="J19" s="447"/>
    </row>
    <row r="20" spans="1:10" ht="13">
      <c r="A20" s="1331" t="s">
        <v>1296</v>
      </c>
      <c r="B20" s="1331"/>
      <c r="C20" s="1331"/>
      <c r="D20" s="1331"/>
      <c r="E20" s="1331"/>
    </row>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row r="57" spans="1:10" ht="13">
      <c r="A57" s="1328" t="s">
        <v>1297</v>
      </c>
      <c r="B57" s="1328"/>
      <c r="C57" s="1328"/>
      <c r="D57" s="1328"/>
      <c r="E57" s="1328"/>
      <c r="F57" s="1328"/>
      <c r="G57" s="1328"/>
      <c r="H57" s="1328"/>
      <c r="I57" s="1328"/>
      <c r="J57" s="1328"/>
    </row>
    <row r="58" spans="1:10" ht="13">
      <c r="A58" s="1328"/>
      <c r="B58" s="1328"/>
      <c r="C58" s="1328"/>
      <c r="D58" s="1328"/>
      <c r="E58" s="1328"/>
      <c r="F58" s="1328"/>
      <c r="G58" s="1328"/>
      <c r="H58" s="1328"/>
      <c r="I58" s="1328"/>
      <c r="J58" s="1328"/>
    </row>
    <row r="59" spans="1:10" ht="13">
      <c r="A59" s="1328"/>
      <c r="B59" s="1328"/>
      <c r="C59" s="1328"/>
      <c r="D59" s="1328"/>
      <c r="E59" s="1328"/>
      <c r="F59" s="1328"/>
      <c r="G59" s="1328"/>
      <c r="H59" s="1328"/>
      <c r="I59" s="1328"/>
      <c r="J59" s="1328"/>
    </row>
    <row r="60" spans="1:10" ht="13"/>
    <row r="61" spans="1:10" ht="13">
      <c r="A61" s="433" t="s">
        <v>1296</v>
      </c>
    </row>
    <row r="62" spans="1:10" ht="13"/>
    <row r="63" spans="1:10" ht="13"/>
    <row r="64" spans="1:10" ht="13"/>
    <row r="65" spans="1:9" ht="13"/>
    <row r="66" spans="1:9" ht="13"/>
    <row r="67" spans="1:9" ht="13"/>
    <row r="68" spans="1:9" ht="13"/>
    <row r="69" spans="1:9" ht="13"/>
    <row r="70" spans="1:9" ht="13"/>
    <row r="71" spans="1:9" ht="13"/>
    <row r="72" spans="1:9" ht="13">
      <c r="A72" s="1329" t="s">
        <v>2062</v>
      </c>
      <c r="B72" s="1329"/>
      <c r="C72" s="1329"/>
      <c r="D72" s="1329"/>
      <c r="E72" s="1329"/>
      <c r="F72" s="1329"/>
      <c r="G72" s="1329"/>
      <c r="H72" s="1329"/>
      <c r="I72" s="1329"/>
    </row>
    <row r="73" spans="1:9" ht="13">
      <c r="A73" s="1281" t="s">
        <v>2360</v>
      </c>
      <c r="B73" s="1281"/>
      <c r="C73" s="1281"/>
      <c r="D73" s="1281"/>
      <c r="E73" s="1281"/>
    </row>
    <row r="74" spans="1:9" ht="13">
      <c r="A74" s="1281" t="s">
        <v>2361</v>
      </c>
      <c r="B74" s="1281"/>
      <c r="C74" s="1281"/>
      <c r="D74" s="1281"/>
      <c r="E74" s="1281"/>
    </row>
    <row r="75" spans="1:9" ht="13">
      <c r="A75" s="1281" t="s">
        <v>2063</v>
      </c>
      <c r="B75" s="1281"/>
      <c r="C75" s="1281"/>
      <c r="D75" s="1281"/>
      <c r="E75" s="1281"/>
    </row>
    <row r="76" spans="1:9" ht="13"/>
    <row r="77" spans="1:9" ht="13"/>
    <row r="78" spans="1:9" ht="13"/>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758" workbookViewId="0">
      <selection activeCell="B732" sqref="B732"/>
    </sheetView>
  </sheetViews>
  <sheetFormatPr defaultColWidth="0" defaultRowHeight="13" zeroHeight="1"/>
  <cols>
    <col min="1" max="1" width="3.54296875" style="514" customWidth="1"/>
    <col min="2" max="2" width="13.54296875" style="514" customWidth="1"/>
    <col min="3" max="3" width="2.54296875" style="514" customWidth="1"/>
    <col min="4" max="5" width="3.54296875" style="433" customWidth="1"/>
    <col min="6" max="6" width="65.54296875" style="433" customWidth="1"/>
    <col min="7" max="7" width="1.54296875" style="433" customWidth="1"/>
    <col min="8" max="8" width="3.54296875" style="433" customWidth="1"/>
    <col min="9" max="9" width="24.40625" style="435" customWidth="1"/>
    <col min="10" max="10" width="8.86328125" style="433" customWidth="1"/>
    <col min="11" max="16384" width="8.86328125" style="433" hidden="1"/>
  </cols>
  <sheetData>
    <row r="1" spans="1:13"/>
    <row r="2" spans="1:13">
      <c r="A2" s="1358" t="s">
        <v>2584</v>
      </c>
      <c r="B2" s="1358"/>
      <c r="C2" s="1358"/>
      <c r="D2" s="1358"/>
      <c r="E2" s="1358"/>
      <c r="F2" s="1358"/>
      <c r="G2" s="1358"/>
      <c r="H2" s="1358"/>
      <c r="I2" s="1358"/>
    </row>
    <row r="3" spans="1:13">
      <c r="A3" s="1346" t="s">
        <v>2630</v>
      </c>
      <c r="B3" s="1346"/>
      <c r="C3" s="1346"/>
      <c r="D3" s="1346"/>
      <c r="E3" s="1346"/>
      <c r="F3" s="1346"/>
      <c r="G3" s="1346"/>
      <c r="H3" s="1346"/>
      <c r="I3" s="1346"/>
    </row>
    <row r="4" spans="1:13">
      <c r="A4" s="1346"/>
      <c r="B4" s="1346"/>
      <c r="C4" s="1331"/>
      <c r="D4" s="1331"/>
      <c r="E4" s="1331"/>
      <c r="F4" s="1331"/>
      <c r="G4" s="1331"/>
    </row>
    <row r="5" spans="1:13">
      <c r="A5" s="1346"/>
      <c r="B5" s="1346"/>
      <c r="C5" s="1331"/>
      <c r="D5" s="1331"/>
      <c r="E5" s="1331"/>
      <c r="F5" s="1331"/>
      <c r="G5" s="1331"/>
    </row>
    <row r="6" spans="1:13" ht="12.75" customHeight="1">
      <c r="A6" s="1349" t="s">
        <v>2629</v>
      </c>
      <c r="B6" s="1349"/>
      <c r="C6" s="1349"/>
      <c r="D6" s="1349"/>
      <c r="E6" s="1349"/>
      <c r="F6" s="1349"/>
      <c r="G6" s="1349"/>
      <c r="I6" s="524" t="s">
        <v>2072</v>
      </c>
    </row>
    <row r="7" spans="1:13">
      <c r="A7" s="1349"/>
      <c r="B7" s="1349"/>
      <c r="C7" s="1349"/>
      <c r="D7" s="1349"/>
      <c r="E7" s="1349"/>
      <c r="F7" s="1349"/>
      <c r="G7" s="1349"/>
      <c r="I7" s="524" t="s">
        <v>2073</v>
      </c>
    </row>
    <row r="8" spans="1:13">
      <c r="A8" s="515"/>
      <c r="B8" s="515"/>
      <c r="C8" s="516"/>
      <c r="D8" s="516"/>
      <c r="E8" s="516"/>
      <c r="F8" s="516"/>
    </row>
    <row r="9" spans="1:13">
      <c r="A9" s="1290" t="s">
        <v>1169</v>
      </c>
      <c r="B9" s="1290"/>
      <c r="C9" s="1290"/>
      <c r="D9" s="1290"/>
      <c r="E9" s="1290"/>
      <c r="F9" s="1290"/>
      <c r="G9" s="1290"/>
      <c r="H9" s="1063"/>
      <c r="I9" s="1064"/>
    </row>
    <row r="10" spans="1:13">
      <c r="A10" s="516"/>
      <c r="B10" s="516"/>
      <c r="E10" s="435"/>
    </row>
    <row r="11" spans="1:13" ht="13.7" customHeight="1">
      <c r="C11" s="516"/>
      <c r="D11" s="1348" t="s">
        <v>1168</v>
      </c>
      <c r="E11" s="1348"/>
      <c r="F11" s="1348"/>
    </row>
    <row r="12" spans="1:13">
      <c r="C12" s="516"/>
      <c r="D12" s="1348"/>
      <c r="E12" s="1348"/>
      <c r="F12" s="1348"/>
    </row>
    <row r="13" spans="1:13">
      <c r="A13" s="517"/>
      <c r="B13" s="517"/>
      <c r="C13" s="517"/>
      <c r="D13" s="1303" t="s">
        <v>1151</v>
      </c>
      <c r="E13" s="1303"/>
      <c r="F13" s="1303"/>
      <c r="M13" s="96"/>
    </row>
    <row r="14" spans="1:13">
      <c r="A14" s="517"/>
      <c r="B14" s="517"/>
      <c r="C14" s="517"/>
      <c r="D14" s="510"/>
      <c r="L14" s="336"/>
    </row>
    <row r="15" spans="1:13">
      <c r="A15" s="518"/>
      <c r="B15" s="519" t="s">
        <v>2775</v>
      </c>
      <c r="C15" s="517"/>
      <c r="D15" s="1302" t="s">
        <v>2223</v>
      </c>
      <c r="E15" s="1302"/>
      <c r="F15" s="1302"/>
      <c r="I15" s="524" t="s">
        <v>2074</v>
      </c>
    </row>
    <row r="16" spans="1:13">
      <c r="A16" s="517"/>
      <c r="B16" s="517"/>
      <c r="C16" s="517"/>
      <c r="D16" s="1302"/>
      <c r="E16" s="1302"/>
      <c r="F16" s="1302"/>
      <c r="I16" s="524"/>
    </row>
    <row r="17" spans="1:9">
      <c r="A17" s="517"/>
      <c r="B17" s="517"/>
      <c r="C17" s="517"/>
      <c r="D17" s="1302"/>
      <c r="E17" s="1302"/>
      <c r="F17" s="1302"/>
      <c r="I17" s="524"/>
    </row>
    <row r="18" spans="1:9">
      <c r="A18" s="517"/>
      <c r="B18" s="517"/>
      <c r="C18" s="517"/>
      <c r="D18" s="479"/>
      <c r="E18" s="336" t="s">
        <v>2221</v>
      </c>
      <c r="F18" s="479"/>
      <c r="I18" s="524"/>
    </row>
    <row r="19" spans="1:9">
      <c r="A19" s="517"/>
      <c r="B19" s="517"/>
      <c r="C19" s="517"/>
      <c r="I19" s="524"/>
    </row>
    <row r="20" spans="1:9">
      <c r="A20" s="518"/>
      <c r="B20" s="519" t="s">
        <v>2775</v>
      </c>
      <c r="D20" s="1302" t="s">
        <v>2224</v>
      </c>
      <c r="E20" s="1302"/>
      <c r="F20" s="1302"/>
      <c r="I20" s="524" t="s">
        <v>2075</v>
      </c>
    </row>
    <row r="21" spans="1:9">
      <c r="A21" s="518"/>
      <c r="D21" s="1302"/>
      <c r="E21" s="1302"/>
      <c r="F21" s="1302"/>
      <c r="I21" s="524"/>
    </row>
    <row r="22" spans="1:9">
      <c r="A22" s="518"/>
      <c r="D22" s="423"/>
      <c r="E22" s="96" t="s">
        <v>2220</v>
      </c>
      <c r="F22" s="423"/>
      <c r="I22" s="524"/>
    </row>
    <row r="23" spans="1:9">
      <c r="A23" s="518"/>
      <c r="B23" s="518"/>
      <c r="D23" s="480"/>
      <c r="I23" s="524"/>
    </row>
    <row r="24" spans="1:9">
      <c r="A24" s="518"/>
      <c r="B24" s="519" t="s">
        <v>2776</v>
      </c>
      <c r="D24" s="1302" t="s">
        <v>1154</v>
      </c>
      <c r="E24" s="1302"/>
      <c r="F24" s="1302"/>
      <c r="I24" s="524" t="s">
        <v>2075</v>
      </c>
    </row>
    <row r="25" spans="1:9">
      <c r="A25" s="518"/>
      <c r="B25" s="518"/>
      <c r="D25" s="1302"/>
      <c r="E25" s="1302"/>
      <c r="F25" s="1302"/>
      <c r="I25" s="524"/>
    </row>
    <row r="26" spans="1:9">
      <c r="I26" s="524"/>
    </row>
    <row r="27" spans="1:9">
      <c r="A27" s="518"/>
      <c r="B27" s="519" t="s">
        <v>2775</v>
      </c>
      <c r="D27" s="1302" t="s">
        <v>2363</v>
      </c>
      <c r="E27" s="1302"/>
      <c r="F27" s="1302"/>
      <c r="I27" s="524" t="s">
        <v>2078</v>
      </c>
    </row>
    <row r="28" spans="1:9">
      <c r="D28" s="1302"/>
      <c r="E28" s="1302"/>
      <c r="F28" s="1302"/>
      <c r="I28" s="524"/>
    </row>
    <row r="29" spans="1:9">
      <c r="D29" s="1302"/>
      <c r="E29" s="1302"/>
      <c r="F29" s="1302"/>
      <c r="I29" s="524"/>
    </row>
    <row r="30" spans="1:9">
      <c r="D30" s="1302"/>
      <c r="E30" s="1302"/>
      <c r="F30" s="1302"/>
      <c r="I30" s="524"/>
    </row>
    <row r="31" spans="1:9">
      <c r="D31" s="1302"/>
      <c r="E31" s="1302"/>
      <c r="F31" s="1302"/>
      <c r="I31" s="524"/>
    </row>
    <row r="32" spans="1:9">
      <c r="D32" s="481"/>
      <c r="I32" s="524"/>
    </row>
    <row r="33" spans="1:9">
      <c r="B33" s="519" t="s">
        <v>2776</v>
      </c>
      <c r="D33" s="1302" t="s">
        <v>2364</v>
      </c>
      <c r="E33" s="1302"/>
      <c r="F33" s="1302"/>
      <c r="I33" s="524" t="s">
        <v>2074</v>
      </c>
    </row>
    <row r="34" spans="1:9">
      <c r="D34" s="1302"/>
      <c r="E34" s="1302"/>
      <c r="F34" s="1302"/>
      <c r="I34" s="524"/>
    </row>
    <row r="35" spans="1:9">
      <c r="A35" s="518"/>
      <c r="B35" s="518"/>
      <c r="D35" s="481"/>
      <c r="I35" s="524"/>
    </row>
    <row r="36" spans="1:9" ht="14.45" customHeight="1">
      <c r="A36" s="518"/>
      <c r="B36" s="519" t="s">
        <v>2776</v>
      </c>
      <c r="D36" s="1302" t="s">
        <v>1321</v>
      </c>
      <c r="E36" s="1302"/>
      <c r="F36" s="1302"/>
      <c r="I36" s="524" t="s">
        <v>2145</v>
      </c>
    </row>
    <row r="37" spans="1:9">
      <c r="A37" s="518"/>
      <c r="B37" s="518"/>
      <c r="D37" s="1302"/>
      <c r="E37" s="1302"/>
      <c r="F37" s="1302"/>
      <c r="I37" s="524"/>
    </row>
    <row r="38" spans="1:9">
      <c r="A38" s="518"/>
      <c r="B38" s="518"/>
      <c r="D38" s="1302"/>
      <c r="E38" s="1302"/>
      <c r="F38" s="1302"/>
      <c r="I38" s="524"/>
    </row>
    <row r="39" spans="1:9">
      <c r="A39" s="518"/>
      <c r="B39" s="518"/>
      <c r="D39" s="1302"/>
      <c r="E39" s="1302"/>
      <c r="F39" s="1302"/>
      <c r="I39" s="524"/>
    </row>
    <row r="40" spans="1:9">
      <c r="A40" s="518"/>
      <c r="B40" s="518"/>
      <c r="I40" s="524"/>
    </row>
    <row r="41" spans="1:9">
      <c r="A41" s="518"/>
      <c r="B41" s="519" t="s">
        <v>2775</v>
      </c>
      <c r="D41" s="1302" t="s">
        <v>1158</v>
      </c>
      <c r="E41" s="1302"/>
      <c r="F41" s="1302"/>
      <c r="I41" s="524"/>
    </row>
    <row r="42" spans="1:9">
      <c r="A42" s="518"/>
      <c r="B42" s="518"/>
      <c r="D42" s="1302"/>
      <c r="E42" s="1302"/>
      <c r="F42" s="1302"/>
      <c r="I42" s="524"/>
    </row>
    <row r="43" spans="1:9">
      <c r="A43" s="518"/>
      <c r="B43" s="518"/>
      <c r="D43" s="1302"/>
      <c r="E43" s="1302"/>
      <c r="F43" s="1302"/>
      <c r="I43" s="524"/>
    </row>
    <row r="44" spans="1:9">
      <c r="A44" s="518"/>
      <c r="B44" s="518"/>
      <c r="D44" s="1302"/>
      <c r="E44" s="1302"/>
      <c r="F44" s="1302"/>
      <c r="I44" s="524"/>
    </row>
    <row r="45" spans="1:9">
      <c r="A45" s="518"/>
      <c r="B45" s="518"/>
      <c r="D45" s="1302"/>
      <c r="E45" s="1302"/>
      <c r="F45" s="1302"/>
      <c r="I45" s="524"/>
    </row>
    <row r="46" spans="1:9">
      <c r="A46" s="518"/>
      <c r="B46" s="518"/>
      <c r="D46" s="479"/>
      <c r="E46" s="479"/>
      <c r="F46" s="479"/>
      <c r="I46" s="524"/>
    </row>
    <row r="47" spans="1:9">
      <c r="A47" s="518"/>
      <c r="B47" s="519" t="s">
        <v>2775</v>
      </c>
      <c r="D47" s="1302" t="s">
        <v>1159</v>
      </c>
      <c r="E47" s="1302"/>
      <c r="F47" s="1302"/>
      <c r="I47" s="524" t="s">
        <v>2145</v>
      </c>
    </row>
    <row r="48" spans="1:9">
      <c r="A48" s="518"/>
      <c r="B48" s="518"/>
      <c r="D48" s="1302"/>
      <c r="E48" s="1302"/>
      <c r="F48" s="1302"/>
      <c r="I48" s="524"/>
    </row>
    <row r="49" spans="1:9">
      <c r="A49" s="518"/>
      <c r="B49" s="518"/>
      <c r="D49" s="1302"/>
      <c r="E49" s="1302"/>
      <c r="F49" s="1302"/>
      <c r="I49" s="524"/>
    </row>
    <row r="50" spans="1:9" ht="23.25" customHeight="1">
      <c r="A50" s="518"/>
      <c r="B50" s="518"/>
      <c r="D50" s="1302"/>
      <c r="E50" s="1302"/>
      <c r="F50" s="1302"/>
      <c r="I50" s="524"/>
    </row>
    <row r="51" spans="1:9">
      <c r="A51" s="518"/>
      <c r="B51" s="518"/>
      <c r="D51" s="480"/>
      <c r="I51" s="524"/>
    </row>
    <row r="52" spans="1:9" ht="14.45" customHeight="1">
      <c r="A52" s="518"/>
      <c r="B52" s="519" t="s">
        <v>2776</v>
      </c>
      <c r="D52" s="1302" t="s">
        <v>1160</v>
      </c>
      <c r="E52" s="1302"/>
      <c r="F52" s="1302"/>
      <c r="I52" s="524" t="s">
        <v>2145</v>
      </c>
    </row>
    <row r="53" spans="1:9">
      <c r="A53" s="518"/>
      <c r="B53" s="518"/>
      <c r="D53" s="1302"/>
      <c r="E53" s="1302"/>
      <c r="F53" s="1302"/>
      <c r="I53" s="524"/>
    </row>
    <row r="54" spans="1:9">
      <c r="A54" s="518"/>
      <c r="B54" s="518"/>
      <c r="D54" s="1302"/>
      <c r="E54" s="1302"/>
      <c r="F54" s="1302"/>
      <c r="I54" s="524"/>
    </row>
    <row r="55" spans="1:9">
      <c r="A55" s="518"/>
      <c r="B55" s="518"/>
      <c r="I55" s="524"/>
    </row>
    <row r="56" spans="1:9">
      <c r="A56" s="518"/>
      <c r="B56" s="519" t="s">
        <v>2775</v>
      </c>
      <c r="D56" s="1351" t="s">
        <v>1161</v>
      </c>
      <c r="E56" s="1351"/>
      <c r="F56" s="1351"/>
      <c r="I56" s="524"/>
    </row>
    <row r="57" spans="1:9">
      <c r="A57" s="518"/>
      <c r="B57" s="518"/>
      <c r="D57" s="1351"/>
      <c r="E57" s="1351"/>
      <c r="F57" s="1351"/>
      <c r="I57" s="524"/>
    </row>
    <row r="58" spans="1:9">
      <c r="A58" s="518"/>
      <c r="B58" s="518"/>
      <c r="D58" s="423" t="s">
        <v>2222</v>
      </c>
      <c r="E58" s="479"/>
      <c r="F58" s="479"/>
      <c r="I58" s="524"/>
    </row>
    <row r="59" spans="1:9">
      <c r="A59" s="518"/>
      <c r="B59" s="518"/>
      <c r="D59" s="479"/>
      <c r="E59" s="336" t="s">
        <v>2221</v>
      </c>
      <c r="F59" s="479"/>
      <c r="I59" s="524"/>
    </row>
    <row r="60" spans="1:9">
      <c r="D60" s="481"/>
      <c r="I60" s="524"/>
    </row>
    <row r="61" spans="1:9">
      <c r="A61" s="518"/>
      <c r="B61" s="519" t="s">
        <v>2776</v>
      </c>
      <c r="D61" s="1302" t="s">
        <v>1162</v>
      </c>
      <c r="E61" s="1302"/>
      <c r="F61" s="1302"/>
      <c r="I61" s="524" t="s">
        <v>2076</v>
      </c>
    </row>
    <row r="62" spans="1:9">
      <c r="D62" s="1302"/>
      <c r="E62" s="1302"/>
      <c r="F62" s="1302"/>
      <c r="I62" s="524"/>
    </row>
    <row r="63" spans="1:9">
      <c r="D63" s="1302"/>
      <c r="E63" s="1302"/>
      <c r="F63" s="1302"/>
      <c r="I63" s="524"/>
    </row>
    <row r="64" spans="1:9">
      <c r="I64" s="524"/>
    </row>
    <row r="65" spans="1:9">
      <c r="A65" s="518"/>
      <c r="B65" s="519" t="s">
        <v>2775</v>
      </c>
      <c r="D65" s="1302" t="s">
        <v>1163</v>
      </c>
      <c r="E65" s="1302"/>
      <c r="F65" s="1302"/>
      <c r="I65" s="524" t="s">
        <v>2077</v>
      </c>
    </row>
    <row r="66" spans="1:9">
      <c r="D66" s="1302"/>
      <c r="E66" s="1302"/>
      <c r="F66" s="1302"/>
      <c r="I66" s="524"/>
    </row>
    <row r="67" spans="1:9">
      <c r="I67" s="524"/>
    </row>
    <row r="68" spans="1:9">
      <c r="A68" s="518"/>
      <c r="B68" s="519" t="s">
        <v>2776</v>
      </c>
      <c r="D68" s="1302" t="s">
        <v>1164</v>
      </c>
      <c r="E68" s="1302"/>
      <c r="F68" s="1302"/>
      <c r="I68" s="524"/>
    </row>
    <row r="69" spans="1:9">
      <c r="D69" s="1302"/>
      <c r="E69" s="1302"/>
      <c r="F69" s="1302"/>
      <c r="I69" s="524" t="s">
        <v>2078</v>
      </c>
    </row>
    <row r="70" spans="1:9">
      <c r="D70" s="1302"/>
      <c r="E70" s="1302"/>
      <c r="F70" s="1302"/>
      <c r="I70" s="524"/>
    </row>
    <row r="71" spans="1:9">
      <c r="I71" s="524"/>
    </row>
    <row r="72" spans="1:9">
      <c r="A72" s="518"/>
      <c r="B72" s="519" t="s">
        <v>2775</v>
      </c>
      <c r="D72" s="1302" t="s">
        <v>1165</v>
      </c>
      <c r="E72" s="1302"/>
      <c r="F72" s="1302"/>
      <c r="I72" s="524" t="s">
        <v>2078</v>
      </c>
    </row>
    <row r="73" spans="1:9">
      <c r="D73" s="1302"/>
      <c r="E73" s="1302"/>
      <c r="F73" s="1302"/>
      <c r="I73" s="524"/>
    </row>
    <row r="74" spans="1:9">
      <c r="A74" s="518"/>
      <c r="B74" s="518"/>
      <c r="D74" s="480"/>
      <c r="I74" s="524"/>
    </row>
    <row r="75" spans="1:9">
      <c r="A75" s="1290" t="s">
        <v>1072</v>
      </c>
      <c r="B75" s="1290"/>
      <c r="C75" s="1290"/>
      <c r="D75" s="1290"/>
      <c r="E75" s="1290"/>
      <c r="F75" s="1290"/>
      <c r="G75" s="1290"/>
      <c r="H75" s="1063"/>
      <c r="I75" s="1259"/>
    </row>
    <row r="76" spans="1:9">
      <c r="I76" s="524"/>
    </row>
    <row r="77" spans="1:9">
      <c r="C77" s="520"/>
      <c r="D77" s="1304" t="s">
        <v>1170</v>
      </c>
      <c r="E77" s="1304"/>
      <c r="F77" s="1304"/>
      <c r="I77" s="524"/>
    </row>
    <row r="78" spans="1:9">
      <c r="A78" s="480"/>
      <c r="B78" s="480"/>
      <c r="D78" s="1302" t="s">
        <v>1197</v>
      </c>
      <c r="E78" s="1302"/>
      <c r="F78" s="1302"/>
      <c r="I78" s="524"/>
    </row>
    <row r="79" spans="1:9">
      <c r="A79" s="480"/>
      <c r="B79" s="480"/>
      <c r="I79" s="524"/>
    </row>
    <row r="80" spans="1:9" ht="13.7" customHeight="1">
      <c r="A80" s="518"/>
      <c r="B80" s="519" t="s">
        <v>2775</v>
      </c>
      <c r="D80" s="1302" t="s">
        <v>1354</v>
      </c>
      <c r="E80" s="1302"/>
      <c r="F80" s="1302"/>
      <c r="I80" s="524" t="s">
        <v>2079</v>
      </c>
    </row>
    <row r="81" spans="1:9">
      <c r="A81" s="518"/>
      <c r="B81" s="518"/>
      <c r="D81" s="1302"/>
      <c r="E81" s="1302"/>
      <c r="F81" s="1302"/>
      <c r="I81" s="524"/>
    </row>
    <row r="82" spans="1:9">
      <c r="A82" s="518"/>
      <c r="B82" s="518"/>
      <c r="D82" s="1302"/>
      <c r="E82" s="1302"/>
      <c r="F82" s="1302"/>
      <c r="I82" s="524"/>
    </row>
    <row r="83" spans="1:9">
      <c r="A83" s="518"/>
      <c r="B83" s="518"/>
      <c r="D83" s="1302"/>
      <c r="E83" s="1302"/>
      <c r="F83" s="1302"/>
      <c r="I83" s="524"/>
    </row>
    <row r="84" spans="1:9">
      <c r="A84" s="518"/>
      <c r="B84" s="518"/>
      <c r="D84" s="1302"/>
      <c r="E84" s="1302"/>
      <c r="F84" s="1302"/>
      <c r="I84" s="524"/>
    </row>
    <row r="85" spans="1:9">
      <c r="A85" s="518"/>
      <c r="B85" s="518"/>
      <c r="D85" s="1302"/>
      <c r="E85" s="1302"/>
      <c r="F85" s="1302"/>
      <c r="I85" s="524"/>
    </row>
    <row r="86" spans="1:9">
      <c r="A86" s="518"/>
      <c r="B86" s="518"/>
      <c r="D86" s="1302"/>
      <c r="E86" s="1302"/>
      <c r="F86" s="1302"/>
      <c r="I86" s="524"/>
    </row>
    <row r="87" spans="1:9">
      <c r="A87" s="518"/>
      <c r="B87" s="518"/>
      <c r="D87" s="1302"/>
      <c r="E87" s="1302"/>
      <c r="F87" s="1302"/>
      <c r="I87" s="524"/>
    </row>
    <row r="88" spans="1:9">
      <c r="A88" s="518"/>
      <c r="B88" s="518"/>
      <c r="D88" s="416"/>
      <c r="E88" s="416"/>
      <c r="F88" s="416"/>
      <c r="I88" s="524"/>
    </row>
    <row r="89" spans="1:9" ht="15" customHeight="1">
      <c r="A89" s="518"/>
      <c r="B89" s="519" t="s">
        <v>2775</v>
      </c>
      <c r="D89" s="1302" t="s">
        <v>1933</v>
      </c>
      <c r="E89" s="1302"/>
      <c r="F89" s="1302"/>
      <c r="I89" s="524" t="s">
        <v>2080</v>
      </c>
    </row>
    <row r="90" spans="1:9">
      <c r="A90" s="518"/>
      <c r="B90" s="518"/>
      <c r="D90" s="1302"/>
      <c r="E90" s="1302"/>
      <c r="F90" s="1302"/>
      <c r="I90" s="524"/>
    </row>
    <row r="91" spans="1:9">
      <c r="A91" s="518"/>
      <c r="B91" s="518"/>
      <c r="D91" s="479"/>
      <c r="E91" s="479"/>
      <c r="F91" s="479"/>
      <c r="I91" s="524"/>
    </row>
    <row r="92" spans="1:9">
      <c r="A92" s="518"/>
      <c r="B92" s="519" t="s">
        <v>2776</v>
      </c>
      <c r="D92" s="1302" t="s">
        <v>1936</v>
      </c>
      <c r="E92" s="1302"/>
      <c r="F92" s="1302"/>
      <c r="I92" s="524" t="s">
        <v>2081</v>
      </c>
    </row>
    <row r="93" spans="1:9">
      <c r="A93" s="518"/>
      <c r="B93" s="518"/>
      <c r="D93" s="1302"/>
      <c r="E93" s="1302"/>
      <c r="F93" s="1302"/>
      <c r="I93" s="524"/>
    </row>
    <row r="94" spans="1:9">
      <c r="A94" s="518"/>
      <c r="B94" s="518"/>
      <c r="D94" s="1302"/>
      <c r="E94" s="1302"/>
      <c r="F94" s="1302"/>
      <c r="I94" s="524"/>
    </row>
    <row r="95" spans="1:9">
      <c r="A95" s="518"/>
      <c r="B95" s="518"/>
      <c r="D95" s="479"/>
      <c r="E95" s="479"/>
      <c r="F95" s="479"/>
      <c r="I95" s="524"/>
    </row>
    <row r="96" spans="1:9">
      <c r="A96" s="518"/>
      <c r="B96" s="519" t="s">
        <v>2776</v>
      </c>
      <c r="D96" s="1302" t="s">
        <v>1935</v>
      </c>
      <c r="E96" s="1302"/>
      <c r="F96" s="1302"/>
      <c r="I96" s="524" t="s">
        <v>2126</v>
      </c>
    </row>
    <row r="97" spans="1:9" s="1022" customFormat="1">
      <c r="A97" s="1020"/>
      <c r="B97" s="1020"/>
      <c r="C97" s="1021"/>
      <c r="D97" s="1302"/>
      <c r="E97" s="1302"/>
      <c r="F97" s="1302"/>
      <c r="I97" s="1260"/>
    </row>
    <row r="98" spans="1:9">
      <c r="A98" s="518"/>
      <c r="B98" s="518"/>
      <c r="D98" s="423"/>
      <c r="E98" s="336" t="s">
        <v>2225</v>
      </c>
      <c r="F98" s="479"/>
      <c r="I98" s="524"/>
    </row>
    <row r="99" spans="1:9">
      <c r="A99" s="518"/>
      <c r="B99" s="518"/>
      <c r="D99" s="416"/>
      <c r="E99" s="416"/>
      <c r="F99" s="416"/>
      <c r="I99" s="524"/>
    </row>
    <row r="100" spans="1:9">
      <c r="A100" s="518"/>
      <c r="B100" s="519" t="s">
        <v>2776</v>
      </c>
      <c r="D100" s="1302" t="s">
        <v>1934</v>
      </c>
      <c r="E100" s="1302"/>
      <c r="F100" s="1302"/>
      <c r="I100" s="524" t="s">
        <v>2082</v>
      </c>
    </row>
    <row r="101" spans="1:9">
      <c r="A101" s="518"/>
      <c r="B101" s="518"/>
      <c r="D101" s="1302"/>
      <c r="E101" s="1302"/>
      <c r="F101" s="1302"/>
      <c r="I101" s="524"/>
    </row>
    <row r="102" spans="1:9">
      <c r="A102" s="518"/>
      <c r="B102" s="518"/>
      <c r="D102" s="479"/>
      <c r="E102" s="479"/>
      <c r="F102" s="479"/>
      <c r="I102" s="524"/>
    </row>
    <row r="103" spans="1:9" ht="14.45" customHeight="1">
      <c r="A103" s="518"/>
      <c r="B103" s="519" t="s">
        <v>2776</v>
      </c>
      <c r="D103" s="1302" t="s">
        <v>1301</v>
      </c>
      <c r="E103" s="1302"/>
      <c r="F103" s="1302"/>
      <c r="I103" s="524" t="s">
        <v>2083</v>
      </c>
    </row>
    <row r="104" spans="1:9">
      <c r="A104" s="518"/>
      <c r="B104" s="518"/>
      <c r="D104" s="1302"/>
      <c r="E104" s="1302"/>
      <c r="F104" s="1302"/>
      <c r="I104" s="524"/>
    </row>
    <row r="105" spans="1:9">
      <c r="A105" s="518"/>
      <c r="B105" s="518"/>
      <c r="D105" s="1302"/>
      <c r="E105" s="1302"/>
      <c r="F105" s="1302"/>
      <c r="I105" s="524"/>
    </row>
    <row r="106" spans="1:9">
      <c r="A106" s="518"/>
      <c r="B106" s="518"/>
      <c r="D106" s="1302"/>
      <c r="E106" s="1302"/>
      <c r="F106" s="1302"/>
      <c r="I106" s="524"/>
    </row>
    <row r="107" spans="1:9">
      <c r="A107" s="518"/>
      <c r="B107" s="518"/>
      <c r="D107" s="1302"/>
      <c r="E107" s="1302"/>
      <c r="F107" s="1302"/>
      <c r="I107" s="524"/>
    </row>
    <row r="108" spans="1:9">
      <c r="A108" s="518"/>
      <c r="B108" s="518"/>
      <c r="D108" s="1302"/>
      <c r="E108" s="1302"/>
      <c r="F108" s="1302"/>
      <c r="I108" s="524"/>
    </row>
    <row r="109" spans="1:9">
      <c r="A109" s="518"/>
      <c r="B109" s="518"/>
      <c r="D109" s="1302"/>
      <c r="E109" s="1302"/>
      <c r="F109" s="1302"/>
      <c r="I109" s="524"/>
    </row>
    <row r="110" spans="1:9">
      <c r="A110" s="518"/>
      <c r="B110" s="518"/>
      <c r="D110" s="1302"/>
      <c r="E110" s="1302"/>
      <c r="F110" s="1302"/>
      <c r="I110" s="524"/>
    </row>
    <row r="111" spans="1:9">
      <c r="A111" s="518"/>
      <c r="B111" s="518"/>
      <c r="D111" s="1302"/>
      <c r="E111" s="1302"/>
      <c r="F111" s="1302"/>
      <c r="I111" s="524"/>
    </row>
    <row r="112" spans="1:9">
      <c r="A112" s="518"/>
      <c r="B112" s="518"/>
      <c r="D112" s="1302"/>
      <c r="E112" s="1302"/>
      <c r="F112" s="1302"/>
      <c r="I112" s="524"/>
    </row>
    <row r="113" spans="1:9">
      <c r="A113" s="518"/>
      <c r="B113" s="518"/>
      <c r="D113" s="1302"/>
      <c r="E113" s="1302"/>
      <c r="F113" s="1302"/>
      <c r="I113" s="524"/>
    </row>
    <row r="114" spans="1:9">
      <c r="A114" s="518"/>
      <c r="B114" s="518"/>
      <c r="D114" s="1302"/>
      <c r="E114" s="1302"/>
      <c r="F114" s="1302"/>
      <c r="I114" s="524"/>
    </row>
    <row r="115" spans="1:9">
      <c r="A115" s="518"/>
      <c r="B115" s="518"/>
      <c r="D115" s="1302"/>
      <c r="E115" s="1302"/>
      <c r="F115" s="1302"/>
      <c r="I115" s="524"/>
    </row>
    <row r="116" spans="1:9">
      <c r="A116" s="518"/>
      <c r="B116" s="518"/>
      <c r="D116" s="1302"/>
      <c r="E116" s="1302"/>
      <c r="F116" s="1302"/>
      <c r="I116" s="524"/>
    </row>
    <row r="117" spans="1:9">
      <c r="A117" s="518"/>
      <c r="B117" s="518"/>
      <c r="D117" s="1302"/>
      <c r="E117" s="1302"/>
      <c r="F117" s="1302"/>
      <c r="I117" s="524"/>
    </row>
    <row r="118" spans="1:9">
      <c r="A118" s="518"/>
      <c r="B118" s="518"/>
      <c r="D118" s="558"/>
      <c r="E118" s="558"/>
      <c r="F118" s="558"/>
      <c r="I118" s="524"/>
    </row>
    <row r="119" spans="1:9" ht="14.25" customHeight="1">
      <c r="A119" s="518"/>
      <c r="B119" s="519" t="s">
        <v>2776</v>
      </c>
      <c r="D119" s="1313" t="s">
        <v>1172</v>
      </c>
      <c r="E119" s="1313"/>
      <c r="F119" s="1313"/>
      <c r="I119" s="524"/>
    </row>
    <row r="120" spans="1:9">
      <c r="A120" s="518"/>
      <c r="B120" s="518"/>
      <c r="D120" s="1313"/>
      <c r="E120" s="1313"/>
      <c r="F120" s="1313"/>
      <c r="I120" s="524"/>
    </row>
    <row r="121" spans="1:9">
      <c r="A121" s="518"/>
      <c r="B121" s="518"/>
      <c r="D121" s="1313"/>
      <c r="E121" s="1313"/>
      <c r="F121" s="1313"/>
      <c r="I121" s="524"/>
    </row>
    <row r="122" spans="1:9">
      <c r="A122" s="518"/>
      <c r="B122" s="518"/>
      <c r="D122" s="1313"/>
      <c r="E122" s="1313"/>
      <c r="F122" s="1313"/>
      <c r="I122" s="524"/>
    </row>
    <row r="123" spans="1:9">
      <c r="A123" s="518"/>
      <c r="B123" s="518"/>
      <c r="D123" s="1313"/>
      <c r="E123" s="1313"/>
      <c r="F123" s="1313"/>
      <c r="I123" s="524"/>
    </row>
    <row r="124" spans="1:9">
      <c r="A124" s="518"/>
      <c r="B124" s="518"/>
      <c r="D124" s="1313"/>
      <c r="E124" s="1313"/>
      <c r="F124" s="1313"/>
      <c r="I124" s="524"/>
    </row>
    <row r="125" spans="1:9">
      <c r="A125" s="518"/>
      <c r="B125" s="518"/>
      <c r="D125" s="1313"/>
      <c r="E125" s="1313"/>
      <c r="F125" s="1313"/>
      <c r="I125" s="524"/>
    </row>
    <row r="126" spans="1:9">
      <c r="A126" s="518"/>
      <c r="B126" s="518"/>
      <c r="D126" s="1313"/>
      <c r="E126" s="1313"/>
      <c r="F126" s="1313"/>
      <c r="I126" s="524"/>
    </row>
    <row r="127" spans="1:9">
      <c r="C127" s="433"/>
      <c r="D127" s="559"/>
      <c r="E127" s="559"/>
      <c r="F127" s="559"/>
      <c r="I127" s="524"/>
    </row>
    <row r="128" spans="1:9">
      <c r="A128" s="518"/>
      <c r="B128" s="519" t="s">
        <v>2775</v>
      </c>
      <c r="C128" s="433"/>
      <c r="D128" s="1313" t="s">
        <v>2365</v>
      </c>
      <c r="E128" s="1313"/>
      <c r="F128" s="1313"/>
      <c r="I128" s="524" t="s">
        <v>2084</v>
      </c>
    </row>
    <row r="129" spans="1:9">
      <c r="A129" s="518"/>
      <c r="B129" s="518"/>
      <c r="C129" s="433"/>
      <c r="D129" s="1313"/>
      <c r="E129" s="1313"/>
      <c r="F129" s="1313"/>
      <c r="I129" s="524"/>
    </row>
    <row r="130" spans="1:9">
      <c r="I130" s="524"/>
    </row>
    <row r="131" spans="1:9">
      <c r="A131" s="518"/>
      <c r="B131" s="519" t="s">
        <v>2775</v>
      </c>
      <c r="D131" s="1302" t="s">
        <v>1175</v>
      </c>
      <c r="E131" s="1302"/>
      <c r="F131" s="1302"/>
      <c r="I131" s="524" t="s">
        <v>2084</v>
      </c>
    </row>
    <row r="132" spans="1:9">
      <c r="D132" s="1302"/>
      <c r="E132" s="1302"/>
      <c r="F132" s="1302"/>
      <c r="I132" s="524"/>
    </row>
    <row r="133" spans="1:9">
      <c r="D133" s="1302"/>
      <c r="E133" s="1302"/>
      <c r="F133" s="1302"/>
      <c r="I133" s="524"/>
    </row>
    <row r="134" spans="1:9">
      <c r="D134" s="1302"/>
      <c r="E134" s="1302"/>
      <c r="F134" s="1302"/>
      <c r="I134" s="524"/>
    </row>
    <row r="135" spans="1:9">
      <c r="D135" s="1302"/>
      <c r="E135" s="1302"/>
      <c r="F135" s="1302"/>
      <c r="I135" s="524"/>
    </row>
    <row r="136" spans="1:9">
      <c r="I136" s="524"/>
    </row>
    <row r="137" spans="1:9">
      <c r="A137" s="518"/>
      <c r="B137" s="519" t="s">
        <v>2775</v>
      </c>
      <c r="D137" s="1302" t="s">
        <v>1176</v>
      </c>
      <c r="E137" s="1302"/>
      <c r="F137" s="1302"/>
      <c r="I137" s="524" t="s">
        <v>2085</v>
      </c>
    </row>
    <row r="138" spans="1:9" s="448" customFormat="1" ht="13.7" customHeight="1">
      <c r="A138" s="522"/>
      <c r="B138" s="522"/>
      <c r="C138" s="522"/>
      <c r="D138" s="1302"/>
      <c r="E138" s="1302"/>
      <c r="F138" s="1302"/>
      <c r="I138" s="1261"/>
    </row>
    <row r="139" spans="1:9" ht="13.7" customHeight="1">
      <c r="D139" s="1302"/>
      <c r="E139" s="1302"/>
      <c r="F139" s="1302"/>
      <c r="I139" s="524"/>
    </row>
    <row r="140" spans="1:9" ht="13.7" customHeight="1">
      <c r="D140" s="1302"/>
      <c r="E140" s="1302"/>
      <c r="F140" s="1302"/>
      <c r="I140" s="524"/>
    </row>
    <row r="141" spans="1:9" ht="13.7" customHeight="1">
      <c r="D141" s="1302"/>
      <c r="E141" s="1302"/>
      <c r="F141" s="1302"/>
      <c r="I141" s="524"/>
    </row>
    <row r="142" spans="1:9" ht="13.7" customHeight="1">
      <c r="A142" s="523"/>
      <c r="B142" s="523"/>
      <c r="D142" s="1302"/>
      <c r="E142" s="1302"/>
      <c r="F142" s="1302"/>
      <c r="I142" s="524"/>
    </row>
    <row r="143" spans="1:9" ht="13.7" customHeight="1">
      <c r="D143" s="1302"/>
      <c r="E143" s="1302"/>
      <c r="F143" s="1302"/>
      <c r="I143" s="524"/>
    </row>
    <row r="144" spans="1:9" ht="13.7" customHeight="1">
      <c r="D144" s="1302"/>
      <c r="E144" s="1302"/>
      <c r="F144" s="1302"/>
      <c r="I144" s="524"/>
    </row>
    <row r="145" spans="2:9" ht="13.7" customHeight="1">
      <c r="D145" s="1302"/>
      <c r="E145" s="1302"/>
      <c r="F145" s="1302"/>
      <c r="I145" s="524"/>
    </row>
    <row r="146" spans="2:9" ht="13.7" customHeight="1">
      <c r="D146" s="1302"/>
      <c r="E146" s="1302"/>
      <c r="F146" s="1302"/>
      <c r="I146" s="524"/>
    </row>
    <row r="147" spans="2:9" ht="13.7" customHeight="1">
      <c r="D147" s="1302"/>
      <c r="E147" s="1302"/>
      <c r="F147" s="1302"/>
      <c r="I147" s="524"/>
    </row>
    <row r="148" spans="2:9" ht="13.7" customHeight="1">
      <c r="D148" s="1302"/>
      <c r="E148" s="1302"/>
      <c r="F148" s="1302"/>
      <c r="I148" s="524"/>
    </row>
    <row r="149" spans="2:9" ht="13.7" customHeight="1">
      <c r="D149" s="1302"/>
      <c r="E149" s="1302"/>
      <c r="F149" s="1302"/>
      <c r="I149" s="524"/>
    </row>
    <row r="150" spans="2:9" ht="13.7" customHeight="1">
      <c r="D150" s="510"/>
      <c r="E150" s="480"/>
      <c r="F150" s="480"/>
      <c r="I150" s="524"/>
    </row>
    <row r="151" spans="2:9" ht="13.7" customHeight="1">
      <c r="B151" s="519" t="s">
        <v>2776</v>
      </c>
      <c r="D151" s="1302" t="s">
        <v>1284</v>
      </c>
      <c r="E151" s="1302"/>
      <c r="F151" s="1302"/>
      <c r="I151" s="524" t="s">
        <v>2086</v>
      </c>
    </row>
    <row r="152" spans="2:9" ht="13.7" customHeight="1">
      <c r="D152" s="1302"/>
      <c r="E152" s="1302"/>
      <c r="F152" s="1302"/>
      <c r="I152" s="524"/>
    </row>
    <row r="153" spans="2:9" ht="13.7" customHeight="1">
      <c r="D153" s="1302"/>
      <c r="E153" s="1302"/>
      <c r="F153" s="1302"/>
      <c r="I153" s="524"/>
    </row>
    <row r="154" spans="2:9" ht="13.7" customHeight="1">
      <c r="D154" s="1302"/>
      <c r="E154" s="1302"/>
      <c r="F154" s="1302"/>
      <c r="I154" s="524"/>
    </row>
    <row r="155" spans="2:9" ht="13.7" customHeight="1">
      <c r="D155" s="1302"/>
      <c r="E155" s="1302"/>
      <c r="F155" s="1302"/>
      <c r="I155" s="524"/>
    </row>
    <row r="156" spans="2:9" ht="13.7" customHeight="1">
      <c r="D156" s="1302"/>
      <c r="E156" s="1302"/>
      <c r="F156" s="1302"/>
      <c r="I156" s="524"/>
    </row>
    <row r="157" spans="2:9" ht="13.7" customHeight="1">
      <c r="D157" s="1302"/>
      <c r="E157" s="1302"/>
      <c r="F157" s="1302"/>
      <c r="I157" s="524"/>
    </row>
    <row r="158" spans="2:9" ht="13.7" customHeight="1">
      <c r="D158" s="1302"/>
      <c r="E158" s="1302"/>
      <c r="F158" s="1302"/>
      <c r="I158" s="524"/>
    </row>
    <row r="159" spans="2:9" ht="13.7" customHeight="1">
      <c r="D159" s="1302"/>
      <c r="E159" s="1302"/>
      <c r="F159" s="1302"/>
      <c r="I159" s="524"/>
    </row>
    <row r="160" spans="2:9" ht="13.7" customHeight="1">
      <c r="D160" s="1302"/>
      <c r="E160" s="1302"/>
      <c r="F160" s="1302"/>
      <c r="I160" s="524"/>
    </row>
    <row r="161" spans="1:9" ht="13.7" customHeight="1">
      <c r="D161" s="1302"/>
      <c r="E161" s="1302"/>
      <c r="F161" s="1302"/>
      <c r="I161" s="524"/>
    </row>
    <row r="162" spans="1:9" ht="13.7" customHeight="1">
      <c r="D162" s="1302"/>
      <c r="E162" s="1302"/>
      <c r="F162" s="1302"/>
      <c r="I162" s="524"/>
    </row>
    <row r="163" spans="1:9" ht="13.7" customHeight="1">
      <c r="D163" s="1302"/>
      <c r="E163" s="1302"/>
      <c r="F163" s="1302"/>
      <c r="I163" s="524"/>
    </row>
    <row r="164" spans="1:9" ht="13.7" customHeight="1">
      <c r="D164" s="1302"/>
      <c r="E164" s="1302"/>
      <c r="F164" s="1302"/>
      <c r="I164" s="524"/>
    </row>
    <row r="165" spans="1:9" ht="13.7" customHeight="1">
      <c r="D165" s="1302"/>
      <c r="E165" s="1302"/>
      <c r="F165" s="1302"/>
      <c r="I165" s="524"/>
    </row>
    <row r="166" spans="1:9" ht="13.7" customHeight="1">
      <c r="D166" s="1302"/>
      <c r="E166" s="1302"/>
      <c r="F166" s="1302"/>
      <c r="I166" s="524"/>
    </row>
    <row r="167" spans="1:9" ht="13.7" customHeight="1">
      <c r="D167" s="1302"/>
      <c r="E167" s="1302"/>
      <c r="F167" s="1302"/>
      <c r="I167" s="524"/>
    </row>
    <row r="168" spans="1:9" ht="13.7" customHeight="1">
      <c r="D168" s="1302"/>
      <c r="E168" s="1302"/>
      <c r="F168" s="1302"/>
      <c r="I168" s="524"/>
    </row>
    <row r="169" spans="1:9" ht="13.7" customHeight="1">
      <c r="D169" s="1347" t="s">
        <v>2389</v>
      </c>
      <c r="E169" s="1347"/>
      <c r="F169" s="1347"/>
      <c r="G169" s="541"/>
      <c r="I169" s="524"/>
    </row>
    <row r="170" spans="1:9" ht="13.7" customHeight="1">
      <c r="D170" s="1288"/>
      <c r="E170" s="1288"/>
      <c r="F170" s="1288"/>
      <c r="G170" s="1288"/>
      <c r="I170" s="524"/>
    </row>
    <row r="171" spans="1:9" ht="14.45" customHeight="1">
      <c r="A171" s="523"/>
      <c r="B171" s="519" t="s">
        <v>2776</v>
      </c>
      <c r="C171" s="510"/>
      <c r="D171" s="1284" t="s">
        <v>2579</v>
      </c>
      <c r="E171" s="1284"/>
      <c r="F171" s="1284"/>
      <c r="G171" s="510"/>
      <c r="I171" s="524" t="s">
        <v>2081</v>
      </c>
    </row>
    <row r="172" spans="1:9" ht="14.45" customHeight="1">
      <c r="A172" s="523"/>
      <c r="B172" s="523"/>
      <c r="C172" s="510"/>
      <c r="D172" s="1284"/>
      <c r="E172" s="1284"/>
      <c r="F172" s="1284"/>
      <c r="G172" s="510"/>
      <c r="I172" s="524"/>
    </row>
    <row r="173" spans="1:9" ht="14.45" customHeight="1">
      <c r="A173" s="523"/>
      <c r="B173" s="523"/>
      <c r="C173" s="510"/>
      <c r="D173" s="1284"/>
      <c r="E173" s="1284"/>
      <c r="F173" s="1284"/>
      <c r="G173" s="510"/>
      <c r="I173" s="524"/>
    </row>
    <row r="174" spans="1:9" ht="14.45" customHeight="1">
      <c r="A174" s="523"/>
      <c r="B174" s="523"/>
      <c r="C174" s="510"/>
      <c r="D174" s="1284"/>
      <c r="E174" s="1284"/>
      <c r="F174" s="1284"/>
      <c r="G174" s="510"/>
      <c r="I174" s="524"/>
    </row>
    <row r="175" spans="1:9" ht="13.7" customHeight="1">
      <c r="A175" s="523"/>
      <c r="B175" s="523"/>
      <c r="C175" s="510"/>
      <c r="D175" s="1284"/>
      <c r="E175" s="1284"/>
      <c r="F175" s="1284"/>
      <c r="G175" s="510"/>
      <c r="I175" s="524"/>
    </row>
    <row r="176" spans="1:9" ht="13.7" customHeight="1">
      <c r="A176" s="523"/>
      <c r="B176" s="523"/>
      <c r="C176" s="510"/>
      <c r="D176" s="510"/>
      <c r="E176" s="510"/>
      <c r="F176" s="510"/>
      <c r="G176" s="510"/>
      <c r="I176" s="524"/>
    </row>
    <row r="177" spans="1:9" ht="13.7" customHeight="1">
      <c r="A177" s="523"/>
      <c r="B177" s="519" t="s">
        <v>2776</v>
      </c>
      <c r="C177" s="510"/>
      <c r="D177" s="1284" t="s">
        <v>1178</v>
      </c>
      <c r="E177" s="1284"/>
      <c r="F177" s="1284"/>
      <c r="G177" s="510"/>
      <c r="I177" s="524" t="s">
        <v>2087</v>
      </c>
    </row>
    <row r="178" spans="1:9" ht="13.7" customHeight="1">
      <c r="A178" s="523"/>
      <c r="B178" s="523"/>
      <c r="C178" s="510"/>
      <c r="D178" s="1284"/>
      <c r="E178" s="1284"/>
      <c r="F178" s="1284"/>
      <c r="G178" s="510"/>
      <c r="I178" s="524"/>
    </row>
    <row r="179" spans="1:9" ht="13.7" customHeight="1">
      <c r="A179" s="523"/>
      <c r="B179" s="523"/>
      <c r="C179" s="510"/>
      <c r="D179" s="1284"/>
      <c r="E179" s="1284"/>
      <c r="F179" s="1284"/>
      <c r="G179" s="510"/>
      <c r="I179" s="524"/>
    </row>
    <row r="180" spans="1:9" ht="13.7" customHeight="1">
      <c r="A180" s="523"/>
      <c r="B180" s="523"/>
      <c r="C180" s="510"/>
      <c r="D180" s="1284"/>
      <c r="E180" s="1284"/>
      <c r="F180" s="1284"/>
      <c r="G180" s="510"/>
      <c r="I180" s="524"/>
    </row>
    <row r="181" spans="1:9" ht="13.7" customHeight="1">
      <c r="D181" s="480"/>
      <c r="E181" s="480"/>
      <c r="F181" s="480"/>
      <c r="I181" s="524"/>
    </row>
    <row r="182" spans="1:9" ht="13.7" customHeight="1">
      <c r="B182" s="519" t="s">
        <v>2775</v>
      </c>
      <c r="D182" s="1289" t="s">
        <v>2366</v>
      </c>
      <c r="E182" s="1289"/>
      <c r="F182" s="1289"/>
      <c r="I182" s="524" t="s">
        <v>2088</v>
      </c>
    </row>
    <row r="183" spans="1:9" ht="13.7" customHeight="1">
      <c r="D183" s="1289"/>
      <c r="E183" s="1289"/>
      <c r="F183" s="1289"/>
      <c r="I183" s="524"/>
    </row>
    <row r="184" spans="1:9" ht="13.7" customHeight="1">
      <c r="D184" s="1289"/>
      <c r="E184" s="1289"/>
      <c r="F184" s="1289"/>
      <c r="I184" s="524"/>
    </row>
    <row r="185" spans="1:9" ht="13.7" customHeight="1">
      <c r="A185" s="524"/>
      <c r="B185" s="524"/>
      <c r="E185" s="480"/>
      <c r="F185" s="480"/>
      <c r="I185" s="524"/>
    </row>
    <row r="186" spans="1:9">
      <c r="A186" s="1290" t="s">
        <v>2367</v>
      </c>
      <c r="B186" s="1290"/>
      <c r="C186" s="1290"/>
      <c r="D186" s="1290"/>
      <c r="E186" s="1290"/>
      <c r="F186" s="1290"/>
      <c r="G186" s="1290"/>
      <c r="H186" s="1063"/>
      <c r="I186" s="1259"/>
    </row>
    <row r="187" spans="1:9" ht="12" customHeight="1">
      <c r="D187" s="480"/>
      <c r="E187" s="480"/>
      <c r="F187" s="480"/>
      <c r="I187" s="524"/>
    </row>
    <row r="188" spans="1:9">
      <c r="B188" s="1305" t="s">
        <v>449</v>
      </c>
      <c r="C188" s="1305"/>
      <c r="D188" s="1305"/>
      <c r="E188" s="1305"/>
      <c r="F188" s="1305"/>
      <c r="I188" s="524"/>
    </row>
    <row r="189" spans="1:9">
      <c r="B189" s="423" t="s">
        <v>2067</v>
      </c>
      <c r="C189" s="423"/>
      <c r="D189" s="423"/>
      <c r="E189" s="423"/>
      <c r="F189" s="423"/>
      <c r="I189" s="524"/>
    </row>
    <row r="190" spans="1:9" ht="12" customHeight="1">
      <c r="A190" s="516"/>
      <c r="B190" s="516"/>
      <c r="C190" s="516"/>
      <c r="I190" s="524"/>
    </row>
    <row r="191" spans="1:9">
      <c r="A191" s="1290" t="s">
        <v>1074</v>
      </c>
      <c r="B191" s="1290"/>
      <c r="C191" s="1290"/>
      <c r="D191" s="1290"/>
      <c r="E191" s="1290"/>
      <c r="F191" s="1290"/>
      <c r="G191" s="1290"/>
      <c r="H191" s="1063"/>
      <c r="I191" s="1259"/>
    </row>
    <row r="192" spans="1:9" ht="12" customHeight="1">
      <c r="A192" s="435"/>
      <c r="B192" s="435"/>
      <c r="E192" s="435"/>
      <c r="I192" s="524"/>
    </row>
    <row r="193" spans="1:9" ht="13.7" customHeight="1">
      <c r="A193" s="435"/>
      <c r="B193" s="435"/>
      <c r="D193" s="1304" t="s">
        <v>1937</v>
      </c>
      <c r="E193" s="1304"/>
      <c r="F193" s="1304"/>
      <c r="I193" s="524"/>
    </row>
    <row r="194" spans="1:9">
      <c r="A194" s="435"/>
      <c r="B194" s="435"/>
      <c r="D194" s="1304"/>
      <c r="E194" s="1304"/>
      <c r="F194" s="1304"/>
      <c r="I194" s="524"/>
    </row>
    <row r="195" spans="1:9">
      <c r="A195" s="435"/>
      <c r="B195" s="435"/>
      <c r="D195" s="1305" t="s">
        <v>1302</v>
      </c>
      <c r="E195" s="1305"/>
      <c r="F195" s="1305"/>
      <c r="I195" s="524"/>
    </row>
    <row r="196" spans="1:9">
      <c r="A196" s="435"/>
      <c r="B196" s="435"/>
      <c r="D196" s="423"/>
      <c r="E196" s="423"/>
      <c r="F196" s="423"/>
      <c r="I196" s="524"/>
    </row>
    <row r="197" spans="1:9">
      <c r="A197" s="435"/>
      <c r="B197" s="519" t="s">
        <v>2776</v>
      </c>
      <c r="D197" s="1286" t="s">
        <v>1938</v>
      </c>
      <c r="E197" s="1286"/>
      <c r="F197" s="1286"/>
      <c r="I197" s="524" t="s">
        <v>2137</v>
      </c>
    </row>
    <row r="198" spans="1:9">
      <c r="A198" s="435"/>
      <c r="B198" s="435"/>
      <c r="D198" s="1318" t="s">
        <v>2203</v>
      </c>
      <c r="E198" s="1318"/>
      <c r="F198" s="1318"/>
      <c r="I198" s="524"/>
    </row>
    <row r="199" spans="1:9">
      <c r="A199" s="435"/>
      <c r="B199" s="435"/>
      <c r="D199" s="96" t="s">
        <v>1939</v>
      </c>
      <c r="E199" s="1350" t="s">
        <v>2226</v>
      </c>
      <c r="F199" s="1350"/>
      <c r="I199" s="524"/>
    </row>
    <row r="200" spans="1:9">
      <c r="A200" s="435"/>
      <c r="B200" s="435"/>
      <c r="D200" s="3"/>
      <c r="E200" s="3"/>
      <c r="F200" s="3"/>
      <c r="I200" s="524"/>
    </row>
    <row r="201" spans="1:9">
      <c r="A201" s="435"/>
      <c r="B201" s="519" t="s">
        <v>2776</v>
      </c>
      <c r="D201" s="1318" t="s">
        <v>1940</v>
      </c>
      <c r="E201" s="1318"/>
      <c r="F201" s="1318"/>
      <c r="I201" s="524" t="s">
        <v>2138</v>
      </c>
    </row>
    <row r="202" spans="1:9">
      <c r="A202" s="435"/>
      <c r="B202" s="435"/>
      <c r="D202" s="1286" t="s">
        <v>2203</v>
      </c>
      <c r="E202" s="1286"/>
      <c r="F202" s="1286"/>
      <c r="I202" s="524"/>
    </row>
    <row r="203" spans="1:9">
      <c r="A203" s="435"/>
      <c r="B203" s="435"/>
      <c r="D203" s="57" t="s">
        <v>1941</v>
      </c>
      <c r="E203" s="1350" t="s">
        <v>2227</v>
      </c>
      <c r="F203" s="1350"/>
      <c r="I203" s="524"/>
    </row>
    <row r="204" spans="1:9">
      <c r="A204" s="435"/>
      <c r="B204" s="435"/>
      <c r="D204" s="3"/>
      <c r="E204" s="3"/>
      <c r="F204" s="3"/>
      <c r="I204" s="524"/>
    </row>
    <row r="205" spans="1:9">
      <c r="A205" s="435"/>
      <c r="B205" s="519" t="s">
        <v>2775</v>
      </c>
      <c r="D205" s="1318" t="s">
        <v>1942</v>
      </c>
      <c r="E205" s="1318"/>
      <c r="F205" s="1318"/>
      <c r="I205" s="524" t="s">
        <v>2139</v>
      </c>
    </row>
    <row r="206" spans="1:9">
      <c r="A206" s="435"/>
      <c r="B206" s="435"/>
      <c r="D206" s="1286" t="s">
        <v>2203</v>
      </c>
      <c r="E206" s="1286"/>
      <c r="F206" s="1286"/>
      <c r="I206" s="524"/>
    </row>
    <row r="207" spans="1:9">
      <c r="A207" s="435"/>
      <c r="B207" s="435"/>
      <c r="D207" s="57" t="s">
        <v>1939</v>
      </c>
      <c r="E207" s="1350" t="s">
        <v>2228</v>
      </c>
      <c r="F207" s="1350"/>
      <c r="I207" s="524"/>
    </row>
    <row r="208" spans="1:9">
      <c r="A208" s="435"/>
      <c r="B208" s="435"/>
      <c r="D208" s="423"/>
      <c r="E208" s="423"/>
      <c r="F208" s="423"/>
      <c r="I208" s="524"/>
    </row>
    <row r="209" spans="1:9" ht="14.25" customHeight="1">
      <c r="A209" s="518"/>
      <c r="B209" s="519" t="s">
        <v>2776</v>
      </c>
      <c r="D209" s="417" t="s">
        <v>2196</v>
      </c>
      <c r="E209" s="416"/>
      <c r="F209" s="416"/>
      <c r="I209" s="524" t="s">
        <v>2140</v>
      </c>
    </row>
    <row r="210" spans="1:9">
      <c r="A210" s="518"/>
      <c r="B210" s="518"/>
      <c r="D210" s="1286" t="s">
        <v>2203</v>
      </c>
      <c r="E210" s="1286"/>
      <c r="F210" s="1286"/>
      <c r="I210" s="524"/>
    </row>
    <row r="211" spans="1:9">
      <c r="D211" s="416"/>
      <c r="E211" s="1350" t="s">
        <v>2229</v>
      </c>
      <c r="F211" s="1350"/>
      <c r="I211" s="524"/>
    </row>
    <row r="212" spans="1:9">
      <c r="D212" s="481"/>
      <c r="I212" s="524"/>
    </row>
    <row r="213" spans="1:9">
      <c r="B213" s="519" t="s">
        <v>2776</v>
      </c>
      <c r="D213" s="1318" t="s">
        <v>1943</v>
      </c>
      <c r="E213" s="1318"/>
      <c r="F213" s="1318"/>
      <c r="I213" s="524" t="s">
        <v>2141</v>
      </c>
    </row>
    <row r="214" spans="1:9">
      <c r="D214" s="1286" t="s">
        <v>2203</v>
      </c>
      <c r="E214" s="1286"/>
      <c r="F214" s="1286"/>
      <c r="I214" s="524"/>
    </row>
    <row r="215" spans="1:9">
      <c r="D215" s="57" t="s">
        <v>1939</v>
      </c>
      <c r="E215" s="1350" t="s">
        <v>2230</v>
      </c>
      <c r="F215" s="1350"/>
      <c r="I215" s="524"/>
    </row>
    <row r="216" spans="1:9">
      <c r="D216" s="485"/>
      <c r="E216" s="485"/>
      <c r="F216" s="485"/>
      <c r="I216" s="524"/>
    </row>
    <row r="217" spans="1:9">
      <c r="A217" s="518"/>
      <c r="B217" s="519" t="s">
        <v>2776</v>
      </c>
      <c r="D217" s="1302" t="s">
        <v>1323</v>
      </c>
      <c r="E217" s="1302"/>
      <c r="F217" s="1302"/>
      <c r="I217" s="524"/>
    </row>
    <row r="218" spans="1:9" ht="14.45" customHeight="1">
      <c r="A218" s="518"/>
      <c r="B218" s="433"/>
      <c r="D218" s="1302"/>
      <c r="E218" s="1302"/>
      <c r="F218" s="1302"/>
      <c r="I218" s="524"/>
    </row>
    <row r="219" spans="1:9">
      <c r="A219" s="518"/>
      <c r="D219" s="1302"/>
      <c r="E219" s="1302"/>
      <c r="F219" s="1302"/>
      <c r="I219" s="524"/>
    </row>
    <row r="220" spans="1:9">
      <c r="A220" s="518"/>
      <c r="D220" s="1302"/>
      <c r="E220" s="1302"/>
      <c r="F220" s="1302"/>
      <c r="I220" s="524"/>
    </row>
    <row r="221" spans="1:9">
      <c r="D221" s="485"/>
      <c r="E221" s="485"/>
      <c r="F221" s="485"/>
      <c r="I221" s="524"/>
    </row>
    <row r="222" spans="1:9">
      <c r="A222" s="1290" t="s">
        <v>1075</v>
      </c>
      <c r="B222" s="1290"/>
      <c r="C222" s="1290"/>
      <c r="D222" s="1290"/>
      <c r="E222" s="1290"/>
      <c r="F222" s="1290"/>
      <c r="G222" s="1290"/>
      <c r="H222" s="1063"/>
      <c r="I222" s="1259"/>
    </row>
    <row r="223" spans="1:9" ht="12" customHeight="1">
      <c r="D223" s="480"/>
      <c r="E223" s="480"/>
      <c r="F223" s="480"/>
      <c r="I223" s="524"/>
    </row>
    <row r="224" spans="1:9">
      <c r="C224" s="520"/>
      <c r="D224" s="1301" t="s">
        <v>209</v>
      </c>
      <c r="E224" s="1301"/>
      <c r="F224" s="1301"/>
      <c r="I224" s="524"/>
    </row>
    <row r="225" spans="1:9">
      <c r="A225" s="516"/>
      <c r="B225" s="516"/>
      <c r="C225" s="516"/>
      <c r="D225" s="1303" t="s">
        <v>1204</v>
      </c>
      <c r="E225" s="1303"/>
      <c r="F225" s="1303"/>
      <c r="I225" s="524"/>
    </row>
    <row r="226" spans="1:9" ht="12" customHeight="1">
      <c r="A226" s="524"/>
      <c r="B226" s="524"/>
      <c r="C226" s="524"/>
      <c r="I226" s="524"/>
    </row>
    <row r="227" spans="1:9" ht="13.7" customHeight="1">
      <c r="A227" s="524"/>
      <c r="C227" s="524"/>
      <c r="D227" s="1301" t="s">
        <v>555</v>
      </c>
      <c r="E227" s="1301"/>
      <c r="F227" s="1301"/>
      <c r="I227" s="524" t="s">
        <v>2089</v>
      </c>
    </row>
    <row r="228" spans="1:9">
      <c r="A228" s="518"/>
      <c r="B228" s="519" t="s">
        <v>2775</v>
      </c>
      <c r="D228" s="1302" t="s">
        <v>1944</v>
      </c>
      <c r="E228" s="1302"/>
      <c r="F228" s="1302"/>
      <c r="I228" s="524"/>
    </row>
    <row r="229" spans="1:9" ht="14.25" customHeight="1">
      <c r="A229" s="518"/>
      <c r="B229" s="518"/>
      <c r="D229" s="1302"/>
      <c r="E229" s="1302"/>
      <c r="F229" s="1302"/>
      <c r="I229" s="524"/>
    </row>
    <row r="230" spans="1:9" ht="14.25" customHeight="1">
      <c r="A230" s="518"/>
      <c r="B230" s="518"/>
      <c r="D230" s="1302"/>
      <c r="E230" s="1302"/>
      <c r="F230" s="1302"/>
      <c r="I230" s="524"/>
    </row>
    <row r="231" spans="1:9">
      <c r="A231" s="518"/>
      <c r="B231" s="518"/>
      <c r="D231" s="1302"/>
      <c r="E231" s="1302"/>
      <c r="F231" s="1302"/>
      <c r="I231" s="524"/>
    </row>
    <row r="232" spans="1:9">
      <c r="A232" s="518"/>
      <c r="B232" s="518"/>
      <c r="D232" s="479"/>
      <c r="E232" s="479"/>
      <c r="F232" s="479"/>
      <c r="I232" s="524"/>
    </row>
    <row r="233" spans="1:9">
      <c r="A233" s="518"/>
      <c r="B233" s="519" t="s">
        <v>2775</v>
      </c>
      <c r="D233" s="1302" t="s">
        <v>1945</v>
      </c>
      <c r="E233" s="1302"/>
      <c r="F233" s="1302"/>
      <c r="I233" s="524" t="s">
        <v>2090</v>
      </c>
    </row>
    <row r="234" spans="1:9">
      <c r="A234" s="518"/>
      <c r="B234" s="518"/>
      <c r="D234" s="1302"/>
      <c r="E234" s="1302"/>
      <c r="F234" s="1302"/>
      <c r="I234" s="524"/>
    </row>
    <row r="235" spans="1:9">
      <c r="A235" s="518"/>
      <c r="B235" s="518"/>
      <c r="D235" s="1302"/>
      <c r="E235" s="1302"/>
      <c r="F235" s="1302"/>
      <c r="I235" s="524"/>
    </row>
    <row r="236" spans="1:9">
      <c r="A236" s="518"/>
      <c r="B236" s="518"/>
      <c r="D236" s="1302"/>
      <c r="E236" s="1302"/>
      <c r="F236" s="1302"/>
      <c r="I236" s="524"/>
    </row>
    <row r="237" spans="1:9" ht="14.25" customHeight="1">
      <c r="A237" s="518"/>
      <c r="B237" s="518"/>
      <c r="D237" s="1302"/>
      <c r="E237" s="1302"/>
      <c r="F237" s="1302"/>
      <c r="I237" s="524"/>
    </row>
    <row r="238" spans="1:9" ht="14.25" customHeight="1">
      <c r="A238" s="518"/>
      <c r="B238" s="518"/>
      <c r="D238" s="479"/>
      <c r="E238" s="479"/>
      <c r="F238" s="479"/>
      <c r="I238" s="524"/>
    </row>
    <row r="239" spans="1:9">
      <c r="A239" s="518"/>
      <c r="B239" s="518"/>
      <c r="D239" s="1302" t="s">
        <v>1200</v>
      </c>
      <c r="E239" s="1302"/>
      <c r="F239" s="1302"/>
      <c r="I239" s="524" t="s">
        <v>2089</v>
      </c>
    </row>
    <row r="240" spans="1:9">
      <c r="A240" s="518"/>
      <c r="B240" s="518"/>
      <c r="D240" s="1302"/>
      <c r="E240" s="1302"/>
      <c r="F240" s="1302"/>
      <c r="I240" s="524"/>
    </row>
    <row r="241" spans="1:9">
      <c r="A241" s="518"/>
      <c r="B241" s="518"/>
      <c r="D241" s="1302"/>
      <c r="E241" s="1302"/>
      <c r="F241" s="1302"/>
      <c r="I241" s="524"/>
    </row>
    <row r="242" spans="1:9">
      <c r="A242" s="518"/>
      <c r="B242" s="518"/>
      <c r="D242" s="1302"/>
      <c r="E242" s="1302"/>
      <c r="F242" s="1302"/>
      <c r="I242" s="524"/>
    </row>
    <row r="243" spans="1:9">
      <c r="A243" s="518"/>
      <c r="B243" s="518"/>
      <c r="D243" s="1302"/>
      <c r="E243" s="1302"/>
      <c r="F243" s="1302"/>
      <c r="I243" s="524"/>
    </row>
    <row r="244" spans="1:9">
      <c r="A244" s="518"/>
      <c r="B244" s="518"/>
      <c r="D244" s="480"/>
      <c r="E244" s="480"/>
      <c r="F244" s="480"/>
      <c r="I244" s="524"/>
    </row>
    <row r="245" spans="1:9">
      <c r="A245" s="518"/>
      <c r="B245" s="519" t="s">
        <v>2776</v>
      </c>
      <c r="D245" s="1302" t="s">
        <v>2368</v>
      </c>
      <c r="E245" s="1302"/>
      <c r="F245" s="1302"/>
      <c r="I245" s="524" t="s">
        <v>2128</v>
      </c>
    </row>
    <row r="246" spans="1:9">
      <c r="A246" s="518"/>
      <c r="B246" s="518"/>
      <c r="D246" s="1302"/>
      <c r="E246" s="1302"/>
      <c r="F246" s="1302"/>
      <c r="I246" s="524"/>
    </row>
    <row r="247" spans="1:9">
      <c r="A247" s="518"/>
      <c r="B247" s="518"/>
      <c r="D247" s="1302"/>
      <c r="E247" s="1302"/>
      <c r="F247" s="1302"/>
      <c r="I247" s="524"/>
    </row>
    <row r="248" spans="1:9">
      <c r="A248" s="518"/>
      <c r="B248" s="518"/>
      <c r="E248" s="1071" t="s">
        <v>2197</v>
      </c>
      <c r="I248" s="524"/>
    </row>
    <row r="249" spans="1:9">
      <c r="A249" s="518"/>
      <c r="B249" s="518"/>
      <c r="D249" s="480"/>
      <c r="E249" s="480"/>
      <c r="F249" s="480"/>
      <c r="I249" s="524"/>
    </row>
    <row r="250" spans="1:9" ht="14.45" customHeight="1">
      <c r="A250" s="518"/>
      <c r="B250" s="519" t="s">
        <v>2776</v>
      </c>
      <c r="D250" s="1302" t="s">
        <v>2369</v>
      </c>
      <c r="E250" s="1302"/>
      <c r="F250" s="1302"/>
      <c r="I250" s="524" t="s">
        <v>2146</v>
      </c>
    </row>
    <row r="251" spans="1:9">
      <c r="A251" s="518"/>
      <c r="B251" s="518"/>
      <c r="D251" s="1302"/>
      <c r="E251" s="1302"/>
      <c r="F251" s="1302"/>
      <c r="I251" s="524"/>
    </row>
    <row r="252" spans="1:9">
      <c r="A252" s="518"/>
      <c r="B252" s="518"/>
      <c r="D252" s="1302"/>
      <c r="E252" s="1302"/>
      <c r="F252" s="1302"/>
      <c r="I252" s="524"/>
    </row>
    <row r="253" spans="1:9">
      <c r="A253" s="518"/>
      <c r="B253" s="518"/>
      <c r="D253" s="1302"/>
      <c r="E253" s="1302"/>
      <c r="F253" s="1302"/>
      <c r="I253" s="524"/>
    </row>
    <row r="254" spans="1:9">
      <c r="A254" s="518"/>
      <c r="B254" s="518"/>
      <c r="D254" s="1302"/>
      <c r="E254" s="1302"/>
      <c r="F254" s="1302"/>
      <c r="I254" s="524"/>
    </row>
    <row r="255" spans="1:9">
      <c r="A255" s="518"/>
      <c r="B255" s="518"/>
      <c r="D255" s="479"/>
      <c r="E255" s="479"/>
      <c r="F255" s="479"/>
      <c r="I255" s="524"/>
    </row>
    <row r="256" spans="1:9">
      <c r="A256" s="518"/>
      <c r="B256" s="519" t="s">
        <v>2775</v>
      </c>
      <c r="D256" s="423" t="s">
        <v>2370</v>
      </c>
      <c r="E256" s="479"/>
      <c r="F256" s="479"/>
      <c r="I256" s="524" t="s">
        <v>2127</v>
      </c>
    </row>
    <row r="257" spans="1:9">
      <c r="A257" s="518"/>
      <c r="B257" s="518"/>
      <c r="E257" s="1071" t="s">
        <v>2198</v>
      </c>
      <c r="I257" s="524"/>
    </row>
    <row r="258" spans="1:9">
      <c r="D258" s="480"/>
      <c r="E258" s="480"/>
      <c r="F258" s="480"/>
      <c r="I258" s="524"/>
    </row>
    <row r="259" spans="1:9">
      <c r="A259" s="518"/>
      <c r="B259" s="519" t="s">
        <v>2775</v>
      </c>
      <c r="D259" s="1302" t="s">
        <v>1202</v>
      </c>
      <c r="E259" s="1302"/>
      <c r="F259" s="1302"/>
      <c r="I259" s="524"/>
    </row>
    <row r="260" spans="1:9">
      <c r="A260" s="518"/>
      <c r="B260" s="518"/>
      <c r="D260" s="1302"/>
      <c r="E260" s="1302"/>
      <c r="F260" s="1302"/>
      <c r="I260" s="524"/>
    </row>
    <row r="261" spans="1:9">
      <c r="D261" s="525"/>
      <c r="I261" s="524"/>
    </row>
    <row r="262" spans="1:9">
      <c r="A262" s="1290" t="s">
        <v>1076</v>
      </c>
      <c r="B262" s="1290"/>
      <c r="C262" s="1290"/>
      <c r="D262" s="1290"/>
      <c r="E262" s="1290"/>
      <c r="F262" s="1290"/>
      <c r="G262" s="1290"/>
      <c r="H262" s="1063"/>
      <c r="I262" s="1259"/>
    </row>
    <row r="263" spans="1:9">
      <c r="D263" s="525"/>
      <c r="I263" s="524"/>
    </row>
    <row r="264" spans="1:9">
      <c r="C264" s="520"/>
      <c r="D264" s="1301" t="s">
        <v>1205</v>
      </c>
      <c r="E264" s="1301"/>
      <c r="F264" s="1301"/>
      <c r="I264" s="524"/>
    </row>
    <row r="265" spans="1:9">
      <c r="A265" s="516"/>
      <c r="B265" s="516"/>
      <c r="C265" s="516"/>
      <c r="D265" s="480"/>
      <c r="E265" s="480"/>
      <c r="F265" s="480"/>
      <c r="I265" s="524"/>
    </row>
    <row r="266" spans="1:9">
      <c r="A266" s="517"/>
      <c r="B266" s="517"/>
      <c r="C266" s="517"/>
      <c r="D266" s="1301" t="s">
        <v>270</v>
      </c>
      <c r="E266" s="1301"/>
      <c r="F266" s="1301"/>
      <c r="I266" s="524" t="s">
        <v>2129</v>
      </c>
    </row>
    <row r="267" spans="1:9" ht="14.45" customHeight="1">
      <c r="A267" s="518"/>
      <c r="B267" s="519" t="s">
        <v>2775</v>
      </c>
      <c r="D267" s="1302" t="s">
        <v>1303</v>
      </c>
      <c r="E267" s="1302"/>
      <c r="F267" s="1302"/>
      <c r="I267" s="524"/>
    </row>
    <row r="268" spans="1:9">
      <c r="D268" s="1302"/>
      <c r="E268" s="1302"/>
      <c r="F268" s="1302"/>
      <c r="I268" s="524"/>
    </row>
    <row r="269" spans="1:9">
      <c r="E269" s="1071" t="s">
        <v>2199</v>
      </c>
      <c r="I269" s="524"/>
    </row>
    <row r="270" spans="1:9">
      <c r="D270" s="480"/>
      <c r="E270" s="480"/>
      <c r="F270" s="480"/>
      <c r="I270" s="524"/>
    </row>
    <row r="271" spans="1:9" ht="14.45" customHeight="1">
      <c r="A271" s="518"/>
      <c r="B271" s="519" t="s">
        <v>2776</v>
      </c>
      <c r="D271" s="1302" t="s">
        <v>2371</v>
      </c>
      <c r="E271" s="1302"/>
      <c r="F271" s="1302"/>
      <c r="I271" s="524" t="s">
        <v>2147</v>
      </c>
    </row>
    <row r="272" spans="1:9">
      <c r="D272" s="1302"/>
      <c r="E272" s="1302"/>
      <c r="F272" s="1302"/>
      <c r="I272" s="524"/>
    </row>
    <row r="273" spans="1:9">
      <c r="D273" s="1302"/>
      <c r="E273" s="1302"/>
      <c r="F273" s="1302"/>
      <c r="I273" s="524"/>
    </row>
    <row r="274" spans="1:9">
      <c r="D274" s="1302"/>
      <c r="E274" s="1302"/>
      <c r="F274" s="1302"/>
      <c r="I274" s="524"/>
    </row>
    <row r="275" spans="1:9">
      <c r="D275" s="1302"/>
      <c r="E275" s="1302"/>
      <c r="F275" s="1302"/>
      <c r="I275" s="524"/>
    </row>
    <row r="276" spans="1:9">
      <c r="D276" s="1302"/>
      <c r="E276" s="1302"/>
      <c r="F276" s="1302"/>
      <c r="I276" s="524"/>
    </row>
    <row r="277" spans="1:9">
      <c r="D277" s="480"/>
      <c r="E277" s="480"/>
      <c r="F277" s="480"/>
      <c r="I277" s="524"/>
    </row>
    <row r="278" spans="1:9">
      <c r="A278" s="518"/>
      <c r="B278" s="519" t="s">
        <v>2776</v>
      </c>
      <c r="D278" s="1302" t="s">
        <v>1208</v>
      </c>
      <c r="E278" s="1302"/>
      <c r="F278" s="1302"/>
      <c r="I278" s="524"/>
    </row>
    <row r="279" spans="1:9">
      <c r="D279" s="1302"/>
      <c r="E279" s="1302"/>
      <c r="F279" s="1302"/>
      <c r="I279" s="524"/>
    </row>
    <row r="280" spans="1:9">
      <c r="D280" s="1302"/>
      <c r="E280" s="1302"/>
      <c r="F280" s="1302"/>
      <c r="I280" s="524"/>
    </row>
    <row r="281" spans="1:9">
      <c r="D281" s="526"/>
      <c r="E281" s="480"/>
      <c r="F281" s="480"/>
      <c r="I281" s="524"/>
    </row>
    <row r="282" spans="1:9">
      <c r="A282" s="1290" t="s">
        <v>1077</v>
      </c>
      <c r="B282" s="1290"/>
      <c r="C282" s="1290"/>
      <c r="D282" s="1290"/>
      <c r="E282" s="1290"/>
      <c r="F282" s="1290"/>
      <c r="G282" s="1290"/>
      <c r="H282" s="1063"/>
      <c r="I282" s="1259"/>
    </row>
    <row r="283" spans="1:9">
      <c r="D283" s="526"/>
      <c r="E283" s="480"/>
      <c r="F283" s="480"/>
      <c r="I283" s="524"/>
    </row>
    <row r="284" spans="1:9">
      <c r="C284" s="516"/>
      <c r="D284" s="1304" t="s">
        <v>1210</v>
      </c>
      <c r="E284" s="1304"/>
      <c r="F284" s="1304"/>
      <c r="I284" s="524"/>
    </row>
    <row r="285" spans="1:9">
      <c r="C285" s="516"/>
      <c r="D285" s="1304"/>
      <c r="E285" s="1304"/>
      <c r="F285" s="1304"/>
      <c r="I285" s="524"/>
    </row>
    <row r="286" spans="1:9">
      <c r="A286" s="517"/>
      <c r="B286" s="517"/>
      <c r="C286" s="517"/>
      <c r="D286" s="435"/>
      <c r="I286" s="524"/>
    </row>
    <row r="287" spans="1:9">
      <c r="C287" s="517"/>
      <c r="D287" s="1301" t="s">
        <v>210</v>
      </c>
      <c r="E287" s="1301"/>
      <c r="F287" s="1301"/>
      <c r="I287" s="524"/>
    </row>
    <row r="288" spans="1:9" ht="15.75" customHeight="1">
      <c r="A288" s="518"/>
      <c r="B288" s="518"/>
      <c r="D288" s="1353" t="s">
        <v>1211</v>
      </c>
      <c r="E288" s="1353"/>
      <c r="F288" s="1353"/>
      <c r="I288" s="524"/>
    </row>
    <row r="289" spans="1:9">
      <c r="E289" s="480"/>
      <c r="F289" s="480"/>
      <c r="I289" s="524"/>
    </row>
    <row r="290" spans="1:9">
      <c r="A290" s="518"/>
      <c r="B290" s="519" t="s">
        <v>2776</v>
      </c>
      <c r="D290" s="1302" t="s">
        <v>1212</v>
      </c>
      <c r="E290" s="1302"/>
      <c r="F290" s="1302"/>
      <c r="I290" s="524" t="s">
        <v>2091</v>
      </c>
    </row>
    <row r="291" spans="1:9">
      <c r="A291" s="518"/>
      <c r="B291" s="518"/>
      <c r="D291" s="1302"/>
      <c r="E291" s="1302"/>
      <c r="F291" s="1302"/>
      <c r="I291" s="524"/>
    </row>
    <row r="292" spans="1:9">
      <c r="D292" s="480"/>
      <c r="E292" s="480"/>
      <c r="F292" s="480"/>
      <c r="I292" s="524"/>
    </row>
    <row r="293" spans="1:9">
      <c r="A293" s="518"/>
      <c r="B293" s="519" t="s">
        <v>2776</v>
      </c>
      <c r="D293" s="1302" t="s">
        <v>1213</v>
      </c>
      <c r="E293" s="1302"/>
      <c r="F293" s="1302"/>
      <c r="I293" s="524" t="s">
        <v>2091</v>
      </c>
    </row>
    <row r="294" spans="1:9">
      <c r="A294" s="518"/>
      <c r="B294" s="518"/>
      <c r="D294" s="1302"/>
      <c r="E294" s="1302"/>
      <c r="F294" s="1302"/>
      <c r="I294" s="524"/>
    </row>
    <row r="295" spans="1:9">
      <c r="A295" s="518"/>
      <c r="B295" s="518"/>
      <c r="D295" s="1302"/>
      <c r="E295" s="1302"/>
      <c r="F295" s="1302"/>
      <c r="I295" s="524"/>
    </row>
    <row r="296" spans="1:9">
      <c r="D296" s="480"/>
      <c r="E296" s="480"/>
      <c r="F296" s="480"/>
      <c r="I296" s="524"/>
    </row>
    <row r="297" spans="1:9">
      <c r="A297" s="518"/>
      <c r="B297" s="519" t="s">
        <v>2776</v>
      </c>
      <c r="D297" s="1302" t="s">
        <v>1214</v>
      </c>
      <c r="E297" s="1302"/>
      <c r="F297" s="1302"/>
      <c r="I297" s="524" t="s">
        <v>2091</v>
      </c>
    </row>
    <row r="298" spans="1:9">
      <c r="A298" s="518"/>
      <c r="B298" s="518"/>
      <c r="D298" s="1302"/>
      <c r="E298" s="1302"/>
      <c r="F298" s="1302"/>
      <c r="I298" s="524"/>
    </row>
    <row r="299" spans="1:9">
      <c r="A299" s="524"/>
      <c r="B299" s="524"/>
      <c r="E299" s="480"/>
      <c r="F299" s="480"/>
      <c r="I299" s="524"/>
    </row>
    <row r="300" spans="1:9">
      <c r="A300" s="1290" t="s">
        <v>1078</v>
      </c>
      <c r="B300" s="1290"/>
      <c r="C300" s="1290"/>
      <c r="D300" s="1290"/>
      <c r="E300" s="1290"/>
      <c r="F300" s="1290"/>
      <c r="G300" s="1290"/>
      <c r="H300" s="1063"/>
      <c r="I300" s="1259"/>
    </row>
    <row r="301" spans="1:9">
      <c r="A301" s="524"/>
      <c r="B301" s="524"/>
      <c r="D301" s="480"/>
      <c r="E301" s="480"/>
      <c r="F301" s="480"/>
      <c r="I301" s="524"/>
    </row>
    <row r="302" spans="1:9">
      <c r="C302" s="524"/>
      <c r="D302" s="1301" t="s">
        <v>691</v>
      </c>
      <c r="E302" s="1301"/>
      <c r="F302" s="1301"/>
      <c r="I302" s="524"/>
    </row>
    <row r="303" spans="1:9">
      <c r="C303" s="524"/>
      <c r="D303" s="1303" t="s">
        <v>1215</v>
      </c>
      <c r="E303" s="1303"/>
      <c r="F303" s="1303"/>
      <c r="I303" s="524"/>
    </row>
    <row r="304" spans="1:9">
      <c r="C304" s="524"/>
      <c r="D304" s="527"/>
      <c r="I304" s="524"/>
    </row>
    <row r="305" spans="1:9">
      <c r="B305" s="519" t="s">
        <v>2776</v>
      </c>
      <c r="D305" s="1303" t="s">
        <v>1216</v>
      </c>
      <c r="E305" s="1303"/>
      <c r="F305" s="1303"/>
      <c r="I305" s="524" t="s">
        <v>2092</v>
      </c>
    </row>
    <row r="306" spans="1:9">
      <c r="A306" s="518"/>
      <c r="B306" s="518"/>
      <c r="D306" s="528"/>
      <c r="E306" s="529"/>
      <c r="F306" s="529"/>
      <c r="I306" s="524"/>
    </row>
    <row r="307" spans="1:9" ht="13.7" customHeight="1">
      <c r="B307" s="519" t="s">
        <v>2776</v>
      </c>
      <c r="D307" s="1356" t="s">
        <v>1326</v>
      </c>
      <c r="E307" s="1356"/>
      <c r="F307" s="1356"/>
      <c r="I307" s="524" t="s">
        <v>2092</v>
      </c>
    </row>
    <row r="308" spans="1:9">
      <c r="A308" s="518"/>
      <c r="B308" s="518"/>
      <c r="D308" s="1356"/>
      <c r="E308" s="1356"/>
      <c r="F308" s="1356"/>
      <c r="I308" s="524"/>
    </row>
    <row r="309" spans="1:9">
      <c r="A309" s="518"/>
      <c r="B309" s="518"/>
      <c r="D309" s="1356"/>
      <c r="E309" s="1356"/>
      <c r="F309" s="1356"/>
      <c r="I309" s="524"/>
    </row>
    <row r="310" spans="1:9">
      <c r="A310" s="518"/>
      <c r="B310" s="518"/>
      <c r="D310" s="1356"/>
      <c r="E310" s="1356"/>
      <c r="F310" s="1356"/>
      <c r="I310" s="524"/>
    </row>
    <row r="311" spans="1:9">
      <c r="A311" s="518"/>
      <c r="B311" s="518"/>
      <c r="D311" s="1356"/>
      <c r="E311" s="1356"/>
      <c r="F311" s="1356"/>
      <c r="I311" s="524"/>
    </row>
    <row r="312" spans="1:9">
      <c r="A312" s="518"/>
      <c r="B312" s="518"/>
      <c r="D312" s="528"/>
      <c r="E312" s="529"/>
      <c r="F312" s="529"/>
      <c r="I312" s="524"/>
    </row>
    <row r="313" spans="1:9" ht="13.7" customHeight="1">
      <c r="B313" s="519" t="s">
        <v>2776</v>
      </c>
      <c r="D313" s="1356" t="s">
        <v>1218</v>
      </c>
      <c r="E313" s="1356"/>
      <c r="F313" s="1356"/>
      <c r="I313" s="524" t="s">
        <v>2092</v>
      </c>
    </row>
    <row r="314" spans="1:9">
      <c r="D314" s="1356"/>
      <c r="E314" s="1356"/>
      <c r="F314" s="1356"/>
      <c r="I314" s="524"/>
    </row>
    <row r="315" spans="1:9">
      <c r="A315" s="518"/>
      <c r="B315" s="518"/>
      <c r="D315" s="528"/>
      <c r="E315" s="529"/>
      <c r="F315" s="529"/>
      <c r="I315" s="524"/>
    </row>
    <row r="316" spans="1:9">
      <c r="B316" s="519" t="s">
        <v>2776</v>
      </c>
      <c r="D316" s="1303" t="s">
        <v>1219</v>
      </c>
      <c r="E316" s="1303"/>
      <c r="F316" s="1303"/>
      <c r="I316" s="524" t="s">
        <v>2078</v>
      </c>
    </row>
    <row r="317" spans="1:9">
      <c r="E317" s="480"/>
      <c r="F317" s="480"/>
      <c r="I317" s="524"/>
    </row>
    <row r="318" spans="1:9">
      <c r="A318" s="518"/>
      <c r="B318" s="519" t="s">
        <v>2776</v>
      </c>
      <c r="D318" s="1302" t="s">
        <v>2390</v>
      </c>
      <c r="E318" s="1302"/>
      <c r="F318" s="1302"/>
      <c r="I318" s="524" t="s">
        <v>2093</v>
      </c>
    </row>
    <row r="319" spans="1:9">
      <c r="A319" s="518"/>
      <c r="B319" s="518"/>
      <c r="D319" s="1302"/>
      <c r="E319" s="1302"/>
      <c r="F319" s="1302"/>
      <c r="I319" s="524"/>
    </row>
    <row r="320" spans="1:9">
      <c r="A320" s="518"/>
      <c r="B320" s="518"/>
      <c r="D320" s="1302"/>
      <c r="E320" s="1302"/>
      <c r="F320" s="1302"/>
      <c r="I320" s="524"/>
    </row>
    <row r="321" spans="1:9">
      <c r="A321" s="518"/>
      <c r="B321" s="518"/>
      <c r="D321" s="1302"/>
      <c r="E321" s="1302"/>
      <c r="F321" s="1302"/>
      <c r="I321" s="524"/>
    </row>
    <row r="322" spans="1:9">
      <c r="A322" s="518"/>
      <c r="B322" s="518"/>
      <c r="D322" s="1302"/>
      <c r="E322" s="1302"/>
      <c r="F322" s="1302"/>
      <c r="I322" s="524"/>
    </row>
    <row r="323" spans="1:9">
      <c r="A323" s="518"/>
      <c r="B323" s="518"/>
      <c r="D323" s="1302"/>
      <c r="E323" s="1302"/>
      <c r="F323" s="1302"/>
      <c r="I323" s="524"/>
    </row>
    <row r="324" spans="1:9">
      <c r="A324" s="518"/>
      <c r="B324" s="518"/>
      <c r="D324" s="1302"/>
      <c r="E324" s="1302"/>
      <c r="F324" s="1302"/>
      <c r="I324" s="524"/>
    </row>
    <row r="325" spans="1:9">
      <c r="A325" s="518"/>
      <c r="B325" s="518"/>
      <c r="D325" s="1302"/>
      <c r="E325" s="1302"/>
      <c r="F325" s="1302"/>
      <c r="I325" s="524"/>
    </row>
    <row r="326" spans="1:9">
      <c r="A326" s="518"/>
      <c r="B326" s="518"/>
      <c r="D326" s="1302"/>
      <c r="E326" s="1302"/>
      <c r="F326" s="1302"/>
      <c r="I326" s="524"/>
    </row>
    <row r="327" spans="1:9">
      <c r="A327" s="518"/>
      <c r="B327" s="518"/>
      <c r="D327" s="1302"/>
      <c r="E327" s="1302"/>
      <c r="F327" s="1302"/>
      <c r="I327" s="524"/>
    </row>
    <row r="328" spans="1:9">
      <c r="A328" s="518"/>
      <c r="B328" s="518"/>
      <c r="D328" s="1302"/>
      <c r="E328" s="1302"/>
      <c r="F328" s="1302"/>
      <c r="I328" s="524"/>
    </row>
    <row r="329" spans="1:9">
      <c r="A329" s="518"/>
      <c r="B329" s="518"/>
      <c r="D329" s="1302"/>
      <c r="E329" s="1302"/>
      <c r="F329" s="1302"/>
      <c r="I329" s="524"/>
    </row>
    <row r="330" spans="1:9">
      <c r="A330" s="518"/>
      <c r="B330" s="518"/>
      <c r="D330" s="1302"/>
      <c r="E330" s="1302"/>
      <c r="F330" s="1302"/>
      <c r="I330" s="524"/>
    </row>
    <row r="331" spans="1:9">
      <c r="A331" s="518"/>
      <c r="B331" s="518"/>
      <c r="D331" s="1302"/>
      <c r="E331" s="1302"/>
      <c r="F331" s="1302"/>
      <c r="I331" s="524"/>
    </row>
    <row r="332" spans="1:9">
      <c r="A332" s="518"/>
      <c r="B332" s="518"/>
      <c r="D332" s="1302"/>
      <c r="E332" s="1302"/>
      <c r="F332" s="1302"/>
      <c r="I332" s="524"/>
    </row>
    <row r="333" spans="1:9">
      <c r="D333" s="480"/>
      <c r="E333" s="480"/>
      <c r="F333" s="480"/>
      <c r="I333" s="524"/>
    </row>
    <row r="334" spans="1:9">
      <c r="A334" s="518"/>
      <c r="B334" s="519" t="s">
        <v>2776</v>
      </c>
      <c r="D334" s="1302" t="s">
        <v>1221</v>
      </c>
      <c r="E334" s="1302"/>
      <c r="F334" s="1302"/>
      <c r="I334" s="524" t="s">
        <v>2093</v>
      </c>
    </row>
    <row r="335" spans="1:9">
      <c r="D335" s="1302"/>
      <c r="E335" s="1302"/>
      <c r="F335" s="1302"/>
      <c r="I335" s="524"/>
    </row>
    <row r="336" spans="1:9">
      <c r="D336" s="1302"/>
      <c r="E336" s="1302"/>
      <c r="F336" s="1302"/>
      <c r="I336" s="524"/>
    </row>
    <row r="337" spans="1:9">
      <c r="D337" s="1302"/>
      <c r="E337" s="1302"/>
      <c r="F337" s="1302"/>
      <c r="I337" s="524"/>
    </row>
    <row r="338" spans="1:9">
      <c r="D338" s="1302"/>
      <c r="E338" s="1302"/>
      <c r="F338" s="1302"/>
      <c r="I338" s="524"/>
    </row>
    <row r="339" spans="1:9">
      <c r="D339" s="1302"/>
      <c r="E339" s="1302"/>
      <c r="F339" s="1302"/>
      <c r="I339" s="524"/>
    </row>
    <row r="340" spans="1:9">
      <c r="D340" s="1302"/>
      <c r="E340" s="1302"/>
      <c r="F340" s="1302"/>
      <c r="I340" s="524"/>
    </row>
    <row r="341" spans="1:9">
      <c r="D341" s="1302"/>
      <c r="E341" s="1302"/>
      <c r="F341" s="1302"/>
      <c r="I341" s="524"/>
    </row>
    <row r="342" spans="1:9">
      <c r="D342" s="1302"/>
      <c r="E342" s="1302"/>
      <c r="F342" s="1302"/>
      <c r="I342" s="524"/>
    </row>
    <row r="343" spans="1:9">
      <c r="D343" s="480"/>
      <c r="E343" s="480"/>
      <c r="F343" s="480"/>
      <c r="I343" s="524"/>
    </row>
    <row r="344" spans="1:9" ht="14.25" customHeight="1">
      <c r="A344" s="518"/>
      <c r="B344" s="519" t="s">
        <v>2776</v>
      </c>
      <c r="D344" s="1302" t="s">
        <v>2204</v>
      </c>
      <c r="E344" s="1302"/>
      <c r="F344" s="1302"/>
      <c r="I344" s="524" t="s">
        <v>2130</v>
      </c>
    </row>
    <row r="345" spans="1:9">
      <c r="D345" s="1302"/>
      <c r="E345" s="1302"/>
      <c r="F345" s="1302"/>
      <c r="I345" s="524"/>
    </row>
    <row r="346" spans="1:9">
      <c r="D346" s="1302"/>
      <c r="E346" s="1302"/>
      <c r="F346" s="1302"/>
      <c r="I346" s="524"/>
    </row>
    <row r="347" spans="1:9">
      <c r="D347" s="1302"/>
      <c r="E347" s="1302"/>
      <c r="F347" s="1302"/>
      <c r="I347" s="524"/>
    </row>
    <row r="348" spans="1:9">
      <c r="D348" s="417" t="s">
        <v>2203</v>
      </c>
      <c r="E348" s="416"/>
      <c r="F348" s="416"/>
      <c r="I348" s="524"/>
    </row>
    <row r="349" spans="1:9">
      <c r="D349" s="416"/>
      <c r="E349" s="96" t="s">
        <v>2200</v>
      </c>
      <c r="G349" s="96"/>
      <c r="I349" s="524"/>
    </row>
    <row r="350" spans="1:9">
      <c r="D350" s="479"/>
      <c r="E350" s="479"/>
      <c r="F350" s="479"/>
      <c r="I350" s="524"/>
    </row>
    <row r="351" spans="1:9" ht="13.75" thickBot="1">
      <c r="A351" s="1057"/>
      <c r="B351" s="1057"/>
      <c r="C351" s="1057"/>
      <c r="D351" s="1352" t="s">
        <v>999</v>
      </c>
      <c r="E351" s="1352"/>
      <c r="F351" s="1352"/>
      <c r="G351" s="1062"/>
      <c r="H351" s="1062"/>
      <c r="I351" s="1262"/>
    </row>
    <row r="352" spans="1:9" ht="13.75" thickTop="1">
      <c r="D352" s="1357" t="s">
        <v>1223</v>
      </c>
      <c r="E352" s="1357"/>
      <c r="F352" s="1357"/>
      <c r="I352" s="524"/>
    </row>
    <row r="353" spans="1:9">
      <c r="D353" s="480"/>
      <c r="E353" s="480"/>
      <c r="F353" s="480"/>
      <c r="I353" s="524"/>
    </row>
    <row r="354" spans="1:9">
      <c r="A354" s="510"/>
      <c r="B354" s="510"/>
      <c r="C354" s="510"/>
      <c r="D354" s="481"/>
      <c r="E354" s="481"/>
      <c r="F354" s="480"/>
      <c r="I354" s="524" t="s">
        <v>2094</v>
      </c>
    </row>
    <row r="355" spans="1:9">
      <c r="A355" s="518"/>
      <c r="B355" s="519" t="s">
        <v>2776</v>
      </c>
      <c r="C355" s="521"/>
      <c r="D355" s="1303" t="s">
        <v>2202</v>
      </c>
      <c r="E355" s="1303"/>
      <c r="F355" s="1303"/>
      <c r="I355" s="1359" t="s">
        <v>2144</v>
      </c>
    </row>
    <row r="356" spans="1:9" ht="12.75" customHeight="1">
      <c r="D356" s="1072"/>
      <c r="E356" s="96" t="s">
        <v>2201</v>
      </c>
      <c r="F356" s="1072"/>
      <c r="I356" s="1360"/>
    </row>
    <row r="357" spans="1:9">
      <c r="D357" s="1302" t="s">
        <v>1347</v>
      </c>
      <c r="E357" s="1302"/>
      <c r="F357" s="1302"/>
      <c r="I357" s="1360"/>
    </row>
    <row r="358" spans="1:9">
      <c r="D358" s="1302"/>
      <c r="E358" s="1302"/>
      <c r="F358" s="1302"/>
      <c r="I358" s="1360"/>
    </row>
    <row r="359" spans="1:9">
      <c r="D359" s="1302"/>
      <c r="E359" s="1302"/>
      <c r="F359" s="1302"/>
      <c r="I359" s="1361"/>
    </row>
    <row r="360" spans="1:9">
      <c r="A360" s="518"/>
      <c r="B360" s="519" t="s">
        <v>2776</v>
      </c>
      <c r="C360" s="510"/>
      <c r="D360" s="1288" t="s">
        <v>2372</v>
      </c>
      <c r="E360" s="1288"/>
      <c r="F360" s="1288"/>
      <c r="I360" s="514"/>
    </row>
    <row r="361" spans="1:9">
      <c r="A361" s="510"/>
      <c r="B361" s="510"/>
      <c r="C361" s="510"/>
      <c r="D361" s="481"/>
      <c r="E361" s="481"/>
      <c r="F361" s="480"/>
      <c r="I361" s="524"/>
    </row>
    <row r="362" spans="1:9">
      <c r="A362" s="510"/>
      <c r="B362" s="519" t="s">
        <v>2776</v>
      </c>
      <c r="C362" s="510"/>
      <c r="D362" s="1284" t="s">
        <v>2373</v>
      </c>
      <c r="E362" s="1284"/>
      <c r="F362" s="1284"/>
      <c r="I362" s="524"/>
    </row>
    <row r="363" spans="1:9">
      <c r="A363" s="510"/>
      <c r="B363" s="510"/>
      <c r="C363" s="510"/>
      <c r="D363" s="1284"/>
      <c r="E363" s="1284"/>
      <c r="F363" s="1284"/>
      <c r="I363" s="524"/>
    </row>
    <row r="364" spans="1:9">
      <c r="A364" s="510"/>
      <c r="B364" s="510"/>
      <c r="C364" s="510"/>
      <c r="D364" s="1284"/>
      <c r="E364" s="1284"/>
      <c r="F364" s="1284"/>
      <c r="I364" s="524"/>
    </row>
    <row r="365" spans="1:9">
      <c r="A365" s="510"/>
      <c r="B365" s="510"/>
      <c r="C365" s="510"/>
      <c r="D365" s="1284"/>
      <c r="E365" s="1284"/>
      <c r="F365" s="1284"/>
      <c r="I365" s="524"/>
    </row>
    <row r="366" spans="1:9">
      <c r="A366" s="510"/>
      <c r="B366" s="510"/>
      <c r="C366" s="510"/>
      <c r="D366" s="1284"/>
      <c r="E366" s="1284"/>
      <c r="F366" s="1284"/>
      <c r="I366" s="524"/>
    </row>
    <row r="367" spans="1:9">
      <c r="A367" s="510"/>
      <c r="B367" s="510"/>
      <c r="C367" s="510"/>
      <c r="D367" s="1284"/>
      <c r="E367" s="1284"/>
      <c r="F367" s="1284"/>
      <c r="I367" s="524"/>
    </row>
    <row r="368" spans="1:9">
      <c r="A368" s="510"/>
      <c r="B368" s="510"/>
      <c r="C368" s="510"/>
      <c r="D368" s="1284"/>
      <c r="E368" s="1284"/>
      <c r="F368" s="1284"/>
      <c r="I368" s="524"/>
    </row>
    <row r="369" spans="1:9">
      <c r="A369" s="510"/>
      <c r="B369" s="510"/>
      <c r="C369" s="510"/>
      <c r="D369" s="1284"/>
      <c r="E369" s="1284"/>
      <c r="F369" s="1284"/>
      <c r="I369" s="524"/>
    </row>
    <row r="370" spans="1:9">
      <c r="A370" s="510"/>
      <c r="B370" s="510"/>
      <c r="C370" s="510"/>
      <c r="D370" s="1284"/>
      <c r="E370" s="1284"/>
      <c r="F370" s="1284"/>
      <c r="I370" s="524"/>
    </row>
    <row r="371" spans="1:9">
      <c r="A371" s="510"/>
      <c r="B371" s="510"/>
      <c r="C371" s="510"/>
      <c r="D371" s="1284"/>
      <c r="E371" s="1284"/>
      <c r="F371" s="1284"/>
      <c r="I371" s="524"/>
    </row>
    <row r="372" spans="1:9">
      <c r="A372" s="510"/>
      <c r="B372" s="510"/>
      <c r="C372" s="510"/>
      <c r="D372" s="1284"/>
      <c r="E372" s="1284"/>
      <c r="F372" s="1284"/>
      <c r="I372" s="524"/>
    </row>
    <row r="373" spans="1:9">
      <c r="A373" s="510"/>
      <c r="B373" s="510"/>
      <c r="C373" s="510"/>
      <c r="D373" s="1284"/>
      <c r="E373" s="1284"/>
      <c r="F373" s="1284"/>
      <c r="I373" s="524"/>
    </row>
    <row r="374" spans="1:9">
      <c r="A374" s="510"/>
      <c r="B374" s="510"/>
      <c r="C374" s="510"/>
      <c r="D374" s="485"/>
      <c r="E374" s="485"/>
      <c r="F374" s="485"/>
      <c r="I374" s="524"/>
    </row>
    <row r="375" spans="1:9" ht="12.4" customHeight="1">
      <c r="A375" s="510"/>
      <c r="B375" s="519" t="s">
        <v>2776</v>
      </c>
      <c r="C375" s="510"/>
      <c r="D375" s="1332" t="s">
        <v>1328</v>
      </c>
      <c r="E375" s="1332"/>
      <c r="F375" s="1332"/>
      <c r="I375" s="524"/>
    </row>
    <row r="376" spans="1:9">
      <c r="A376" s="510"/>
      <c r="B376" s="510"/>
      <c r="C376" s="510"/>
      <c r="D376" s="1332"/>
      <c r="E376" s="1332"/>
      <c r="F376" s="1332"/>
      <c r="I376" s="524"/>
    </row>
    <row r="377" spans="1:9">
      <c r="A377" s="510"/>
      <c r="B377" s="510"/>
      <c r="C377" s="510"/>
      <c r="D377" s="1332"/>
      <c r="E377" s="1332"/>
      <c r="F377" s="1332"/>
      <c r="I377" s="524"/>
    </row>
    <row r="378" spans="1:9">
      <c r="A378" s="510"/>
      <c r="B378" s="510"/>
      <c r="C378" s="510"/>
      <c r="D378" s="1332"/>
      <c r="E378" s="1332"/>
      <c r="F378" s="1332"/>
      <c r="I378" s="524"/>
    </row>
    <row r="379" spans="1:9">
      <c r="A379" s="510"/>
      <c r="B379" s="510"/>
      <c r="C379" s="510"/>
      <c r="D379" s="558"/>
      <c r="E379" s="558"/>
      <c r="F379" s="558"/>
      <c r="I379" s="524"/>
    </row>
    <row r="380" spans="1:9">
      <c r="A380" s="510"/>
      <c r="B380" s="519" t="s">
        <v>2776</v>
      </c>
      <c r="C380" s="510"/>
      <c r="D380" s="433" t="s">
        <v>2026</v>
      </c>
      <c r="E380" s="558"/>
      <c r="F380" s="558"/>
      <c r="I380" s="524"/>
    </row>
    <row r="381" spans="1:9">
      <c r="A381" s="510"/>
      <c r="B381" s="510"/>
      <c r="C381" s="510"/>
      <c r="D381" s="433" t="s">
        <v>2027</v>
      </c>
      <c r="E381" s="558"/>
      <c r="F381" s="558"/>
      <c r="I381" s="524"/>
    </row>
    <row r="382" spans="1:9">
      <c r="A382" s="510"/>
      <c r="B382" s="510"/>
      <c r="C382" s="510"/>
      <c r="D382" s="433" t="s">
        <v>2028</v>
      </c>
      <c r="E382" s="558"/>
      <c r="F382" s="558"/>
      <c r="I382" s="524"/>
    </row>
    <row r="383" spans="1:9">
      <c r="A383" s="510"/>
      <c r="B383" s="510"/>
      <c r="C383" s="510"/>
      <c r="D383" s="433" t="s">
        <v>2029</v>
      </c>
      <c r="E383" s="558"/>
      <c r="F383" s="558"/>
      <c r="I383" s="524"/>
    </row>
    <row r="384" spans="1:9">
      <c r="A384" s="510"/>
      <c r="B384" s="510"/>
      <c r="C384" s="510"/>
      <c r="D384" s="433" t="s">
        <v>2030</v>
      </c>
      <c r="E384" s="558"/>
      <c r="F384" s="558"/>
      <c r="I384" s="524"/>
    </row>
    <row r="385" spans="1:9">
      <c r="A385" s="510"/>
      <c r="B385" s="510"/>
      <c r="C385" s="510"/>
      <c r="D385" s="433" t="s">
        <v>2031</v>
      </c>
      <c r="E385" s="558"/>
      <c r="F385" s="558"/>
      <c r="I385" s="524"/>
    </row>
    <row r="386" spans="1:9">
      <c r="A386" s="510"/>
      <c r="B386" s="510"/>
      <c r="C386" s="510"/>
      <c r="E386" s="481"/>
      <c r="F386" s="480"/>
      <c r="I386" s="524"/>
    </row>
    <row r="387" spans="1:9">
      <c r="A387" s="518"/>
      <c r="B387" s="519" t="s">
        <v>2776</v>
      </c>
      <c r="C387" s="510"/>
      <c r="D387" s="1284" t="s">
        <v>1226</v>
      </c>
      <c r="E387" s="1284"/>
      <c r="F387" s="1284"/>
      <c r="I387" s="524"/>
    </row>
    <row r="388" spans="1:9">
      <c r="A388" s="510"/>
      <c r="B388" s="510"/>
      <c r="C388" s="510"/>
      <c r="D388" s="1284"/>
      <c r="E388" s="1284"/>
      <c r="F388" s="1284"/>
      <c r="I388" s="524"/>
    </row>
    <row r="389" spans="1:9">
      <c r="A389" s="510"/>
      <c r="B389" s="510"/>
      <c r="C389" s="510"/>
      <c r="D389" s="1284"/>
      <c r="E389" s="1284"/>
      <c r="F389" s="1284"/>
      <c r="I389" s="524"/>
    </row>
    <row r="390" spans="1:9">
      <c r="A390" s="510"/>
      <c r="B390" s="510"/>
      <c r="C390" s="510"/>
      <c r="D390" s="1284"/>
      <c r="E390" s="1284"/>
      <c r="F390" s="1284"/>
      <c r="I390" s="524"/>
    </row>
    <row r="391" spans="1:9">
      <c r="A391" s="510"/>
      <c r="B391" s="510"/>
      <c r="C391" s="510"/>
      <c r="D391" s="481"/>
      <c r="E391" s="481"/>
      <c r="F391" s="480"/>
      <c r="I391" s="524"/>
    </row>
    <row r="392" spans="1:9">
      <c r="A392" s="510"/>
      <c r="B392" s="510"/>
      <c r="C392" s="510"/>
      <c r="D392" s="1284" t="s">
        <v>1227</v>
      </c>
      <c r="E392" s="1284"/>
      <c r="F392" s="1284"/>
      <c r="I392" s="524"/>
    </row>
    <row r="393" spans="1:9">
      <c r="A393" s="510"/>
      <c r="B393" s="510"/>
      <c r="C393" s="510"/>
      <c r="D393" s="1284"/>
      <c r="E393" s="1284"/>
      <c r="F393" s="1284"/>
      <c r="I393" s="524"/>
    </row>
    <row r="394" spans="1:9">
      <c r="A394" s="510"/>
      <c r="B394" s="510"/>
      <c r="C394" s="510"/>
      <c r="D394" s="1284"/>
      <c r="E394" s="1284"/>
      <c r="F394" s="1284"/>
      <c r="I394" s="524"/>
    </row>
    <row r="395" spans="1:9">
      <c r="A395" s="510"/>
      <c r="B395" s="510"/>
      <c r="C395" s="510"/>
      <c r="D395" s="1284"/>
      <c r="E395" s="1284"/>
      <c r="F395" s="1284"/>
      <c r="I395" s="524"/>
    </row>
    <row r="396" spans="1:9" ht="18" customHeight="1">
      <c r="A396" s="510"/>
      <c r="B396" s="510"/>
      <c r="C396" s="510"/>
      <c r="D396" s="1284"/>
      <c r="E396" s="1284"/>
      <c r="F396" s="1284"/>
      <c r="I396" s="524"/>
    </row>
    <row r="397" spans="1:9">
      <c r="A397" s="510"/>
      <c r="B397" s="510"/>
      <c r="C397" s="510"/>
      <c r="D397" s="1284"/>
      <c r="E397" s="1284"/>
      <c r="F397" s="1284"/>
      <c r="I397" s="524"/>
    </row>
    <row r="398" spans="1:9">
      <c r="A398" s="510"/>
      <c r="B398" s="510"/>
      <c r="C398" s="510"/>
      <c r="D398" s="1284"/>
      <c r="E398" s="1284"/>
      <c r="F398" s="1284"/>
      <c r="I398" s="524"/>
    </row>
    <row r="399" spans="1:9">
      <c r="A399" s="510"/>
      <c r="B399" s="510"/>
      <c r="C399" s="510"/>
      <c r="D399" s="1284"/>
      <c r="E399" s="1284"/>
      <c r="F399" s="1284"/>
      <c r="I399" s="524"/>
    </row>
    <row r="400" spans="1:9" ht="8.25" customHeight="1">
      <c r="A400" s="510"/>
      <c r="B400" s="510"/>
      <c r="C400" s="510"/>
      <c r="D400" s="1284"/>
      <c r="E400" s="1284"/>
      <c r="F400" s="1284"/>
      <c r="I400" s="524"/>
    </row>
    <row r="401" spans="1:9" ht="13.7" customHeight="1">
      <c r="A401" s="510"/>
      <c r="B401" s="510"/>
      <c r="C401" s="510"/>
      <c r="D401" s="1284" t="s">
        <v>1228</v>
      </c>
      <c r="E401" s="1284"/>
      <c r="F401" s="1284"/>
      <c r="I401" s="524"/>
    </row>
    <row r="402" spans="1:9">
      <c r="A402" s="510"/>
      <c r="B402" s="510"/>
      <c r="C402" s="510"/>
      <c r="D402" s="1284"/>
      <c r="E402" s="1284"/>
      <c r="F402" s="1284"/>
      <c r="I402" s="524"/>
    </row>
    <row r="403" spans="1:9">
      <c r="A403" s="510"/>
      <c r="B403" s="510"/>
      <c r="C403" s="510"/>
      <c r="D403" s="1284"/>
      <c r="E403" s="1284"/>
      <c r="F403" s="1284"/>
      <c r="I403" s="524"/>
    </row>
    <row r="404" spans="1:9">
      <c r="A404" s="510"/>
      <c r="B404" s="510"/>
      <c r="C404" s="510"/>
      <c r="D404" s="1284"/>
      <c r="E404" s="1284"/>
      <c r="F404" s="1284"/>
      <c r="I404" s="524"/>
    </row>
    <row r="405" spans="1:9">
      <c r="A405" s="510"/>
      <c r="B405" s="510"/>
      <c r="C405" s="510"/>
      <c r="D405" s="1284"/>
      <c r="E405" s="1284"/>
      <c r="F405" s="1284"/>
      <c r="I405" s="524"/>
    </row>
    <row r="406" spans="1:9">
      <c r="A406" s="510"/>
      <c r="B406" s="510"/>
      <c r="C406" s="510"/>
      <c r="D406" s="1284"/>
      <c r="E406" s="1284"/>
      <c r="F406" s="1284"/>
      <c r="I406" s="524"/>
    </row>
    <row r="407" spans="1:9">
      <c r="A407" s="510"/>
      <c r="B407" s="510"/>
      <c r="C407" s="510"/>
      <c r="D407" s="1284"/>
      <c r="E407" s="1284"/>
      <c r="F407" s="1284"/>
      <c r="I407" s="524"/>
    </row>
    <row r="408" spans="1:9">
      <c r="A408" s="510"/>
      <c r="B408" s="510"/>
      <c r="C408" s="510"/>
      <c r="D408" s="1284"/>
      <c r="E408" s="1284"/>
      <c r="F408" s="1284"/>
      <c r="I408" s="524"/>
    </row>
    <row r="409" spans="1:9">
      <c r="A409" s="510"/>
      <c r="B409" s="510"/>
      <c r="C409" s="510"/>
      <c r="D409" s="1284"/>
      <c r="E409" s="1284"/>
      <c r="F409" s="1284"/>
      <c r="I409" s="524"/>
    </row>
    <row r="410" spans="1:9">
      <c r="A410" s="510"/>
      <c r="B410" s="510"/>
      <c r="C410" s="510"/>
      <c r="D410" s="1284"/>
      <c r="E410" s="1284"/>
      <c r="F410" s="1284"/>
      <c r="I410" s="524"/>
    </row>
    <row r="411" spans="1:9">
      <c r="A411" s="510"/>
      <c r="B411" s="510"/>
      <c r="C411" s="510"/>
      <c r="D411" s="1284"/>
      <c r="E411" s="1284"/>
      <c r="F411" s="1284"/>
      <c r="I411" s="524"/>
    </row>
    <row r="412" spans="1:9">
      <c r="A412" s="510"/>
      <c r="B412" s="510"/>
      <c r="C412" s="510"/>
      <c r="D412" s="1284"/>
      <c r="E412" s="1284"/>
      <c r="F412" s="1284"/>
      <c r="I412" s="524"/>
    </row>
    <row r="413" spans="1:9">
      <c r="A413" s="510"/>
      <c r="B413" s="510"/>
      <c r="C413" s="530"/>
      <c r="D413" s="1284"/>
      <c r="E413" s="1284"/>
      <c r="F413" s="1284"/>
      <c r="I413" s="524"/>
    </row>
    <row r="414" spans="1:9">
      <c r="A414" s="510"/>
      <c r="B414" s="510"/>
      <c r="C414" s="530"/>
      <c r="D414" s="1284"/>
      <c r="E414" s="1284"/>
      <c r="F414" s="1284"/>
      <c r="I414" s="524"/>
    </row>
    <row r="415" spans="1:9">
      <c r="A415" s="510"/>
      <c r="B415" s="510"/>
      <c r="C415" s="510"/>
      <c r="D415" s="1284"/>
      <c r="E415" s="1284"/>
      <c r="F415" s="1284"/>
      <c r="I415" s="524"/>
    </row>
    <row r="416" spans="1:9">
      <c r="A416" s="510"/>
      <c r="B416" s="510"/>
      <c r="C416" s="530"/>
      <c r="D416" s="1284"/>
      <c r="E416" s="1284"/>
      <c r="F416" s="1284"/>
      <c r="I416" s="524"/>
    </row>
    <row r="417" spans="1:9">
      <c r="A417" s="510"/>
      <c r="B417" s="510"/>
      <c r="C417" s="530"/>
      <c r="D417" s="1284"/>
      <c r="E417" s="1284"/>
      <c r="F417" s="1284"/>
      <c r="I417" s="524"/>
    </row>
    <row r="418" spans="1:9">
      <c r="A418" s="510"/>
      <c r="B418" s="510"/>
      <c r="C418" s="530"/>
      <c r="D418" s="1284"/>
      <c r="E418" s="1284"/>
      <c r="F418" s="1284"/>
      <c r="I418" s="524"/>
    </row>
    <row r="419" spans="1:9">
      <c r="A419" s="510"/>
      <c r="B419" s="510"/>
      <c r="C419" s="510"/>
      <c r="D419" s="481"/>
      <c r="E419" s="481"/>
      <c r="F419" s="480"/>
      <c r="I419" s="524"/>
    </row>
    <row r="420" spans="1:9">
      <c r="A420" s="510"/>
      <c r="B420" s="519" t="s">
        <v>2776</v>
      </c>
      <c r="C420" s="510"/>
      <c r="D420" s="1284" t="s">
        <v>1229</v>
      </c>
      <c r="E420" s="1284"/>
      <c r="F420" s="1284"/>
      <c r="I420" s="524"/>
    </row>
    <row r="421" spans="1:9">
      <c r="A421" s="510"/>
      <c r="B421" s="510"/>
      <c r="C421" s="510"/>
      <c r="D421" s="1284"/>
      <c r="E421" s="1284"/>
      <c r="F421" s="1284"/>
      <c r="I421" s="524"/>
    </row>
    <row r="422" spans="1:9">
      <c r="A422" s="510"/>
      <c r="B422" s="510"/>
      <c r="C422" s="510"/>
      <c r="D422" s="485"/>
      <c r="E422" s="485"/>
      <c r="F422" s="485"/>
      <c r="I422" s="524"/>
    </row>
    <row r="423" spans="1:9" ht="14.45" customHeight="1">
      <c r="A423" s="518"/>
      <c r="B423" s="519" t="s">
        <v>2776</v>
      </c>
      <c r="D423" s="1284" t="s">
        <v>2131</v>
      </c>
      <c r="E423" s="1284"/>
      <c r="F423" s="1284"/>
      <c r="I423" s="524"/>
    </row>
    <row r="424" spans="1:9" ht="14.45" customHeight="1">
      <c r="A424" s="518"/>
      <c r="D424" s="1284"/>
      <c r="E424" s="1284"/>
      <c r="F424" s="1284"/>
      <c r="I424" s="524"/>
    </row>
    <row r="425" spans="1:9" ht="14.45" customHeight="1">
      <c r="A425" s="518"/>
      <c r="D425" s="1284"/>
      <c r="E425" s="1284"/>
      <c r="F425" s="1284"/>
      <c r="I425" s="524"/>
    </row>
    <row r="426" spans="1:9" ht="14.45" customHeight="1">
      <c r="A426" s="518"/>
      <c r="D426" s="1284"/>
      <c r="E426" s="1284"/>
      <c r="F426" s="1284"/>
      <c r="I426" s="524"/>
    </row>
    <row r="427" spans="1:9" ht="14.45" customHeight="1">
      <c r="A427" s="518"/>
      <c r="D427" s="1284"/>
      <c r="E427" s="1284"/>
      <c r="F427" s="1284"/>
      <c r="I427" s="524"/>
    </row>
    <row r="428" spans="1:9" ht="14.45" customHeight="1">
      <c r="A428" s="518"/>
      <c r="D428" s="416"/>
      <c r="E428" s="416"/>
      <c r="F428" s="416"/>
      <c r="I428" s="524"/>
    </row>
    <row r="429" spans="1:9" ht="13.7" customHeight="1">
      <c r="A429" s="518"/>
      <c r="B429" s="519" t="s">
        <v>2776</v>
      </c>
      <c r="C429" s="510"/>
      <c r="D429" s="1284" t="s">
        <v>1348</v>
      </c>
      <c r="E429" s="1284"/>
      <c r="F429" s="1284"/>
      <c r="I429" s="524"/>
    </row>
    <row r="430" spans="1:9">
      <c r="A430" s="531"/>
      <c r="B430" s="531"/>
      <c r="C430" s="510"/>
      <c r="D430" s="1284"/>
      <c r="E430" s="1284"/>
      <c r="F430" s="1284"/>
      <c r="I430" s="524"/>
    </row>
    <row r="431" spans="1:9">
      <c r="A431" s="531"/>
      <c r="B431" s="531"/>
      <c r="C431" s="510"/>
      <c r="D431" s="1284"/>
      <c r="E431" s="1284"/>
      <c r="F431" s="1284"/>
      <c r="I431" s="524"/>
    </row>
    <row r="432" spans="1:9">
      <c r="A432" s="531"/>
      <c r="B432" s="531"/>
      <c r="C432" s="510"/>
      <c r="D432" s="1284"/>
      <c r="E432" s="1284"/>
      <c r="F432" s="1284"/>
      <c r="I432" s="524"/>
    </row>
    <row r="433" spans="1:9" ht="15.75" customHeight="1">
      <c r="A433" s="531"/>
      <c r="B433" s="531"/>
      <c r="C433" s="510"/>
      <c r="D433" s="1355" t="s">
        <v>2391</v>
      </c>
      <c r="E433" s="1284"/>
      <c r="F433" s="1284"/>
      <c r="I433" s="524"/>
    </row>
    <row r="434" spans="1:9">
      <c r="D434" s="480"/>
      <c r="E434" s="480"/>
      <c r="F434" s="480"/>
      <c r="I434" s="524"/>
    </row>
    <row r="435" spans="1:9">
      <c r="A435" s="518"/>
      <c r="B435" s="519" t="s">
        <v>2776</v>
      </c>
      <c r="C435" s="521"/>
      <c r="D435" s="1302" t="s">
        <v>2374</v>
      </c>
      <c r="E435" s="1302"/>
      <c r="F435" s="1302"/>
      <c r="I435" s="524"/>
    </row>
    <row r="436" spans="1:9">
      <c r="A436" s="518"/>
      <c r="B436" s="518"/>
      <c r="D436" s="1302"/>
      <c r="E436" s="1302"/>
      <c r="F436" s="1302"/>
      <c r="I436" s="524"/>
    </row>
    <row r="437" spans="1:9">
      <c r="D437" s="1302"/>
      <c r="E437" s="1302"/>
      <c r="F437" s="1302"/>
      <c r="I437" s="524"/>
    </row>
    <row r="438" spans="1:9">
      <c r="D438" s="1302"/>
      <c r="E438" s="1302"/>
      <c r="F438" s="1302"/>
      <c r="I438" s="524"/>
    </row>
    <row r="439" spans="1:9">
      <c r="D439" s="1302"/>
      <c r="E439" s="1302"/>
      <c r="F439" s="1302"/>
      <c r="I439" s="524"/>
    </row>
    <row r="440" spans="1:9">
      <c r="D440" s="1302"/>
      <c r="E440" s="1302"/>
      <c r="F440" s="1302"/>
      <c r="I440" s="524"/>
    </row>
    <row r="441" spans="1:9">
      <c r="D441" s="1302"/>
      <c r="E441" s="1302"/>
      <c r="F441" s="1302"/>
      <c r="I441" s="524"/>
    </row>
    <row r="442" spans="1:9">
      <c r="D442" s="1302"/>
      <c r="E442" s="1302"/>
      <c r="F442" s="1302"/>
      <c r="I442" s="524"/>
    </row>
    <row r="443" spans="1:9">
      <c r="D443" s="1302"/>
      <c r="E443" s="1302"/>
      <c r="F443" s="1302"/>
      <c r="I443" s="524"/>
    </row>
    <row r="444" spans="1:9">
      <c r="D444" s="1302"/>
      <c r="E444" s="1302"/>
      <c r="F444" s="1302"/>
      <c r="I444" s="524"/>
    </row>
    <row r="445" spans="1:9">
      <c r="D445" s="1302"/>
      <c r="E445" s="1302"/>
      <c r="F445" s="1302"/>
      <c r="I445" s="524"/>
    </row>
    <row r="446" spans="1:9">
      <c r="D446" s="1302"/>
      <c r="E446" s="1302"/>
      <c r="F446" s="1302"/>
      <c r="I446" s="524"/>
    </row>
    <row r="447" spans="1:9">
      <c r="D447" s="1302"/>
      <c r="E447" s="1302"/>
      <c r="F447" s="1302"/>
      <c r="I447" s="524"/>
    </row>
    <row r="448" spans="1:9">
      <c r="A448" s="433"/>
      <c r="B448" s="433"/>
      <c r="C448" s="433"/>
      <c r="D448" s="1302"/>
      <c r="E448" s="1302"/>
      <c r="F448" s="1302"/>
      <c r="I448" s="524"/>
    </row>
    <row r="449" spans="1:9">
      <c r="A449" s="433"/>
      <c r="B449" s="433"/>
      <c r="C449" s="433"/>
      <c r="D449" s="1302"/>
      <c r="E449" s="1302"/>
      <c r="F449" s="1302"/>
      <c r="I449" s="524"/>
    </row>
    <row r="450" spans="1:9">
      <c r="A450" s="433"/>
      <c r="B450" s="433"/>
      <c r="C450" s="433"/>
      <c r="D450" s="1302"/>
      <c r="E450" s="1302"/>
      <c r="F450" s="1302"/>
      <c r="I450" s="524"/>
    </row>
    <row r="451" spans="1:9">
      <c r="A451" s="433"/>
      <c r="B451" s="433"/>
      <c r="C451" s="433"/>
      <c r="D451" s="1302"/>
      <c r="E451" s="1302"/>
      <c r="F451" s="1302"/>
      <c r="I451" s="524"/>
    </row>
    <row r="452" spans="1:9">
      <c r="A452" s="433"/>
      <c r="B452" s="433"/>
      <c r="C452" s="433"/>
      <c r="D452" s="1302"/>
      <c r="E452" s="1302"/>
      <c r="F452" s="1302"/>
      <c r="I452" s="524"/>
    </row>
    <row r="453" spans="1:9">
      <c r="A453" s="433"/>
      <c r="B453" s="433"/>
      <c r="C453" s="433"/>
      <c r="D453" s="1302"/>
      <c r="E453" s="1302"/>
      <c r="F453" s="1302"/>
      <c r="I453" s="524"/>
    </row>
    <row r="454" spans="1:9">
      <c r="A454" s="433"/>
      <c r="B454" s="433"/>
      <c r="C454" s="433"/>
      <c r="D454" s="1302"/>
      <c r="E454" s="1302"/>
      <c r="F454" s="1302"/>
      <c r="I454" s="524"/>
    </row>
    <row r="455" spans="1:9">
      <c r="A455" s="433"/>
      <c r="B455" s="433"/>
      <c r="C455" s="433"/>
      <c r="D455" s="1302"/>
      <c r="E455" s="1302"/>
      <c r="F455" s="1302"/>
      <c r="I455" s="524"/>
    </row>
    <row r="456" spans="1:9">
      <c r="A456" s="433"/>
      <c r="B456" s="433"/>
      <c r="C456" s="433"/>
      <c r="D456" s="1302"/>
      <c r="E456" s="1302"/>
      <c r="F456" s="1302"/>
      <c r="I456" s="524"/>
    </row>
    <row r="457" spans="1:9">
      <c r="A457" s="433"/>
      <c r="B457" s="433"/>
      <c r="C457" s="433"/>
      <c r="D457" s="1302"/>
      <c r="E457" s="1302"/>
      <c r="F457" s="1302"/>
      <c r="I457" s="524"/>
    </row>
    <row r="458" spans="1:9">
      <c r="A458" s="433"/>
      <c r="B458" s="433"/>
      <c r="C458" s="433"/>
      <c r="D458" s="1302"/>
      <c r="E458" s="1302"/>
      <c r="F458" s="1302"/>
      <c r="I458" s="524"/>
    </row>
    <row r="459" spans="1:9">
      <c r="A459" s="433"/>
      <c r="B459" s="433"/>
      <c r="C459" s="433"/>
      <c r="D459" s="1302"/>
      <c r="E459" s="1302"/>
      <c r="F459" s="1302"/>
      <c r="I459" s="524"/>
    </row>
    <row r="460" spans="1:9">
      <c r="A460" s="433"/>
      <c r="B460" s="433"/>
      <c r="C460" s="433"/>
      <c r="D460" s="1302"/>
      <c r="E460" s="1302"/>
      <c r="F460" s="1302"/>
      <c r="I460" s="524"/>
    </row>
    <row r="461" spans="1:9">
      <c r="A461" s="433"/>
      <c r="B461" s="433"/>
      <c r="C461" s="433"/>
      <c r="D461" s="1302"/>
      <c r="E461" s="1302"/>
      <c r="F461" s="1302"/>
      <c r="I461" s="524"/>
    </row>
    <row r="462" spans="1:9">
      <c r="A462" s="433"/>
      <c r="B462" s="433"/>
      <c r="C462" s="433"/>
      <c r="D462" s="1302"/>
      <c r="E462" s="1302"/>
      <c r="F462" s="1302"/>
      <c r="I462" s="524"/>
    </row>
    <row r="463" spans="1:9">
      <c r="A463" s="433"/>
      <c r="B463" s="433"/>
      <c r="C463" s="433"/>
      <c r="D463" s="1302"/>
      <c r="E463" s="1302"/>
      <c r="F463" s="1302"/>
      <c r="I463" s="524"/>
    </row>
    <row r="464" spans="1:9">
      <c r="D464" s="1302"/>
      <c r="E464" s="1302"/>
      <c r="F464" s="1302"/>
      <c r="I464" s="524"/>
    </row>
    <row r="465" spans="1:9" ht="40.700000000000003" customHeight="1">
      <c r="D465" s="1302"/>
      <c r="E465" s="1302"/>
      <c r="F465" s="1302"/>
      <c r="I465" s="524"/>
    </row>
    <row r="466" spans="1:9">
      <c r="D466" s="480"/>
      <c r="E466" s="480"/>
      <c r="F466" s="480"/>
      <c r="I466" s="524"/>
    </row>
    <row r="467" spans="1:9">
      <c r="A467" s="518"/>
      <c r="B467" s="519" t="s">
        <v>2776</v>
      </c>
      <c r="C467" s="521"/>
      <c r="D467" s="1302" t="s">
        <v>1234</v>
      </c>
      <c r="E467" s="1302"/>
      <c r="F467" s="1302"/>
      <c r="I467" s="524"/>
    </row>
    <row r="468" spans="1:9">
      <c r="D468" s="1302"/>
      <c r="E468" s="1302"/>
      <c r="F468" s="1302"/>
      <c r="I468" s="524"/>
    </row>
    <row r="469" spans="1:9">
      <c r="D469" s="1302"/>
      <c r="E469" s="1302"/>
      <c r="F469" s="1302"/>
      <c r="I469" s="524"/>
    </row>
    <row r="470" spans="1:9">
      <c r="D470" s="479"/>
      <c r="E470" s="479"/>
      <c r="F470" s="479"/>
      <c r="I470" s="524"/>
    </row>
    <row r="471" spans="1:9">
      <c r="B471" s="519" t="s">
        <v>2776</v>
      </c>
      <c r="C471" s="518"/>
      <c r="D471" s="1302" t="s">
        <v>1304</v>
      </c>
      <c r="E471" s="1302"/>
      <c r="F471" s="1302"/>
      <c r="I471" s="524"/>
    </row>
    <row r="472" spans="1:9">
      <c r="D472" s="1302"/>
      <c r="E472" s="1302"/>
      <c r="F472" s="1302"/>
      <c r="I472" s="524"/>
    </row>
    <row r="473" spans="1:9">
      <c r="D473" s="480"/>
      <c r="E473" s="480"/>
      <c r="F473" s="480"/>
      <c r="I473" s="524"/>
    </row>
    <row r="474" spans="1:9">
      <c r="B474" s="519" t="s">
        <v>2776</v>
      </c>
      <c r="C474" s="518"/>
      <c r="D474" s="1302" t="s">
        <v>1236</v>
      </c>
      <c r="E474" s="1302"/>
      <c r="F474" s="1302"/>
      <c r="I474" s="524"/>
    </row>
    <row r="475" spans="1:9">
      <c r="D475" s="1302"/>
      <c r="E475" s="1302"/>
      <c r="F475" s="1302"/>
      <c r="I475" s="524"/>
    </row>
    <row r="476" spans="1:9">
      <c r="D476" s="1302"/>
      <c r="E476" s="1302"/>
      <c r="F476" s="1302"/>
      <c r="I476" s="524"/>
    </row>
    <row r="477" spans="1:9">
      <c r="D477" s="1302"/>
      <c r="E477" s="1302"/>
      <c r="F477" s="1302"/>
      <c r="I477" s="524"/>
    </row>
    <row r="478" spans="1:9">
      <c r="B478" s="519" t="s">
        <v>2776</v>
      </c>
      <c r="D478" s="1302"/>
      <c r="E478" s="1302"/>
      <c r="F478" s="1302"/>
      <c r="I478" s="524"/>
    </row>
    <row r="479" spans="1:9">
      <c r="A479" s="433"/>
      <c r="B479" s="433"/>
      <c r="C479" s="433"/>
      <c r="D479" s="1302"/>
      <c r="E479" s="1302"/>
      <c r="F479" s="1302"/>
      <c r="I479" s="524"/>
    </row>
    <row r="480" spans="1:9">
      <c r="A480" s="433"/>
      <c r="C480" s="433"/>
      <c r="D480" s="1302"/>
      <c r="E480" s="1302"/>
      <c r="F480" s="1302"/>
      <c r="I480" s="524"/>
    </row>
    <row r="481" spans="1:9">
      <c r="A481" s="433"/>
      <c r="B481" s="519" t="s">
        <v>2776</v>
      </c>
      <c r="C481" s="433"/>
      <c r="D481" s="1302"/>
      <c r="E481" s="1302"/>
      <c r="F481" s="1302"/>
      <c r="I481" s="524"/>
    </row>
    <row r="482" spans="1:9">
      <c r="A482" s="433"/>
      <c r="B482" s="433"/>
      <c r="C482" s="433"/>
      <c r="D482" s="1302"/>
      <c r="E482" s="1302"/>
      <c r="F482" s="1302"/>
      <c r="I482" s="524"/>
    </row>
    <row r="483" spans="1:9">
      <c r="A483" s="433"/>
      <c r="C483" s="433"/>
      <c r="D483" s="1302"/>
      <c r="E483" s="1302"/>
      <c r="F483" s="1302"/>
      <c r="I483" s="524"/>
    </row>
    <row r="484" spans="1:9">
      <c r="A484" s="433"/>
      <c r="C484" s="433"/>
      <c r="D484" s="1302"/>
      <c r="E484" s="1302"/>
      <c r="F484" s="1302"/>
      <c r="I484" s="524"/>
    </row>
    <row r="485" spans="1:9">
      <c r="A485" s="433"/>
      <c r="C485" s="433"/>
      <c r="D485" s="1302"/>
      <c r="E485" s="1302"/>
      <c r="F485" s="1302"/>
      <c r="I485" s="524"/>
    </row>
    <row r="486" spans="1:9">
      <c r="A486" s="433"/>
      <c r="B486" s="519" t="s">
        <v>2776</v>
      </c>
      <c r="C486" s="433"/>
      <c r="D486" s="1302"/>
      <c r="E486" s="1302"/>
      <c r="F486" s="1302"/>
      <c r="I486" s="524"/>
    </row>
    <row r="487" spans="1:9">
      <c r="A487" s="433"/>
      <c r="C487" s="433"/>
      <c r="D487" s="1302"/>
      <c r="E487" s="1302"/>
      <c r="F487" s="1302"/>
      <c r="I487" s="524"/>
    </row>
    <row r="488" spans="1:9">
      <c r="A488" s="433"/>
      <c r="B488" s="519" t="s">
        <v>2776</v>
      </c>
      <c r="C488" s="433"/>
      <c r="D488" s="1302" t="s">
        <v>1237</v>
      </c>
      <c r="E488" s="1302"/>
      <c r="F488" s="1302"/>
      <c r="I488" s="524"/>
    </row>
    <row r="489" spans="1:9">
      <c r="A489" s="433"/>
      <c r="B489" s="433"/>
      <c r="C489" s="433"/>
      <c r="D489" s="1302"/>
      <c r="E489" s="1302"/>
      <c r="F489" s="1302"/>
      <c r="I489" s="524"/>
    </row>
    <row r="490" spans="1:9">
      <c r="A490" s="433"/>
      <c r="B490" s="433"/>
      <c r="C490" s="433"/>
      <c r="D490" s="1302"/>
      <c r="E490" s="1302"/>
      <c r="F490" s="1302"/>
      <c r="I490" s="524"/>
    </row>
    <row r="491" spans="1:9">
      <c r="A491" s="433"/>
      <c r="B491" s="433"/>
      <c r="C491" s="433"/>
      <c r="D491" s="1302"/>
      <c r="E491" s="1302"/>
      <c r="F491" s="1302"/>
      <c r="I491" s="524"/>
    </row>
    <row r="492" spans="1:9">
      <c r="D492" s="1302"/>
      <c r="E492" s="1302"/>
      <c r="F492" s="1302"/>
      <c r="I492" s="524"/>
    </row>
    <row r="493" spans="1:9">
      <c r="D493" s="480"/>
      <c r="E493" s="480"/>
      <c r="F493" s="480"/>
      <c r="I493" s="524"/>
    </row>
    <row r="494" spans="1:9">
      <c r="B494" s="519" t="s">
        <v>2776</v>
      </c>
      <c r="D494" s="1303" t="s">
        <v>1238</v>
      </c>
      <c r="E494" s="1303"/>
      <c r="F494" s="1303"/>
      <c r="I494" s="524"/>
    </row>
    <row r="495" spans="1:9">
      <c r="A495" s="480"/>
      <c r="B495" s="480"/>
      <c r="I495" s="524"/>
    </row>
    <row r="496" spans="1:9">
      <c r="A496" s="1290" t="s">
        <v>1079</v>
      </c>
      <c r="B496" s="1290"/>
      <c r="C496" s="1290"/>
      <c r="D496" s="1290"/>
      <c r="E496" s="1290"/>
      <c r="F496" s="1290"/>
      <c r="G496" s="1290"/>
      <c r="H496" s="1063"/>
      <c r="I496" s="1259"/>
    </row>
    <row r="497" spans="1:9">
      <c r="A497" s="480"/>
      <c r="B497" s="480"/>
      <c r="I497" s="524"/>
    </row>
    <row r="498" spans="1:9">
      <c r="D498" s="1287" t="s">
        <v>896</v>
      </c>
      <c r="E498" s="1287"/>
      <c r="F498" s="1287"/>
      <c r="I498" s="524"/>
    </row>
    <row r="499" spans="1:9">
      <c r="A499" s="518"/>
      <c r="B499" s="518"/>
      <c r="D499" s="1288" t="s">
        <v>1239</v>
      </c>
      <c r="E499" s="1288"/>
      <c r="F499" s="1288"/>
      <c r="I499" s="524"/>
    </row>
    <row r="500" spans="1:9">
      <c r="A500" s="518"/>
      <c r="B500" s="518"/>
      <c r="D500" s="481"/>
      <c r="I500" s="524"/>
    </row>
    <row r="501" spans="1:9">
      <c r="A501" s="518"/>
      <c r="B501" s="519" t="s">
        <v>2776</v>
      </c>
      <c r="D501" s="1284" t="s">
        <v>1240</v>
      </c>
      <c r="E501" s="1284"/>
      <c r="F501" s="1284"/>
      <c r="I501" s="524" t="s">
        <v>2095</v>
      </c>
    </row>
    <row r="502" spans="1:9">
      <c r="A502" s="518"/>
      <c r="B502" s="518"/>
      <c r="D502" s="1284"/>
      <c r="E502" s="1284"/>
      <c r="F502" s="1284"/>
      <c r="I502" s="524"/>
    </row>
    <row r="503" spans="1:9">
      <c r="A503" s="518"/>
      <c r="B503" s="518"/>
      <c r="D503" s="480"/>
      <c r="I503" s="524"/>
    </row>
    <row r="504" spans="1:9" ht="12.75" customHeight="1">
      <c r="B504" s="519" t="s">
        <v>2776</v>
      </c>
      <c r="D504" s="1289" t="s">
        <v>1384</v>
      </c>
      <c r="E504" s="1289"/>
      <c r="F504" s="1289"/>
      <c r="I504" s="524" t="s">
        <v>2096</v>
      </c>
    </row>
    <row r="505" spans="1:9">
      <c r="A505" s="518"/>
      <c r="D505" s="1289"/>
      <c r="E505" s="1289"/>
      <c r="F505" s="1289"/>
      <c r="I505" s="524"/>
    </row>
    <row r="506" spans="1:9">
      <c r="A506" s="518"/>
      <c r="B506" s="518"/>
      <c r="D506" s="1289"/>
      <c r="E506" s="1289"/>
      <c r="F506" s="1289"/>
      <c r="I506" s="524"/>
    </row>
    <row r="507" spans="1:9">
      <c r="A507" s="518"/>
      <c r="B507" s="518"/>
      <c r="D507" s="1289"/>
      <c r="E507" s="1289"/>
      <c r="F507" s="1289"/>
      <c r="I507" s="524"/>
    </row>
    <row r="508" spans="1:9">
      <c r="A508" s="518"/>
      <c r="D508" s="554"/>
      <c r="E508" s="554"/>
      <c r="F508" s="554"/>
      <c r="I508" s="524"/>
    </row>
    <row r="509" spans="1:9">
      <c r="A509" s="518"/>
      <c r="B509" s="519" t="s">
        <v>2776</v>
      </c>
      <c r="D509" s="1303" t="s">
        <v>1243</v>
      </c>
      <c r="E509" s="1303"/>
      <c r="F509" s="1303"/>
      <c r="I509" s="524" t="s">
        <v>2097</v>
      </c>
    </row>
    <row r="510" spans="1:9">
      <c r="A510" s="518"/>
      <c r="B510" s="518"/>
      <c r="D510" s="480"/>
      <c r="I510" s="524"/>
    </row>
    <row r="511" spans="1:9">
      <c r="A511" s="518"/>
      <c r="B511" s="519" t="s">
        <v>2776</v>
      </c>
      <c r="D511" s="1302" t="s">
        <v>1244</v>
      </c>
      <c r="E511" s="1302"/>
      <c r="F511" s="1302"/>
      <c r="I511" s="524" t="s">
        <v>2097</v>
      </c>
    </row>
    <row r="512" spans="1:9">
      <c r="A512" s="518"/>
      <c r="D512" s="1302"/>
      <c r="E512" s="1302"/>
      <c r="F512" s="1302"/>
      <c r="I512" s="524"/>
    </row>
    <row r="513" spans="1:9">
      <c r="A513" s="524"/>
      <c r="B513" s="524"/>
      <c r="D513" s="481"/>
      <c r="I513" s="524"/>
    </row>
    <row r="514" spans="1:9">
      <c r="A514" s="524"/>
      <c r="B514" s="519" t="s">
        <v>2776</v>
      </c>
      <c r="D514" s="1303" t="s">
        <v>1245</v>
      </c>
      <c r="E514" s="1303"/>
      <c r="F514" s="1303"/>
      <c r="I514" s="524" t="s">
        <v>2150</v>
      </c>
    </row>
    <row r="515" spans="1:9">
      <c r="A515" s="518"/>
      <c r="B515" s="518"/>
      <c r="D515" s="480"/>
      <c r="I515" s="524"/>
    </row>
    <row r="516" spans="1:9">
      <c r="A516" s="1290" t="s">
        <v>1080</v>
      </c>
      <c r="B516" s="1290"/>
      <c r="C516" s="1290"/>
      <c r="D516" s="1290"/>
      <c r="E516" s="1290"/>
      <c r="F516" s="1290"/>
      <c r="G516" s="1290"/>
      <c r="H516" s="1063"/>
      <c r="I516" s="1259"/>
    </row>
    <row r="517" spans="1:9" ht="12" customHeight="1">
      <c r="A517" s="518"/>
      <c r="B517" s="518"/>
      <c r="D517" s="480"/>
      <c r="I517" s="524"/>
    </row>
    <row r="518" spans="1:9">
      <c r="C518" s="516"/>
      <c r="D518" s="1301" t="s">
        <v>803</v>
      </c>
      <c r="E518" s="1301"/>
      <c r="F518" s="1301"/>
      <c r="I518" s="524"/>
    </row>
    <row r="519" spans="1:9">
      <c r="C519" s="516"/>
      <c r="D519" s="540" t="s">
        <v>1306</v>
      </c>
      <c r="E519" s="540"/>
      <c r="F519" s="540"/>
      <c r="I519" s="524"/>
    </row>
    <row r="520" spans="1:9">
      <c r="C520" s="516"/>
      <c r="D520" s="540" t="s">
        <v>1307</v>
      </c>
      <c r="E520" s="540"/>
      <c r="F520" s="540"/>
      <c r="I520" s="524"/>
    </row>
    <row r="521" spans="1:9">
      <c r="C521" s="516"/>
      <c r="D521" s="515"/>
      <c r="E521" s="515"/>
      <c r="F521" s="515"/>
      <c r="I521" s="524"/>
    </row>
    <row r="522" spans="1:9" ht="13.7" customHeight="1">
      <c r="A522" s="517"/>
      <c r="B522" s="519" t="s">
        <v>2775</v>
      </c>
      <c r="C522" s="517"/>
      <c r="D522" s="1284" t="s">
        <v>2375</v>
      </c>
      <c r="E522" s="1284"/>
      <c r="F522" s="1284"/>
      <c r="I522" s="524" t="s">
        <v>2132</v>
      </c>
    </row>
    <row r="523" spans="1:9">
      <c r="A523" s="517"/>
      <c r="B523" s="517"/>
      <c r="C523" s="517"/>
      <c r="D523" s="1284"/>
      <c r="E523" s="1284"/>
      <c r="F523" s="1284"/>
      <c r="I523" s="524"/>
    </row>
    <row r="524" spans="1:9">
      <c r="A524" s="517"/>
      <c r="B524" s="517"/>
      <c r="C524" s="517"/>
      <c r="D524" s="485"/>
      <c r="E524" s="485"/>
      <c r="F524" s="485"/>
      <c r="I524" s="514"/>
    </row>
    <row r="525" spans="1:9" ht="12.75" customHeight="1">
      <c r="A525" s="517"/>
      <c r="B525" s="519" t="s">
        <v>2775</v>
      </c>
      <c r="D525" s="417" t="s">
        <v>2205</v>
      </c>
      <c r="E525" s="416"/>
      <c r="F525" s="416"/>
      <c r="I525" s="524" t="s">
        <v>2098</v>
      </c>
    </row>
    <row r="526" spans="1:9">
      <c r="A526" s="517"/>
      <c r="B526" s="517"/>
      <c r="C526" s="517"/>
      <c r="D526" s="416"/>
      <c r="E526" s="96" t="s">
        <v>2206</v>
      </c>
      <c r="I526" s="524"/>
    </row>
    <row r="527" spans="1:9">
      <c r="A527" s="517"/>
      <c r="B527" s="517"/>
      <c r="D527" s="1332" t="s">
        <v>2376</v>
      </c>
      <c r="E527" s="1332"/>
      <c r="F527" s="1332"/>
      <c r="I527" s="524"/>
    </row>
    <row r="528" spans="1:9">
      <c r="A528" s="517"/>
      <c r="B528" s="517"/>
      <c r="D528" s="1332"/>
      <c r="E528" s="1332"/>
      <c r="F528" s="1332"/>
      <c r="I528" s="524"/>
    </row>
    <row r="529" spans="1:9">
      <c r="A529" s="517"/>
      <c r="B529" s="517"/>
      <c r="C529" s="517"/>
      <c r="D529" s="1332"/>
      <c r="E529" s="1332"/>
      <c r="F529" s="1332"/>
      <c r="I529" s="524"/>
    </row>
    <row r="530" spans="1:9">
      <c r="A530" s="517"/>
      <c r="B530" s="517"/>
      <c r="C530" s="517"/>
      <c r="D530" s="532"/>
      <c r="F530" s="480"/>
      <c r="I530" s="524"/>
    </row>
    <row r="531" spans="1:9" ht="13.15" customHeight="1">
      <c r="A531" s="517"/>
      <c r="B531" s="519" t="s">
        <v>2776</v>
      </c>
      <c r="C531" s="517"/>
      <c r="D531" s="1302" t="s">
        <v>2377</v>
      </c>
      <c r="E531" s="1302"/>
      <c r="F531" s="1302"/>
      <c r="I531" s="524" t="s">
        <v>2098</v>
      </c>
    </row>
    <row r="532" spans="1:9">
      <c r="A532" s="517"/>
      <c r="B532" s="517"/>
      <c r="C532" s="517"/>
      <c r="D532" s="1302"/>
      <c r="E532" s="1302"/>
      <c r="F532" s="1302"/>
      <c r="I532" s="524"/>
    </row>
    <row r="533" spans="1:9" ht="12" customHeight="1">
      <c r="A533" s="480"/>
      <c r="B533" s="480"/>
      <c r="C533" s="521"/>
      <c r="D533" s="480"/>
      <c r="F533" s="482"/>
      <c r="I533" s="524"/>
    </row>
    <row r="534" spans="1:9">
      <c r="A534" s="1290" t="s">
        <v>1081</v>
      </c>
      <c r="B534" s="1290"/>
      <c r="C534" s="1290"/>
      <c r="D534" s="1290"/>
      <c r="E534" s="1290"/>
      <c r="F534" s="1290"/>
      <c r="G534" s="1290"/>
      <c r="H534" s="1063"/>
      <c r="I534" s="1259"/>
    </row>
    <row r="535" spans="1:9">
      <c r="A535" s="480"/>
      <c r="B535" s="480"/>
      <c r="C535" s="521"/>
      <c r="F535" s="482"/>
      <c r="I535" s="524"/>
    </row>
    <row r="536" spans="1:9">
      <c r="B536" s="1305" t="s">
        <v>449</v>
      </c>
      <c r="C536" s="1305"/>
      <c r="D536" s="1305"/>
      <c r="E536" s="1305"/>
      <c r="F536" s="1305"/>
      <c r="I536" s="524"/>
    </row>
    <row r="537" spans="1:9">
      <c r="A537" s="480"/>
      <c r="B537" s="480"/>
      <c r="C537" s="521"/>
      <c r="D537" s="480"/>
      <c r="F537" s="480"/>
      <c r="I537" s="524"/>
    </row>
    <row r="538" spans="1:9">
      <c r="A538" s="1321" t="s">
        <v>1082</v>
      </c>
      <c r="B538" s="1321"/>
      <c r="C538" s="1321"/>
      <c r="D538" s="1321"/>
      <c r="E538" s="1321"/>
      <c r="F538" s="1321"/>
      <c r="G538" s="1321"/>
      <c r="H538" s="1063"/>
      <c r="I538" s="1259"/>
    </row>
    <row r="539" spans="1:9">
      <c r="A539" s="480"/>
      <c r="B539" s="480"/>
      <c r="C539" s="521"/>
      <c r="D539" s="480"/>
      <c r="F539" s="480"/>
      <c r="I539" s="524"/>
    </row>
    <row r="540" spans="1:9">
      <c r="C540" s="521"/>
      <c r="D540" s="1301" t="s">
        <v>692</v>
      </c>
      <c r="E540" s="1301"/>
      <c r="F540" s="1301"/>
      <c r="I540" s="524"/>
    </row>
    <row r="541" spans="1:9">
      <c r="C541" s="521"/>
      <c r="D541" s="1303" t="s">
        <v>1139</v>
      </c>
      <c r="E541" s="1303"/>
      <c r="F541" s="1303"/>
      <c r="I541" s="524"/>
    </row>
    <row r="542" spans="1:9">
      <c r="C542" s="521"/>
      <c r="D542" s="480"/>
      <c r="E542" s="480"/>
      <c r="F542" s="480"/>
      <c r="I542" s="524"/>
    </row>
    <row r="543" spans="1:9" ht="13.7" customHeight="1">
      <c r="A543" s="518"/>
      <c r="B543" s="519" t="s">
        <v>2775</v>
      </c>
      <c r="C543" s="521"/>
      <c r="D543" s="1303" t="s">
        <v>897</v>
      </c>
      <c r="E543" s="1303"/>
      <c r="F543" s="1303"/>
      <c r="I543" s="524" t="s">
        <v>2148</v>
      </c>
    </row>
    <row r="544" spans="1:9" ht="13.7" customHeight="1">
      <c r="A544" s="521"/>
      <c r="B544" s="521"/>
      <c r="C544" s="521"/>
      <c r="D544" s="480"/>
      <c r="I544" s="524"/>
    </row>
    <row r="545" spans="1:9">
      <c r="A545" s="518"/>
      <c r="B545" s="519" t="s">
        <v>2775</v>
      </c>
      <c r="C545" s="521"/>
      <c r="D545" s="1302" t="s">
        <v>1140</v>
      </c>
      <c r="E545" s="1302"/>
      <c r="F545" s="1302"/>
      <c r="I545" s="524" t="s">
        <v>2148</v>
      </c>
    </row>
    <row r="546" spans="1:9">
      <c r="A546" s="521"/>
      <c r="B546" s="521"/>
      <c r="C546" s="521"/>
      <c r="D546" s="1302"/>
      <c r="E546" s="1302"/>
      <c r="F546" s="1302"/>
      <c r="I546" s="524"/>
    </row>
    <row r="547" spans="1:9">
      <c r="A547" s="521"/>
      <c r="B547" s="521"/>
      <c r="C547" s="521"/>
      <c r="D547" s="480"/>
      <c r="E547" s="480"/>
      <c r="F547" s="480"/>
      <c r="I547" s="524"/>
    </row>
    <row r="548" spans="1:9">
      <c r="A548" s="518"/>
      <c r="B548" s="519" t="s">
        <v>2775</v>
      </c>
      <c r="C548" s="521"/>
      <c r="D548" s="1302" t="s">
        <v>1141</v>
      </c>
      <c r="E548" s="1302"/>
      <c r="F548" s="1302"/>
      <c r="I548" s="524" t="s">
        <v>2099</v>
      </c>
    </row>
    <row r="549" spans="1:9">
      <c r="A549" s="521"/>
      <c r="B549" s="521"/>
      <c r="C549" s="521"/>
      <c r="D549" s="1302"/>
      <c r="E549" s="1302"/>
      <c r="F549" s="1302"/>
      <c r="I549" s="524"/>
    </row>
    <row r="550" spans="1:9">
      <c r="A550" s="521"/>
      <c r="B550" s="521"/>
      <c r="C550" s="521"/>
      <c r="D550" s="480"/>
      <c r="E550" s="480"/>
      <c r="F550" s="480"/>
      <c r="I550" s="524"/>
    </row>
    <row r="551" spans="1:9">
      <c r="A551" s="518"/>
      <c r="B551" s="519" t="s">
        <v>2775</v>
      </c>
      <c r="C551" s="521"/>
      <c r="D551" s="1302" t="s">
        <v>1142</v>
      </c>
      <c r="E551" s="1302"/>
      <c r="F551" s="1302"/>
      <c r="I551" s="524" t="s">
        <v>2100</v>
      </c>
    </row>
    <row r="552" spans="1:9">
      <c r="A552" s="521"/>
      <c r="B552" s="521"/>
      <c r="C552" s="521"/>
      <c r="D552" s="1302"/>
      <c r="E552" s="1302"/>
      <c r="F552" s="1302"/>
      <c r="I552" s="524"/>
    </row>
    <row r="553" spans="1:9">
      <c r="A553" s="521"/>
      <c r="B553" s="521"/>
      <c r="C553" s="521"/>
      <c r="D553" s="480"/>
      <c r="E553" s="480"/>
      <c r="F553" s="480"/>
      <c r="I553" s="524"/>
    </row>
    <row r="554" spans="1:9">
      <c r="A554" s="518"/>
      <c r="B554" s="519" t="s">
        <v>2775</v>
      </c>
      <c r="C554" s="521"/>
      <c r="D554" s="1302" t="s">
        <v>1143</v>
      </c>
      <c r="E554" s="1302"/>
      <c r="F554" s="1302"/>
      <c r="I554" s="524" t="s">
        <v>2149</v>
      </c>
    </row>
    <row r="555" spans="1:9">
      <c r="A555" s="521"/>
      <c r="B555" s="521"/>
      <c r="C555" s="521"/>
      <c r="D555" s="1302"/>
      <c r="E555" s="1302"/>
      <c r="F555" s="1302"/>
      <c r="I555" s="524"/>
    </row>
    <row r="556" spans="1:9">
      <c r="A556" s="521"/>
      <c r="B556" s="521"/>
      <c r="C556" s="521"/>
      <c r="D556" s="1302"/>
      <c r="E556" s="1302"/>
      <c r="F556" s="1302"/>
      <c r="I556" s="524"/>
    </row>
    <row r="557" spans="1:9">
      <c r="A557" s="521"/>
      <c r="B557" s="521"/>
      <c r="C557" s="521"/>
      <c r="D557" s="480"/>
      <c r="E557" s="480"/>
      <c r="F557" s="480"/>
      <c r="I557" s="524"/>
    </row>
    <row r="558" spans="1:9">
      <c r="A558" s="518"/>
      <c r="B558" s="519" t="s">
        <v>2776</v>
      </c>
      <c r="C558" s="521"/>
      <c r="D558" s="1302" t="s">
        <v>1261</v>
      </c>
      <c r="E558" s="1302"/>
      <c r="F558" s="1302"/>
      <c r="I558" s="524" t="s">
        <v>2148</v>
      </c>
    </row>
    <row r="559" spans="1:9">
      <c r="A559" s="521"/>
      <c r="B559" s="521"/>
      <c r="C559" s="521"/>
      <c r="D559" s="1302"/>
      <c r="E559" s="1302"/>
      <c r="F559" s="1302"/>
      <c r="I559" s="524"/>
    </row>
    <row r="560" spans="1:9">
      <c r="A560" s="521"/>
      <c r="B560" s="521"/>
      <c r="C560" s="521"/>
      <c r="D560" s="480"/>
      <c r="E560" s="480"/>
      <c r="F560" s="480"/>
      <c r="I560" s="524"/>
    </row>
    <row r="561" spans="1:9">
      <c r="A561" s="518"/>
      <c r="B561" s="519" t="s">
        <v>2776</v>
      </c>
      <c r="C561" s="521"/>
      <c r="D561" s="1302" t="s">
        <v>1145</v>
      </c>
      <c r="E561" s="1302"/>
      <c r="F561" s="1302"/>
      <c r="I561" s="524" t="s">
        <v>2148</v>
      </c>
    </row>
    <row r="562" spans="1:9">
      <c r="A562" s="521"/>
      <c r="B562" s="521"/>
      <c r="C562" s="521"/>
      <c r="D562" s="1302"/>
      <c r="E562" s="1302"/>
      <c r="F562" s="1302"/>
      <c r="I562" s="524"/>
    </row>
    <row r="563" spans="1:9">
      <c r="A563" s="521"/>
      <c r="B563" s="521"/>
      <c r="C563" s="521"/>
      <c r="D563" s="480"/>
      <c r="E563" s="480"/>
      <c r="F563" s="480"/>
      <c r="I563" s="524"/>
    </row>
    <row r="564" spans="1:9">
      <c r="A564" s="518"/>
      <c r="B564" s="519" t="s">
        <v>2775</v>
      </c>
      <c r="C564" s="521"/>
      <c r="D564" s="1303" t="s">
        <v>1146</v>
      </c>
      <c r="E564" s="1303"/>
      <c r="F564" s="1303"/>
      <c r="I564" s="524" t="s">
        <v>2151</v>
      </c>
    </row>
    <row r="565" spans="1:9">
      <c r="A565" s="524"/>
      <c r="B565" s="524"/>
      <c r="C565" s="521"/>
      <c r="D565" s="1303" t="s">
        <v>2208</v>
      </c>
      <c r="E565" s="1303"/>
      <c r="F565" s="1303"/>
      <c r="I565" s="524"/>
    </row>
    <row r="566" spans="1:9">
      <c r="A566" s="524"/>
      <c r="B566" s="524"/>
      <c r="C566" s="521"/>
      <c r="E566" s="96" t="s">
        <v>2207</v>
      </c>
      <c r="F566" s="435"/>
      <c r="I566" s="524"/>
    </row>
    <row r="567" spans="1:9">
      <c r="A567" s="518"/>
      <c r="B567" s="518"/>
      <c r="C567" s="521"/>
      <c r="E567" s="480"/>
      <c r="F567" s="480"/>
      <c r="I567" s="524"/>
    </row>
    <row r="568" spans="1:9">
      <c r="A568" s="518"/>
      <c r="B568" s="519" t="s">
        <v>2775</v>
      </c>
      <c r="C568" s="521"/>
      <c r="D568" s="1303" t="s">
        <v>1148</v>
      </c>
      <c r="E568" s="1303"/>
      <c r="F568" s="1303"/>
      <c r="I568" s="524" t="s">
        <v>2101</v>
      </c>
    </row>
    <row r="569" spans="1:9">
      <c r="C569" s="521"/>
      <c r="D569" s="1302" t="s">
        <v>1149</v>
      </c>
      <c r="E569" s="1302"/>
      <c r="F569" s="1302"/>
      <c r="I569" s="524"/>
    </row>
    <row r="570" spans="1:9">
      <c r="A570" s="521"/>
      <c r="B570" s="521"/>
      <c r="C570" s="521"/>
      <c r="D570" s="1302"/>
      <c r="E570" s="1302"/>
      <c r="F570" s="1302"/>
      <c r="I570" s="524"/>
    </row>
    <row r="571" spans="1:9">
      <c r="A571" s="521"/>
      <c r="B571" s="521"/>
      <c r="C571" s="521"/>
      <c r="D571" s="1302"/>
      <c r="E571" s="1302"/>
      <c r="F571" s="1302"/>
      <c r="I571" s="524"/>
    </row>
    <row r="572" spans="1:9">
      <c r="A572" s="521"/>
      <c r="B572" s="521"/>
      <c r="C572" s="521"/>
      <c r="D572" s="480"/>
      <c r="E572" s="480"/>
      <c r="F572" s="480"/>
      <c r="I572" s="524"/>
    </row>
    <row r="573" spans="1:9">
      <c r="A573" s="518"/>
      <c r="B573" s="519" t="s">
        <v>2775</v>
      </c>
      <c r="C573" s="521"/>
      <c r="D573" s="1302" t="s">
        <v>2378</v>
      </c>
      <c r="E573" s="1302"/>
      <c r="F573" s="1302"/>
      <c r="I573" s="524" t="s">
        <v>2102</v>
      </c>
    </row>
    <row r="574" spans="1:9">
      <c r="A574" s="518"/>
      <c r="B574" s="518"/>
      <c r="C574" s="521"/>
      <c r="D574" s="1302"/>
      <c r="E574" s="1302"/>
      <c r="F574" s="1302"/>
      <c r="I574" s="524"/>
    </row>
    <row r="575" spans="1:9">
      <c r="A575" s="518"/>
      <c r="B575" s="518"/>
      <c r="C575" s="521"/>
      <c r="D575" s="1302"/>
      <c r="E575" s="1302"/>
      <c r="F575" s="1302"/>
      <c r="I575" s="524"/>
    </row>
    <row r="576" spans="1:9">
      <c r="A576" s="518"/>
      <c r="B576" s="518"/>
      <c r="C576" s="521"/>
      <c r="D576" s="1302"/>
      <c r="E576" s="1302"/>
      <c r="F576" s="1302"/>
      <c r="I576" s="524"/>
    </row>
    <row r="577" spans="1:9">
      <c r="A577" s="518"/>
      <c r="B577" s="518"/>
      <c r="C577" s="521"/>
      <c r="D577" s="480"/>
      <c r="E577" s="480"/>
      <c r="F577" s="480"/>
      <c r="I577" s="524"/>
    </row>
    <row r="578" spans="1:9">
      <c r="A578" s="1290" t="s">
        <v>1083</v>
      </c>
      <c r="B578" s="1290"/>
      <c r="C578" s="1290"/>
      <c r="D578" s="1290"/>
      <c r="E578" s="1290"/>
      <c r="F578" s="1290"/>
      <c r="G578" s="1290"/>
      <c r="H578" s="1063"/>
      <c r="I578" s="1259"/>
    </row>
    <row r="579" spans="1:9">
      <c r="A579" s="521"/>
      <c r="B579" s="521"/>
      <c r="C579" s="521"/>
      <c r="E579" s="480"/>
      <c r="F579" s="480"/>
      <c r="I579" s="524"/>
    </row>
    <row r="580" spans="1:9" ht="12.75" customHeight="1">
      <c r="C580" s="516"/>
      <c r="D580" s="1304" t="s">
        <v>211</v>
      </c>
      <c r="E580" s="1304"/>
      <c r="F580" s="1304"/>
      <c r="I580" s="524"/>
    </row>
    <row r="581" spans="1:9">
      <c r="A581" s="517"/>
      <c r="B581" s="517"/>
      <c r="C581" s="517"/>
      <c r="D581" s="1289" t="s">
        <v>1099</v>
      </c>
      <c r="E581" s="1289"/>
      <c r="F581" s="1289"/>
      <c r="I581" s="524"/>
    </row>
    <row r="582" spans="1:9">
      <c r="A582" s="433"/>
      <c r="B582" s="433"/>
      <c r="C582" s="517"/>
      <c r="D582" s="533"/>
      <c r="I582" s="524" t="s">
        <v>2103</v>
      </c>
    </row>
    <row r="583" spans="1:9">
      <c r="A583" s="517"/>
      <c r="B583" s="519" t="s">
        <v>2775</v>
      </c>
      <c r="D583" s="1289" t="s">
        <v>903</v>
      </c>
      <c r="E583" s="1289"/>
      <c r="F583" s="1289"/>
      <c r="I583" s="524"/>
    </row>
    <row r="584" spans="1:9">
      <c r="A584" s="524"/>
      <c r="B584" s="524"/>
      <c r="D584" s="510"/>
      <c r="I584" s="524"/>
    </row>
    <row r="585" spans="1:9">
      <c r="A585" s="524"/>
      <c r="B585" s="519" t="s">
        <v>2775</v>
      </c>
      <c r="D585" s="1289" t="s">
        <v>2379</v>
      </c>
      <c r="E585" s="1289"/>
      <c r="F585" s="1289"/>
      <c r="I585" s="524" t="s">
        <v>2105</v>
      </c>
    </row>
    <row r="586" spans="1:9">
      <c r="A586" s="524"/>
      <c r="B586" s="524"/>
      <c r="D586" s="1289"/>
      <c r="E586" s="1289"/>
      <c r="F586" s="1289"/>
      <c r="I586" s="524" t="s">
        <v>2104</v>
      </c>
    </row>
    <row r="587" spans="1:9">
      <c r="A587" s="524"/>
      <c r="B587" s="524"/>
      <c r="D587" s="1289"/>
      <c r="E587" s="1289"/>
      <c r="F587" s="1289"/>
      <c r="I587" s="524"/>
    </row>
    <row r="588" spans="1:9">
      <c r="A588" s="524"/>
      <c r="B588" s="524"/>
      <c r="D588" s="1289"/>
      <c r="E588" s="1289"/>
      <c r="F588" s="1289"/>
      <c r="I588" s="524"/>
    </row>
    <row r="589" spans="1:9">
      <c r="A589" s="524"/>
      <c r="B589" s="519" t="s">
        <v>2776</v>
      </c>
      <c r="D589" s="1289" t="s">
        <v>1101</v>
      </c>
      <c r="E589" s="1289"/>
      <c r="F589" s="1289"/>
      <c r="I589" s="524"/>
    </row>
    <row r="590" spans="1:9">
      <c r="A590" s="524"/>
      <c r="B590" s="524"/>
      <c r="D590" s="1289"/>
      <c r="E590" s="1289"/>
      <c r="F590" s="1289"/>
      <c r="I590" s="524"/>
    </row>
    <row r="591" spans="1:9">
      <c r="A591" s="524"/>
      <c r="B591" s="524"/>
      <c r="D591" s="1289"/>
      <c r="E591" s="1289"/>
      <c r="F591" s="1289"/>
      <c r="I591" s="524"/>
    </row>
    <row r="592" spans="1:9">
      <c r="A592" s="524"/>
      <c r="B592" s="524"/>
      <c r="D592" s="1289"/>
      <c r="E592" s="1289"/>
      <c r="F592" s="1289"/>
      <c r="I592" s="524"/>
    </row>
    <row r="593" spans="1:9">
      <c r="A593" s="524"/>
      <c r="B593" s="524"/>
      <c r="D593" s="473"/>
      <c r="E593" s="473"/>
      <c r="F593" s="473"/>
      <c r="I593" s="524"/>
    </row>
    <row r="594" spans="1:9">
      <c r="A594" s="524"/>
      <c r="B594" s="519" t="s">
        <v>2775</v>
      </c>
      <c r="D594" s="1289" t="s">
        <v>2380</v>
      </c>
      <c r="E594" s="1289"/>
      <c r="F594" s="1289"/>
      <c r="I594" s="524"/>
    </row>
    <row r="595" spans="1:9">
      <c r="A595" s="524"/>
      <c r="B595" s="524"/>
      <c r="D595" s="1289"/>
      <c r="E595" s="1289"/>
      <c r="F595" s="1289"/>
      <c r="I595" s="524"/>
    </row>
    <row r="596" spans="1:9">
      <c r="A596" s="524"/>
      <c r="B596" s="524"/>
      <c r="D596" s="533"/>
      <c r="I596" s="524"/>
    </row>
    <row r="597" spans="1:9">
      <c r="A597" s="524"/>
      <c r="B597" s="519" t="s">
        <v>2776</v>
      </c>
      <c r="D597" s="1289" t="s">
        <v>1103</v>
      </c>
      <c r="E597" s="1289"/>
      <c r="F597" s="1289"/>
      <c r="I597" s="524" t="s">
        <v>2152</v>
      </c>
    </row>
    <row r="598" spans="1:9">
      <c r="A598" s="524"/>
      <c r="B598" s="524"/>
      <c r="D598" s="1289"/>
      <c r="E598" s="1289"/>
      <c r="F598" s="1289"/>
      <c r="I598" s="524"/>
    </row>
    <row r="599" spans="1:9">
      <c r="A599" s="518"/>
      <c r="B599" s="518"/>
      <c r="D599" s="533"/>
      <c r="I599" s="524"/>
    </row>
    <row r="600" spans="1:9">
      <c r="A600" s="1290" t="s">
        <v>1084</v>
      </c>
      <c r="B600" s="1290"/>
      <c r="C600" s="1290"/>
      <c r="D600" s="1290"/>
      <c r="E600" s="1290"/>
      <c r="F600" s="1290"/>
      <c r="G600" s="1290"/>
      <c r="H600" s="1063"/>
      <c r="I600" s="1259"/>
    </row>
    <row r="601" spans="1:9">
      <c r="I601" s="524"/>
    </row>
    <row r="602" spans="1:9">
      <c r="D602" s="1301" t="s">
        <v>1184</v>
      </c>
      <c r="E602" s="1301"/>
      <c r="F602" s="1301"/>
      <c r="I602" s="524"/>
    </row>
    <row r="603" spans="1:9">
      <c r="D603" s="1324" t="s">
        <v>1185</v>
      </c>
      <c r="E603" s="1324"/>
      <c r="F603" s="1324"/>
      <c r="I603" s="524"/>
    </row>
    <row r="604" spans="1:9">
      <c r="D604" s="478"/>
      <c r="I604" s="524"/>
    </row>
    <row r="605" spans="1:9" ht="14.25" customHeight="1">
      <c r="A605" s="518"/>
      <c r="B605" s="519" t="s">
        <v>2775</v>
      </c>
      <c r="D605" s="1342" t="s">
        <v>2209</v>
      </c>
      <c r="E605" s="1342"/>
      <c r="F605" s="1342"/>
      <c r="I605" s="524" t="s">
        <v>2133</v>
      </c>
    </row>
    <row r="606" spans="1:9">
      <c r="D606" s="1342"/>
      <c r="E606" s="1342"/>
      <c r="F606" s="1342"/>
      <c r="I606" s="524"/>
    </row>
    <row r="607" spans="1:9">
      <c r="D607" s="416"/>
      <c r="E607" s="1071" t="s">
        <v>2210</v>
      </c>
      <c r="F607" s="416"/>
      <c r="I607" s="524"/>
    </row>
    <row r="608" spans="1:9">
      <c r="I608" s="524"/>
    </row>
    <row r="609" spans="1:9">
      <c r="A609" s="1290" t="s">
        <v>1085</v>
      </c>
      <c r="B609" s="1290"/>
      <c r="C609" s="1290"/>
      <c r="D609" s="1290"/>
      <c r="E609" s="1290"/>
      <c r="F609" s="1290"/>
      <c r="G609" s="1290"/>
      <c r="H609" s="1063"/>
      <c r="I609" s="1259"/>
    </row>
    <row r="610" spans="1:9">
      <c r="A610" s="480"/>
      <c r="B610" s="480"/>
      <c r="I610" s="524"/>
    </row>
    <row r="611" spans="1:9">
      <c r="A611" s="516"/>
      <c r="B611" s="516"/>
      <c r="C611" s="516"/>
      <c r="D611" s="1325" t="s">
        <v>1187</v>
      </c>
      <c r="E611" s="1325"/>
      <c r="F611" s="1325"/>
      <c r="I611" s="524"/>
    </row>
    <row r="612" spans="1:9">
      <c r="A612" s="516"/>
      <c r="B612" s="516"/>
      <c r="C612" s="516"/>
      <c r="D612" s="1325"/>
      <c r="E612" s="1325"/>
      <c r="F612" s="1325"/>
      <c r="I612" s="524"/>
    </row>
    <row r="613" spans="1:9">
      <c r="C613" s="517"/>
      <c r="D613" s="1324" t="s">
        <v>1188</v>
      </c>
      <c r="E613" s="1324"/>
      <c r="F613" s="1324"/>
      <c r="I613" s="524"/>
    </row>
    <row r="614" spans="1:9">
      <c r="C614" s="517"/>
      <c r="D614" s="478"/>
      <c r="E614" s="478"/>
      <c r="F614" s="478"/>
      <c r="I614" s="524"/>
    </row>
    <row r="615" spans="1:9" ht="12.75" customHeight="1">
      <c r="A615" s="524"/>
      <c r="B615" s="519" t="s">
        <v>2775</v>
      </c>
      <c r="D615" s="1300" t="s">
        <v>1189</v>
      </c>
      <c r="E615" s="1300"/>
      <c r="F615" s="1300"/>
      <c r="I615" s="524" t="s">
        <v>2153</v>
      </c>
    </row>
    <row r="616" spans="1:9">
      <c r="D616" s="1300"/>
      <c r="E616" s="1300"/>
      <c r="F616" s="1300"/>
      <c r="I616" s="524"/>
    </row>
    <row r="617" spans="1:9">
      <c r="I617" s="524"/>
    </row>
    <row r="618" spans="1:9">
      <c r="B618" s="519" t="s">
        <v>2775</v>
      </c>
      <c r="D618" s="1300" t="s">
        <v>1190</v>
      </c>
      <c r="E618" s="1300"/>
      <c r="F618" s="1300"/>
      <c r="I618" s="524" t="s">
        <v>2106</v>
      </c>
    </row>
    <row r="619" spans="1:9">
      <c r="C619" s="534"/>
      <c r="D619" s="1300"/>
      <c r="E619" s="1300"/>
      <c r="F619" s="1300"/>
      <c r="I619" s="524"/>
    </row>
    <row r="620" spans="1:9">
      <c r="C620" s="534"/>
      <c r="I620" s="524"/>
    </row>
    <row r="621" spans="1:9">
      <c r="B621" s="519" t="s">
        <v>2775</v>
      </c>
      <c r="C621" s="534"/>
      <c r="D621" s="1300" t="s">
        <v>1191</v>
      </c>
      <c r="E621" s="1300"/>
      <c r="F621" s="1300"/>
      <c r="I621" s="524" t="s">
        <v>2154</v>
      </c>
    </row>
    <row r="622" spans="1:9">
      <c r="C622" s="534"/>
      <c r="D622" s="1300"/>
      <c r="E622" s="1300"/>
      <c r="F622" s="1300"/>
      <c r="I622" s="534" t="s">
        <v>2155</v>
      </c>
    </row>
    <row r="623" spans="1:9">
      <c r="C623" s="534"/>
      <c r="I623" s="524"/>
    </row>
    <row r="624" spans="1:9">
      <c r="A624" s="1290" t="s">
        <v>1086</v>
      </c>
      <c r="B624" s="1290"/>
      <c r="C624" s="1290"/>
      <c r="D624" s="1290"/>
      <c r="E624" s="1290"/>
      <c r="F624" s="1290"/>
      <c r="G624" s="1290"/>
      <c r="H624" s="1063"/>
      <c r="I624" s="1259"/>
    </row>
    <row r="625" spans="1:9">
      <c r="A625" s="516"/>
      <c r="B625" s="516"/>
      <c r="C625" s="516"/>
      <c r="I625" s="524"/>
    </row>
    <row r="626" spans="1:9">
      <c r="C626" s="524"/>
      <c r="D626" s="1301" t="s">
        <v>1192</v>
      </c>
      <c r="E626" s="1301"/>
      <c r="F626" s="1301"/>
      <c r="I626" s="524"/>
    </row>
    <row r="627" spans="1:9">
      <c r="A627" s="524"/>
      <c r="B627" s="524"/>
      <c r="D627" s="435"/>
      <c r="I627" s="524"/>
    </row>
    <row r="628" spans="1:9" ht="14.25" customHeight="1">
      <c r="A628" s="518"/>
      <c r="B628" s="519" t="s">
        <v>2775</v>
      </c>
      <c r="D628" s="1342" t="s">
        <v>2381</v>
      </c>
      <c r="E628" s="1342"/>
      <c r="F628" s="1342"/>
      <c r="I628" s="524" t="s">
        <v>2134</v>
      </c>
    </row>
    <row r="629" spans="1:9">
      <c r="D629" s="1342"/>
      <c r="E629" s="1342"/>
      <c r="F629" s="1342"/>
      <c r="I629" s="524"/>
    </row>
    <row r="630" spans="1:9">
      <c r="D630" s="416"/>
      <c r="E630" s="1071" t="s">
        <v>2212</v>
      </c>
      <c r="F630" s="416"/>
      <c r="I630" s="524"/>
    </row>
    <row r="631" spans="1:9">
      <c r="D631" s="1302" t="s">
        <v>2211</v>
      </c>
      <c r="E631" s="1302"/>
      <c r="F631" s="1302"/>
      <c r="I631" s="524"/>
    </row>
    <row r="632" spans="1:9">
      <c r="D632" s="1302"/>
      <c r="E632" s="1302"/>
      <c r="F632" s="1302"/>
      <c r="I632" s="524"/>
    </row>
    <row r="633" spans="1:9">
      <c r="D633" s="1302"/>
      <c r="E633" s="1302"/>
      <c r="F633" s="1302"/>
      <c r="I633" s="524"/>
    </row>
    <row r="634" spans="1:9">
      <c r="D634" s="479"/>
      <c r="E634" s="479"/>
      <c r="F634" s="479"/>
      <c r="I634" s="524"/>
    </row>
    <row r="635" spans="1:9">
      <c r="A635" s="518"/>
      <c r="B635" s="519" t="s">
        <v>2776</v>
      </c>
      <c r="D635" s="1302" t="s">
        <v>1194</v>
      </c>
      <c r="E635" s="1302"/>
      <c r="F635" s="1302"/>
      <c r="I635" s="524" t="s">
        <v>2156</v>
      </c>
    </row>
    <row r="636" spans="1:9">
      <c r="A636" s="521"/>
      <c r="B636" s="521"/>
      <c r="C636" s="521"/>
      <c r="D636" s="1302"/>
      <c r="E636" s="1302"/>
      <c r="F636" s="1302"/>
      <c r="I636" s="524"/>
    </row>
    <row r="637" spans="1:9">
      <c r="A637" s="521"/>
      <c r="B637" s="521"/>
      <c r="C637" s="521"/>
      <c r="D637" s="480"/>
      <c r="E637" s="480"/>
      <c r="F637" s="480"/>
      <c r="I637" s="524"/>
    </row>
    <row r="638" spans="1:9">
      <c r="A638" s="518"/>
      <c r="B638" s="519" t="s">
        <v>2776</v>
      </c>
      <c r="C638" s="521"/>
      <c r="D638" s="1302" t="s">
        <v>1333</v>
      </c>
      <c r="E638" s="1302"/>
      <c r="F638" s="1302"/>
      <c r="I638" s="524" t="s">
        <v>2107</v>
      </c>
    </row>
    <row r="639" spans="1:9">
      <c r="A639" s="518"/>
      <c r="B639" s="518"/>
      <c r="C639" s="521"/>
      <c r="D639" s="1302"/>
      <c r="E639" s="1302"/>
      <c r="F639" s="1302"/>
      <c r="I639" s="524"/>
    </row>
    <row r="640" spans="1:9">
      <c r="A640" s="518"/>
      <c r="B640" s="518"/>
      <c r="C640" s="521"/>
      <c r="D640" s="1302"/>
      <c r="E640" s="1302"/>
      <c r="F640" s="1302"/>
      <c r="I640" s="524"/>
    </row>
    <row r="641" spans="1:9">
      <c r="A641" s="521"/>
      <c r="B641" s="519" t="s">
        <v>2776</v>
      </c>
      <c r="C641" s="521"/>
      <c r="D641" s="1303" t="s">
        <v>1196</v>
      </c>
      <c r="E641" s="1303"/>
      <c r="F641" s="1303"/>
      <c r="I641" s="524" t="s">
        <v>2107</v>
      </c>
    </row>
    <row r="642" spans="1:9">
      <c r="A642" s="521"/>
      <c r="B642" s="521"/>
      <c r="C642" s="521"/>
      <c r="D642" s="480"/>
      <c r="E642" s="480"/>
      <c r="F642" s="480"/>
      <c r="I642" s="524"/>
    </row>
    <row r="643" spans="1:9">
      <c r="A643" s="1290" t="s">
        <v>1087</v>
      </c>
      <c r="B643" s="1290"/>
      <c r="C643" s="1290"/>
      <c r="D643" s="1290"/>
      <c r="E643" s="1290"/>
      <c r="F643" s="1290"/>
      <c r="G643" s="1290"/>
      <c r="H643" s="1063"/>
      <c r="I643" s="1259"/>
    </row>
    <row r="644" spans="1:9">
      <c r="A644" s="480"/>
      <c r="B644" s="480"/>
      <c r="C644" s="521"/>
      <c r="D644" s="480"/>
      <c r="E644" s="480"/>
      <c r="F644" s="480"/>
      <c r="I644" s="524"/>
    </row>
    <row r="645" spans="1:9">
      <c r="C645" s="516"/>
      <c r="D645" s="1301" t="s">
        <v>1246</v>
      </c>
      <c r="E645" s="1301"/>
      <c r="F645" s="1301"/>
      <c r="I645" s="524"/>
    </row>
    <row r="646" spans="1:9">
      <c r="A646" s="517"/>
      <c r="B646" s="517"/>
      <c r="C646" s="517"/>
      <c r="D646" s="1303" t="s">
        <v>1247</v>
      </c>
      <c r="E646" s="1303"/>
      <c r="F646" s="1303"/>
      <c r="I646" s="524"/>
    </row>
    <row r="647" spans="1:9">
      <c r="A647" s="517"/>
      <c r="B647" s="517"/>
      <c r="C647" s="517"/>
      <c r="D647" s="480"/>
      <c r="E647" s="480"/>
      <c r="F647" s="480"/>
      <c r="I647" s="524"/>
    </row>
    <row r="648" spans="1:9" ht="12.75" customHeight="1">
      <c r="B648" s="519" t="s">
        <v>2775</v>
      </c>
      <c r="C648" s="521"/>
      <c r="D648" s="1302" t="s">
        <v>1392</v>
      </c>
      <c r="E648" s="1302"/>
      <c r="F648" s="1302"/>
      <c r="I648" s="524" t="s">
        <v>2159</v>
      </c>
    </row>
    <row r="649" spans="1:9">
      <c r="D649" s="1302"/>
      <c r="E649" s="1302"/>
      <c r="F649" s="1302"/>
      <c r="I649" s="524"/>
    </row>
    <row r="650" spans="1:9">
      <c r="D650" s="1302"/>
      <c r="E650" s="1302"/>
      <c r="F650" s="1302"/>
      <c r="I650" s="524"/>
    </row>
    <row r="651" spans="1:9">
      <c r="D651" s="1302"/>
      <c r="E651" s="1302"/>
      <c r="F651" s="1302"/>
      <c r="I651" s="524"/>
    </row>
    <row r="652" spans="1:9" ht="14.45" customHeight="1">
      <c r="A652" s="518"/>
      <c r="B652" s="518"/>
      <c r="C652" s="521"/>
      <c r="D652" s="416"/>
      <c r="E652" s="416"/>
      <c r="F652" s="416"/>
      <c r="I652" s="524"/>
    </row>
    <row r="653" spans="1:9" ht="12.75" customHeight="1">
      <c r="A653" s="517"/>
      <c r="B653" s="519" t="s">
        <v>2775</v>
      </c>
      <c r="C653" s="521"/>
      <c r="D653" s="1302" t="s">
        <v>1394</v>
      </c>
      <c r="E653" s="1302"/>
      <c r="F653" s="1302"/>
      <c r="I653" s="524" t="s">
        <v>2159</v>
      </c>
    </row>
    <row r="654" spans="1:9">
      <c r="A654" s="517"/>
      <c r="B654" s="518"/>
      <c r="C654" s="521"/>
      <c r="D654" s="1302"/>
      <c r="E654" s="1302"/>
      <c r="F654" s="1302"/>
      <c r="I654" s="524"/>
    </row>
    <row r="655" spans="1:9">
      <c r="A655" s="517"/>
      <c r="B655" s="518"/>
      <c r="C655" s="521"/>
      <c r="D655" s="1302"/>
      <c r="E655" s="1302"/>
      <c r="F655" s="1302"/>
      <c r="I655" s="524"/>
    </row>
    <row r="656" spans="1:9">
      <c r="A656" s="517"/>
      <c r="B656" s="518"/>
      <c r="C656" s="521"/>
      <c r="D656" s="1302"/>
      <c r="E656" s="1302"/>
      <c r="F656" s="1302"/>
      <c r="I656" s="524"/>
    </row>
    <row r="657" spans="1:9">
      <c r="A657" s="517"/>
      <c r="B657" s="518"/>
      <c r="C657" s="521"/>
      <c r="D657" s="1302"/>
      <c r="E657" s="1302"/>
      <c r="F657" s="1302"/>
      <c r="I657" s="524"/>
    </row>
    <row r="658" spans="1:9" ht="14.25" customHeight="1">
      <c r="A658" s="517"/>
      <c r="B658" s="518"/>
      <c r="C658" s="521"/>
      <c r="F658" s="417"/>
      <c r="I658" s="524"/>
    </row>
    <row r="659" spans="1:9" ht="12.75" customHeight="1">
      <c r="A659" s="517"/>
      <c r="B659" s="519" t="s">
        <v>2775</v>
      </c>
      <c r="C659" s="521"/>
      <c r="D659" s="1302" t="s">
        <v>1393</v>
      </c>
      <c r="E659" s="1302"/>
      <c r="F659" s="1302"/>
      <c r="I659" s="524" t="s">
        <v>2159</v>
      </c>
    </row>
    <row r="660" spans="1:9">
      <c r="A660" s="517"/>
      <c r="B660" s="518"/>
      <c r="C660" s="521"/>
      <c r="D660" s="1302"/>
      <c r="E660" s="1302"/>
      <c r="F660" s="1302"/>
      <c r="I660" s="524"/>
    </row>
    <row r="661" spans="1:9">
      <c r="A661" s="518"/>
      <c r="B661" s="518"/>
      <c r="C661" s="521"/>
      <c r="D661" s="1302"/>
      <c r="E661" s="1302"/>
      <c r="F661" s="1302"/>
      <c r="I661" s="524"/>
    </row>
    <row r="662" spans="1:9">
      <c r="A662" s="518"/>
      <c r="B662" s="518"/>
      <c r="C662" s="521"/>
      <c r="D662" s="1302"/>
      <c r="E662" s="1302"/>
      <c r="F662" s="1302"/>
      <c r="I662" s="524"/>
    </row>
    <row r="663" spans="1:9">
      <c r="A663" s="518"/>
      <c r="B663" s="518"/>
      <c r="C663" s="521"/>
      <c r="D663" s="479"/>
      <c r="E663" s="479"/>
      <c r="F663" s="479"/>
      <c r="I663" s="524"/>
    </row>
    <row r="664" spans="1:9" ht="12.75" customHeight="1">
      <c r="A664" s="517"/>
      <c r="B664" s="519" t="s">
        <v>2776</v>
      </c>
      <c r="C664" s="521"/>
      <c r="D664" s="1302" t="s">
        <v>2382</v>
      </c>
      <c r="E664" s="1302"/>
      <c r="F664" s="1302"/>
      <c r="I664" s="524" t="s">
        <v>2159</v>
      </c>
    </row>
    <row r="665" spans="1:9" ht="12.75" customHeight="1">
      <c r="A665" s="517"/>
      <c r="B665" s="518"/>
      <c r="C665" s="521"/>
      <c r="D665" s="1302"/>
      <c r="E665" s="1302"/>
      <c r="F665" s="1302"/>
      <c r="I665" s="524"/>
    </row>
    <row r="666" spans="1:9" ht="12.75" customHeight="1">
      <c r="A666" s="517"/>
      <c r="B666" s="518"/>
      <c r="C666" s="521"/>
      <c r="D666" s="1302"/>
      <c r="E666" s="1302"/>
      <c r="F666" s="1302"/>
      <c r="I666" s="524"/>
    </row>
    <row r="667" spans="1:9" ht="12.75" customHeight="1">
      <c r="A667" s="517"/>
      <c r="B667" s="518"/>
      <c r="C667" s="521"/>
      <c r="D667" s="1302"/>
      <c r="E667" s="1302"/>
      <c r="F667" s="1302"/>
      <c r="I667" s="524"/>
    </row>
    <row r="668" spans="1:9" ht="12.75" customHeight="1">
      <c r="A668" s="517"/>
      <c r="B668" s="518"/>
      <c r="C668" s="521"/>
      <c r="D668" s="1302"/>
      <c r="E668" s="1302"/>
      <c r="F668" s="1302"/>
      <c r="I668" s="524"/>
    </row>
    <row r="669" spans="1:9" ht="12.75" customHeight="1">
      <c r="A669" s="517"/>
      <c r="B669" s="518"/>
      <c r="C669" s="521"/>
      <c r="D669" s="1302"/>
      <c r="E669" s="1302"/>
      <c r="F669" s="1302"/>
      <c r="I669" s="524"/>
    </row>
    <row r="670" spans="1:9" ht="12.75" customHeight="1">
      <c r="A670" s="517"/>
      <c r="B670" s="518"/>
      <c r="C670" s="521"/>
      <c r="D670" s="1302"/>
      <c r="E670" s="1302"/>
      <c r="F670" s="1302"/>
      <c r="I670" s="524"/>
    </row>
    <row r="671" spans="1:9" ht="12.75" customHeight="1">
      <c r="A671" s="517"/>
      <c r="B671" s="518"/>
      <c r="C671" s="521"/>
      <c r="D671" s="1302"/>
      <c r="E671" s="1302"/>
      <c r="F671" s="1302"/>
      <c r="I671" s="524"/>
    </row>
    <row r="672" spans="1:9" ht="12.75" customHeight="1">
      <c r="A672" s="517"/>
      <c r="B672" s="518"/>
      <c r="C672" s="521"/>
      <c r="D672" s="1302"/>
      <c r="E672" s="1302"/>
      <c r="F672" s="1302"/>
      <c r="I672" s="524"/>
    </row>
    <row r="673" spans="1:11">
      <c r="A673" s="521"/>
      <c r="B673" s="521"/>
      <c r="C673" s="521"/>
      <c r="D673" s="480"/>
      <c r="E673" s="480"/>
      <c r="F673" s="480"/>
      <c r="I673" s="524"/>
    </row>
    <row r="674" spans="1:11">
      <c r="A674" s="1290" t="s">
        <v>1088</v>
      </c>
      <c r="B674" s="1290"/>
      <c r="C674" s="1290"/>
      <c r="D674" s="1290"/>
      <c r="E674" s="1290"/>
      <c r="F674" s="1290"/>
      <c r="G674" s="1290"/>
      <c r="H674" s="1065"/>
      <c r="I674" s="1263"/>
      <c r="J674" s="535"/>
      <c r="K674" s="535"/>
    </row>
    <row r="675" spans="1:11">
      <c r="A675" s="482"/>
      <c r="B675" s="482"/>
      <c r="C675" s="482"/>
      <c r="D675" s="482"/>
      <c r="E675" s="482"/>
      <c r="F675" s="482"/>
      <c r="G675" s="482"/>
      <c r="H675" s="535"/>
      <c r="I675" s="517"/>
      <c r="J675" s="535"/>
      <c r="K675" s="535"/>
    </row>
    <row r="676" spans="1:11">
      <c r="C676" s="516"/>
      <c r="D676" s="1301" t="s">
        <v>99</v>
      </c>
      <c r="E676" s="1301"/>
      <c r="F676" s="1301"/>
      <c r="H676" s="535"/>
      <c r="I676" s="517"/>
      <c r="J676" s="535"/>
      <c r="K676" s="535"/>
    </row>
    <row r="677" spans="1:11">
      <c r="A677" s="516"/>
      <c r="B677" s="516"/>
      <c r="C677" s="516"/>
      <c r="D677" s="1301" t="s">
        <v>123</v>
      </c>
      <c r="E677" s="1301"/>
      <c r="F677" s="1301"/>
      <c r="H677" s="535"/>
      <c r="I677" s="517"/>
      <c r="J677" s="535"/>
      <c r="K677" s="535"/>
    </row>
    <row r="678" spans="1:11">
      <c r="A678" s="517"/>
      <c r="B678" s="517"/>
      <c r="C678" s="517"/>
      <c r="D678" s="1303" t="s">
        <v>1124</v>
      </c>
      <c r="E678" s="1303"/>
      <c r="F678" s="1303"/>
      <c r="H678" s="535"/>
      <c r="I678" s="517"/>
      <c r="J678" s="535"/>
      <c r="K678" s="535"/>
    </row>
    <row r="679" spans="1:11">
      <c r="A679" s="517"/>
      <c r="B679" s="517"/>
      <c r="C679" s="517"/>
      <c r="H679" s="535"/>
      <c r="I679" s="517"/>
      <c r="J679" s="535"/>
      <c r="K679" s="535"/>
    </row>
    <row r="680" spans="1:11">
      <c r="A680" s="518"/>
      <c r="B680" s="519" t="s">
        <v>2775</v>
      </c>
      <c r="C680" s="517"/>
      <c r="D680" s="1303" t="s">
        <v>899</v>
      </c>
      <c r="E680" s="1303"/>
      <c r="F680" s="1303"/>
      <c r="H680" s="535"/>
      <c r="I680" s="517" t="s">
        <v>2135</v>
      </c>
      <c r="J680" s="535"/>
      <c r="K680" s="535"/>
    </row>
    <row r="681" spans="1:11">
      <c r="A681" s="517"/>
      <c r="B681" s="517"/>
      <c r="C681" s="517"/>
      <c r="D681" s="1303" t="s">
        <v>909</v>
      </c>
      <c r="E681" s="1303"/>
      <c r="F681" s="1303"/>
      <c r="H681" s="535"/>
      <c r="I681" s="517"/>
      <c r="J681" s="535"/>
      <c r="K681" s="535"/>
    </row>
    <row r="682" spans="1:11" ht="12.75" customHeight="1">
      <c r="A682" s="517"/>
      <c r="B682" s="517"/>
      <c r="C682" s="517"/>
      <c r="E682" s="1071" t="s">
        <v>2214</v>
      </c>
      <c r="F682" s="451"/>
      <c r="H682" s="535"/>
      <c r="I682" s="517"/>
      <c r="J682" s="535"/>
      <c r="K682" s="535"/>
    </row>
    <row r="683" spans="1:11">
      <c r="A683" s="517"/>
      <c r="B683" s="517"/>
      <c r="C683" s="517"/>
      <c r="E683" s="535" t="s">
        <v>2213</v>
      </c>
      <c r="F683" s="451"/>
      <c r="I683" s="517"/>
      <c r="J683" s="535"/>
      <c r="K683" s="535"/>
    </row>
    <row r="684" spans="1:11">
      <c r="A684" s="517"/>
      <c r="B684" s="517"/>
      <c r="C684" s="517"/>
      <c r="D684" s="536"/>
      <c r="E684" s="480"/>
      <c r="H684" s="535"/>
      <c r="I684" s="517"/>
      <c r="J684" s="535"/>
      <c r="K684" s="535"/>
    </row>
    <row r="685" spans="1:11">
      <c r="A685" s="518"/>
      <c r="B685" s="519" t="s">
        <v>2776</v>
      </c>
      <c r="C685" s="517"/>
      <c r="D685" s="1302" t="s">
        <v>2383</v>
      </c>
      <c r="E685" s="1302"/>
      <c r="F685" s="1302"/>
      <c r="H685" s="535"/>
      <c r="I685" s="517" t="s">
        <v>2157</v>
      </c>
      <c r="J685" s="535"/>
      <c r="K685" s="535"/>
    </row>
    <row r="686" spans="1:11">
      <c r="A686" s="524"/>
      <c r="B686" s="524"/>
      <c r="C686" s="517"/>
      <c r="D686" s="1302"/>
      <c r="E686" s="1302"/>
      <c r="F686" s="1302"/>
      <c r="H686" s="535"/>
      <c r="I686" s="517"/>
      <c r="J686" s="535"/>
      <c r="K686" s="535"/>
    </row>
    <row r="687" spans="1:11">
      <c r="A687" s="517"/>
      <c r="B687" s="517"/>
      <c r="C687" s="517"/>
      <c r="D687" s="1302"/>
      <c r="E687" s="1302"/>
      <c r="F687" s="1302"/>
      <c r="H687" s="535"/>
      <c r="I687" s="517"/>
      <c r="J687" s="535"/>
      <c r="K687" s="535"/>
    </row>
    <row r="688" spans="1:11">
      <c r="A688" s="517"/>
      <c r="B688" s="517"/>
      <c r="C688" s="517"/>
      <c r="H688" s="535"/>
      <c r="I688" s="517" t="s">
        <v>2136</v>
      </c>
      <c r="J688" s="535"/>
      <c r="K688" s="535"/>
    </row>
    <row r="689" spans="1:11">
      <c r="A689" s="518"/>
      <c r="B689" s="519" t="s">
        <v>2776</v>
      </c>
      <c r="C689" s="517"/>
      <c r="D689" s="1303" t="s">
        <v>937</v>
      </c>
      <c r="E689" s="1303"/>
      <c r="F689" s="1303"/>
      <c r="H689" s="535"/>
      <c r="I689" s="517"/>
      <c r="J689" s="535"/>
      <c r="K689" s="535"/>
    </row>
    <row r="690" spans="1:11">
      <c r="A690" s="518"/>
      <c r="B690" s="518"/>
      <c r="C690" s="517"/>
      <c r="D690" s="1303" t="s">
        <v>909</v>
      </c>
      <c r="E690" s="1303"/>
      <c r="F690" s="1303"/>
      <c r="H690" s="535"/>
      <c r="I690" s="517"/>
      <c r="J690" s="535"/>
      <c r="K690" s="535"/>
    </row>
    <row r="691" spans="1:11">
      <c r="A691" s="517"/>
      <c r="B691" s="517"/>
      <c r="C691" s="517"/>
      <c r="E691" s="1071" t="s">
        <v>2215</v>
      </c>
      <c r="F691" s="435"/>
      <c r="H691" s="535"/>
      <c r="I691" s="517"/>
      <c r="J691" s="535"/>
      <c r="K691" s="535"/>
    </row>
    <row r="692" spans="1:11">
      <c r="A692" s="517"/>
      <c r="B692" s="517"/>
      <c r="C692" s="517"/>
      <c r="D692" s="435"/>
      <c r="H692" s="535"/>
      <c r="I692" s="517"/>
      <c r="J692" s="535"/>
      <c r="K692" s="535"/>
    </row>
    <row r="693" spans="1:11">
      <c r="A693" s="518"/>
      <c r="B693" s="519" t="s">
        <v>2775</v>
      </c>
      <c r="C693" s="517"/>
      <c r="D693" s="1302" t="s">
        <v>1137</v>
      </c>
      <c r="E693" s="1302"/>
      <c r="F693" s="1302"/>
      <c r="H693" s="535"/>
      <c r="I693" s="517" t="s">
        <v>2108</v>
      </c>
      <c r="J693" s="535"/>
      <c r="K693" s="535"/>
    </row>
    <row r="694" spans="1:11">
      <c r="A694" s="517"/>
      <c r="B694" s="517"/>
      <c r="C694" s="517"/>
      <c r="D694" s="1302"/>
      <c r="E694" s="1302"/>
      <c r="F694" s="1302"/>
      <c r="H694" s="535"/>
      <c r="I694" s="517"/>
      <c r="J694" s="535"/>
      <c r="K694" s="535"/>
    </row>
    <row r="695" spans="1:11">
      <c r="A695" s="517"/>
      <c r="B695" s="517"/>
      <c r="C695" s="517"/>
      <c r="D695" s="1302"/>
      <c r="E695" s="1302"/>
      <c r="F695" s="1302"/>
      <c r="H695" s="535"/>
      <c r="I695" s="517"/>
      <c r="J695" s="535"/>
      <c r="K695" s="535"/>
    </row>
    <row r="696" spans="1:11">
      <c r="A696" s="517"/>
      <c r="B696" s="517"/>
      <c r="C696" s="517"/>
      <c r="D696" s="1302"/>
      <c r="E696" s="1302"/>
      <c r="F696" s="1302"/>
      <c r="H696" s="535"/>
      <c r="I696" s="517"/>
      <c r="J696" s="535"/>
      <c r="K696" s="535"/>
    </row>
    <row r="697" spans="1:11">
      <c r="A697" s="517"/>
      <c r="B697" s="517"/>
      <c r="C697" s="517"/>
      <c r="D697" s="1302"/>
      <c r="E697" s="1302"/>
      <c r="F697" s="1302"/>
      <c r="H697" s="535"/>
      <c r="I697" s="517"/>
      <c r="J697" s="535"/>
      <c r="K697" s="535"/>
    </row>
    <row r="698" spans="1:11">
      <c r="A698" s="517"/>
      <c r="B698" s="517"/>
      <c r="C698" s="517"/>
      <c r="D698" s="1302"/>
      <c r="E698" s="1302"/>
      <c r="F698" s="1302"/>
      <c r="H698" s="535"/>
      <c r="I698" s="517"/>
      <c r="J698" s="535"/>
      <c r="K698" s="535"/>
    </row>
    <row r="699" spans="1:11">
      <c r="A699" s="517"/>
      <c r="B699" s="517"/>
      <c r="C699" s="517"/>
      <c r="D699" s="479"/>
      <c r="E699" s="479"/>
      <c r="F699" s="479"/>
      <c r="H699" s="535"/>
      <c r="I699" s="517"/>
      <c r="J699" s="535"/>
      <c r="K699" s="535"/>
    </row>
    <row r="700" spans="1:11">
      <c r="A700" s="517"/>
      <c r="B700" s="519" t="s">
        <v>2775</v>
      </c>
      <c r="C700" s="517"/>
      <c r="D700" s="1302" t="s">
        <v>1308</v>
      </c>
      <c r="E700" s="1302"/>
      <c r="F700" s="1302"/>
      <c r="H700" s="535"/>
      <c r="I700" s="517" t="s">
        <v>2108</v>
      </c>
      <c r="J700" s="535"/>
      <c r="K700" s="535"/>
    </row>
    <row r="701" spans="1:11">
      <c r="A701" s="517"/>
      <c r="B701" s="517"/>
      <c r="C701" s="517"/>
      <c r="D701" s="1302"/>
      <c r="E701" s="1302"/>
      <c r="F701" s="1302"/>
      <c r="H701" s="535"/>
      <c r="I701" s="517"/>
      <c r="J701" s="535"/>
      <c r="K701" s="535"/>
    </row>
    <row r="702" spans="1:11">
      <c r="A702" s="517"/>
      <c r="B702" s="517"/>
      <c r="C702" s="517"/>
      <c r="D702" s="479"/>
      <c r="E702" s="479"/>
      <c r="F702" s="479"/>
      <c r="H702" s="535"/>
      <c r="I702" s="517"/>
      <c r="J702" s="535"/>
      <c r="K702" s="535"/>
    </row>
    <row r="703" spans="1:11">
      <c r="A703" s="518"/>
      <c r="B703" s="519" t="s">
        <v>2776</v>
      </c>
      <c r="C703" s="517"/>
      <c r="D703" s="1302" t="s">
        <v>1128</v>
      </c>
      <c r="E703" s="1302"/>
      <c r="F703" s="1302"/>
      <c r="H703" s="535"/>
      <c r="I703" s="517" t="s">
        <v>2108</v>
      </c>
      <c r="J703" s="535"/>
      <c r="K703" s="535"/>
    </row>
    <row r="704" spans="1:11">
      <c r="A704" s="517"/>
      <c r="B704" s="517"/>
      <c r="C704" s="517"/>
      <c r="D704" s="1302"/>
      <c r="E704" s="1302"/>
      <c r="F704" s="1302"/>
      <c r="H704" s="535"/>
      <c r="I704" s="517"/>
      <c r="J704" s="535"/>
      <c r="K704" s="535"/>
    </row>
    <row r="705" spans="1:11">
      <c r="A705" s="517"/>
      <c r="B705" s="517"/>
      <c r="C705" s="517"/>
      <c r="D705" s="1302"/>
      <c r="E705" s="1302"/>
      <c r="F705" s="1302"/>
      <c r="H705" s="535"/>
      <c r="I705" s="517"/>
      <c r="J705" s="535"/>
      <c r="K705" s="535"/>
    </row>
    <row r="706" spans="1:11" ht="15" customHeight="1">
      <c r="A706" s="517"/>
      <c r="B706" s="517"/>
      <c r="C706" s="517"/>
      <c r="D706" s="1302"/>
      <c r="E706" s="1302"/>
      <c r="F706" s="1302"/>
      <c r="H706" s="535"/>
      <c r="I706" s="517"/>
      <c r="J706" s="535"/>
      <c r="K706" s="535"/>
    </row>
    <row r="707" spans="1:11" ht="15" customHeight="1">
      <c r="A707" s="517"/>
      <c r="B707" s="517"/>
      <c r="C707" s="517"/>
      <c r="D707" s="1302"/>
      <c r="E707" s="1302"/>
      <c r="F707" s="1302"/>
      <c r="H707" s="535"/>
      <c r="I707" s="517"/>
      <c r="J707" s="535"/>
      <c r="K707" s="535"/>
    </row>
    <row r="708" spans="1:11">
      <c r="A708" s="517"/>
      <c r="B708" s="517"/>
      <c r="C708" s="517"/>
      <c r="D708" s="1302"/>
      <c r="E708" s="1302"/>
      <c r="F708" s="1302"/>
      <c r="H708" s="535"/>
      <c r="I708" s="517"/>
      <c r="J708" s="535"/>
      <c r="K708" s="535"/>
    </row>
    <row r="709" spans="1:11">
      <c r="A709" s="517"/>
      <c r="B709" s="517"/>
      <c r="C709" s="517"/>
      <c r="D709" s="1302"/>
      <c r="E709" s="1302"/>
      <c r="F709" s="1302"/>
      <c r="H709" s="535"/>
      <c r="I709" s="517"/>
      <c r="J709" s="535"/>
      <c r="K709" s="535"/>
    </row>
    <row r="710" spans="1:11">
      <c r="A710" s="517"/>
      <c r="B710" s="517"/>
      <c r="C710" s="517"/>
      <c r="D710" s="1302"/>
      <c r="E710" s="1302"/>
      <c r="F710" s="1302"/>
      <c r="H710" s="535"/>
      <c r="I710" s="517"/>
      <c r="J710" s="535"/>
      <c r="K710" s="535"/>
    </row>
    <row r="711" spans="1:11" ht="15" customHeight="1">
      <c r="A711" s="517"/>
      <c r="B711" s="517"/>
      <c r="C711" s="517"/>
      <c r="D711" s="1302"/>
      <c r="E711" s="1302"/>
      <c r="F711" s="1302"/>
      <c r="H711" s="535"/>
      <c r="I711" s="517"/>
      <c r="J711" s="535"/>
      <c r="K711" s="535"/>
    </row>
    <row r="712" spans="1:11">
      <c r="A712" s="517"/>
      <c r="B712" s="517"/>
      <c r="C712" s="517"/>
      <c r="D712" s="1302"/>
      <c r="E712" s="1302"/>
      <c r="F712" s="1302"/>
      <c r="H712" s="535"/>
      <c r="I712" s="517"/>
      <c r="J712" s="535"/>
      <c r="K712" s="535"/>
    </row>
    <row r="713" spans="1:11">
      <c r="A713" s="517"/>
      <c r="B713" s="517"/>
      <c r="C713" s="517"/>
      <c r="D713" s="1302"/>
      <c r="E713" s="1302"/>
      <c r="F713" s="1302"/>
      <c r="H713" s="535"/>
      <c r="I713" s="517"/>
      <c r="J713" s="535"/>
      <c r="K713" s="535"/>
    </row>
    <row r="714" spans="1:11">
      <c r="A714" s="517"/>
      <c r="B714" s="517"/>
      <c r="C714" s="517"/>
      <c r="D714" s="1302"/>
      <c r="E714" s="1302"/>
      <c r="F714" s="1302"/>
      <c r="H714" s="535"/>
      <c r="I714" s="517"/>
      <c r="J714" s="535"/>
      <c r="K714" s="535"/>
    </row>
    <row r="715" spans="1:11">
      <c r="A715" s="517"/>
      <c r="B715" s="517"/>
      <c r="C715" s="517"/>
      <c r="D715" s="1302"/>
      <c r="E715" s="1302"/>
      <c r="F715" s="1302"/>
      <c r="H715" s="535"/>
      <c r="I715" s="517"/>
      <c r="J715" s="535"/>
      <c r="K715" s="535"/>
    </row>
    <row r="716" spans="1:11">
      <c r="A716" s="517"/>
      <c r="B716" s="519" t="s">
        <v>2776</v>
      </c>
      <c r="C716" s="517"/>
      <c r="D716" s="1302" t="s">
        <v>1135</v>
      </c>
      <c r="E716" s="1302"/>
      <c r="F716" s="1302"/>
      <c r="H716" s="535"/>
      <c r="I716" s="517" t="s">
        <v>2158</v>
      </c>
      <c r="J716" s="535"/>
      <c r="K716" s="535"/>
    </row>
    <row r="717" spans="1:11">
      <c r="A717" s="517"/>
      <c r="B717" s="517"/>
      <c r="C717" s="517"/>
      <c r="D717" s="1302"/>
      <c r="E717" s="1302"/>
      <c r="F717" s="1302"/>
      <c r="H717" s="535"/>
      <c r="I717" s="517"/>
      <c r="J717" s="535"/>
      <c r="K717" s="535"/>
    </row>
    <row r="718" spans="1:11">
      <c r="A718" s="517"/>
      <c r="B718" s="517"/>
      <c r="C718" s="517"/>
      <c r="D718" s="479"/>
      <c r="E718" s="479"/>
      <c r="F718" s="479"/>
      <c r="H718" s="535"/>
      <c r="I718" s="517"/>
      <c r="J718" s="535"/>
      <c r="K718" s="535"/>
    </row>
    <row r="719" spans="1:11">
      <c r="A719" s="517"/>
      <c r="B719" s="519" t="s">
        <v>2776</v>
      </c>
      <c r="C719" s="517"/>
      <c r="D719" s="1302" t="s">
        <v>1129</v>
      </c>
      <c r="E719" s="1302"/>
      <c r="F719" s="1302"/>
      <c r="H719" s="535"/>
      <c r="I719" s="517" t="s">
        <v>2158</v>
      </c>
      <c r="J719" s="535"/>
      <c r="K719" s="535"/>
    </row>
    <row r="720" spans="1:11">
      <c r="A720" s="517"/>
      <c r="B720" s="517"/>
      <c r="C720" s="517"/>
      <c r="D720" s="1302"/>
      <c r="E720" s="1302"/>
      <c r="F720" s="1302"/>
      <c r="H720" s="535"/>
      <c r="I720" s="517"/>
      <c r="J720" s="535"/>
      <c r="K720" s="535"/>
    </row>
    <row r="721" spans="1:11">
      <c r="A721" s="517"/>
      <c r="B721" s="517"/>
      <c r="C721" s="517"/>
      <c r="D721" s="1302"/>
      <c r="E721" s="1302"/>
      <c r="F721" s="1302"/>
      <c r="H721" s="535"/>
      <c r="I721" s="517"/>
      <c r="J721" s="535"/>
      <c r="K721" s="535"/>
    </row>
    <row r="722" spans="1:11">
      <c r="A722" s="517"/>
      <c r="B722" s="517"/>
      <c r="C722" s="517"/>
      <c r="H722" s="535"/>
      <c r="I722" s="517"/>
      <c r="J722" s="535"/>
      <c r="K722" s="535"/>
    </row>
    <row r="723" spans="1:11">
      <c r="A723" s="517"/>
      <c r="B723" s="519" t="s">
        <v>2776</v>
      </c>
      <c r="C723" s="517"/>
      <c r="D723" s="1302" t="s">
        <v>1130</v>
      </c>
      <c r="E723" s="1302"/>
      <c r="F723" s="1302"/>
      <c r="H723" s="535"/>
      <c r="I723" s="517" t="s">
        <v>2158</v>
      </c>
      <c r="J723" s="535"/>
      <c r="K723" s="535"/>
    </row>
    <row r="724" spans="1:11">
      <c r="A724" s="517"/>
      <c r="B724" s="517"/>
      <c r="C724" s="517"/>
      <c r="D724" s="1302"/>
      <c r="E724" s="1302"/>
      <c r="F724" s="1302"/>
      <c r="H724" s="535"/>
      <c r="I724" s="517"/>
      <c r="J724" s="535"/>
      <c r="K724" s="535"/>
    </row>
    <row r="725" spans="1:11">
      <c r="A725" s="517"/>
      <c r="B725" s="517"/>
      <c r="C725" s="517"/>
      <c r="D725" s="1302"/>
      <c r="E725" s="1302"/>
      <c r="F725" s="1302"/>
      <c r="H725" s="535"/>
      <c r="I725" s="517"/>
      <c r="J725" s="535"/>
      <c r="K725" s="535"/>
    </row>
    <row r="726" spans="1:11">
      <c r="A726" s="517"/>
      <c r="B726" s="517"/>
      <c r="C726" s="517"/>
      <c r="H726" s="535"/>
      <c r="I726" s="517"/>
      <c r="J726" s="535"/>
      <c r="K726" s="535"/>
    </row>
    <row r="727" spans="1:11">
      <c r="A727" s="518"/>
      <c r="B727" s="519" t="s">
        <v>2776</v>
      </c>
      <c r="C727" s="517"/>
      <c r="D727" s="1302" t="s">
        <v>1131</v>
      </c>
      <c r="E727" s="1302"/>
      <c r="F727" s="1302"/>
      <c r="H727" s="535"/>
      <c r="I727" s="517" t="s">
        <v>2109</v>
      </c>
      <c r="J727" s="535"/>
      <c r="K727" s="535"/>
    </row>
    <row r="728" spans="1:11">
      <c r="A728" s="517"/>
      <c r="B728" s="517"/>
      <c r="C728" s="517"/>
      <c r="D728" s="1302"/>
      <c r="E728" s="1302"/>
      <c r="F728" s="1302"/>
      <c r="H728" s="535"/>
      <c r="I728" s="517"/>
      <c r="J728" s="535"/>
      <c r="K728" s="535"/>
    </row>
    <row r="729" spans="1:11">
      <c r="A729" s="517"/>
      <c r="B729" s="517"/>
      <c r="C729" s="517"/>
      <c r="D729" s="1302"/>
      <c r="E729" s="1302"/>
      <c r="F729" s="1302"/>
      <c r="H729" s="535"/>
      <c r="I729" s="517"/>
      <c r="J729" s="535"/>
      <c r="K729" s="535"/>
    </row>
    <row r="730" spans="1:11">
      <c r="A730" s="517"/>
      <c r="B730" s="517"/>
      <c r="C730" s="517"/>
      <c r="D730" s="1302"/>
      <c r="E730" s="1302"/>
      <c r="F730" s="1302"/>
      <c r="H730" s="535"/>
      <c r="I730" s="517"/>
      <c r="J730" s="535"/>
      <c r="K730" s="535"/>
    </row>
    <row r="731" spans="1:11">
      <c r="A731" s="517"/>
      <c r="B731" s="517"/>
      <c r="C731" s="517"/>
      <c r="D731" s="526"/>
      <c r="H731" s="535"/>
      <c r="I731" s="517"/>
      <c r="J731" s="535"/>
      <c r="K731" s="535"/>
    </row>
    <row r="732" spans="1:11">
      <c r="A732" s="518"/>
      <c r="B732" s="519" t="s">
        <v>2776</v>
      </c>
      <c r="C732" s="517"/>
      <c r="D732" s="1302" t="s">
        <v>2506</v>
      </c>
      <c r="E732" s="1302"/>
      <c r="F732" s="1302"/>
      <c r="H732" s="535"/>
      <c r="I732" s="517" t="s">
        <v>2125</v>
      </c>
      <c r="J732" s="535"/>
      <c r="K732" s="535"/>
    </row>
    <row r="733" spans="1:11">
      <c r="A733" s="517"/>
      <c r="B733" s="517"/>
      <c r="C733" s="517"/>
      <c r="D733" s="1302"/>
      <c r="E733" s="1302"/>
      <c r="F733" s="1302"/>
      <c r="H733" s="535"/>
      <c r="I733" s="517"/>
      <c r="J733" s="535"/>
      <c r="K733" s="535"/>
    </row>
    <row r="734" spans="1:11">
      <c r="A734" s="517"/>
      <c r="B734" s="517"/>
      <c r="C734" s="517"/>
      <c r="D734" s="1302"/>
      <c r="E734" s="1302"/>
      <c r="F734" s="1302"/>
      <c r="H734" s="535"/>
      <c r="I734" s="517"/>
      <c r="J734" s="535"/>
      <c r="K734" s="535"/>
    </row>
    <row r="735" spans="1:11">
      <c r="A735" s="517"/>
      <c r="B735" s="517"/>
      <c r="C735" s="517"/>
      <c r="D735" s="1302"/>
      <c r="E735" s="1302"/>
      <c r="F735" s="1302"/>
      <c r="H735" s="535"/>
      <c r="I735" s="517"/>
      <c r="J735" s="535"/>
      <c r="K735" s="535"/>
    </row>
    <row r="736" spans="1:11">
      <c r="A736" s="517"/>
      <c r="B736" s="517"/>
      <c r="C736" s="517"/>
      <c r="D736" s="1302"/>
      <c r="E736" s="1302"/>
      <c r="F736" s="1302"/>
      <c r="H736" s="535"/>
      <c r="I736" s="517"/>
      <c r="J736" s="535"/>
      <c r="K736" s="535"/>
    </row>
    <row r="737" spans="1:11">
      <c r="A737" s="517"/>
      <c r="B737" s="517"/>
      <c r="C737" s="517"/>
      <c r="D737" s="1302"/>
      <c r="E737" s="1302"/>
      <c r="F737" s="1302"/>
      <c r="H737" s="535"/>
      <c r="I737" s="517"/>
      <c r="J737" s="535"/>
      <c r="K737" s="535"/>
    </row>
    <row r="738" spans="1:11">
      <c r="A738" s="517"/>
      <c r="B738" s="517"/>
      <c r="C738" s="517"/>
      <c r="D738" s="1302"/>
      <c r="E738" s="1302"/>
      <c r="F738" s="1302"/>
      <c r="H738" s="535"/>
      <c r="I738" s="517"/>
      <c r="J738" s="535"/>
      <c r="K738" s="535"/>
    </row>
    <row r="739" spans="1:11">
      <c r="A739" s="517"/>
      <c r="B739" s="517"/>
      <c r="C739" s="517"/>
      <c r="D739" s="1319" t="s">
        <v>2392</v>
      </c>
      <c r="E739" s="1319"/>
      <c r="F739" s="1319"/>
      <c r="H739" s="535"/>
      <c r="I739" s="517"/>
      <c r="J739" s="535"/>
      <c r="K739" s="535"/>
    </row>
    <row r="740" spans="1:11">
      <c r="A740" s="517"/>
      <c r="B740" s="517"/>
      <c r="C740" s="517"/>
      <c r="D740" s="369"/>
      <c r="H740" s="535"/>
      <c r="I740" s="517"/>
      <c r="J740" s="535"/>
      <c r="K740" s="535"/>
    </row>
    <row r="741" spans="1:11">
      <c r="A741" s="1321" t="s">
        <v>1089</v>
      </c>
      <c r="B741" s="1321"/>
      <c r="C741" s="1321"/>
      <c r="D741" s="1321"/>
      <c r="E741" s="1321"/>
      <c r="F741" s="1321"/>
      <c r="G741" s="1321"/>
      <c r="H741" s="1065"/>
      <c r="I741" s="1263"/>
      <c r="J741" s="535"/>
      <c r="K741" s="535"/>
    </row>
    <row r="742" spans="1:11">
      <c r="A742" s="517"/>
      <c r="B742" s="517"/>
      <c r="C742" s="517"/>
      <c r="D742" s="526"/>
      <c r="G742" s="535"/>
      <c r="H742" s="535"/>
      <c r="I742" s="517"/>
      <c r="J742" s="535"/>
      <c r="K742" s="535"/>
    </row>
    <row r="743" spans="1:11" ht="13.7" customHeight="1">
      <c r="C743" s="517"/>
      <c r="D743" s="1304" t="s">
        <v>1105</v>
      </c>
      <c r="E743" s="1304"/>
      <c r="F743" s="1304"/>
      <c r="G743" s="535"/>
      <c r="H743" s="535"/>
      <c r="I743" s="517"/>
      <c r="J743" s="535"/>
      <c r="K743" s="535"/>
    </row>
    <row r="744" spans="1:11">
      <c r="A744" s="517"/>
      <c r="B744" s="517"/>
      <c r="C744" s="517"/>
      <c r="D744" s="1305" t="s">
        <v>1106</v>
      </c>
      <c r="E744" s="1305"/>
      <c r="F744" s="1305"/>
      <c r="G744" s="535"/>
      <c r="H744" s="535"/>
      <c r="I744" s="517"/>
      <c r="J744" s="535"/>
      <c r="K744" s="535"/>
    </row>
    <row r="745" spans="1:11">
      <c r="A745" s="517"/>
      <c r="B745" s="517"/>
      <c r="C745" s="517"/>
      <c r="G745" s="535"/>
      <c r="H745" s="535"/>
      <c r="I745" s="517"/>
      <c r="J745" s="535"/>
      <c r="K745" s="535"/>
    </row>
    <row r="746" spans="1:11">
      <c r="A746" s="518"/>
      <c r="B746" s="519" t="s">
        <v>2775</v>
      </c>
      <c r="D746" s="1302" t="s">
        <v>1107</v>
      </c>
      <c r="E746" s="1302"/>
      <c r="F746" s="1302"/>
      <c r="G746" s="535"/>
      <c r="H746" s="535"/>
      <c r="I746" s="517" t="s">
        <v>2110</v>
      </c>
      <c r="J746" s="535"/>
      <c r="K746" s="535"/>
    </row>
    <row r="747" spans="1:11" ht="10.5" customHeight="1">
      <c r="D747" s="1302"/>
      <c r="E747" s="1302"/>
      <c r="F747" s="1302"/>
      <c r="G747" s="535"/>
      <c r="H747" s="535"/>
      <c r="I747" s="517"/>
      <c r="J747" s="535"/>
      <c r="K747" s="535"/>
    </row>
    <row r="748" spans="1:11">
      <c r="D748" s="1302"/>
      <c r="E748" s="1302"/>
      <c r="F748" s="1302"/>
      <c r="G748" s="535"/>
      <c r="H748" s="535"/>
      <c r="I748" s="517"/>
      <c r="J748" s="535"/>
      <c r="K748" s="535"/>
    </row>
    <row r="749" spans="1:11">
      <c r="D749" s="1302"/>
      <c r="E749" s="1302"/>
      <c r="F749" s="1302"/>
      <c r="G749" s="535"/>
      <c r="H749" s="535"/>
      <c r="I749" s="517"/>
      <c r="J749" s="535"/>
      <c r="K749" s="535"/>
    </row>
    <row r="750" spans="1:11">
      <c r="D750" s="1302"/>
      <c r="E750" s="1302"/>
      <c r="F750" s="1302"/>
      <c r="G750" s="535"/>
      <c r="H750" s="535"/>
      <c r="I750" s="517"/>
      <c r="J750" s="535"/>
      <c r="K750" s="535"/>
    </row>
    <row r="751" spans="1:11" ht="15.65" customHeight="1">
      <c r="D751" s="1302"/>
      <c r="E751" s="1302"/>
      <c r="F751" s="1302"/>
      <c r="G751" s="535"/>
      <c r="H751" s="535"/>
      <c r="I751" s="517"/>
      <c r="J751" s="535"/>
      <c r="K751" s="535"/>
    </row>
    <row r="752" spans="1:11">
      <c r="D752" s="533"/>
      <c r="E752" s="480"/>
      <c r="F752" s="480"/>
      <c r="G752" s="535"/>
      <c r="H752" s="535"/>
      <c r="I752" s="517"/>
      <c r="J752" s="535"/>
      <c r="K752" s="535"/>
    </row>
    <row r="753" spans="1:11" s="539" customFormat="1">
      <c r="A753" s="537"/>
      <c r="B753" s="519" t="s">
        <v>2775</v>
      </c>
      <c r="C753" s="538"/>
      <c r="D753" s="1302" t="s">
        <v>1349</v>
      </c>
      <c r="E753" s="1302"/>
      <c r="F753" s="1302"/>
      <c r="I753" s="1264" t="s">
        <v>2110</v>
      </c>
    </row>
    <row r="754" spans="1:11" s="539" customFormat="1">
      <c r="A754" s="538"/>
      <c r="B754" s="538"/>
      <c r="C754" s="538"/>
      <c r="D754" s="1302"/>
      <c r="E754" s="1302"/>
      <c r="F754" s="1302"/>
      <c r="I754" s="1264"/>
    </row>
    <row r="755" spans="1:11" s="539" customFormat="1">
      <c r="A755" s="538"/>
      <c r="B755" s="538"/>
      <c r="C755" s="538"/>
      <c r="D755" s="1302"/>
      <c r="E755" s="1302"/>
      <c r="F755" s="1302"/>
      <c r="I755" s="1264"/>
    </row>
    <row r="756" spans="1:11" s="539" customFormat="1">
      <c r="A756" s="538"/>
      <c r="B756" s="538"/>
      <c r="C756" s="538"/>
      <c r="D756" s="1302"/>
      <c r="E756" s="1302"/>
      <c r="F756" s="1302"/>
      <c r="I756" s="1264"/>
    </row>
    <row r="757" spans="1:11" s="539" customFormat="1">
      <c r="A757" s="538"/>
      <c r="B757" s="538"/>
      <c r="C757" s="538"/>
      <c r="D757" s="533"/>
      <c r="I757" s="1264"/>
    </row>
    <row r="758" spans="1:11" s="539" customFormat="1">
      <c r="A758" s="518"/>
      <c r="B758" s="519" t="s">
        <v>2776</v>
      </c>
      <c r="C758" s="538"/>
      <c r="D758" s="1300" t="s">
        <v>1350</v>
      </c>
      <c r="E758" s="1300"/>
      <c r="F758" s="1300"/>
      <c r="I758" s="1264" t="s">
        <v>2111</v>
      </c>
    </row>
    <row r="759" spans="1:11" s="539" customFormat="1">
      <c r="A759" s="538"/>
      <c r="B759" s="538"/>
      <c r="C759" s="538"/>
      <c r="D759" s="1300"/>
      <c r="E759" s="1300"/>
      <c r="F759" s="1300"/>
      <c r="I759" s="1264"/>
    </row>
    <row r="760" spans="1:11" s="539" customFormat="1">
      <c r="A760" s="538"/>
      <c r="B760" s="538"/>
      <c r="C760" s="538"/>
      <c r="D760" s="1300"/>
      <c r="E760" s="1300"/>
      <c r="F760" s="1300"/>
      <c r="I760" s="1264"/>
    </row>
    <row r="761" spans="1:11">
      <c r="D761" s="533"/>
      <c r="E761" s="480"/>
      <c r="F761" s="480"/>
      <c r="G761" s="535"/>
      <c r="H761" s="535"/>
      <c r="I761" s="517"/>
      <c r="J761" s="535"/>
      <c r="K761" s="535"/>
    </row>
    <row r="762" spans="1:11">
      <c r="A762" s="518"/>
      <c r="B762" s="519" t="s">
        <v>2776</v>
      </c>
      <c r="D762" s="1302" t="s">
        <v>1305</v>
      </c>
      <c r="E762" s="1302"/>
      <c r="F762" s="1302"/>
      <c r="G762" s="535"/>
      <c r="H762" s="535"/>
      <c r="I762" s="517" t="s">
        <v>2110</v>
      </c>
      <c r="J762" s="535"/>
      <c r="K762" s="535"/>
    </row>
    <row r="763" spans="1:11">
      <c r="D763" s="1302"/>
      <c r="E763" s="1302"/>
      <c r="F763" s="1302"/>
      <c r="G763" s="535"/>
      <c r="H763" s="535"/>
      <c r="I763" s="517"/>
      <c r="J763" s="535"/>
      <c r="K763" s="535"/>
    </row>
    <row r="764" spans="1:11">
      <c r="D764" s="479"/>
      <c r="E764" s="479"/>
      <c r="F764" s="479"/>
      <c r="G764" s="535"/>
      <c r="H764" s="535"/>
      <c r="I764" s="517"/>
      <c r="J764" s="535"/>
      <c r="K764" s="535"/>
    </row>
    <row r="765" spans="1:11">
      <c r="B765" s="519" t="s">
        <v>2776</v>
      </c>
      <c r="D765" s="1302" t="s">
        <v>1322</v>
      </c>
      <c r="E765" s="1302"/>
      <c r="F765" s="1302"/>
      <c r="G765" s="535"/>
      <c r="H765" s="535"/>
      <c r="I765" s="517" t="s">
        <v>2110</v>
      </c>
      <c r="J765" s="535"/>
      <c r="K765" s="535"/>
    </row>
    <row r="766" spans="1:11">
      <c r="D766" s="1302"/>
      <c r="E766" s="1302"/>
      <c r="F766" s="1302"/>
      <c r="G766" s="535"/>
      <c r="H766" s="535"/>
      <c r="I766" s="517"/>
      <c r="J766" s="535"/>
      <c r="K766" s="535"/>
    </row>
    <row r="767" spans="1:11">
      <c r="D767" s="1302"/>
      <c r="E767" s="1302"/>
      <c r="F767" s="1302"/>
      <c r="G767" s="535"/>
      <c r="H767" s="535"/>
      <c r="I767" s="517"/>
      <c r="J767" s="535"/>
      <c r="K767" s="535"/>
    </row>
    <row r="768" spans="1:11">
      <c r="D768" s="479"/>
      <c r="E768" s="479"/>
      <c r="F768" s="479"/>
      <c r="G768" s="535"/>
      <c r="H768" s="535"/>
      <c r="I768" s="517"/>
      <c r="J768" s="535"/>
      <c r="K768" s="535"/>
    </row>
    <row r="769" spans="1:9">
      <c r="A769" s="1354" t="s">
        <v>1993</v>
      </c>
      <c r="B769" s="1354"/>
      <c r="C769" s="1354"/>
      <c r="D769" s="1354"/>
      <c r="E769" s="1354"/>
      <c r="F769" s="1354"/>
      <c r="G769" s="1354"/>
      <c r="H769" s="1063"/>
      <c r="I769" s="1259"/>
    </row>
    <row r="770" spans="1:9">
      <c r="A770" s="57"/>
      <c r="B770" s="57"/>
      <c r="C770" s="385"/>
      <c r="D770" s="3"/>
      <c r="E770" s="3"/>
      <c r="F770" s="3"/>
      <c r="G770" s="3"/>
      <c r="I770" s="524"/>
    </row>
    <row r="771" spans="1:9">
      <c r="A771" s="57"/>
      <c r="B771" s="57"/>
      <c r="C771" s="385"/>
      <c r="D771" s="1343" t="s">
        <v>2047</v>
      </c>
      <c r="E771" s="1343"/>
      <c r="F771" s="1343"/>
      <c r="G771" s="3"/>
      <c r="I771" s="524"/>
    </row>
    <row r="772" spans="1:9">
      <c r="A772" s="57"/>
      <c r="B772" s="57"/>
      <c r="C772" s="385"/>
      <c r="D772" s="1288" t="s">
        <v>1946</v>
      </c>
      <c r="E772" s="1288"/>
      <c r="F772" s="1288"/>
      <c r="G772" s="3"/>
      <c r="I772" s="524"/>
    </row>
    <row r="773" spans="1:9">
      <c r="A773" s="57"/>
      <c r="B773" s="57"/>
      <c r="C773" s="385"/>
      <c r="D773" s="481"/>
      <c r="E773" s="481"/>
      <c r="F773" s="481"/>
      <c r="G773" s="3"/>
      <c r="I773" s="524"/>
    </row>
    <row r="774" spans="1:9">
      <c r="A774" s="57"/>
      <c r="B774" s="519" t="s">
        <v>2775</v>
      </c>
      <c r="C774" s="385"/>
      <c r="D774" s="1315" t="s">
        <v>1947</v>
      </c>
      <c r="E774" s="1315"/>
      <c r="F774" s="1315"/>
      <c r="G774" s="3"/>
      <c r="I774" s="517" t="s">
        <v>2160</v>
      </c>
    </row>
    <row r="775" spans="1:9">
      <c r="A775" s="57"/>
      <c r="B775" s="57"/>
      <c r="C775" s="385"/>
      <c r="D775" s="1315"/>
      <c r="E775" s="1315"/>
      <c r="F775" s="1315"/>
      <c r="G775" s="3"/>
      <c r="I775" s="524"/>
    </row>
    <row r="776" spans="1:9">
      <c r="A776" s="175"/>
      <c r="B776" s="175"/>
      <c r="C776" s="175"/>
      <c r="D776" s="1315"/>
      <c r="E776" s="1315"/>
      <c r="F776" s="1315"/>
      <c r="G776" s="118"/>
      <c r="I776" s="524"/>
    </row>
    <row r="777" spans="1:9">
      <c r="A777" s="385"/>
      <c r="B777" s="385"/>
      <c r="C777" s="385"/>
      <c r="D777" s="174"/>
      <c r="E777" s="3"/>
      <c r="F777" s="3"/>
      <c r="G777" s="3"/>
      <c r="I777" s="524"/>
    </row>
    <row r="778" spans="1:9">
      <c r="A778" s="172"/>
      <c r="B778" s="519" t="s">
        <v>2776</v>
      </c>
      <c r="C778" s="172"/>
      <c r="D778" s="1315" t="s">
        <v>1948</v>
      </c>
      <c r="E778" s="1315"/>
      <c r="F778" s="1315"/>
      <c r="G778" s="3"/>
      <c r="I778" s="517" t="s">
        <v>2160</v>
      </c>
    </row>
    <row r="779" spans="1:9">
      <c r="A779" s="172"/>
      <c r="B779" s="172"/>
      <c r="C779" s="172"/>
      <c r="D779" s="1315"/>
      <c r="E779" s="1315"/>
      <c r="F779" s="1315"/>
      <c r="G779" s="3"/>
      <c r="I779" s="524"/>
    </row>
    <row r="780" spans="1:9">
      <c r="A780" s="172"/>
      <c r="B780" s="172"/>
      <c r="C780" s="172"/>
      <c r="D780" s="1315"/>
      <c r="E780" s="1315"/>
      <c r="F780" s="1315"/>
      <c r="G780" s="3"/>
      <c r="I780" s="524"/>
    </row>
    <row r="781" spans="1:9">
      <c r="A781" s="175"/>
      <c r="B781" s="175"/>
      <c r="C781" s="175"/>
      <c r="D781" s="3"/>
      <c r="E781" s="1023"/>
      <c r="F781" s="1023"/>
      <c r="G781" s="1023"/>
      <c r="I781" s="524"/>
    </row>
    <row r="782" spans="1:9">
      <c r="A782" s="176"/>
      <c r="B782" s="519" t="s">
        <v>2776</v>
      </c>
      <c r="C782" s="1024"/>
      <c r="D782" s="1315" t="s">
        <v>1949</v>
      </c>
      <c r="E782" s="1315"/>
      <c r="F782" s="1315"/>
      <c r="G782" s="1023"/>
      <c r="I782" s="517" t="s">
        <v>2160</v>
      </c>
    </row>
    <row r="783" spans="1:9">
      <c r="A783" s="176"/>
      <c r="B783" s="176"/>
      <c r="C783" s="1024"/>
      <c r="D783" s="1315"/>
      <c r="E783" s="1315"/>
      <c r="F783" s="1315"/>
      <c r="G783" s="1023"/>
      <c r="I783" s="524"/>
    </row>
    <row r="784" spans="1:9">
      <c r="A784" s="176"/>
      <c r="B784" s="176"/>
      <c r="C784" s="1024"/>
      <c r="D784" s="1315"/>
      <c r="E784" s="1315"/>
      <c r="F784" s="1315"/>
      <c r="G784" s="1023"/>
      <c r="I784" s="524"/>
    </row>
    <row r="785" spans="1:9">
      <c r="A785" s="176"/>
      <c r="B785" s="176"/>
      <c r="C785" s="1024"/>
      <c r="D785" s="118"/>
      <c r="E785" s="3"/>
      <c r="F785" s="3"/>
      <c r="G785" s="1023"/>
      <c r="I785" s="524"/>
    </row>
    <row r="786" spans="1:9">
      <c r="A786" s="176"/>
      <c r="B786" s="519" t="s">
        <v>2776</v>
      </c>
      <c r="C786" s="1024"/>
      <c r="D786" s="1315" t="s">
        <v>1950</v>
      </c>
      <c r="E786" s="1315"/>
      <c r="F786" s="1315"/>
      <c r="G786" s="1023"/>
      <c r="I786" s="517" t="s">
        <v>2160</v>
      </c>
    </row>
    <row r="787" spans="1:9">
      <c r="A787" s="176"/>
      <c r="B787" s="176"/>
      <c r="C787" s="1024"/>
      <c r="D787" s="1315"/>
      <c r="E787" s="1315"/>
      <c r="F787" s="1315"/>
      <c r="G787" s="1023"/>
      <c r="I787" s="524"/>
    </row>
    <row r="788" spans="1:9">
      <c r="A788" s="176"/>
      <c r="B788" s="176"/>
      <c r="C788" s="1024"/>
      <c r="D788" s="1315"/>
      <c r="E788" s="1315"/>
      <c r="F788" s="1315"/>
      <c r="G788" s="1023"/>
      <c r="I788" s="524"/>
    </row>
    <row r="789" spans="1:9">
      <c r="A789" s="176"/>
      <c r="B789" s="176"/>
      <c r="C789" s="1024"/>
      <c r="D789" s="1315"/>
      <c r="E789" s="1315"/>
      <c r="F789" s="1315"/>
      <c r="G789" s="1023"/>
      <c r="I789" s="524"/>
    </row>
    <row r="790" spans="1:9">
      <c r="A790" s="176"/>
      <c r="B790" s="176"/>
      <c r="C790" s="1024"/>
      <c r="D790" s="1315"/>
      <c r="E790" s="1315"/>
      <c r="F790" s="1315"/>
      <c r="G790" s="1023"/>
      <c r="I790" s="524"/>
    </row>
    <row r="791" spans="1:9">
      <c r="A791" s="176"/>
      <c r="B791" s="176"/>
      <c r="C791" s="1024"/>
      <c r="D791" s="1315"/>
      <c r="E791" s="1315"/>
      <c r="F791" s="1315"/>
      <c r="G791" s="1023"/>
      <c r="I791" s="524"/>
    </row>
    <row r="792" spans="1:9">
      <c r="A792" s="176"/>
      <c r="B792" s="176"/>
      <c r="C792" s="1024"/>
      <c r="D792" s="1315" t="s">
        <v>1994</v>
      </c>
      <c r="E792" s="1315"/>
      <c r="F792" s="1315"/>
      <c r="G792" s="1023"/>
      <c r="I792" s="524"/>
    </row>
    <row r="793" spans="1:9">
      <c r="A793" s="176"/>
      <c r="B793" s="176"/>
      <c r="C793" s="1024"/>
      <c r="D793" s="1315"/>
      <c r="E793" s="1315"/>
      <c r="F793" s="1315"/>
      <c r="G793" s="1023"/>
      <c r="I793" s="524"/>
    </row>
    <row r="794" spans="1:9">
      <c r="A794" s="176"/>
      <c r="B794" s="176"/>
      <c r="C794" s="1024"/>
      <c r="D794" s="1315"/>
      <c r="E794" s="1315"/>
      <c r="F794" s="1315"/>
      <c r="G794" s="1023"/>
      <c r="I794" s="524"/>
    </row>
    <row r="795" spans="1:9">
      <c r="A795" s="176"/>
      <c r="B795" s="385"/>
      <c r="C795" s="1024"/>
      <c r="D795" s="1025"/>
      <c r="E795" s="1025"/>
      <c r="F795" s="1025"/>
      <c r="G795" s="1023"/>
      <c r="I795" s="524"/>
    </row>
    <row r="796" spans="1:9">
      <c r="A796" s="176"/>
      <c r="B796" s="519" t="s">
        <v>2776</v>
      </c>
      <c r="C796" s="1024"/>
      <c r="D796" s="1315" t="s">
        <v>1951</v>
      </c>
      <c r="E796" s="1315"/>
      <c r="F796" s="1315"/>
      <c r="G796" s="1023"/>
      <c r="I796" s="517" t="s">
        <v>2160</v>
      </c>
    </row>
    <row r="797" spans="1:9">
      <c r="A797" s="176"/>
      <c r="B797" s="176"/>
      <c r="C797" s="1024"/>
      <c r="D797" s="1315"/>
      <c r="E797" s="1315"/>
      <c r="F797" s="1315"/>
      <c r="G797" s="1023"/>
      <c r="I797" s="524"/>
    </row>
    <row r="798" spans="1:9">
      <c r="A798" s="176"/>
      <c r="B798" s="176"/>
      <c r="C798" s="1024"/>
      <c r="D798" s="1315"/>
      <c r="E798" s="1315"/>
      <c r="F798" s="1315"/>
      <c r="G798" s="1023"/>
      <c r="I798" s="524"/>
    </row>
    <row r="799" spans="1:9">
      <c r="A799" s="176"/>
      <c r="B799" s="176"/>
      <c r="C799" s="1024"/>
      <c r="D799" s="1315"/>
      <c r="E799" s="1315"/>
      <c r="F799" s="1315"/>
      <c r="G799" s="1023"/>
      <c r="I799" s="524"/>
    </row>
    <row r="800" spans="1:9">
      <c r="A800" s="176"/>
      <c r="B800" s="176"/>
      <c r="C800" s="1024"/>
      <c r="D800" s="1315"/>
      <c r="E800" s="1315"/>
      <c r="F800" s="1315"/>
      <c r="G800" s="1023"/>
      <c r="I800" s="524"/>
    </row>
    <row r="801" spans="1:9">
      <c r="A801" s="176"/>
      <c r="B801" s="176"/>
      <c r="C801" s="1024"/>
      <c r="D801" s="1315"/>
      <c r="E801" s="1315"/>
      <c r="F801" s="1315"/>
      <c r="G801" s="1023"/>
      <c r="I801" s="524"/>
    </row>
    <row r="802" spans="1:9">
      <c r="A802" s="176"/>
      <c r="B802" s="176"/>
      <c r="C802" s="1024"/>
      <c r="D802" s="1017"/>
      <c r="E802" s="1017"/>
      <c r="F802" s="1017"/>
      <c r="G802" s="1023"/>
      <c r="I802" s="524"/>
    </row>
    <row r="803" spans="1:9">
      <c r="A803" s="176"/>
      <c r="B803" s="519" t="s">
        <v>2775</v>
      </c>
      <c r="C803" s="1024"/>
      <c r="D803" s="1315" t="s">
        <v>1952</v>
      </c>
      <c r="E803" s="1315"/>
      <c r="F803" s="1315"/>
      <c r="G803" s="1023"/>
      <c r="I803" s="517" t="s">
        <v>2160</v>
      </c>
    </row>
    <row r="804" spans="1:9">
      <c r="A804" s="176"/>
      <c r="B804" s="176"/>
      <c r="C804" s="1024"/>
      <c r="D804" s="1315"/>
      <c r="E804" s="1315"/>
      <c r="F804" s="1315"/>
      <c r="G804" s="1023"/>
      <c r="I804" s="524"/>
    </row>
    <row r="805" spans="1:9">
      <c r="A805" s="176"/>
      <c r="B805" s="176"/>
      <c r="C805" s="1024"/>
      <c r="D805" s="1315"/>
      <c r="E805" s="1315"/>
      <c r="F805" s="1315"/>
      <c r="G805" s="1023"/>
      <c r="I805" s="524"/>
    </row>
    <row r="806" spans="1:9">
      <c r="A806" s="176"/>
      <c r="B806" s="176"/>
      <c r="C806" s="1024"/>
      <c r="D806" s="1315"/>
      <c r="E806" s="1315"/>
      <c r="F806" s="1315"/>
      <c r="G806" s="1023"/>
      <c r="I806" s="524"/>
    </row>
    <row r="807" spans="1:9">
      <c r="A807" s="176"/>
      <c r="B807" s="176"/>
      <c r="C807" s="1024"/>
      <c r="D807" s="1315"/>
      <c r="E807" s="1315"/>
      <c r="F807" s="1315"/>
      <c r="G807" s="1023"/>
      <c r="I807" s="524"/>
    </row>
    <row r="808" spans="1:9">
      <c r="A808" s="176"/>
      <c r="B808" s="176"/>
      <c r="C808" s="1024"/>
      <c r="D808" s="1315"/>
      <c r="E808" s="1315"/>
      <c r="F808" s="1315"/>
      <c r="G808" s="1023"/>
      <c r="I808" s="524"/>
    </row>
    <row r="809" spans="1:9">
      <c r="A809" s="176"/>
      <c r="B809" s="176"/>
      <c r="C809" s="1024"/>
      <c r="D809" s="1017"/>
      <c r="E809" s="1017"/>
      <c r="F809" s="1017"/>
      <c r="G809" s="1023"/>
      <c r="I809" s="524"/>
    </row>
    <row r="810" spans="1:9">
      <c r="A810" s="176"/>
      <c r="B810" s="519" t="s">
        <v>2776</v>
      </c>
      <c r="C810" s="1024"/>
      <c r="D810" s="1312" t="s">
        <v>1953</v>
      </c>
      <c r="E810" s="1312"/>
      <c r="F810" s="1312"/>
      <c r="G810" s="1023"/>
      <c r="I810" s="517" t="s">
        <v>2160</v>
      </c>
    </row>
    <row r="811" spans="1:9">
      <c r="A811" s="176"/>
      <c r="B811" s="176"/>
      <c r="C811" s="1024"/>
      <c r="D811" s="1312"/>
      <c r="E811" s="1312"/>
      <c r="F811" s="1312"/>
      <c r="G811" s="1023"/>
      <c r="I811" s="524"/>
    </row>
    <row r="812" spans="1:9">
      <c r="A812" s="13"/>
      <c r="B812" s="13"/>
      <c r="C812" s="1024"/>
      <c r="D812" s="1312"/>
      <c r="E812" s="1312"/>
      <c r="F812" s="1312"/>
      <c r="G812" s="1023"/>
      <c r="I812" s="524"/>
    </row>
    <row r="813" spans="1:9">
      <c r="A813" s="176"/>
      <c r="B813" s="13"/>
      <c r="C813" s="1024"/>
      <c r="D813" s="1312"/>
      <c r="E813" s="1312"/>
      <c r="F813" s="1312"/>
      <c r="G813" s="1023"/>
      <c r="I813" s="524"/>
    </row>
    <row r="814" spans="1:9" ht="12.75" customHeight="1">
      <c r="A814" s="176"/>
      <c r="B814" s="13"/>
      <c r="C814" s="1024"/>
      <c r="D814" s="1312"/>
      <c r="E814" s="1312"/>
      <c r="F814" s="1312"/>
      <c r="G814" s="1023"/>
      <c r="I814" s="524"/>
    </row>
    <row r="815" spans="1:9" ht="12.75" customHeight="1">
      <c r="A815" s="176"/>
      <c r="B815" s="13"/>
      <c r="C815" s="1024"/>
      <c r="D815" s="1312"/>
      <c r="E815" s="1312"/>
      <c r="F815" s="1312"/>
      <c r="G815" s="1023"/>
      <c r="I815" s="524"/>
    </row>
    <row r="816" spans="1:9" ht="12.75" customHeight="1">
      <c r="A816" s="13"/>
      <c r="B816" s="13"/>
      <c r="C816" s="1024"/>
      <c r="D816" s="1023"/>
      <c r="E816" s="3"/>
      <c r="F816" s="3"/>
      <c r="G816" s="1023"/>
      <c r="I816" s="524"/>
    </row>
    <row r="817" spans="1:9" ht="12.75" customHeight="1">
      <c r="A817" s="1320" t="s">
        <v>1954</v>
      </c>
      <c r="B817" s="1320"/>
      <c r="C817" s="1320"/>
      <c r="D817" s="1320"/>
      <c r="E817" s="1320"/>
      <c r="F817" s="1320"/>
      <c r="G817" s="1320"/>
      <c r="H817" s="1063"/>
      <c r="I817" s="1259"/>
    </row>
    <row r="818" spans="1:9" ht="12.75" customHeight="1">
      <c r="A818" s="172"/>
      <c r="B818" s="172"/>
      <c r="C818" s="1024"/>
      <c r="D818" s="1023"/>
      <c r="E818" s="1023"/>
      <c r="F818" s="1023"/>
      <c r="G818" s="1023"/>
      <c r="I818" s="524"/>
    </row>
    <row r="819" spans="1:9" ht="12.75" customHeight="1">
      <c r="A819" s="176"/>
      <c r="B819" s="176"/>
      <c r="C819" s="385"/>
      <c r="D819" s="1308" t="s">
        <v>1995</v>
      </c>
      <c r="E819" s="1308"/>
      <c r="F819" s="1308"/>
      <c r="G819" s="3"/>
      <c r="I819" s="524"/>
    </row>
    <row r="820" spans="1:9" ht="14.25" customHeight="1">
      <c r="A820" s="176"/>
      <c r="B820" s="176"/>
      <c r="C820" s="385"/>
      <c r="D820" s="1275" t="s">
        <v>1955</v>
      </c>
      <c r="E820" s="1275"/>
      <c r="F820" s="1275"/>
      <c r="G820" s="3"/>
      <c r="I820" s="524"/>
    </row>
    <row r="821" spans="1:9" ht="12.75" customHeight="1">
      <c r="A821" s="176"/>
      <c r="B821" s="176"/>
      <c r="C821" s="385"/>
      <c r="D821" s="474"/>
      <c r="E821" s="474"/>
      <c r="F821" s="474"/>
      <c r="G821" s="3"/>
      <c r="I821" s="524"/>
    </row>
    <row r="822" spans="1:9" ht="12.75" customHeight="1">
      <c r="A822" s="385"/>
      <c r="B822" s="519" t="s">
        <v>2775</v>
      </c>
      <c r="C822" s="1024"/>
      <c r="D822" s="1275" t="s">
        <v>1956</v>
      </c>
      <c r="E822" s="1275"/>
      <c r="F822" s="1275"/>
      <c r="G822" s="3"/>
      <c r="I822" s="524" t="s">
        <v>2128</v>
      </c>
    </row>
    <row r="823" spans="1:9" ht="14.25" customHeight="1">
      <c r="A823" s="13"/>
      <c r="B823" s="13"/>
      <c r="C823" s="1024"/>
      <c r="E823" s="1071" t="s">
        <v>2197</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45" t="s">
        <v>2393</v>
      </c>
      <c r="E825" s="1345"/>
      <c r="F825" s="1345"/>
      <c r="G825" s="3"/>
      <c r="I825" s="524"/>
    </row>
    <row r="826" spans="1:9" ht="12.75" hidden="1" customHeight="1">
      <c r="A826" s="13"/>
      <c r="B826" s="13"/>
      <c r="C826" s="1024"/>
      <c r="D826" s="1345"/>
      <c r="E826" s="1345"/>
      <c r="F826" s="1345"/>
      <c r="G826" s="3"/>
      <c r="I826" s="524"/>
    </row>
    <row r="827" spans="1:9" ht="12.75" hidden="1" customHeight="1">
      <c r="A827" s="13"/>
      <c r="B827" s="13"/>
      <c r="C827" s="1024"/>
      <c r="D827" s="1345"/>
      <c r="E827" s="1345"/>
      <c r="F827" s="1345"/>
      <c r="G827" s="3"/>
      <c r="I827" s="524"/>
    </row>
    <row r="828" spans="1:9" ht="12.75" hidden="1" customHeight="1">
      <c r="A828" s="13"/>
      <c r="B828" s="13"/>
      <c r="C828" s="1024"/>
      <c r="D828" s="1345"/>
      <c r="E828" s="1345"/>
      <c r="F828" s="1345"/>
      <c r="G828" s="3"/>
      <c r="I828" s="524"/>
    </row>
    <row r="829" spans="1:9" ht="12.75" hidden="1" customHeight="1">
      <c r="A829" s="13"/>
      <c r="B829" s="13"/>
      <c r="C829" s="1024"/>
      <c r="D829" s="1345"/>
      <c r="E829" s="1345"/>
      <c r="F829" s="1345"/>
      <c r="G829" s="3"/>
      <c r="I829" s="524"/>
    </row>
    <row r="830" spans="1:9" ht="12.75" hidden="1" customHeight="1">
      <c r="A830" s="13"/>
      <c r="B830" s="13"/>
      <c r="C830" s="1024"/>
      <c r="D830" s="1345"/>
      <c r="E830" s="1345"/>
      <c r="F830" s="1345"/>
      <c r="G830" s="3"/>
      <c r="I830" s="524"/>
    </row>
    <row r="831" spans="1:9" ht="12.75" hidden="1" customHeight="1">
      <c r="A831" s="13"/>
      <c r="B831" s="13"/>
      <c r="C831" s="1024"/>
      <c r="D831" s="1345"/>
      <c r="E831" s="1345"/>
      <c r="F831" s="1345"/>
      <c r="G831" s="3"/>
      <c r="I831" s="524"/>
    </row>
    <row r="832" spans="1:9" ht="12.75" hidden="1" customHeight="1">
      <c r="A832" s="13"/>
      <c r="B832" s="13"/>
      <c r="C832" s="1024"/>
      <c r="D832" s="1345"/>
      <c r="E832" s="1345"/>
      <c r="F832" s="1345"/>
      <c r="G832" s="3"/>
      <c r="I832" s="524"/>
    </row>
    <row r="833" spans="1:9" ht="12.75" hidden="1" customHeight="1">
      <c r="A833" s="13"/>
      <c r="B833" s="13"/>
      <c r="C833" s="1024"/>
      <c r="D833" s="1345"/>
      <c r="E833" s="1345"/>
      <c r="F833" s="1345"/>
      <c r="G833" s="3"/>
      <c r="I833" s="524"/>
    </row>
    <row r="834" spans="1:9" ht="12.75" hidden="1" customHeight="1">
      <c r="A834" s="13"/>
      <c r="B834" s="13"/>
      <c r="C834" s="1024"/>
      <c r="D834" s="1345"/>
      <c r="E834" s="1345"/>
      <c r="F834" s="1345"/>
      <c r="G834" s="3"/>
      <c r="I834" s="524"/>
    </row>
    <row r="835" spans="1:9" ht="12.75" hidden="1" customHeight="1">
      <c r="A835" s="13"/>
      <c r="B835" s="13"/>
      <c r="C835" s="1024"/>
      <c r="D835" s="1026"/>
      <c r="E835" s="3"/>
      <c r="F835" s="3"/>
      <c r="G835" s="3"/>
      <c r="I835" s="524"/>
    </row>
    <row r="836" spans="1:9" ht="12.75" customHeight="1">
      <c r="A836" s="176"/>
      <c r="B836" s="519" t="s">
        <v>2775</v>
      </c>
      <c r="C836" s="1024"/>
      <c r="D836" s="1275" t="s">
        <v>1957</v>
      </c>
      <c r="E836" s="1275"/>
      <c r="F836" s="1275"/>
      <c r="G836" s="3"/>
      <c r="I836" s="524" t="s">
        <v>2146</v>
      </c>
    </row>
    <row r="837" spans="1:9" ht="12.75" customHeight="1">
      <c r="A837" s="176"/>
      <c r="B837" s="176"/>
      <c r="C837" s="1024"/>
      <c r="D837" s="1275"/>
      <c r="E837" s="1275"/>
      <c r="F837" s="1275"/>
      <c r="G837" s="3"/>
      <c r="I837" s="524"/>
    </row>
    <row r="838" spans="1:9" ht="12.75" customHeight="1">
      <c r="A838" s="176"/>
      <c r="B838" s="176"/>
      <c r="C838" s="1024"/>
      <c r="D838" s="1275"/>
      <c r="E838" s="1275"/>
      <c r="F838" s="1275"/>
      <c r="G838" s="3"/>
      <c r="I838" s="524"/>
    </row>
    <row r="839" spans="1:9" ht="12.75" customHeight="1">
      <c r="A839" s="176"/>
      <c r="B839" s="176"/>
      <c r="C839" s="1024"/>
      <c r="D839" s="118"/>
      <c r="E839" s="3"/>
      <c r="F839" s="3"/>
      <c r="G839" s="3"/>
      <c r="I839" s="524"/>
    </row>
    <row r="840" spans="1:9" ht="12.75" customHeight="1">
      <c r="A840" s="1027"/>
      <c r="B840" s="519" t="s">
        <v>2776</v>
      </c>
      <c r="C840" s="1024"/>
      <c r="D840" s="1308" t="s">
        <v>1958</v>
      </c>
      <c r="E840" s="1308"/>
      <c r="F840" s="1308"/>
      <c r="G840" s="3"/>
      <c r="I840" s="524"/>
    </row>
    <row r="841" spans="1:9" ht="12.75" customHeight="1">
      <c r="A841" s="385"/>
      <c r="B841" s="1027"/>
      <c r="C841" s="1024"/>
      <c r="D841" s="1308"/>
      <c r="E841" s="1308"/>
      <c r="F841" s="1308"/>
      <c r="G841" s="3"/>
      <c r="I841" s="524"/>
    </row>
    <row r="842" spans="1:9" ht="12.75" customHeight="1">
      <c r="A842" s="176"/>
      <c r="B842" s="385"/>
      <c r="C842" s="1024"/>
      <c r="D842" s="1275" t="s">
        <v>2384</v>
      </c>
      <c r="E842" s="1275"/>
      <c r="F842" s="1275"/>
      <c r="G842" s="3"/>
      <c r="I842" s="524"/>
    </row>
    <row r="843" spans="1:9" ht="12.75" customHeight="1">
      <c r="A843" s="176"/>
      <c r="B843" s="176"/>
      <c r="C843" s="1024"/>
      <c r="D843" s="1275"/>
      <c r="E843" s="1275"/>
      <c r="F843" s="1275"/>
      <c r="G843" s="3"/>
      <c r="I843" s="524"/>
    </row>
    <row r="844" spans="1:9" ht="12.75" customHeight="1">
      <c r="A844" s="176"/>
      <c r="B844" s="176"/>
      <c r="C844" s="1024"/>
      <c r="D844" s="1275"/>
      <c r="E844" s="1275"/>
      <c r="F844" s="1275"/>
      <c r="G844" s="3"/>
      <c r="I844" s="524"/>
    </row>
    <row r="845" spans="1:9" ht="12.75" customHeight="1">
      <c r="A845" s="176"/>
      <c r="B845" s="176"/>
      <c r="C845" s="1024"/>
      <c r="D845" s="1275"/>
      <c r="E845" s="1275"/>
      <c r="F845" s="1275"/>
      <c r="G845" s="3"/>
      <c r="I845" s="524"/>
    </row>
    <row r="846" spans="1:9" ht="12.75" customHeight="1">
      <c r="A846" s="176"/>
      <c r="B846" s="176"/>
      <c r="C846" s="1024"/>
      <c r="D846" s="1275"/>
      <c r="E846" s="1275"/>
      <c r="F846" s="1275"/>
      <c r="G846" s="3"/>
      <c r="I846" s="524"/>
    </row>
    <row r="847" spans="1:9" ht="12.75" customHeight="1">
      <c r="A847" s="176"/>
      <c r="B847" s="176"/>
      <c r="C847" s="1024"/>
      <c r="D847" s="1275"/>
      <c r="E847" s="1275"/>
      <c r="F847" s="1275"/>
      <c r="G847" s="3"/>
      <c r="I847" s="524"/>
    </row>
    <row r="848" spans="1:9" ht="12.75" customHeight="1">
      <c r="A848" s="176"/>
      <c r="B848" s="176"/>
      <c r="C848" s="1024"/>
      <c r="D848" s="118"/>
      <c r="E848" s="3"/>
      <c r="F848" s="3"/>
      <c r="G848" s="3"/>
      <c r="I848" s="524"/>
    </row>
    <row r="849" spans="1:9" ht="12.75" customHeight="1">
      <c r="A849" s="176"/>
      <c r="B849" s="519" t="s">
        <v>2776</v>
      </c>
      <c r="C849" s="1024"/>
      <c r="D849" s="1275" t="s">
        <v>1959</v>
      </c>
      <c r="E849" s="1275"/>
      <c r="F849" s="1275"/>
      <c r="G849" s="3"/>
      <c r="I849" s="524" t="s">
        <v>2129</v>
      </c>
    </row>
    <row r="850" spans="1:9" ht="12.75" customHeight="1">
      <c r="A850" s="176"/>
      <c r="B850" s="176"/>
      <c r="C850" s="1024"/>
      <c r="D850" s="1275" t="s">
        <v>1960</v>
      </c>
      <c r="E850" s="1275"/>
      <c r="F850" s="1275"/>
      <c r="G850" s="3"/>
      <c r="I850" s="524"/>
    </row>
    <row r="851" spans="1:9" ht="12.75" customHeight="1">
      <c r="A851" s="176"/>
      <c r="B851" s="176"/>
      <c r="C851" s="1024"/>
      <c r="E851" s="1071" t="s">
        <v>2199</v>
      </c>
      <c r="F851" s="1073"/>
      <c r="G851" s="3"/>
      <c r="I851" s="524"/>
    </row>
    <row r="852" spans="1:9" ht="12.75" customHeight="1">
      <c r="A852" s="176"/>
      <c r="B852" s="176"/>
      <c r="C852" s="1024"/>
      <c r="D852" s="118"/>
      <c r="E852" s="3"/>
      <c r="F852" s="3"/>
      <c r="G852" s="3"/>
      <c r="I852" s="524"/>
    </row>
    <row r="853" spans="1:9" ht="12.75" customHeight="1">
      <c r="A853" s="176"/>
      <c r="B853" s="519" t="s">
        <v>2776</v>
      </c>
      <c r="C853" s="1024"/>
      <c r="D853" s="1275" t="s">
        <v>1961</v>
      </c>
      <c r="E853" s="1275"/>
      <c r="F853" s="1275"/>
      <c r="G853" s="3"/>
      <c r="I853" s="524" t="s">
        <v>2147</v>
      </c>
    </row>
    <row r="854" spans="1:9" ht="12.75" customHeight="1">
      <c r="A854" s="176"/>
      <c r="B854" s="176"/>
      <c r="C854" s="1024"/>
      <c r="D854" s="1275"/>
      <c r="E854" s="1275"/>
      <c r="F854" s="1275"/>
      <c r="G854" s="3"/>
      <c r="I854" s="524"/>
    </row>
    <row r="855" spans="1:9" ht="12.75" customHeight="1">
      <c r="A855" s="176"/>
      <c r="B855" s="176"/>
      <c r="C855" s="1024"/>
      <c r="D855" s="1275"/>
      <c r="E855" s="1275"/>
      <c r="F855" s="1275"/>
      <c r="G855" s="3"/>
      <c r="I855" s="524"/>
    </row>
    <row r="856" spans="1:9" ht="12.75" customHeight="1">
      <c r="A856" s="176"/>
      <c r="B856" s="176"/>
      <c r="C856" s="1024"/>
      <c r="D856" s="1275"/>
      <c r="E856" s="1275"/>
      <c r="F856" s="1275"/>
      <c r="G856" s="3"/>
      <c r="I856" s="524"/>
    </row>
    <row r="857" spans="1:9" ht="12.75" customHeight="1">
      <c r="A857" s="172"/>
      <c r="B857" s="172"/>
      <c r="C857" s="172"/>
      <c r="D857" s="118"/>
      <c r="E857" s="3"/>
      <c r="F857" s="3"/>
      <c r="G857" s="3"/>
      <c r="I857" s="524"/>
    </row>
    <row r="858" spans="1:9" ht="12.75" customHeight="1">
      <c r="A858" s="1018" t="s">
        <v>1962</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91" t="s">
        <v>1996</v>
      </c>
      <c r="E860" s="1291"/>
      <c r="F860" s="1291"/>
      <c r="G860" s="1023"/>
      <c r="I860" s="524"/>
    </row>
    <row r="861" spans="1:9" ht="12.75" customHeight="1">
      <c r="A861" s="385"/>
      <c r="B861" s="385"/>
      <c r="C861" s="175"/>
      <c r="D861" s="1344" t="s">
        <v>1963</v>
      </c>
      <c r="E861" s="1344"/>
      <c r="F861" s="1344"/>
      <c r="G861" s="1023"/>
      <c r="I861" s="524"/>
    </row>
    <row r="862" spans="1:9" ht="12.75" customHeight="1">
      <c r="A862" s="385"/>
      <c r="B862" s="385"/>
      <c r="C862" s="175"/>
      <c r="D862" s="1030"/>
      <c r="E862" s="1030"/>
      <c r="F862" s="1030"/>
      <c r="G862" s="1023"/>
      <c r="I862" s="524"/>
    </row>
    <row r="863" spans="1:9" ht="12.75" customHeight="1">
      <c r="A863" s="176"/>
      <c r="B863" s="519" t="s">
        <v>2775</v>
      </c>
      <c r="C863" s="385"/>
      <c r="D863" s="1286" t="s">
        <v>1964</v>
      </c>
      <c r="E863" s="1286"/>
      <c r="F863" s="1286"/>
      <c r="G863" s="1023"/>
      <c r="I863" s="524" t="s">
        <v>2129</v>
      </c>
    </row>
    <row r="864" spans="1:9" ht="12.75" customHeight="1">
      <c r="A864" s="385"/>
      <c r="B864" s="385"/>
      <c r="C864" s="385"/>
      <c r="D864" s="2" t="s">
        <v>1939</v>
      </c>
      <c r="E864" s="1071" t="s">
        <v>2199</v>
      </c>
      <c r="F864" s="1074"/>
      <c r="G864" s="1023"/>
      <c r="I864" s="524"/>
    </row>
    <row r="865" spans="1:9" ht="12.75" customHeight="1">
      <c r="A865" s="385"/>
      <c r="B865" s="385"/>
      <c r="C865" s="385"/>
      <c r="D865" s="118"/>
      <c r="E865" s="1023"/>
      <c r="F865" s="1023"/>
      <c r="G865" s="1023"/>
      <c r="I865" s="524"/>
    </row>
    <row r="866" spans="1:9" ht="12.75" customHeight="1">
      <c r="A866" s="176"/>
      <c r="B866" s="519" t="s">
        <v>2775</v>
      </c>
      <c r="C866" s="385"/>
      <c r="D866" s="1275" t="s">
        <v>1965</v>
      </c>
      <c r="E866" s="1293"/>
      <c r="F866" s="1293"/>
      <c r="G866" s="3"/>
      <c r="I866" s="524" t="s">
        <v>2147</v>
      </c>
    </row>
    <row r="867" spans="1:9" ht="12.75" customHeight="1">
      <c r="A867" s="385"/>
      <c r="B867" s="385"/>
      <c r="C867" s="385"/>
      <c r="D867" s="1293"/>
      <c r="E867" s="1293"/>
      <c r="F867" s="1293"/>
      <c r="G867" s="3"/>
      <c r="I867" s="524"/>
    </row>
    <row r="868" spans="1:9" ht="12.75" customHeight="1">
      <c r="A868" s="385"/>
      <c r="B868" s="385"/>
      <c r="C868" s="385"/>
      <c r="D868" s="118"/>
      <c r="E868" s="3"/>
      <c r="F868" s="3"/>
      <c r="G868" s="3"/>
      <c r="I868" s="524"/>
    </row>
    <row r="869" spans="1:9" ht="12.75" customHeight="1">
      <c r="A869" s="385"/>
      <c r="B869" s="519" t="s">
        <v>2776</v>
      </c>
      <c r="C869" s="385"/>
      <c r="D869" s="1340" t="s">
        <v>1966</v>
      </c>
      <c r="E869" s="1340"/>
      <c r="F869" s="1340"/>
      <c r="G869" s="1023"/>
      <c r="I869" s="524"/>
    </row>
    <row r="870" spans="1:9" ht="12.75" customHeight="1">
      <c r="A870" s="385"/>
      <c r="B870" s="1031"/>
      <c r="C870" s="385"/>
      <c r="D870" s="1340"/>
      <c r="E870" s="1340"/>
      <c r="F870" s="1340"/>
      <c r="G870" s="1023"/>
      <c r="I870" s="524"/>
    </row>
    <row r="871" spans="1:9" ht="12.75" customHeight="1">
      <c r="A871" s="176"/>
      <c r="B871"/>
      <c r="C871" s="385"/>
      <c r="D871" s="1275" t="s">
        <v>2384</v>
      </c>
      <c r="E871" s="1275"/>
      <c r="F871" s="1275"/>
      <c r="G871" s="1023"/>
      <c r="I871" s="524"/>
    </row>
    <row r="872" spans="1:9" ht="12.75" customHeight="1">
      <c r="A872" s="176"/>
      <c r="B872" s="176"/>
      <c r="C872" s="385"/>
      <c r="D872" s="1275"/>
      <c r="E872" s="1275"/>
      <c r="F872" s="1275"/>
      <c r="G872" s="1023"/>
      <c r="I872" s="524"/>
    </row>
    <row r="873" spans="1:9" ht="12.75" customHeight="1">
      <c r="A873" s="176"/>
      <c r="B873" s="176"/>
      <c r="C873" s="385"/>
      <c r="D873" s="1275"/>
      <c r="E873" s="1275"/>
      <c r="F873" s="1275"/>
      <c r="G873" s="1023"/>
      <c r="I873" s="524"/>
    </row>
    <row r="874" spans="1:9" ht="12.75" customHeight="1">
      <c r="A874" s="176"/>
      <c r="B874" s="176"/>
      <c r="C874" s="385"/>
      <c r="D874" s="1275"/>
      <c r="E874" s="1275"/>
      <c r="F874" s="1275"/>
      <c r="G874" s="1023"/>
      <c r="I874" s="524"/>
    </row>
    <row r="875" spans="1:9" ht="12.75" customHeight="1">
      <c r="A875" s="176"/>
      <c r="B875" s="176"/>
      <c r="C875" s="385"/>
      <c r="D875" s="1275"/>
      <c r="E875" s="1275"/>
      <c r="F875" s="1275"/>
      <c r="G875" s="1023"/>
      <c r="I875" s="524"/>
    </row>
    <row r="876" spans="1:9" ht="12.75" customHeight="1">
      <c r="A876" s="176"/>
      <c r="B876" s="176"/>
      <c r="C876" s="385"/>
      <c r="D876" s="1275"/>
      <c r="E876" s="1275"/>
      <c r="F876" s="1275"/>
      <c r="G876" s="1023"/>
      <c r="I876" s="524"/>
    </row>
    <row r="877" spans="1:9" ht="12.75" customHeight="1">
      <c r="A877" s="176"/>
      <c r="B877" s="176"/>
      <c r="C877" s="385"/>
      <c r="D877" s="118"/>
      <c r="E877" s="1023"/>
      <c r="F877" s="1023"/>
      <c r="G877" s="1023"/>
      <c r="I877" s="524"/>
    </row>
    <row r="878" spans="1:9" ht="12.75" customHeight="1">
      <c r="A878" s="176"/>
      <c r="B878" s="519" t="s">
        <v>2776</v>
      </c>
      <c r="C878" s="385"/>
      <c r="D878" s="1318" t="s">
        <v>1959</v>
      </c>
      <c r="E878" s="1318"/>
      <c r="F878" s="1318"/>
      <c r="G878" s="1023"/>
      <c r="I878" s="524" t="s">
        <v>2129</v>
      </c>
    </row>
    <row r="879" spans="1:9" ht="12.75" customHeight="1">
      <c r="A879" s="176"/>
      <c r="B879" s="176"/>
      <c r="C879" s="385"/>
      <c r="D879" s="1318" t="s">
        <v>1960</v>
      </c>
      <c r="E879" s="1318"/>
      <c r="F879" s="1318"/>
      <c r="G879" s="1023"/>
      <c r="I879" s="524"/>
    </row>
    <row r="880" spans="1:9" ht="12.75" customHeight="1">
      <c r="A880" s="176"/>
      <c r="B880" s="176"/>
      <c r="C880" s="385"/>
      <c r="D880" s="2" t="s">
        <v>1381</v>
      </c>
      <c r="E880" s="1071" t="s">
        <v>2199</v>
      </c>
      <c r="F880" s="1075"/>
      <c r="G880" s="1023"/>
      <c r="I880" s="524"/>
    </row>
    <row r="881" spans="1:9" ht="12.75" customHeight="1">
      <c r="A881" s="176"/>
      <c r="B881" s="176"/>
      <c r="C881" s="385"/>
      <c r="D881" s="118"/>
      <c r="E881" s="1023"/>
      <c r="F881" s="1023"/>
      <c r="G881" s="1023"/>
      <c r="I881" s="524"/>
    </row>
    <row r="882" spans="1:9" ht="12.75" customHeight="1">
      <c r="A882" s="176"/>
      <c r="B882" s="519" t="s">
        <v>2776</v>
      </c>
      <c r="C882" s="385"/>
      <c r="D882" s="1275" t="s">
        <v>1961</v>
      </c>
      <c r="E882" s="1275"/>
      <c r="F882" s="1275"/>
      <c r="G882" s="1023"/>
      <c r="I882" s="524" t="s">
        <v>2147</v>
      </c>
    </row>
    <row r="883" spans="1:9" ht="12.75" customHeight="1">
      <c r="A883" s="176"/>
      <c r="B883" s="176"/>
      <c r="C883" s="385"/>
      <c r="D883" s="1275"/>
      <c r="E883" s="1275"/>
      <c r="F883" s="1275"/>
      <c r="G883" s="1023"/>
      <c r="I883" s="524"/>
    </row>
    <row r="884" spans="1:9" ht="12.75" customHeight="1">
      <c r="A884" s="176"/>
      <c r="B884" s="176"/>
      <c r="C884" s="385"/>
      <c r="D884" s="1275"/>
      <c r="E884" s="1275"/>
      <c r="F884" s="1275"/>
      <c r="G884" s="1023"/>
      <c r="I884" s="524"/>
    </row>
    <row r="885" spans="1:9" ht="12.75" customHeight="1">
      <c r="A885" s="176"/>
      <c r="B885" s="176"/>
      <c r="C885" s="385"/>
      <c r="D885" s="1275"/>
      <c r="E885" s="1275"/>
      <c r="F885" s="1275"/>
      <c r="G885" s="1023"/>
      <c r="I885" s="524"/>
    </row>
    <row r="886" spans="1:9" ht="12.75" customHeight="1">
      <c r="A886" s="118"/>
      <c r="B886" s="118"/>
      <c r="C886" s="1024"/>
      <c r="D886" s="1023"/>
      <c r="E886" s="1023"/>
      <c r="F886" s="1023"/>
      <c r="G886" s="1023"/>
      <c r="I886" s="524"/>
    </row>
    <row r="887" spans="1:9" ht="12.75" customHeight="1">
      <c r="A887" s="1320" t="s">
        <v>1997</v>
      </c>
      <c r="B887" s="1320"/>
      <c r="C887" s="1320"/>
      <c r="D887" s="1320"/>
      <c r="E887" s="1320"/>
      <c r="F887" s="1320"/>
      <c r="G887" s="1320"/>
      <c r="H887" s="1063"/>
      <c r="I887" s="1259"/>
    </row>
    <row r="888" spans="1:9" ht="12.75" customHeight="1">
      <c r="A888" s="57"/>
      <c r="B888" s="57"/>
      <c r="C888" s="57"/>
      <c r="D888" s="57"/>
      <c r="E888" s="57"/>
      <c r="F888" s="57"/>
      <c r="G888" s="57"/>
      <c r="I888" s="524"/>
    </row>
    <row r="889" spans="1:9" ht="12.75" customHeight="1">
      <c r="A889" s="57"/>
      <c r="B889" s="57"/>
      <c r="C889" s="57"/>
      <c r="D889" s="1314" t="s">
        <v>2003</v>
      </c>
      <c r="E889" s="1314"/>
      <c r="F889" s="1314"/>
      <c r="G889" s="57"/>
      <c r="I889" s="524"/>
    </row>
    <row r="890" spans="1:9" ht="12.75" customHeight="1">
      <c r="A890" s="57"/>
      <c r="B890" s="57"/>
      <c r="C890" s="57"/>
      <c r="D890" s="1016"/>
      <c r="E890" s="1016"/>
      <c r="F890" s="1016"/>
      <c r="G890" s="57"/>
      <c r="I890" s="524"/>
    </row>
    <row r="891" spans="1:9" ht="12.75" customHeight="1">
      <c r="A891" s="57"/>
      <c r="B891" s="519" t="s">
        <v>2775</v>
      </c>
      <c r="C891" s="57"/>
      <c r="D891" s="1019" t="s">
        <v>2004</v>
      </c>
      <c r="E891" s="1016"/>
      <c r="F891" s="1016"/>
      <c r="G891" s="57"/>
      <c r="I891" s="524" t="s">
        <v>2161</v>
      </c>
    </row>
    <row r="892" spans="1:9" ht="12.75" customHeight="1">
      <c r="A892" s="57"/>
      <c r="B892" s="57"/>
      <c r="C892" s="57"/>
      <c r="D892" s="1016"/>
      <c r="E892" s="1016"/>
      <c r="F892" s="1016"/>
      <c r="G892" s="57"/>
      <c r="I892" s="524"/>
    </row>
    <row r="893" spans="1:9" ht="12.75" customHeight="1">
      <c r="A893" s="385"/>
      <c r="B893" s="385"/>
      <c r="C893" s="1024"/>
      <c r="D893" s="1314" t="s">
        <v>1998</v>
      </c>
      <c r="E893" s="1314"/>
      <c r="F893" s="1314"/>
      <c r="G893" s="1023"/>
      <c r="I893" s="524"/>
    </row>
    <row r="894" spans="1:9" ht="12.75" customHeight="1">
      <c r="A894" s="172"/>
      <c r="B894" s="172"/>
      <c r="C894" s="172"/>
      <c r="D894" s="1286" t="s">
        <v>1967</v>
      </c>
      <c r="E894" s="1286"/>
      <c r="F894" s="1286"/>
      <c r="G894" s="1023"/>
      <c r="I894" s="524"/>
    </row>
    <row r="895" spans="1:9" ht="12.75" customHeight="1">
      <c r="A895" s="1024"/>
      <c r="B895" s="1024"/>
      <c r="C895" s="1024"/>
      <c r="D895" s="2"/>
      <c r="E895" s="1023"/>
      <c r="F895" s="1023"/>
      <c r="G895" s="1023"/>
      <c r="I895" s="524"/>
    </row>
    <row r="896" spans="1:9" ht="12.75" customHeight="1">
      <c r="A896" s="176"/>
      <c r="B896" s="519" t="s">
        <v>2775</v>
      </c>
      <c r="C896" s="385"/>
      <c r="D896" s="1275" t="s">
        <v>1971</v>
      </c>
      <c r="E896" s="1275"/>
      <c r="F896" s="1275"/>
      <c r="G896" s="3"/>
      <c r="I896" s="524" t="s">
        <v>2113</v>
      </c>
    </row>
    <row r="897" spans="1:9" ht="12.75" customHeight="1">
      <c r="A897" s="385"/>
      <c r="B897" s="385"/>
      <c r="C897" s="385"/>
      <c r="D897" s="1275"/>
      <c r="E897" s="1275"/>
      <c r="F897" s="1275"/>
      <c r="G897" s="3"/>
      <c r="I897" s="524"/>
    </row>
    <row r="898" spans="1:9" ht="12.75" customHeight="1">
      <c r="A898" s="172"/>
      <c r="B898" s="172"/>
      <c r="C898" s="172"/>
      <c r="D898" s="1275" t="s">
        <v>1970</v>
      </c>
      <c r="E898" s="1275"/>
      <c r="F898" s="1275"/>
      <c r="G898" s="1023"/>
      <c r="I898" s="524"/>
    </row>
    <row r="899" spans="1:9" ht="12.75" customHeight="1">
      <c r="A899" s="172"/>
      <c r="B899" s="172"/>
      <c r="C899" s="172"/>
      <c r="D899" s="1275"/>
      <c r="E899" s="1275"/>
      <c r="F899" s="1275"/>
      <c r="G899" s="1023"/>
      <c r="I899" s="524"/>
    </row>
    <row r="900" spans="1:9" ht="12.75" customHeight="1">
      <c r="A900" s="172"/>
      <c r="B900" s="172"/>
      <c r="C900" s="172"/>
      <c r="D900" s="3"/>
      <c r="E900" s="3"/>
      <c r="F900" s="1023"/>
      <c r="G900" s="1023"/>
      <c r="I900" s="524"/>
    </row>
    <row r="901" spans="1:9" ht="12.75" customHeight="1">
      <c r="A901" s="176"/>
      <c r="B901" s="519" t="s">
        <v>2775</v>
      </c>
      <c r="C901" s="175"/>
      <c r="D901" s="1285" t="s">
        <v>1968</v>
      </c>
      <c r="E901" s="1285"/>
      <c r="F901" s="1285"/>
      <c r="G901" s="1023"/>
      <c r="I901" s="524" t="s">
        <v>2112</v>
      </c>
    </row>
    <row r="902" spans="1:9" ht="12.75" customHeight="1">
      <c r="A902" s="176"/>
      <c r="B902" s="176"/>
      <c r="C902" s="175"/>
      <c r="D902" s="1285"/>
      <c r="E902" s="1285"/>
      <c r="F902" s="1285"/>
      <c r="G902" s="1023"/>
      <c r="I902" s="524"/>
    </row>
    <row r="903" spans="1:9" ht="12.75" customHeight="1">
      <c r="A903" s="176"/>
      <c r="B903" s="176"/>
      <c r="C903" s="175"/>
      <c r="D903" s="1285"/>
      <c r="E903" s="1285"/>
      <c r="F903" s="1285"/>
      <c r="G903" s="1023"/>
      <c r="I903" s="524"/>
    </row>
    <row r="904" spans="1:9" ht="12.75" customHeight="1">
      <c r="A904" s="176"/>
      <c r="B904" s="176"/>
      <c r="C904" s="175"/>
      <c r="D904" s="1285"/>
      <c r="E904" s="1285"/>
      <c r="F904" s="1285"/>
      <c r="G904" s="1023"/>
      <c r="I904" s="524"/>
    </row>
    <row r="905" spans="1:9" ht="12.75" customHeight="1">
      <c r="A905" s="176"/>
      <c r="B905" s="176"/>
      <c r="C905" s="175"/>
      <c r="D905" s="1285"/>
      <c r="E905" s="1285"/>
      <c r="F905" s="1285"/>
      <c r="G905" s="1023"/>
      <c r="I905" s="524"/>
    </row>
    <row r="906" spans="1:9" ht="12.75" customHeight="1">
      <c r="A906" s="175"/>
      <c r="B906" s="175"/>
      <c r="C906" s="175"/>
      <c r="D906" s="1285"/>
      <c r="E906" s="1285"/>
      <c r="F906" s="1285"/>
      <c r="G906" s="1023"/>
      <c r="I906" s="524"/>
    </row>
    <row r="907" spans="1:9" ht="12.75" customHeight="1">
      <c r="A907" s="175"/>
      <c r="B907" s="175"/>
      <c r="C907" s="175"/>
      <c r="D907" s="1285"/>
      <c r="E907" s="1285"/>
      <c r="F907" s="1285"/>
      <c r="G907" s="1023"/>
      <c r="I907" s="524"/>
    </row>
    <row r="908" spans="1:9" ht="12.75" customHeight="1">
      <c r="A908" s="175"/>
      <c r="B908" s="175"/>
      <c r="C908" s="175"/>
      <c r="D908" s="1285"/>
      <c r="E908" s="1285"/>
      <c r="F908" s="1285"/>
      <c r="G908" s="1023"/>
      <c r="I908" s="524"/>
    </row>
    <row r="909" spans="1:9" ht="12.75" customHeight="1">
      <c r="A909" s="175"/>
      <c r="B909" s="175"/>
      <c r="C909" s="175"/>
      <c r="D909" s="363"/>
      <c r="E909" s="363"/>
      <c r="F909" s="363"/>
      <c r="G909" s="1023"/>
      <c r="I909" s="524"/>
    </row>
    <row r="910" spans="1:9" ht="12.75" customHeight="1">
      <c r="A910" s="1024"/>
      <c r="B910" s="519" t="s">
        <v>2776</v>
      </c>
      <c r="C910" s="1024"/>
      <c r="D910" s="1275" t="s">
        <v>1972</v>
      </c>
      <c r="E910" s="1275"/>
      <c r="F910" s="1275"/>
      <c r="G910" s="1023"/>
      <c r="I910" s="524"/>
    </row>
    <row r="911" spans="1:9" ht="12.75" customHeight="1">
      <c r="A911" s="1024"/>
      <c r="B911" s="1024"/>
      <c r="C911" s="1024"/>
      <c r="D911" s="1275"/>
      <c r="E911" s="1275"/>
      <c r="F911" s="1275"/>
      <c r="G911" s="1023"/>
      <c r="I911" s="524"/>
    </row>
    <row r="912" spans="1:9" ht="12.75" customHeight="1">
      <c r="A912" s="1024"/>
      <c r="B912" s="1024"/>
      <c r="C912" s="1024"/>
      <c r="D912" s="1023"/>
      <c r="E912" s="1023"/>
      <c r="F912" s="1023"/>
      <c r="G912" s="1023"/>
      <c r="I912" s="524"/>
    </row>
    <row r="913" spans="1:9" ht="12.75" customHeight="1">
      <c r="A913" s="1024"/>
      <c r="B913" s="519" t="s">
        <v>2776</v>
      </c>
      <c r="C913" s="1024"/>
      <c r="D913" s="1312" t="s">
        <v>1973</v>
      </c>
      <c r="E913" s="1312"/>
      <c r="F913" s="1312"/>
      <c r="G913" s="1023"/>
      <c r="I913" s="524"/>
    </row>
    <row r="914" spans="1:9" ht="12.75" customHeight="1">
      <c r="A914" s="1024"/>
      <c r="B914" s="1024"/>
      <c r="C914" s="1024"/>
      <c r="D914" s="1312"/>
      <c r="E914" s="1312"/>
      <c r="F914" s="1312"/>
      <c r="G914" s="1023"/>
      <c r="I914" s="524"/>
    </row>
    <row r="915" spans="1:9" ht="12.75" customHeight="1">
      <c r="A915" s="1024"/>
      <c r="B915" s="1024"/>
      <c r="C915" s="1024"/>
      <c r="D915" s="1312"/>
      <c r="E915" s="1312"/>
      <c r="F915" s="1312"/>
      <c r="G915" s="1023"/>
      <c r="I915" s="524"/>
    </row>
    <row r="916" spans="1:9" ht="12.75" customHeight="1">
      <c r="A916" s="1024"/>
      <c r="B916" s="1024"/>
      <c r="C916" s="1024"/>
      <c r="D916" s="1312"/>
      <c r="E916" s="1312"/>
      <c r="F916" s="1312"/>
      <c r="G916" s="1023"/>
      <c r="I916" s="524"/>
    </row>
    <row r="917" spans="1:9" ht="12.75" customHeight="1">
      <c r="A917" s="1024"/>
      <c r="B917" s="1024"/>
      <c r="C917" s="1024"/>
      <c r="D917" s="118"/>
      <c r="E917" s="1023"/>
      <c r="F917" s="1023"/>
      <c r="G917" s="1023"/>
      <c r="I917" s="524"/>
    </row>
    <row r="918" spans="1:9" ht="12.75" customHeight="1">
      <c r="A918" s="1024"/>
      <c r="B918" s="519" t="s">
        <v>2776</v>
      </c>
      <c r="C918" s="1024"/>
      <c r="D918" s="1286" t="s">
        <v>2385</v>
      </c>
      <c r="E918" s="1286"/>
      <c r="F918" s="1286"/>
      <c r="G918" s="1023"/>
      <c r="I918" s="524"/>
    </row>
    <row r="919" spans="1:9" ht="12.75" customHeight="1">
      <c r="A919" s="1024"/>
      <c r="B919" s="1024"/>
      <c r="C919" s="1024"/>
      <c r="D919" s="118"/>
      <c r="E919" s="1023"/>
      <c r="F919" s="1023"/>
      <c r="G919" s="1023"/>
      <c r="I919" s="524"/>
    </row>
    <row r="920" spans="1:9" ht="12.75" customHeight="1">
      <c r="A920" s="1024"/>
      <c r="B920" s="519" t="s">
        <v>2776</v>
      </c>
      <c r="C920" s="1024"/>
      <c r="D920" s="1286" t="s">
        <v>2386</v>
      </c>
      <c r="E920" s="1286"/>
      <c r="F920" s="1286"/>
      <c r="G920" s="1023"/>
      <c r="I920" s="524"/>
    </row>
    <row r="921" spans="1:9" ht="12.75" customHeight="1">
      <c r="A921" s="175"/>
      <c r="B921" s="175"/>
      <c r="C921" s="175"/>
      <c r="D921" s="2"/>
      <c r="E921" s="3"/>
      <c r="F921" s="1023"/>
      <c r="G921" s="1023"/>
      <c r="I921" s="524"/>
    </row>
    <row r="922" spans="1:9" ht="12.75" customHeight="1">
      <c r="A922" s="1032"/>
      <c r="B922" s="519" t="s">
        <v>2776</v>
      </c>
      <c r="C922" s="1033"/>
      <c r="D922" s="1285" t="s">
        <v>1969</v>
      </c>
      <c r="E922" s="1285"/>
      <c r="F922" s="1285"/>
      <c r="G922" s="1034"/>
      <c r="I922" s="524" t="s">
        <v>2162</v>
      </c>
    </row>
    <row r="923" spans="1:9" ht="12.75" customHeight="1">
      <c r="A923" s="1032"/>
      <c r="B923" s="1032"/>
      <c r="C923" s="1033"/>
      <c r="D923" s="1285"/>
      <c r="E923" s="1285"/>
      <c r="F923" s="1285"/>
      <c r="G923" s="1034"/>
      <c r="I923" s="524"/>
    </row>
    <row r="924" spans="1:9" ht="12.75" customHeight="1">
      <c r="A924" s="1032"/>
      <c r="B924" s="1032"/>
      <c r="C924" s="1033"/>
      <c r="D924" s="1285"/>
      <c r="E924" s="1285"/>
      <c r="F924" s="1285"/>
      <c r="G924" s="1034"/>
      <c r="I924" s="524"/>
    </row>
    <row r="925" spans="1:9" ht="12.75" customHeight="1">
      <c r="A925" s="1032"/>
      <c r="B925" s="1032"/>
      <c r="C925" s="1033"/>
      <c r="D925" s="1285"/>
      <c r="E925" s="1285"/>
      <c r="F925" s="1285"/>
      <c r="G925" s="1034"/>
      <c r="I925" s="524"/>
    </row>
    <row r="926" spans="1:9" ht="12.75" customHeight="1">
      <c r="A926" s="1032"/>
      <c r="B926" s="1032"/>
      <c r="C926" s="1033"/>
      <c r="D926" s="1285"/>
      <c r="E926" s="1285"/>
      <c r="F926" s="1285"/>
      <c r="G926" s="1034"/>
      <c r="I926" s="524"/>
    </row>
    <row r="927" spans="1:9" ht="12.75" customHeight="1">
      <c r="A927" s="1032"/>
      <c r="B927" s="1032"/>
      <c r="C927" s="1033"/>
      <c r="D927" s="1285"/>
      <c r="E927" s="1285"/>
      <c r="F927" s="1285"/>
      <c r="G927" s="1034"/>
      <c r="I927" s="524"/>
    </row>
    <row r="928" spans="1:9" ht="12.75" customHeight="1">
      <c r="A928" s="1032"/>
      <c r="B928" s="1032"/>
      <c r="C928" s="1033"/>
      <c r="D928" s="1285"/>
      <c r="E928" s="1285"/>
      <c r="F928" s="1285"/>
      <c r="G928" s="1034"/>
      <c r="I928" s="524"/>
    </row>
    <row r="929" spans="1:9" ht="12.75" customHeight="1">
      <c r="A929" s="1032"/>
      <c r="B929" s="1032"/>
      <c r="C929" s="1033"/>
      <c r="D929" s="1285"/>
      <c r="E929" s="1285"/>
      <c r="F929" s="1285"/>
      <c r="G929" s="1034"/>
      <c r="I929" s="524"/>
    </row>
    <row r="930" spans="1:9" ht="12.75" customHeight="1">
      <c r="A930" s="1032"/>
      <c r="B930" s="1032"/>
      <c r="C930" s="1033"/>
      <c r="D930" s="1285"/>
      <c r="E930" s="1285"/>
      <c r="F930" s="1285"/>
      <c r="G930" s="1034"/>
      <c r="I930" s="524"/>
    </row>
    <row r="931" spans="1:9" ht="12.75" customHeight="1">
      <c r="A931" s="175"/>
      <c r="B931" s="175"/>
      <c r="C931" s="175"/>
      <c r="D931" s="2"/>
      <c r="E931" s="3"/>
      <c r="F931" s="1023"/>
      <c r="G931" s="1023"/>
      <c r="I931" s="524"/>
    </row>
    <row r="932" spans="1:9" ht="12.75" customHeight="1">
      <c r="A932" s="176"/>
      <c r="B932" s="519" t="s">
        <v>2775</v>
      </c>
      <c r="C932" s="175"/>
      <c r="D932" s="1341" t="s">
        <v>2164</v>
      </c>
      <c r="E932" s="1341"/>
      <c r="F932" s="1341"/>
      <c r="G932" s="1023"/>
      <c r="I932" s="524" t="s">
        <v>2162</v>
      </c>
    </row>
    <row r="933" spans="1:9" ht="12.75" customHeight="1">
      <c r="A933" s="176"/>
      <c r="B933" s="176"/>
      <c r="C933" s="175"/>
      <c r="D933" s="1341"/>
      <c r="E933" s="1341"/>
      <c r="F933" s="1341"/>
      <c r="G933" s="1023"/>
      <c r="I933" s="524"/>
    </row>
    <row r="934" spans="1:9" ht="12.75" customHeight="1">
      <c r="A934" s="176"/>
      <c r="B934" s="176"/>
      <c r="C934" s="175"/>
      <c r="D934" s="1341"/>
      <c r="E934" s="1341"/>
      <c r="F934" s="1341"/>
      <c r="G934" s="1023"/>
      <c r="I934" s="524"/>
    </row>
    <row r="935" spans="1:9" ht="12.75" customHeight="1">
      <c r="A935" s="176"/>
      <c r="B935" s="176"/>
      <c r="C935" s="175"/>
      <c r="D935" s="1341"/>
      <c r="E935" s="1341"/>
      <c r="F935" s="1341"/>
      <c r="G935" s="1023"/>
      <c r="I935" s="524"/>
    </row>
    <row r="936" spans="1:9" ht="12.75" customHeight="1">
      <c r="A936" s="176"/>
      <c r="B936" s="176"/>
      <c r="C936" s="175"/>
      <c r="D936" s="1341"/>
      <c r="E936" s="1341"/>
      <c r="F936" s="1341"/>
      <c r="G936" s="1023"/>
      <c r="I936" s="524"/>
    </row>
    <row r="937" spans="1:9" ht="12.75" customHeight="1">
      <c r="A937" s="176"/>
      <c r="B937" s="176"/>
      <c r="C937" s="175"/>
      <c r="D937" s="1341"/>
      <c r="E937" s="1341"/>
      <c r="F937" s="1341"/>
      <c r="G937" s="1023"/>
      <c r="I937" s="524"/>
    </row>
    <row r="938" spans="1:9" ht="12.75" customHeight="1">
      <c r="A938" s="176"/>
      <c r="B938" s="176"/>
      <c r="C938" s="175"/>
      <c r="D938" s="1341"/>
      <c r="E938" s="1341"/>
      <c r="F938" s="1341"/>
      <c r="G938" s="1023"/>
      <c r="I938" s="524"/>
    </row>
    <row r="939" spans="1:9" ht="12.75" customHeight="1">
      <c r="A939" s="176"/>
      <c r="B939" s="176"/>
      <c r="C939" s="175"/>
      <c r="D939" s="1061"/>
      <c r="E939" s="1061"/>
      <c r="F939" s="1061"/>
      <c r="G939" s="1023"/>
      <c r="I939" s="524"/>
    </row>
    <row r="940" spans="1:9" ht="12.75" customHeight="1">
      <c r="A940" s="176"/>
      <c r="B940" s="519" t="s">
        <v>2775</v>
      </c>
      <c r="C940" s="175"/>
      <c r="D940" s="1284" t="s">
        <v>2458</v>
      </c>
      <c r="E940" s="1284"/>
      <c r="F940" s="1284"/>
      <c r="G940" s="1023"/>
      <c r="I940" s="524"/>
    </row>
    <row r="941" spans="1:9" ht="12.75" customHeight="1">
      <c r="A941" s="176"/>
      <c r="B941" s="176"/>
      <c r="C941" s="175"/>
      <c r="D941" s="1284"/>
      <c r="E941" s="1284"/>
      <c r="F941" s="1284"/>
      <c r="G941" s="1023"/>
      <c r="I941" s="524"/>
    </row>
    <row r="942" spans="1:9" ht="12.75" customHeight="1">
      <c r="A942" s="176"/>
      <c r="B942" s="176"/>
      <c r="C942" s="175"/>
      <c r="D942" s="1284"/>
      <c r="E942" s="1284"/>
      <c r="F942" s="1284"/>
      <c r="G942" s="1023"/>
      <c r="I942" s="524"/>
    </row>
    <row r="943" spans="1:9" ht="12.75" customHeight="1">
      <c r="A943" s="176"/>
      <c r="B943" s="176"/>
      <c r="C943" s="175"/>
      <c r="D943" s="1284"/>
      <c r="E943" s="1284"/>
      <c r="F943" s="1284"/>
      <c r="G943" s="1023"/>
      <c r="I943" s="524"/>
    </row>
    <row r="944" spans="1:9" ht="12.75" customHeight="1">
      <c r="A944" s="176"/>
      <c r="B944" s="176"/>
      <c r="C944" s="175"/>
      <c r="D944" s="1284"/>
      <c r="E944" s="1284"/>
      <c r="F944" s="1284"/>
      <c r="G944" s="1023"/>
      <c r="I944" s="524"/>
    </row>
    <row r="945" spans="1:9" ht="12.75" customHeight="1">
      <c r="A945" s="176"/>
      <c r="B945" s="176"/>
      <c r="C945" s="175"/>
      <c r="D945" s="1284"/>
      <c r="E945" s="1284"/>
      <c r="F945" s="1284"/>
      <c r="G945" s="1023"/>
      <c r="I945" s="524"/>
    </row>
    <row r="946" spans="1:9" ht="12.75" customHeight="1">
      <c r="A946" s="176"/>
      <c r="B946" s="176"/>
      <c r="C946" s="175"/>
      <c r="D946" s="1061"/>
      <c r="E946" s="1061"/>
      <c r="F946" s="1061"/>
      <c r="G946" s="1023"/>
      <c r="I946" s="524"/>
    </row>
    <row r="947" spans="1:9" ht="12.75" customHeight="1">
      <c r="A947" s="1024"/>
      <c r="B947" s="519" t="s">
        <v>2776</v>
      </c>
      <c r="C947" s="1024"/>
      <c r="D947" s="1312" t="s">
        <v>1974</v>
      </c>
      <c r="E947" s="1312"/>
      <c r="F947" s="1312"/>
      <c r="G947" s="1023"/>
      <c r="I947" s="524"/>
    </row>
    <row r="948" spans="1:9" ht="12.75" customHeight="1">
      <c r="A948" s="1024"/>
      <c r="B948" s="1024"/>
      <c r="C948" s="1024"/>
      <c r="D948" s="1312"/>
      <c r="E948" s="1312"/>
      <c r="F948" s="1312"/>
      <c r="G948" s="1023"/>
      <c r="I948" s="524"/>
    </row>
    <row r="949" spans="1:9" ht="12.75" customHeight="1">
      <c r="A949" s="1024"/>
      <c r="B949" s="1024"/>
      <c r="C949" s="1024"/>
      <c r="D949" s="1312"/>
      <c r="E949" s="1312"/>
      <c r="F949" s="1312"/>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2776</v>
      </c>
      <c r="C952" s="175"/>
      <c r="D952" s="1285" t="s">
        <v>2163</v>
      </c>
      <c r="E952" s="1285"/>
      <c r="F952" s="1285"/>
      <c r="G952" s="1023"/>
      <c r="I952" s="524" t="s">
        <v>2162</v>
      </c>
    </row>
    <row r="953" spans="1:9" ht="12.75" customHeight="1">
      <c r="A953" s="176"/>
      <c r="B953" s="176"/>
      <c r="C953" s="175"/>
      <c r="D953" s="1285"/>
      <c r="E953" s="1285"/>
      <c r="F953" s="1285"/>
      <c r="G953" s="1023"/>
      <c r="I953" s="524"/>
    </row>
    <row r="954" spans="1:9" ht="12.75" customHeight="1">
      <c r="A954" s="176"/>
      <c r="B954" s="176"/>
      <c r="C954" s="175"/>
      <c r="D954" s="1285"/>
      <c r="E954" s="1285"/>
      <c r="F954" s="1285"/>
      <c r="G954" s="1023"/>
      <c r="I954" s="524"/>
    </row>
    <row r="955" spans="1:9" ht="12.75" customHeight="1">
      <c r="A955" s="176"/>
      <c r="B955" s="176"/>
      <c r="C955" s="175"/>
      <c r="D955" s="1285"/>
      <c r="E955" s="1285"/>
      <c r="F955" s="1285"/>
      <c r="G955" s="1023"/>
      <c r="I955" s="524"/>
    </row>
    <row r="956" spans="1:9" ht="12.75" customHeight="1">
      <c r="A956" s="1024"/>
      <c r="B956" s="1024"/>
      <c r="C956" s="1024"/>
      <c r="D956" s="1015"/>
      <c r="E956" s="1015"/>
      <c r="F956" s="1015"/>
      <c r="G956" s="1015"/>
      <c r="I956" s="524"/>
    </row>
    <row r="957" spans="1:9" ht="12.75" customHeight="1">
      <c r="A957" s="385"/>
      <c r="B957" s="385"/>
      <c r="C957" s="385"/>
      <c r="D957" s="1291" t="s">
        <v>1975</v>
      </c>
      <c r="E957" s="1291"/>
      <c r="F957" s="1291"/>
      <c r="G957" s="3"/>
      <c r="I957" s="524"/>
    </row>
    <row r="958" spans="1:9" ht="12.75" customHeight="1">
      <c r="A958" s="176"/>
      <c r="B958" s="519" t="s">
        <v>2776</v>
      </c>
      <c r="C958" s="385"/>
      <c r="D958" s="1286" t="s">
        <v>1999</v>
      </c>
      <c r="E958" s="1286"/>
      <c r="F958" s="1286"/>
      <c r="G958" s="3"/>
      <c r="I958" s="524" t="s">
        <v>2162</v>
      </c>
    </row>
    <row r="959" spans="1:9" ht="12.75" customHeight="1">
      <c r="A959" s="385"/>
      <c r="B959" s="385"/>
      <c r="C959" s="385"/>
      <c r="D959" s="3"/>
      <c r="E959" s="3"/>
      <c r="F959" s="3"/>
      <c r="G959" s="3"/>
      <c r="I959" s="524"/>
    </row>
    <row r="960" spans="1:9" ht="12.75" customHeight="1">
      <c r="A960" s="385"/>
      <c r="B960" s="385"/>
      <c r="C960" s="385"/>
      <c r="D960" s="1291" t="s">
        <v>1976</v>
      </c>
      <c r="E960" s="1291"/>
      <c r="F960" s="1291"/>
      <c r="G960"/>
      <c r="I960" s="524"/>
    </row>
    <row r="961" spans="1:9" ht="12.75" customHeight="1">
      <c r="A961" s="176"/>
      <c r="B961" s="519" t="s">
        <v>2776</v>
      </c>
      <c r="C961" s="385"/>
      <c r="D961" s="1275" t="s">
        <v>2387</v>
      </c>
      <c r="E961" s="1275"/>
      <c r="F961" s="1275"/>
      <c r="G961"/>
      <c r="I961" s="524" t="s">
        <v>2162</v>
      </c>
    </row>
    <row r="962" spans="1:9" ht="12.75" customHeight="1">
      <c r="A962" s="176"/>
      <c r="B962" s="176"/>
      <c r="C962" s="385"/>
      <c r="D962" s="1275"/>
      <c r="E962" s="1275"/>
      <c r="F962" s="1275"/>
      <c r="G962"/>
      <c r="I962" s="524"/>
    </row>
    <row r="963" spans="1:9" ht="12.75" customHeight="1">
      <c r="A963" s="176"/>
      <c r="B963" s="176"/>
      <c r="C963" s="385"/>
      <c r="D963" s="1275"/>
      <c r="E963" s="1275"/>
      <c r="F963" s="1275"/>
      <c r="G963"/>
      <c r="I963" s="524"/>
    </row>
    <row r="964" spans="1:9" ht="12.75" customHeight="1">
      <c r="A964" s="176"/>
      <c r="B964" s="176"/>
      <c r="C964" s="385"/>
      <c r="D964" s="1275"/>
      <c r="E964" s="1275"/>
      <c r="F964" s="1275"/>
      <c r="G964"/>
      <c r="I964" s="524"/>
    </row>
    <row r="965" spans="1:9" ht="12.75" customHeight="1">
      <c r="A965" s="176"/>
      <c r="B965" s="176"/>
      <c r="C965" s="385"/>
      <c r="D965" s="1275"/>
      <c r="E965" s="1275"/>
      <c r="F965" s="1275"/>
      <c r="G965"/>
      <c r="I965" s="524"/>
    </row>
    <row r="966" spans="1:9" ht="12.75" customHeight="1">
      <c r="A966" s="176"/>
      <c r="B966" s="176"/>
      <c r="C966" s="385"/>
      <c r="D966" s="1275"/>
      <c r="E966" s="1275"/>
      <c r="F966" s="1275"/>
      <c r="G966"/>
      <c r="I966" s="524"/>
    </row>
    <row r="967" spans="1:9" ht="12.75" customHeight="1">
      <c r="A967" s="176"/>
      <c r="B967" s="176"/>
      <c r="C967" s="385"/>
      <c r="D967" s="1275"/>
      <c r="E967" s="1275"/>
      <c r="F967" s="1275"/>
      <c r="G967"/>
      <c r="I967" s="524"/>
    </row>
    <row r="968" spans="1:9" ht="12.75" customHeight="1">
      <c r="A968" s="176"/>
      <c r="B968" s="176"/>
      <c r="C968" s="385"/>
      <c r="D968" s="1275"/>
      <c r="E968" s="1275"/>
      <c r="F968" s="1275"/>
      <c r="G968"/>
      <c r="I968" s="524"/>
    </row>
    <row r="969" spans="1:9" ht="12.75" customHeight="1">
      <c r="A969" s="176"/>
      <c r="B969" s="176"/>
      <c r="C969" s="385"/>
      <c r="D969" s="1275"/>
      <c r="E969" s="1275"/>
      <c r="F969" s="1275"/>
      <c r="G969"/>
      <c r="I969" s="524"/>
    </row>
    <row r="970" spans="1:9" ht="12.75" customHeight="1">
      <c r="A970" s="176"/>
      <c r="B970" s="176"/>
      <c r="C970" s="385"/>
      <c r="D970" s="1275"/>
      <c r="E970" s="1275"/>
      <c r="F970" s="1275"/>
      <c r="G970"/>
      <c r="I970" s="524"/>
    </row>
    <row r="971" spans="1:9" ht="12.75" customHeight="1">
      <c r="A971" s="176"/>
      <c r="B971" s="176"/>
      <c r="C971" s="385"/>
      <c r="D971" s="1275"/>
      <c r="E971" s="1275"/>
      <c r="F971" s="1275"/>
      <c r="G971"/>
      <c r="I971" s="524"/>
    </row>
    <row r="972" spans="1:9" ht="12.75" customHeight="1">
      <c r="A972" s="176"/>
      <c r="B972" s="176"/>
      <c r="C972" s="385"/>
      <c r="D972" s="1275"/>
      <c r="E972" s="1275"/>
      <c r="F972" s="1275"/>
      <c r="G972"/>
      <c r="I972" s="524"/>
    </row>
    <row r="973" spans="1:9" ht="12.75" customHeight="1">
      <c r="A973" s="176"/>
      <c r="B973" s="176"/>
      <c r="C973" s="385"/>
      <c r="D973" s="1275"/>
      <c r="E973" s="1275"/>
      <c r="F973" s="1275"/>
      <c r="G973"/>
      <c r="I973" s="524"/>
    </row>
    <row r="974" spans="1:9" ht="12.75" customHeight="1">
      <c r="A974" s="176"/>
      <c r="B974" s="176"/>
      <c r="C974" s="385"/>
      <c r="D974" s="1275"/>
      <c r="E974" s="1275"/>
      <c r="F974" s="1275"/>
      <c r="G974"/>
      <c r="I974" s="524"/>
    </row>
    <row r="975" spans="1:9" ht="12.75" customHeight="1">
      <c r="A975" s="176"/>
      <c r="B975" s="176"/>
      <c r="C975" s="385"/>
      <c r="D975" s="1275"/>
      <c r="E975" s="1275"/>
      <c r="F975" s="1275"/>
      <c r="G975" s="3"/>
      <c r="I975" s="524"/>
    </row>
    <row r="976" spans="1:9" ht="12.75" customHeight="1">
      <c r="A976" s="385"/>
      <c r="B976" s="385"/>
      <c r="C976" s="385"/>
      <c r="D976" s="3"/>
      <c r="E976" s="3"/>
      <c r="F976" s="3"/>
      <c r="G976" s="3"/>
      <c r="I976" s="524"/>
    </row>
    <row r="977" spans="1:9" ht="12.75" customHeight="1">
      <c r="A977" s="1320" t="s">
        <v>1977</v>
      </c>
      <c r="B977" s="1320"/>
      <c r="C977" s="1320"/>
      <c r="D977" s="1320"/>
      <c r="E977" s="1320"/>
      <c r="F977" s="1320"/>
      <c r="G977" s="1320"/>
      <c r="H977" s="1063"/>
      <c r="I977" s="1259"/>
    </row>
    <row r="978" spans="1:9" ht="12.75" customHeight="1">
      <c r="A978" s="118"/>
      <c r="B978" s="118"/>
      <c r="C978" s="385"/>
      <c r="D978" s="3"/>
      <c r="E978" s="3"/>
      <c r="F978" s="3"/>
      <c r="G978" s="3"/>
      <c r="I978" s="524"/>
    </row>
    <row r="979" spans="1:9" ht="12.75" customHeight="1">
      <c r="A979" s="385"/>
      <c r="B979" s="385"/>
      <c r="C979" s="1024"/>
      <c r="D979" s="1291" t="s">
        <v>2000</v>
      </c>
      <c r="E979" s="1291"/>
      <c r="F979" s="1291"/>
      <c r="G979" s="3"/>
      <c r="I979" s="524"/>
    </row>
    <row r="980" spans="1:9" ht="12.75" customHeight="1">
      <c r="A980" s="172"/>
      <c r="B980" s="172"/>
      <c r="C980" s="172"/>
      <c r="D980" s="1286" t="s">
        <v>1978</v>
      </c>
      <c r="E980" s="1286"/>
      <c r="F980" s="1286"/>
      <c r="G980" s="3"/>
      <c r="I980" s="524"/>
    </row>
    <row r="981" spans="1:9" ht="12.75" customHeight="1">
      <c r="A981" s="172"/>
      <c r="B981" s="172"/>
      <c r="C981" s="172"/>
      <c r="D981" s="3"/>
      <c r="E981" s="3"/>
      <c r="F981" s="1023"/>
      <c r="G981"/>
      <c r="I981" s="524"/>
    </row>
    <row r="982" spans="1:9" ht="12.75" customHeight="1">
      <c r="A982" s="385"/>
      <c r="B982" s="519" t="s">
        <v>2775</v>
      </c>
      <c r="C982" s="385"/>
      <c r="D982" s="1339" t="s">
        <v>2217</v>
      </c>
      <c r="E982" s="1339"/>
      <c r="F982" s="1339"/>
      <c r="G982"/>
      <c r="I982" s="524" t="s">
        <v>2142</v>
      </c>
    </row>
    <row r="983" spans="1:9" ht="12.75" customHeight="1">
      <c r="A983" s="385"/>
      <c r="B983" s="385"/>
      <c r="C983" s="385"/>
      <c r="D983" s="1339"/>
      <c r="E983" s="1339"/>
      <c r="F983" s="1339"/>
      <c r="G983"/>
      <c r="I983" s="524"/>
    </row>
    <row r="984" spans="1:9" ht="12.75" customHeight="1">
      <c r="A984" s="385"/>
      <c r="B984" s="385"/>
      <c r="C984" s="385"/>
      <c r="D984" s="1073"/>
      <c r="E984" s="1071" t="s">
        <v>2218</v>
      </c>
      <c r="F984" s="1073"/>
      <c r="G984"/>
      <c r="I984" s="524"/>
    </row>
    <row r="985" spans="1:9" ht="12.75" customHeight="1">
      <c r="A985" s="385"/>
      <c r="B985" s="385"/>
      <c r="C985" s="385"/>
      <c r="D985" s="1279" t="s">
        <v>2216</v>
      </c>
      <c r="E985" s="1279"/>
      <c r="F985" s="1279"/>
      <c r="G985"/>
      <c r="I985" s="524"/>
    </row>
    <row r="986" spans="1:9" ht="12.75" customHeight="1">
      <c r="A986" s="385"/>
      <c r="B986" s="385"/>
      <c r="C986" s="385"/>
      <c r="D986" s="1279"/>
      <c r="E986" s="1279"/>
      <c r="F986" s="1279"/>
      <c r="G986"/>
      <c r="I986" s="524"/>
    </row>
    <row r="987" spans="1:9" ht="12.75" customHeight="1">
      <c r="A987" s="175"/>
      <c r="B987" s="175"/>
      <c r="C987" s="175"/>
      <c r="D987" s="1279"/>
      <c r="E987" s="1279"/>
      <c r="F987" s="1279"/>
      <c r="G987"/>
      <c r="I987" s="524"/>
    </row>
    <row r="988" spans="1:9" ht="12.75" customHeight="1">
      <c r="A988" s="175"/>
      <c r="B988" s="175"/>
      <c r="C988" s="175"/>
      <c r="D988" s="1279"/>
      <c r="E988" s="1279"/>
      <c r="F988" s="1279"/>
      <c r="G988"/>
      <c r="I988" s="524"/>
    </row>
    <row r="989" spans="1:9" ht="12.75" customHeight="1">
      <c r="A989" s="175"/>
      <c r="B989" s="175"/>
      <c r="C989" s="175"/>
      <c r="D989" s="363"/>
      <c r="E989" s="363"/>
      <c r="F989" s="363"/>
      <c r="G989"/>
      <c r="I989" s="524"/>
    </row>
    <row r="990" spans="1:9" ht="12.75" customHeight="1">
      <c r="A990" s="175"/>
      <c r="B990" s="519" t="s">
        <v>2775</v>
      </c>
      <c r="C990" s="175"/>
      <c r="D990" s="1275" t="s">
        <v>1979</v>
      </c>
      <c r="E990" s="1275"/>
      <c r="F990" s="1275"/>
      <c r="G990"/>
      <c r="I990" s="524"/>
    </row>
    <row r="991" spans="1:9" ht="12.75" customHeight="1">
      <c r="A991" s="175"/>
      <c r="B991" s="175"/>
      <c r="C991" s="175"/>
      <c r="D991" s="1275"/>
      <c r="E991" s="1275"/>
      <c r="F991" s="1275"/>
      <c r="G991"/>
      <c r="I991" s="524"/>
    </row>
    <row r="992" spans="1:9" ht="12.75" customHeight="1">
      <c r="A992" s="175"/>
      <c r="B992" s="175"/>
      <c r="C992" s="175"/>
      <c r="D992" s="1275"/>
      <c r="E992" s="1275"/>
      <c r="F992" s="1275"/>
      <c r="G992"/>
      <c r="I992" s="524"/>
    </row>
    <row r="993" spans="1:9" ht="12.75" customHeight="1">
      <c r="A993" s="175"/>
      <c r="B993" s="175"/>
      <c r="C993" s="175"/>
      <c r="D993" s="1275"/>
      <c r="E993" s="1275"/>
      <c r="F993" s="1275"/>
      <c r="G993"/>
      <c r="I993" s="524"/>
    </row>
    <row r="994" spans="1:9" ht="12.75" customHeight="1">
      <c r="A994" s="175"/>
      <c r="B994" s="175"/>
      <c r="C994" s="175"/>
      <c r="D994" s="474"/>
      <c r="E994" s="474"/>
      <c r="F994" s="474"/>
      <c r="G994"/>
      <c r="I994" s="524"/>
    </row>
    <row r="995" spans="1:9" ht="12.75" customHeight="1">
      <c r="A995" s="175"/>
      <c r="B995" s="519" t="s">
        <v>2776</v>
      </c>
      <c r="C995" s="175"/>
      <c r="D995" s="1275" t="s">
        <v>1980</v>
      </c>
      <c r="E995" s="1275"/>
      <c r="F995" s="1275"/>
      <c r="G995"/>
      <c r="I995" s="524"/>
    </row>
    <row r="996" spans="1:9" ht="12.75" customHeight="1">
      <c r="A996" s="175"/>
      <c r="B996" s="175"/>
      <c r="C996" s="175"/>
      <c r="D996" s="1275"/>
      <c r="E996" s="1275"/>
      <c r="F996" s="1275"/>
      <c r="G996"/>
      <c r="I996" s="524"/>
    </row>
    <row r="997" spans="1:9" ht="12.75" customHeight="1">
      <c r="A997" s="175"/>
      <c r="B997" s="175"/>
      <c r="C997" s="175"/>
      <c r="D997" s="474"/>
      <c r="E997" s="474"/>
      <c r="F997" s="474"/>
      <c r="G997"/>
      <c r="I997" s="524"/>
    </row>
    <row r="998" spans="1:9" ht="12.75" customHeight="1">
      <c r="A998" s="176"/>
      <c r="B998" s="519" t="s">
        <v>2775</v>
      </c>
      <c r="C998" s="385"/>
      <c r="D998" s="1286" t="s">
        <v>1981</v>
      </c>
      <c r="E998" s="1286"/>
      <c r="F998" s="1286"/>
      <c r="G998"/>
      <c r="I998" s="524"/>
    </row>
    <row r="999" spans="1:9" ht="12.75" customHeight="1">
      <c r="A999" s="385"/>
      <c r="B999" s="385"/>
      <c r="C999" s="385"/>
      <c r="D999" s="3"/>
      <c r="E999" s="3"/>
      <c r="F999" s="3"/>
      <c r="G999"/>
      <c r="I999" s="524"/>
    </row>
    <row r="1000" spans="1:9" ht="12.75" customHeight="1">
      <c r="A1000" s="176"/>
      <c r="B1000" s="519" t="s">
        <v>2776</v>
      </c>
      <c r="C1000" s="385"/>
      <c r="D1000" s="1286" t="s">
        <v>1982</v>
      </c>
      <c r="E1000" s="1286"/>
      <c r="F1000" s="1286"/>
      <c r="G1000"/>
      <c r="I1000" s="524"/>
    </row>
    <row r="1001" spans="1:9" ht="12.75" customHeight="1">
      <c r="A1001" s="385"/>
      <c r="B1001" s="385"/>
      <c r="C1001" s="385"/>
      <c r="D1001" s="118"/>
      <c r="E1001" s="3"/>
      <c r="F1001" s="3"/>
      <c r="G1001"/>
      <c r="I1001" s="524"/>
    </row>
    <row r="1002" spans="1:9" ht="12.75" customHeight="1">
      <c r="A1002" s="176"/>
      <c r="B1002" s="519" t="s">
        <v>2776</v>
      </c>
      <c r="C1002" s="385"/>
      <c r="D1002" s="1286" t="s">
        <v>1983</v>
      </c>
      <c r="E1002" s="1286"/>
      <c r="F1002" s="1286"/>
      <c r="G1002"/>
      <c r="I1002" s="524"/>
    </row>
    <row r="1003" spans="1:9" ht="12.75" customHeight="1">
      <c r="A1003" s="385"/>
      <c r="B1003" s="385"/>
      <c r="C1003" s="385"/>
      <c r="D1003" s="118"/>
      <c r="E1003" s="3"/>
      <c r="F1003" s="3"/>
      <c r="G1003"/>
      <c r="I1003" s="524"/>
    </row>
    <row r="1004" spans="1:9" ht="12.75" customHeight="1">
      <c r="A1004" s="176"/>
      <c r="B1004" s="519" t="s">
        <v>2776</v>
      </c>
      <c r="C1004" s="385"/>
      <c r="D1004" s="1275" t="s">
        <v>1984</v>
      </c>
      <c r="E1004" s="1275"/>
      <c r="F1004" s="1275"/>
      <c r="G1004"/>
      <c r="I1004" s="524"/>
    </row>
    <row r="1005" spans="1:9" ht="12.75" customHeight="1">
      <c r="A1005" s="176"/>
      <c r="B1005" s="176"/>
      <c r="C1005" s="385"/>
      <c r="D1005" s="1275"/>
      <c r="E1005" s="1275"/>
      <c r="F1005" s="1275"/>
      <c r="G1005"/>
      <c r="I1005" s="524"/>
    </row>
    <row r="1006" spans="1:9" ht="12.75" customHeight="1">
      <c r="A1006" s="176"/>
      <c r="B1006" s="176"/>
      <c r="C1006" s="385"/>
      <c r="D1006" s="118"/>
      <c r="E1006" s="3"/>
      <c r="F1006" s="3"/>
      <c r="G1006" s="3"/>
      <c r="I1006" s="524"/>
    </row>
    <row r="1007" spans="1:9" ht="12.75" customHeight="1">
      <c r="A1007" s="272"/>
      <c r="B1007" s="519" t="s">
        <v>2776</v>
      </c>
      <c r="C1007" s="1035"/>
      <c r="D1007" s="1315" t="s">
        <v>1985</v>
      </c>
      <c r="E1007" s="1315"/>
      <c r="F1007" s="1315"/>
      <c r="G1007" s="1036"/>
      <c r="I1007" s="524"/>
    </row>
    <row r="1008" spans="1:9" ht="12.75" customHeight="1">
      <c r="A1008" s="1035"/>
      <c r="B1008" s="1035"/>
      <c r="C1008" s="1035"/>
      <c r="D1008" s="1315"/>
      <c r="E1008" s="1315"/>
      <c r="F1008" s="1315"/>
      <c r="G1008" s="1036"/>
      <c r="I1008" s="524"/>
    </row>
    <row r="1009" spans="1:9" ht="12.75" customHeight="1">
      <c r="A1009" s="1035"/>
      <c r="B1009" s="1035"/>
      <c r="C1009" s="1035"/>
      <c r="D1009" s="1019"/>
      <c r="E1009" s="1036"/>
      <c r="F1009" s="1036"/>
      <c r="G1009" s="1036"/>
      <c r="I1009" s="524"/>
    </row>
    <row r="1010" spans="1:9" ht="12.75" customHeight="1">
      <c r="A1010" s="272"/>
      <c r="B1010" s="519" t="s">
        <v>2776</v>
      </c>
      <c r="C1010" s="1035"/>
      <c r="D1010" s="1333" t="s">
        <v>1986</v>
      </c>
      <c r="E1010" s="1333"/>
      <c r="F1010" s="1333"/>
      <c r="G1010" s="1036"/>
      <c r="I1010" s="524"/>
    </row>
    <row r="1011" spans="1:9" ht="12.75" customHeight="1">
      <c r="A1011" s="1035"/>
      <c r="B1011" s="1035"/>
      <c r="C1011" s="1035"/>
      <c r="D1011" s="1019"/>
      <c r="E1011" s="1036"/>
      <c r="F1011" s="1036"/>
      <c r="G1011" s="1036"/>
      <c r="I1011" s="524"/>
    </row>
    <row r="1012" spans="1:9" ht="12.75" customHeight="1">
      <c r="A1012" s="176"/>
      <c r="B1012" s="519" t="s">
        <v>2775</v>
      </c>
      <c r="C1012" s="385"/>
      <c r="D1012" s="1286" t="s">
        <v>1987</v>
      </c>
      <c r="E1012" s="1286"/>
      <c r="F1012" s="1286"/>
      <c r="G1012" s="3"/>
      <c r="I1012" s="524"/>
    </row>
    <row r="1013" spans="1:9" ht="12.75" customHeight="1">
      <c r="A1013" s="176"/>
      <c r="B1013" s="176"/>
      <c r="C1013" s="385"/>
      <c r="D1013" s="118"/>
      <c r="E1013" s="3"/>
      <c r="F1013" s="3"/>
      <c r="G1013" s="3"/>
      <c r="I1013" s="524"/>
    </row>
    <row r="1014" spans="1:9" ht="12.75" customHeight="1">
      <c r="A1014" s="176"/>
      <c r="B1014" s="519" t="s">
        <v>2775</v>
      </c>
      <c r="C1014" s="385"/>
      <c r="D1014" s="1275" t="s">
        <v>1988</v>
      </c>
      <c r="E1014" s="1275"/>
      <c r="F1014" s="1275"/>
      <c r="G1014" s="3"/>
      <c r="I1014" s="524"/>
    </row>
    <row r="1015" spans="1:9" ht="12.75" customHeight="1">
      <c r="A1015" s="176"/>
      <c r="B1015" s="176"/>
      <c r="C1015" s="385"/>
      <c r="D1015" s="1275"/>
      <c r="E1015" s="1275"/>
      <c r="F1015" s="1275"/>
      <c r="G1015" s="3"/>
      <c r="I1015" s="524"/>
    </row>
    <row r="1016" spans="1:9" ht="12.75" customHeight="1">
      <c r="A1016" s="385"/>
      <c r="B1016" s="385"/>
      <c r="C1016" s="385"/>
      <c r="D1016" s="3"/>
      <c r="E1016" s="3"/>
      <c r="F1016" s="3"/>
      <c r="G1016" s="3"/>
      <c r="I1016" s="524"/>
    </row>
    <row r="1017" spans="1:9" ht="12.75" customHeight="1">
      <c r="A1017" s="1320" t="s">
        <v>1989</v>
      </c>
      <c r="B1017" s="1320"/>
      <c r="C1017" s="1320"/>
      <c r="D1017" s="1320"/>
      <c r="E1017" s="1320"/>
      <c r="F1017" s="1320"/>
      <c r="G1017" s="1320"/>
      <c r="H1017" s="1063"/>
      <c r="I1017" s="1259"/>
    </row>
    <row r="1018" spans="1:9" ht="12.75" customHeight="1">
      <c r="A1018" s="385"/>
      <c r="B1018" s="385"/>
      <c r="C1018" s="385"/>
      <c r="D1018" s="3"/>
      <c r="E1018" s="3"/>
      <c r="F1018" s="3"/>
      <c r="G1018" s="3"/>
      <c r="I1018" s="524"/>
    </row>
    <row r="1019" spans="1:9" ht="12.75" customHeight="1">
      <c r="A1019" s="385"/>
      <c r="B1019" s="385"/>
      <c r="C1019" s="385"/>
      <c r="D1019" s="1314" t="s">
        <v>1990</v>
      </c>
      <c r="E1019" s="1314"/>
      <c r="F1019" s="1314"/>
      <c r="G1019" s="3"/>
      <c r="I1019" s="524"/>
    </row>
    <row r="1020" spans="1:9" ht="12.75" customHeight="1">
      <c r="A1020" s="385"/>
      <c r="B1020" s="385"/>
      <c r="C1020" s="385"/>
      <c r="D1020" s="1333" t="s">
        <v>1991</v>
      </c>
      <c r="E1020" s="1333"/>
      <c r="F1020" s="1333"/>
      <c r="G1020" s="3"/>
      <c r="I1020" s="524"/>
    </row>
    <row r="1021" spans="1:9" ht="12.75" customHeight="1">
      <c r="A1021" s="172"/>
      <c r="B1021" s="172"/>
      <c r="C1021" s="172"/>
      <c r="D1021" s="3"/>
      <c r="E1021" s="3"/>
      <c r="F1021" s="3"/>
      <c r="G1021" s="3"/>
      <c r="I1021" s="524"/>
    </row>
    <row r="1022" spans="1:9" ht="12.75" customHeight="1">
      <c r="A1022" s="176"/>
      <c r="B1022" s="176"/>
      <c r="C1022" s="175"/>
      <c r="D1022" s="1314" t="s">
        <v>2005</v>
      </c>
      <c r="E1022" s="1314"/>
      <c r="F1022" s="1314"/>
      <c r="G1022" s="3"/>
      <c r="I1022" s="524" t="s">
        <v>2114</v>
      </c>
    </row>
    <row r="1023" spans="1:9" ht="12.75" customHeight="1">
      <c r="A1023" s="385"/>
      <c r="B1023" s="519" t="s">
        <v>2775</v>
      </c>
      <c r="C1023" s="385"/>
      <c r="D1023" s="1333" t="s">
        <v>1382</v>
      </c>
      <c r="E1023" s="1333"/>
      <c r="F1023" s="1333"/>
      <c r="G1023" s="3"/>
      <c r="I1023" s="524"/>
    </row>
    <row r="1024" spans="1:9" ht="12.75" customHeight="1">
      <c r="A1024" s="385"/>
      <c r="B1024" s="176"/>
      <c r="C1024" s="385"/>
      <c r="D1024" s="1333" t="s">
        <v>1992</v>
      </c>
      <c r="E1024" s="1333"/>
      <c r="F1024" s="1333"/>
      <c r="G1024" s="3"/>
      <c r="I1024" s="524"/>
    </row>
    <row r="1025" spans="1:9" ht="12.75" customHeight="1">
      <c r="A1025" s="385"/>
      <c r="B1025" s="385"/>
      <c r="C1025" s="385"/>
      <c r="D1025" s="1333"/>
      <c r="E1025" s="1333"/>
      <c r="F1025" s="1333"/>
      <c r="G1025" s="3"/>
      <c r="I1025" s="524"/>
    </row>
    <row r="1026" spans="1:9" ht="12.75" customHeight="1">
      <c r="A1026" s="1320" t="s">
        <v>2001</v>
      </c>
      <c r="B1026" s="1320"/>
      <c r="C1026" s="1320"/>
      <c r="D1026" s="1320"/>
      <c r="E1026" s="1320"/>
      <c r="F1026" s="1320"/>
      <c r="G1026" s="1320"/>
      <c r="H1026" s="1063"/>
      <c r="I1026" s="1259"/>
    </row>
    <row r="1027" spans="1:9" ht="12.75" customHeight="1">
      <c r="A1027" s="118"/>
      <c r="B1027" s="118"/>
      <c r="C1027" s="385"/>
      <c r="D1027" s="3"/>
      <c r="E1027" s="3"/>
      <c r="F1027" s="3"/>
      <c r="G1027" s="3"/>
      <c r="I1027" s="524"/>
    </row>
    <row r="1028" spans="1:9" ht="12.75" hidden="1" customHeight="1">
      <c r="A1028" s="118"/>
      <c r="B1028" s="433"/>
      <c r="D1028" s="1322" t="s">
        <v>1383</v>
      </c>
      <c r="E1028" s="1322"/>
      <c r="F1028" s="1322"/>
      <c r="G1028" s="3"/>
      <c r="I1028" s="524"/>
    </row>
    <row r="1029" spans="1:9" ht="12.75" hidden="1" customHeight="1">
      <c r="A1029" s="118"/>
      <c r="B1029" s="519" t="s">
        <v>308</v>
      </c>
      <c r="D1029" s="1324" t="s">
        <v>1382</v>
      </c>
      <c r="E1029" s="1324"/>
      <c r="F1029" s="1324"/>
      <c r="G1029" s="3"/>
      <c r="I1029" s="524"/>
    </row>
    <row r="1030" spans="1:9" ht="12.75" hidden="1" customHeight="1">
      <c r="A1030" s="118"/>
      <c r="B1030" s="433"/>
      <c r="D1030" s="1324" t="s">
        <v>2002</v>
      </c>
      <c r="E1030" s="1324"/>
      <c r="F1030" s="1324"/>
      <c r="G1030" s="3"/>
      <c r="I1030" s="524"/>
    </row>
    <row r="1031" spans="1:9" ht="12.75" hidden="1" customHeight="1">
      <c r="A1031" s="118"/>
      <c r="B1031" s="433"/>
      <c r="D1031" s="478"/>
      <c r="E1031" s="478"/>
      <c r="F1031" s="478"/>
      <c r="G1031" s="3"/>
      <c r="I1031" s="524"/>
    </row>
    <row r="1032" spans="1:9" ht="12.75" customHeight="1">
      <c r="A1032" s="118"/>
      <c r="B1032" s="118"/>
      <c r="C1032" s="385"/>
      <c r="D1032" s="1334" t="s">
        <v>1096</v>
      </c>
      <c r="E1032" s="1334"/>
      <c r="F1032" s="1334"/>
      <c r="G1032" s="3"/>
      <c r="I1032" s="524" t="s">
        <v>2143</v>
      </c>
    </row>
    <row r="1033" spans="1:9" ht="12.75" customHeight="1">
      <c r="A1033" s="345"/>
      <c r="B1033" s="345"/>
      <c r="C1033" s="345"/>
      <c r="D1033" s="1318" t="s">
        <v>1113</v>
      </c>
      <c r="E1033" s="1318"/>
      <c r="F1033" s="1318"/>
      <c r="G1033" s="98"/>
      <c r="I1033" s="524"/>
    </row>
    <row r="1034" spans="1:9" ht="12.75" customHeight="1">
      <c r="A1034" s="176"/>
      <c r="B1034" s="519" t="s">
        <v>2776</v>
      </c>
      <c r="C1034" s="385"/>
      <c r="D1034" s="1318" t="s">
        <v>1006</v>
      </c>
      <c r="E1034" s="1318"/>
      <c r="F1034" s="1318"/>
      <c r="G1034" s="3"/>
      <c r="I1034" s="524"/>
    </row>
    <row r="1035" spans="1:9" ht="12.75" customHeight="1">
      <c r="A1035" s="385"/>
      <c r="B1035" s="385"/>
      <c r="C1035" s="385"/>
      <c r="D1035" s="1071" t="s">
        <v>2219</v>
      </c>
      <c r="E1035" s="96"/>
      <c r="F1035" s="96"/>
      <c r="G1035" s="3"/>
      <c r="I1035" s="524"/>
    </row>
    <row r="1036" spans="1:9">
      <c r="A1036" s="433"/>
      <c r="B1036" s="433"/>
      <c r="C1036" s="433"/>
      <c r="I1036" s="524"/>
    </row>
    <row r="1037" spans="1:9">
      <c r="A1037" s="1320" t="s">
        <v>2022</v>
      </c>
      <c r="B1037" s="1320"/>
      <c r="C1037" s="1320"/>
      <c r="D1037" s="1320"/>
      <c r="E1037" s="1320"/>
      <c r="F1037" s="1320"/>
      <c r="G1037" s="1320"/>
      <c r="H1037" s="1063"/>
      <c r="I1037" s="1259"/>
    </row>
    <row r="1038" spans="1:9">
      <c r="A1038" s="433"/>
      <c r="B1038" s="433"/>
      <c r="C1038" s="433"/>
      <c r="I1038" s="524"/>
    </row>
    <row r="1039" spans="1:9">
      <c r="A1039" s="433"/>
      <c r="B1039" s="433"/>
      <c r="C1039" s="433"/>
      <c r="D1039" s="435" t="s">
        <v>2008</v>
      </c>
      <c r="I1039" s="524"/>
    </row>
    <row r="1040" spans="1:9">
      <c r="A1040" s="433"/>
      <c r="B1040" s="433"/>
      <c r="C1040" s="433"/>
      <c r="D1040" s="433" t="s">
        <v>2007</v>
      </c>
      <c r="I1040" s="524"/>
    </row>
    <row r="1041" spans="1:9">
      <c r="A1041" s="433"/>
      <c r="B1041" s="433"/>
      <c r="C1041" s="433"/>
      <c r="D1041" s="435"/>
      <c r="I1041" s="524"/>
    </row>
    <row r="1042" spans="1:9">
      <c r="A1042" s="433"/>
      <c r="B1042" s="519" t="s">
        <v>2776</v>
      </c>
      <c r="C1042" s="433"/>
      <c r="D1042" s="1336" t="s">
        <v>2006</v>
      </c>
      <c r="E1042" s="1336"/>
      <c r="F1042" s="1336"/>
      <c r="I1042" s="524" t="s">
        <v>2115</v>
      </c>
    </row>
    <row r="1043" spans="1:9">
      <c r="A1043" s="433"/>
      <c r="B1043" s="433"/>
      <c r="C1043" s="433"/>
      <c r="D1043" s="1336"/>
      <c r="E1043" s="1336"/>
      <c r="F1043" s="1336"/>
      <c r="I1043" s="524"/>
    </row>
    <row r="1044" spans="1:9">
      <c r="A1044" s="433"/>
      <c r="B1044" s="433"/>
      <c r="C1044" s="433"/>
      <c r="D1044" s="1336"/>
      <c r="E1044" s="1336"/>
      <c r="F1044" s="1336"/>
      <c r="I1044" s="524"/>
    </row>
    <row r="1045" spans="1:9">
      <c r="A1045" s="433"/>
      <c r="B1045" s="433"/>
      <c r="C1045" s="433"/>
      <c r="D1045" s="1336"/>
      <c r="E1045" s="1336"/>
      <c r="F1045" s="1336"/>
      <c r="I1045" s="524"/>
    </row>
    <row r="1046" spans="1:9">
      <c r="A1046" s="433"/>
      <c r="B1046" s="433"/>
      <c r="C1046" s="433"/>
      <c r="I1046" s="524"/>
    </row>
    <row r="1047" spans="1:9">
      <c r="A1047" s="433"/>
      <c r="B1047" s="433"/>
      <c r="C1047" s="433"/>
      <c r="D1047" s="435" t="s">
        <v>1425</v>
      </c>
      <c r="I1047" s="524"/>
    </row>
    <row r="1048" spans="1:9">
      <c r="A1048" s="433"/>
      <c r="B1048" s="433"/>
      <c r="C1048" s="433"/>
      <c r="D1048" s="433" t="s">
        <v>2009</v>
      </c>
      <c r="I1048" s="524"/>
    </row>
    <row r="1049" spans="1:9">
      <c r="A1049" s="433"/>
      <c r="B1049" s="433"/>
      <c r="C1049" s="433"/>
      <c r="I1049" s="524"/>
    </row>
    <row r="1050" spans="1:9">
      <c r="A1050" s="433"/>
      <c r="B1050" s="519" t="s">
        <v>2776</v>
      </c>
      <c r="C1050" s="433"/>
      <c r="D1050" s="433" t="s">
        <v>2004</v>
      </c>
      <c r="I1050" s="524" t="s">
        <v>2116</v>
      </c>
    </row>
    <row r="1051" spans="1:9">
      <c r="A1051" s="433"/>
      <c r="B1051" s="433"/>
      <c r="C1051" s="433"/>
      <c r="I1051" s="524"/>
    </row>
    <row r="1052" spans="1:9">
      <c r="A1052" s="433"/>
      <c r="B1052" s="519" t="s">
        <v>2775</v>
      </c>
      <c r="C1052" s="433"/>
      <c r="D1052" s="1336" t="s">
        <v>2010</v>
      </c>
      <c r="E1052" s="1336"/>
      <c r="F1052" s="1336"/>
      <c r="I1052" s="524" t="s">
        <v>2117</v>
      </c>
    </row>
    <row r="1053" spans="1:9">
      <c r="A1053" s="433"/>
      <c r="B1053" s="433"/>
      <c r="C1053" s="433"/>
      <c r="D1053" s="1336"/>
      <c r="E1053" s="1336"/>
      <c r="F1053" s="1336"/>
      <c r="I1053" s="524"/>
    </row>
    <row r="1054" spans="1:9">
      <c r="A1054" s="433"/>
      <c r="B1054" s="433"/>
      <c r="C1054" s="433"/>
      <c r="D1054" s="1336"/>
      <c r="E1054" s="1336"/>
      <c r="F1054" s="1336"/>
      <c r="I1054" s="524"/>
    </row>
    <row r="1055" spans="1:9">
      <c r="A1055" s="433"/>
      <c r="B1055" s="433"/>
      <c r="C1055" s="433"/>
      <c r="D1055" s="1336"/>
      <c r="E1055" s="1336"/>
      <c r="F1055" s="1336"/>
      <c r="I1055" s="524"/>
    </row>
    <row r="1056" spans="1:9">
      <c r="A1056" s="433"/>
      <c r="B1056" s="433"/>
      <c r="C1056" s="433"/>
      <c r="D1056" s="1336"/>
      <c r="E1056" s="1336"/>
      <c r="F1056" s="1336"/>
      <c r="I1056" s="524"/>
    </row>
    <row r="1057" spans="1:9">
      <c r="A1057" s="433"/>
      <c r="B1057" s="433"/>
      <c r="C1057" s="433"/>
      <c r="I1057" s="524"/>
    </row>
    <row r="1058" spans="1:9">
      <c r="A1058" s="1320" t="s">
        <v>2011</v>
      </c>
      <c r="B1058" s="1320"/>
      <c r="C1058" s="1320"/>
      <c r="D1058" s="1320"/>
      <c r="E1058" s="1320"/>
      <c r="F1058" s="1320"/>
      <c r="G1058" s="1320"/>
      <c r="H1058" s="1063"/>
      <c r="I1058" s="1259"/>
    </row>
    <row r="1059" spans="1:9">
      <c r="A1059" s="433"/>
      <c r="B1059" s="433"/>
      <c r="C1059" s="433"/>
      <c r="I1059" s="524"/>
    </row>
    <row r="1060" spans="1:9">
      <c r="A1060" s="433"/>
      <c r="B1060" s="433"/>
      <c r="C1060" s="433"/>
      <c r="I1060" s="524"/>
    </row>
    <row r="1061" spans="1:9">
      <c r="A1061" s="433"/>
      <c r="B1061" s="519" t="s">
        <v>2775</v>
      </c>
      <c r="C1061" s="433"/>
      <c r="D1061" s="561" t="s">
        <v>2014</v>
      </c>
      <c r="I1061" s="524" t="s">
        <v>2118</v>
      </c>
    </row>
    <row r="1062" spans="1:9">
      <c r="A1062" s="433"/>
      <c r="B1062" s="433"/>
      <c r="C1062" s="433"/>
      <c r="D1062" s="561" t="s">
        <v>2016</v>
      </c>
      <c r="I1062" s="524"/>
    </row>
    <row r="1063" spans="1:9">
      <c r="A1063" s="433"/>
      <c r="B1063" s="433"/>
      <c r="C1063" s="433"/>
      <c r="D1063" s="561"/>
      <c r="I1063" s="524"/>
    </row>
    <row r="1064" spans="1:9">
      <c r="A1064" s="433"/>
      <c r="B1064" s="519" t="s">
        <v>2775</v>
      </c>
      <c r="C1064" s="433"/>
      <c r="D1064" s="561" t="s">
        <v>2017</v>
      </c>
      <c r="I1064" s="524" t="s">
        <v>2119</v>
      </c>
    </row>
    <row r="1065" spans="1:9">
      <c r="A1065" s="433"/>
      <c r="B1065" s="433"/>
      <c r="C1065" s="433"/>
      <c r="D1065" s="561" t="s">
        <v>2015</v>
      </c>
      <c r="I1065" s="524"/>
    </row>
    <row r="1066" spans="1:9">
      <c r="A1066" s="433"/>
      <c r="B1066" s="433"/>
      <c r="C1066" s="433"/>
      <c r="D1066" s="561"/>
      <c r="I1066" s="524"/>
    </row>
    <row r="1067" spans="1:9">
      <c r="A1067" s="433"/>
      <c r="B1067" s="519" t="s">
        <v>2776</v>
      </c>
      <c r="C1067" s="433"/>
      <c r="D1067" s="119" t="s">
        <v>2020</v>
      </c>
      <c r="I1067" s="524" t="s">
        <v>2120</v>
      </c>
    </row>
    <row r="1068" spans="1:9">
      <c r="A1068" s="433"/>
      <c r="B1068" s="433"/>
      <c r="C1068" s="433"/>
      <c r="D1068" s="1275" t="s">
        <v>2021</v>
      </c>
      <c r="E1068" s="1275"/>
      <c r="F1068" s="1275"/>
      <c r="I1068" s="524"/>
    </row>
    <row r="1069" spans="1:9">
      <c r="A1069" s="433"/>
      <c r="B1069" s="433"/>
      <c r="C1069" s="433"/>
      <c r="D1069" s="1275"/>
      <c r="E1069" s="1275"/>
      <c r="F1069" s="1275"/>
      <c r="I1069" s="524"/>
    </row>
    <row r="1070" spans="1:9">
      <c r="A1070" s="433"/>
      <c r="B1070" s="433"/>
      <c r="C1070" s="433"/>
      <c r="D1070" s="1275"/>
      <c r="E1070" s="1275"/>
      <c r="F1070" s="1275"/>
      <c r="I1070" s="524"/>
    </row>
    <row r="1071" spans="1:9">
      <c r="A1071" s="433"/>
      <c r="B1071" s="433"/>
      <c r="C1071" s="433"/>
      <c r="D1071" s="1275"/>
      <c r="E1071" s="1275"/>
      <c r="F1071" s="1275"/>
      <c r="I1071" s="524"/>
    </row>
    <row r="1072" spans="1:9">
      <c r="A1072" s="433"/>
      <c r="B1072" s="433"/>
      <c r="C1072" s="433"/>
      <c r="D1072" s="119" t="s">
        <v>2019</v>
      </c>
      <c r="I1072" s="524"/>
    </row>
    <row r="1073" spans="1:9">
      <c r="A1073" s="433"/>
      <c r="B1073" s="433"/>
      <c r="C1073" s="433"/>
      <c r="D1073" s="119"/>
      <c r="I1073" s="524"/>
    </row>
    <row r="1074" spans="1:9">
      <c r="A1074" s="433"/>
      <c r="B1074" s="433"/>
      <c r="C1074" s="433"/>
      <c r="D1074" s="561" t="s">
        <v>2012</v>
      </c>
      <c r="I1074" s="524" t="s">
        <v>2121</v>
      </c>
    </row>
    <row r="1075" spans="1:9">
      <c r="A1075" s="433"/>
      <c r="B1075" s="519" t="s">
        <v>2776</v>
      </c>
      <c r="C1075" s="433"/>
      <c r="D1075" s="1335" t="s">
        <v>2013</v>
      </c>
      <c r="E1075" s="1335"/>
      <c r="F1075" s="1335"/>
      <c r="I1075" s="524"/>
    </row>
    <row r="1076" spans="1:9">
      <c r="A1076" s="433"/>
      <c r="B1076" s="433"/>
      <c r="C1076" s="433"/>
      <c r="D1076" s="1335"/>
      <c r="E1076" s="1335"/>
      <c r="F1076" s="1335"/>
      <c r="I1076" s="524"/>
    </row>
    <row r="1077" spans="1:9">
      <c r="A1077" s="433"/>
      <c r="B1077" s="433"/>
      <c r="C1077" s="433"/>
      <c r="D1077" s="1335"/>
      <c r="E1077" s="1335"/>
      <c r="F1077" s="1335"/>
      <c r="I1077" s="524"/>
    </row>
    <row r="1078" spans="1:9">
      <c r="A1078" s="433"/>
      <c r="B1078" s="433"/>
      <c r="C1078" s="433"/>
      <c r="D1078" s="1335"/>
      <c r="E1078" s="1335"/>
      <c r="F1078" s="1335"/>
      <c r="I1078" s="524"/>
    </row>
    <row r="1079" spans="1:9">
      <c r="A1079" s="433"/>
      <c r="B1079" s="433"/>
      <c r="C1079" s="433"/>
      <c r="D1079" s="1335"/>
      <c r="E1079" s="1335"/>
      <c r="F1079" s="1335"/>
      <c r="I1079" s="524"/>
    </row>
    <row r="1080" spans="1:9">
      <c r="A1080" s="433"/>
      <c r="B1080" s="433"/>
      <c r="C1080" s="433"/>
      <c r="D1080" s="561" t="s">
        <v>2018</v>
      </c>
      <c r="I1080" s="524"/>
    </row>
    <row r="1081" spans="1:9">
      <c r="A1081" s="433"/>
      <c r="B1081" s="433"/>
      <c r="C1081" s="433"/>
      <c r="I1081" s="524"/>
    </row>
    <row r="1082" spans="1:9">
      <c r="A1082" s="1320" t="s">
        <v>2023</v>
      </c>
      <c r="B1082" s="1320"/>
      <c r="C1082" s="1320"/>
      <c r="D1082" s="1320"/>
      <c r="E1082" s="1320"/>
      <c r="F1082" s="1320"/>
      <c r="G1082" s="1320"/>
      <c r="H1082" s="1063"/>
      <c r="I1082" s="1259"/>
    </row>
    <row r="1083" spans="1:9">
      <c r="A1083" s="433"/>
      <c r="B1083" s="433"/>
      <c r="C1083" s="433"/>
      <c r="I1083" s="524"/>
    </row>
    <row r="1084" spans="1:9">
      <c r="A1084" s="433"/>
      <c r="B1084" s="433"/>
      <c r="C1084" s="433"/>
      <c r="I1084" s="524"/>
    </row>
    <row r="1085" spans="1:9" ht="12.75" customHeight="1">
      <c r="A1085" s="433"/>
      <c r="B1085" s="519" t="s">
        <v>2776</v>
      </c>
      <c r="C1085" s="433"/>
      <c r="D1085" s="1337" t="s">
        <v>2231</v>
      </c>
      <c r="E1085" s="1337"/>
      <c r="F1085" s="1337"/>
      <c r="I1085" s="524" t="s">
        <v>2122</v>
      </c>
    </row>
    <row r="1086" spans="1:9">
      <c r="A1086" s="433"/>
      <c r="B1086" s="433"/>
      <c r="C1086" s="433"/>
      <c r="D1086" s="1337"/>
      <c r="E1086" s="1337"/>
      <c r="F1086" s="1337"/>
      <c r="I1086" s="524"/>
    </row>
    <row r="1087" spans="1:9">
      <c r="A1087" s="433"/>
      <c r="B1087" s="433"/>
      <c r="C1087" s="433"/>
      <c r="D1087" s="1338" t="s">
        <v>2504</v>
      </c>
      <c r="E1087" s="1275"/>
      <c r="F1087" s="1275"/>
      <c r="I1087" s="524"/>
    </row>
    <row r="1088" spans="1:9">
      <c r="A1088" s="433"/>
      <c r="B1088" s="433"/>
      <c r="C1088" s="433"/>
      <c r="D1088" s="561"/>
      <c r="I1088" s="524"/>
    </row>
    <row r="1089" spans="1:9">
      <c r="A1089" s="433"/>
      <c r="B1089" s="519" t="s">
        <v>2776</v>
      </c>
      <c r="C1089" s="433"/>
      <c r="D1089" s="1335" t="s">
        <v>2024</v>
      </c>
      <c r="E1089" s="1335"/>
      <c r="F1089" s="1335"/>
      <c r="I1089" s="524" t="s">
        <v>2123</v>
      </c>
    </row>
    <row r="1090" spans="1:9">
      <c r="A1090" s="433"/>
      <c r="B1090" s="433"/>
      <c r="C1090" s="433"/>
      <c r="D1090" s="1335"/>
      <c r="E1090" s="1335"/>
      <c r="F1090" s="1335"/>
      <c r="I1090" s="524"/>
    </row>
    <row r="1091" spans="1:9">
      <c r="A1091" s="433"/>
      <c r="B1091" s="433"/>
      <c r="C1091" s="433"/>
      <c r="D1091" s="561"/>
      <c r="I1091" s="524"/>
    </row>
    <row r="1092" spans="1:9">
      <c r="A1092" s="433"/>
      <c r="B1092" s="519" t="s">
        <v>2776</v>
      </c>
      <c r="C1092" s="433"/>
      <c r="D1092" s="1335" t="s">
        <v>2167</v>
      </c>
      <c r="E1092" s="1335"/>
      <c r="F1092" s="1335"/>
      <c r="I1092" s="524" t="s">
        <v>2165</v>
      </c>
    </row>
    <row r="1093" spans="1:9">
      <c r="A1093" s="433"/>
      <c r="B1093" s="433"/>
      <c r="C1093" s="433"/>
      <c r="D1093" s="1335"/>
      <c r="E1093" s="1335"/>
      <c r="F1093" s="1335"/>
      <c r="I1093" s="524"/>
    </row>
    <row r="1094" spans="1:9">
      <c r="A1094" s="433"/>
      <c r="B1094" s="433"/>
      <c r="C1094" s="433"/>
      <c r="D1094" s="1335"/>
      <c r="E1094" s="1335"/>
      <c r="F1094" s="1335"/>
      <c r="I1094" s="524"/>
    </row>
    <row r="1095" spans="1:9">
      <c r="A1095" s="433"/>
      <c r="B1095" s="433"/>
      <c r="C1095" s="433"/>
      <c r="D1095" s="1335"/>
      <c r="E1095" s="1335"/>
      <c r="F1095" s="1335"/>
      <c r="I1095" s="524"/>
    </row>
    <row r="1096" spans="1:9">
      <c r="A1096" s="433"/>
      <c r="B1096" s="433"/>
      <c r="C1096" s="433"/>
      <c r="D1096" s="1335"/>
      <c r="E1096" s="1335"/>
      <c r="F1096" s="1335"/>
      <c r="I1096" s="524"/>
    </row>
    <row r="1097" spans="1:9">
      <c r="A1097" s="433"/>
      <c r="B1097" s="433"/>
      <c r="C1097" s="433"/>
      <c r="D1097" s="1335"/>
      <c r="E1097" s="1335"/>
      <c r="F1097" s="1335"/>
      <c r="I1097" s="524"/>
    </row>
    <row r="1098" spans="1:9">
      <c r="A1098" s="433"/>
      <c r="B1098" s="433"/>
      <c r="C1098" s="433"/>
      <c r="D1098" s="561" t="s">
        <v>2166</v>
      </c>
      <c r="I1098" s="514"/>
    </row>
    <row r="1099" spans="1:9">
      <c r="A1099" s="433"/>
      <c r="B1099" s="519" t="s">
        <v>2776</v>
      </c>
      <c r="C1099" s="433"/>
      <c r="D1099" s="1335" t="s">
        <v>2025</v>
      </c>
      <c r="E1099" s="1335"/>
      <c r="F1099" s="1335"/>
      <c r="I1099" s="524" t="s">
        <v>2124</v>
      </c>
    </row>
    <row r="1100" spans="1:9">
      <c r="A1100" s="433"/>
      <c r="B1100" s="433"/>
      <c r="C1100" s="433"/>
      <c r="D1100" s="1335"/>
      <c r="E1100" s="1335"/>
      <c r="F1100" s="1335"/>
      <c r="I1100" s="524"/>
    </row>
    <row r="1101" spans="1:9">
      <c r="A1101" s="433"/>
      <c r="B1101" s="433"/>
      <c r="C1101" s="433"/>
      <c r="D1101" s="1335"/>
      <c r="E1101" s="1335"/>
      <c r="F1101" s="1335"/>
      <c r="I1101" s="524"/>
    </row>
    <row r="1102" spans="1:9">
      <c r="A1102" s="433"/>
      <c r="B1102" s="433"/>
      <c r="C1102" s="433"/>
      <c r="D1102" s="561"/>
      <c r="I1102" s="524"/>
    </row>
    <row r="1103" spans="1:9">
      <c r="A1103" s="433"/>
      <c r="B1103" s="519" t="s">
        <v>2776</v>
      </c>
      <c r="C1103" s="433"/>
      <c r="D1103" s="1279" t="s">
        <v>2168</v>
      </c>
      <c r="E1103" s="1279"/>
      <c r="F1103" s="1279"/>
      <c r="I1103" s="524" t="s">
        <v>2125</v>
      </c>
    </row>
    <row r="1104" spans="1:9">
      <c r="A1104" s="433"/>
      <c r="B1104" s="433"/>
      <c r="C1104" s="433"/>
      <c r="D1104" s="1279"/>
      <c r="E1104" s="1279"/>
      <c r="F1104" s="1279"/>
      <c r="I1104" s="524"/>
    </row>
    <row r="1105" spans="1:9">
      <c r="A1105" s="433"/>
      <c r="B1105" s="433"/>
      <c r="C1105" s="433"/>
      <c r="D1105" s="1279"/>
      <c r="E1105" s="1279"/>
      <c r="F1105" s="1279"/>
      <c r="I1105" s="524"/>
    </row>
    <row r="1106" spans="1:9">
      <c r="A1106" s="433"/>
      <c r="B1106" s="433"/>
      <c r="C1106" s="433"/>
      <c r="D1106" s="1015"/>
      <c r="E1106" s="1015"/>
      <c r="F1106" s="1015"/>
      <c r="I1106" s="524"/>
    </row>
    <row r="1107" spans="1:9" ht="15.75" customHeight="1">
      <c r="A1107" s="433"/>
      <c r="B1107" s="519" t="s">
        <v>2776</v>
      </c>
      <c r="C1107" s="433"/>
      <c r="D1107" s="1275" t="s">
        <v>2170</v>
      </c>
      <c r="E1107" s="1275"/>
      <c r="F1107" s="1275"/>
      <c r="I1107" s="524" t="s">
        <v>2169</v>
      </c>
    </row>
    <row r="1108" spans="1:9">
      <c r="A1108" s="433"/>
      <c r="B1108" s="433"/>
      <c r="C1108" s="433"/>
      <c r="D1108" s="1275"/>
      <c r="E1108" s="1275"/>
      <c r="F1108" s="1275"/>
      <c r="I1108" s="524"/>
    </row>
    <row r="1109" spans="1:9">
      <c r="A1109" s="433"/>
      <c r="B1109" s="433"/>
      <c r="C1109" s="433"/>
      <c r="D1109" s="1275"/>
      <c r="E1109" s="1275"/>
      <c r="F1109" s="1275"/>
      <c r="I1109" s="524"/>
    </row>
    <row r="1110" spans="1:9">
      <c r="A1110" s="433"/>
      <c r="B1110" s="433"/>
      <c r="C1110" s="433"/>
      <c r="D1110" s="1275"/>
      <c r="E1110" s="1275"/>
      <c r="F1110" s="1275"/>
      <c r="I1110" s="524"/>
    </row>
    <row r="1111" spans="1:9">
      <c r="A1111" s="433"/>
      <c r="B1111" s="433"/>
      <c r="C1111" s="433"/>
      <c r="D1111" s="1015"/>
      <c r="E1111" s="1015"/>
      <c r="F1111" s="1015"/>
      <c r="I1111" s="524"/>
    </row>
    <row r="1112" spans="1:9" ht="39">
      <c r="A1112" s="433"/>
      <c r="B1112" s="433"/>
      <c r="C1112" s="433"/>
      <c r="I1112" s="1265" t="s">
        <v>2388</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301"/>
      <c r="H1525" s="1301"/>
      <c r="I1525" s="1301"/>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92" workbookViewId="0">
      <selection activeCell="H96" sqref="H96"/>
    </sheetView>
  </sheetViews>
  <sheetFormatPr defaultColWidth="0" defaultRowHeight="11.75" zeroHeight="1"/>
  <cols>
    <col min="1" max="1" width="35.7265625" style="199" customWidth="1"/>
    <col min="2" max="12" width="12.1328125" style="158" customWidth="1"/>
    <col min="13" max="17" width="11.26953125" style="158" customWidth="1"/>
    <col min="18" max="18" width="12.7265625" style="158" customWidth="1"/>
    <col min="19" max="20" width="12.1328125" style="158" customWidth="1"/>
    <col min="21" max="21" width="0.26953125" style="161" customWidth="1"/>
    <col min="22" max="16383" width="8.86328125" style="158" hidden="1"/>
    <col min="16384" max="16384" width="0.1328125" style="158" customWidth="1"/>
  </cols>
  <sheetData>
    <row r="1" spans="1:21" s="110" customFormat="1" ht="13.25">
      <c r="A1" s="168" t="s">
        <v>558</v>
      </c>
      <c r="B1" s="125"/>
      <c r="C1" s="125"/>
      <c r="D1" s="125"/>
      <c r="E1" s="126"/>
      <c r="F1" s="1362" t="s">
        <v>630</v>
      </c>
      <c r="G1" s="1363"/>
      <c r="H1" s="1363"/>
      <c r="I1" s="1363"/>
      <c r="J1" s="1363"/>
      <c r="K1" s="1363"/>
      <c r="L1" s="1363"/>
      <c r="M1" s="1363"/>
      <c r="N1" s="1363"/>
      <c r="O1" s="1363"/>
      <c r="P1" s="1363"/>
      <c r="Q1" s="1363"/>
      <c r="R1" s="1364"/>
      <c r="S1" s="112"/>
      <c r="T1" s="111"/>
      <c r="U1" s="113"/>
    </row>
    <row r="2" spans="1:21" s="138" customFormat="1" ht="71.25" customHeight="1">
      <c r="A2" s="137"/>
      <c r="B2" s="138" t="s">
        <v>23</v>
      </c>
      <c r="C2" s="138" t="s">
        <v>375</v>
      </c>
      <c r="D2" s="138" t="s">
        <v>374</v>
      </c>
      <c r="E2" s="138" t="s">
        <v>24</v>
      </c>
      <c r="F2" s="139" t="str">
        <f>Application!B627&amp;Application!C627</f>
        <v>1)Citibank</v>
      </c>
      <c r="G2" s="139" t="str">
        <f>Application!B628&amp;Application!C628</f>
        <v>2)City of Alhambra</v>
      </c>
      <c r="H2" s="139" t="str">
        <f>Application!B629&amp;Application!C629</f>
        <v>3)LACDA AHTF</v>
      </c>
      <c r="I2" s="139" t="str">
        <f>Application!B630&amp;Application!C630</f>
        <v>4)SGVRHT AHTF</v>
      </c>
      <c r="J2" s="139" t="str">
        <f>Application!B631&amp;Application!C631</f>
        <v>5)Deferred Developer Fee</v>
      </c>
      <c r="K2" s="139" t="str">
        <f>Application!B632&amp;Application!C632</f>
        <v>6)Project NOI</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1830000</v>
      </c>
      <c r="C4" s="147">
        <v>1830000</v>
      </c>
      <c r="D4" s="147"/>
      <c r="E4" s="147">
        <f>B4-SUM(F4:P4)</f>
        <v>0</v>
      </c>
      <c r="F4" s="147"/>
      <c r="G4" s="147">
        <v>1830000</v>
      </c>
      <c r="H4" s="147"/>
      <c r="I4" s="147"/>
      <c r="J4" s="147"/>
      <c r="K4" s="147"/>
      <c r="L4" s="147"/>
      <c r="M4" s="147"/>
      <c r="N4" s="147"/>
      <c r="O4" s="147"/>
      <c r="P4" s="147"/>
      <c r="Q4" s="147"/>
      <c r="R4" s="550">
        <f>SUM(E4:Q4)</f>
        <v>1830000</v>
      </c>
      <c r="S4" s="148"/>
      <c r="T4" s="148"/>
      <c r="U4" s="143"/>
    </row>
    <row r="5" spans="1:21" s="144" customFormat="1">
      <c r="A5" s="145" t="s">
        <v>28</v>
      </c>
      <c r="B5" s="146">
        <f>SUM(C5+D5)</f>
        <v>529919</v>
      </c>
      <c r="C5" s="147">
        <v>529919</v>
      </c>
      <c r="D5" s="147"/>
      <c r="E5" s="147">
        <f>B5-SUM(F5:P5)</f>
        <v>529919</v>
      </c>
      <c r="F5" s="147"/>
      <c r="G5" s="147"/>
      <c r="H5" s="147"/>
      <c r="I5" s="147"/>
      <c r="J5" s="147"/>
      <c r="K5" s="147"/>
      <c r="L5" s="147"/>
      <c r="M5" s="147"/>
      <c r="N5" s="147"/>
      <c r="O5" s="147"/>
      <c r="P5" s="147"/>
      <c r="Q5" s="147"/>
      <c r="R5" s="550">
        <f>SUM(E5:Q5)</f>
        <v>529919</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ht="12">
      <c r="A8" s="149" t="s">
        <v>602</v>
      </c>
      <c r="B8" s="146">
        <f>SUM(C8:D8)</f>
        <v>2359919</v>
      </c>
      <c r="C8" s="146">
        <f t="shared" ref="C8:Q8" si="0">SUM(C4:C7)</f>
        <v>2359919</v>
      </c>
      <c r="D8" s="146">
        <f t="shared" si="0"/>
        <v>0</v>
      </c>
      <c r="E8" s="146">
        <f t="shared" si="0"/>
        <v>529919</v>
      </c>
      <c r="F8" s="146">
        <f t="shared" si="0"/>
        <v>0</v>
      </c>
      <c r="G8" s="146">
        <f t="shared" si="0"/>
        <v>1830000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2359919</v>
      </c>
      <c r="S8" s="148"/>
      <c r="T8" s="148"/>
      <c r="U8" s="143"/>
    </row>
    <row r="9" spans="1:21" s="144" customFormat="1">
      <c r="A9" s="145" t="s">
        <v>603</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604</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ht="12">
      <c r="A11" s="149" t="s">
        <v>605</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0</v>
      </c>
      <c r="S11" s="148"/>
      <c r="T11" s="150">
        <f>SUM(T9:T10)</f>
        <v>0</v>
      </c>
      <c r="U11" s="143"/>
    </row>
    <row r="12" spans="1:21" s="144" customFormat="1" ht="12">
      <c r="A12" s="149" t="s">
        <v>84</v>
      </c>
      <c r="B12" s="146">
        <f t="shared" ref="B12:Q12" si="2">SUM(B8+B11)</f>
        <v>2359919</v>
      </c>
      <c r="C12" s="146">
        <f t="shared" si="2"/>
        <v>2359919</v>
      </c>
      <c r="D12" s="146">
        <f t="shared" si="2"/>
        <v>0</v>
      </c>
      <c r="E12" s="146">
        <f t="shared" si="2"/>
        <v>529919</v>
      </c>
      <c r="F12" s="146">
        <f t="shared" si="2"/>
        <v>0</v>
      </c>
      <c r="G12" s="146">
        <f t="shared" si="2"/>
        <v>1830000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2359919</v>
      </c>
      <c r="S12" s="148"/>
      <c r="T12" s="148"/>
      <c r="U12" s="143"/>
    </row>
    <row r="13" spans="1:21" s="144" customFormat="1">
      <c r="A13" s="309" t="s">
        <v>918</v>
      </c>
      <c r="B13" s="146">
        <f>SUM(C13+D13)</f>
        <v>175241</v>
      </c>
      <c r="C13" s="147">
        <v>175241</v>
      </c>
      <c r="D13" s="147"/>
      <c r="E13" s="147">
        <f>B13-SUM(F13:P13)</f>
        <v>0</v>
      </c>
      <c r="F13" s="147"/>
      <c r="G13" s="147">
        <f>B13</f>
        <v>175241</v>
      </c>
      <c r="H13" s="147"/>
      <c r="I13" s="147"/>
      <c r="J13" s="147"/>
      <c r="K13" s="147"/>
      <c r="L13" s="147"/>
      <c r="M13" s="147"/>
      <c r="N13" s="147"/>
      <c r="O13" s="147"/>
      <c r="P13" s="147"/>
      <c r="Q13" s="147"/>
      <c r="R13" s="550">
        <f>SUM(E13:Q13)</f>
        <v>175241</v>
      </c>
      <c r="S13" s="147"/>
      <c r="T13" s="147"/>
      <c r="U13" s="143"/>
    </row>
    <row r="14" spans="1:21" s="144" customFormat="1" ht="23.5">
      <c r="A14" s="310" t="s">
        <v>1757</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1267</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608</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609</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1754</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ht="12">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ht="12">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1310338</v>
      </c>
      <c r="C29" s="147">
        <v>1310338</v>
      </c>
      <c r="D29" s="147"/>
      <c r="E29" s="147">
        <f t="shared" ref="E29:E35" si="7">B29-SUM(F29:P29)</f>
        <v>1310338</v>
      </c>
      <c r="F29" s="147"/>
      <c r="G29" s="147"/>
      <c r="H29" s="147"/>
      <c r="I29" s="147"/>
      <c r="J29" s="147"/>
      <c r="K29" s="147"/>
      <c r="L29" s="147"/>
      <c r="M29" s="147"/>
      <c r="N29" s="147"/>
      <c r="O29" s="147"/>
      <c r="P29" s="147"/>
      <c r="Q29" s="147"/>
      <c r="R29" s="550">
        <f t="shared" ref="R29:R37" si="8">SUM(E29:Q29)</f>
        <v>1310338</v>
      </c>
      <c r="S29" s="147">
        <v>1310338</v>
      </c>
      <c r="T29" s="147"/>
      <c r="U29" s="143"/>
    </row>
    <row r="30" spans="1:21" s="144" customFormat="1">
      <c r="A30" s="145" t="s">
        <v>608</v>
      </c>
      <c r="B30" s="146">
        <f t="shared" si="6"/>
        <v>23390103</v>
      </c>
      <c r="C30" s="147">
        <f>23390103-D30</f>
        <v>21279898</v>
      </c>
      <c r="D30" s="147">
        <v>2110205</v>
      </c>
      <c r="E30" s="147">
        <f t="shared" si="7"/>
        <v>8960535</v>
      </c>
      <c r="F30" s="147">
        <v>7425000</v>
      </c>
      <c r="G30" s="147">
        <v>1918486</v>
      </c>
      <c r="H30" s="147">
        <v>4086082</v>
      </c>
      <c r="I30" s="147">
        <v>1000000</v>
      </c>
      <c r="J30" s="147"/>
      <c r="K30" s="147"/>
      <c r="L30" s="147"/>
      <c r="M30" s="147"/>
      <c r="N30" s="147"/>
      <c r="O30" s="147"/>
      <c r="P30" s="147"/>
      <c r="Q30" s="147"/>
      <c r="R30" s="550">
        <f t="shared" si="8"/>
        <v>23390103</v>
      </c>
      <c r="S30" s="147">
        <f>C30</f>
        <v>21279898</v>
      </c>
      <c r="T30" s="147"/>
      <c r="U30" s="143"/>
    </row>
    <row r="31" spans="1:21" s="144" customFormat="1">
      <c r="A31" s="145" t="s">
        <v>609</v>
      </c>
      <c r="B31" s="146">
        <f t="shared" si="6"/>
        <v>1853923</v>
      </c>
      <c r="C31" s="147">
        <v>1685419</v>
      </c>
      <c r="D31" s="147">
        <v>168504</v>
      </c>
      <c r="E31" s="147">
        <f t="shared" si="7"/>
        <v>1853923</v>
      </c>
      <c r="F31" s="147"/>
      <c r="G31" s="147"/>
      <c r="H31" s="147"/>
      <c r="I31" s="147"/>
      <c r="J31" s="147"/>
      <c r="K31" s="147"/>
      <c r="L31" s="147"/>
      <c r="M31" s="147"/>
      <c r="N31" s="147"/>
      <c r="O31" s="147"/>
      <c r="P31" s="147"/>
      <c r="Q31" s="147"/>
      <c r="R31" s="550">
        <f t="shared" si="8"/>
        <v>1853923</v>
      </c>
      <c r="S31" s="147">
        <f t="shared" ref="S31:S37" si="9">C31</f>
        <v>1685419</v>
      </c>
      <c r="T31" s="147"/>
      <c r="U31" s="143"/>
    </row>
    <row r="32" spans="1:21" s="144" customFormat="1">
      <c r="A32" s="145" t="s">
        <v>137</v>
      </c>
      <c r="B32" s="146">
        <f t="shared" si="6"/>
        <v>561854</v>
      </c>
      <c r="C32" s="147">
        <f>1021573/2</f>
        <v>510786.5</v>
      </c>
      <c r="D32" s="147">
        <f>102135/2</f>
        <v>51067.5</v>
      </c>
      <c r="E32" s="147">
        <f t="shared" si="7"/>
        <v>561854</v>
      </c>
      <c r="F32" s="147"/>
      <c r="G32" s="147"/>
      <c r="H32" s="147"/>
      <c r="I32" s="147"/>
      <c r="J32" s="147"/>
      <c r="K32" s="147"/>
      <c r="L32" s="147"/>
      <c r="M32" s="147"/>
      <c r="N32" s="147"/>
      <c r="O32" s="147"/>
      <c r="P32" s="147"/>
      <c r="Q32" s="147"/>
      <c r="R32" s="550">
        <f t="shared" si="8"/>
        <v>561854</v>
      </c>
      <c r="S32" s="147">
        <f t="shared" si="9"/>
        <v>510786.5</v>
      </c>
      <c r="T32" s="147"/>
      <c r="U32" s="143"/>
    </row>
    <row r="33" spans="1:21" s="144" customFormat="1">
      <c r="A33" s="145" t="s">
        <v>138</v>
      </c>
      <c r="B33" s="146">
        <f t="shared" si="6"/>
        <v>561854</v>
      </c>
      <c r="C33" s="147">
        <f>1021573/2</f>
        <v>510786.5</v>
      </c>
      <c r="D33" s="147">
        <f>102135/2</f>
        <v>51067.5</v>
      </c>
      <c r="E33" s="147">
        <f t="shared" si="7"/>
        <v>561854</v>
      </c>
      <c r="F33" s="147"/>
      <c r="G33" s="147"/>
      <c r="H33" s="147"/>
      <c r="I33" s="147"/>
      <c r="J33" s="147"/>
      <c r="K33" s="147"/>
      <c r="L33" s="147"/>
      <c r="M33" s="147"/>
      <c r="N33" s="147"/>
      <c r="O33" s="147"/>
      <c r="P33" s="147"/>
      <c r="Q33" s="147"/>
      <c r="R33" s="550">
        <f t="shared" si="8"/>
        <v>561854</v>
      </c>
      <c r="S33" s="147">
        <f t="shared" si="9"/>
        <v>510786.5</v>
      </c>
      <c r="T33" s="147"/>
      <c r="U33" s="143"/>
    </row>
    <row r="34" spans="1:21" s="144" customFormat="1">
      <c r="A34" s="145" t="s">
        <v>139</v>
      </c>
      <c r="B34" s="146">
        <f t="shared" si="6"/>
        <v>0</v>
      </c>
      <c r="C34" s="147"/>
      <c r="D34" s="147"/>
      <c r="E34" s="147">
        <f t="shared" si="7"/>
        <v>0</v>
      </c>
      <c r="F34" s="147"/>
      <c r="G34" s="147"/>
      <c r="H34" s="147"/>
      <c r="I34" s="147"/>
      <c r="J34" s="147"/>
      <c r="K34" s="147"/>
      <c r="L34" s="147"/>
      <c r="M34" s="147"/>
      <c r="N34" s="147"/>
      <c r="O34" s="147"/>
      <c r="P34" s="147"/>
      <c r="Q34" s="147"/>
      <c r="R34" s="550">
        <f t="shared" si="8"/>
        <v>0</v>
      </c>
      <c r="S34" s="147">
        <f t="shared" si="9"/>
        <v>0</v>
      </c>
      <c r="T34" s="147"/>
      <c r="U34" s="143"/>
    </row>
    <row r="35" spans="1:21" s="144" customFormat="1">
      <c r="A35" s="145" t="s">
        <v>140</v>
      </c>
      <c r="B35" s="146">
        <f t="shared" si="6"/>
        <v>128175</v>
      </c>
      <c r="C35" s="147">
        <v>118175</v>
      </c>
      <c r="D35" s="147">
        <v>10000</v>
      </c>
      <c r="E35" s="147">
        <f t="shared" si="7"/>
        <v>128175</v>
      </c>
      <c r="F35" s="147"/>
      <c r="G35" s="147"/>
      <c r="H35" s="147"/>
      <c r="I35" s="147"/>
      <c r="J35" s="147"/>
      <c r="K35" s="147"/>
      <c r="L35" s="147"/>
      <c r="M35" s="147"/>
      <c r="N35" s="147"/>
      <c r="O35" s="147"/>
      <c r="P35" s="147"/>
      <c r="Q35" s="147"/>
      <c r="R35" s="550">
        <f t="shared" si="8"/>
        <v>128175</v>
      </c>
      <c r="S35" s="147">
        <f t="shared" si="9"/>
        <v>118175</v>
      </c>
      <c r="T35" s="147"/>
      <c r="U35" s="143"/>
    </row>
    <row r="36" spans="1:21" s="144" customFormat="1">
      <c r="A36" s="304" t="s">
        <v>1754</v>
      </c>
      <c r="B36" s="146">
        <f t="shared" si="6"/>
        <v>0</v>
      </c>
      <c r="C36" s="147"/>
      <c r="D36" s="147"/>
      <c r="E36" s="147"/>
      <c r="F36" s="147"/>
      <c r="G36" s="147"/>
      <c r="H36" s="147"/>
      <c r="I36" s="147"/>
      <c r="J36" s="147"/>
      <c r="K36" s="147"/>
      <c r="L36" s="147"/>
      <c r="M36" s="147"/>
      <c r="N36" s="147"/>
      <c r="O36" s="147"/>
      <c r="P36" s="147"/>
      <c r="Q36" s="147"/>
      <c r="R36" s="550">
        <f t="shared" si="8"/>
        <v>0</v>
      </c>
      <c r="S36" s="147">
        <f t="shared" si="9"/>
        <v>0</v>
      </c>
      <c r="T36" s="147"/>
      <c r="U36" s="143"/>
    </row>
    <row r="37" spans="1:21" s="144" customFormat="1">
      <c r="A37" s="1193"/>
      <c r="B37" s="146">
        <f t="shared" si="6"/>
        <v>0</v>
      </c>
      <c r="C37" s="147"/>
      <c r="D37" s="147"/>
      <c r="E37" s="147"/>
      <c r="F37" s="147"/>
      <c r="G37" s="147"/>
      <c r="H37" s="147"/>
      <c r="I37" s="147"/>
      <c r="J37" s="147"/>
      <c r="K37" s="147"/>
      <c r="L37" s="147"/>
      <c r="M37" s="147"/>
      <c r="N37" s="147"/>
      <c r="O37" s="147"/>
      <c r="P37" s="147"/>
      <c r="Q37" s="147"/>
      <c r="R37" s="550">
        <f t="shared" si="8"/>
        <v>0</v>
      </c>
      <c r="S37" s="147">
        <f t="shared" si="9"/>
        <v>0</v>
      </c>
      <c r="T37" s="147"/>
      <c r="U37" s="143"/>
    </row>
    <row r="38" spans="1:21" s="144" customFormat="1" ht="12">
      <c r="A38" s="149" t="s">
        <v>143</v>
      </c>
      <c r="B38" s="146">
        <f t="shared" si="6"/>
        <v>27806247</v>
      </c>
      <c r="C38" s="146">
        <f>SUM(C29:C37)</f>
        <v>25415403</v>
      </c>
      <c r="D38" s="146">
        <f t="shared" ref="D38:Q38" si="10">SUM(D29:D37)</f>
        <v>2390844</v>
      </c>
      <c r="E38" s="146">
        <f t="shared" si="10"/>
        <v>13376679</v>
      </c>
      <c r="F38" s="146">
        <f t="shared" si="10"/>
        <v>7425000</v>
      </c>
      <c r="G38" s="146">
        <f t="shared" si="10"/>
        <v>1918486</v>
      </c>
      <c r="H38" s="146">
        <f t="shared" si="10"/>
        <v>4086082</v>
      </c>
      <c r="I38" s="146">
        <f t="shared" si="10"/>
        <v>1000000</v>
      </c>
      <c r="J38" s="146">
        <f t="shared" si="10"/>
        <v>0</v>
      </c>
      <c r="K38" s="146">
        <f t="shared" si="10"/>
        <v>0</v>
      </c>
      <c r="L38" s="146">
        <f t="shared" si="10"/>
        <v>0</v>
      </c>
      <c r="M38" s="146">
        <f t="shared" si="10"/>
        <v>0</v>
      </c>
      <c r="N38" s="146">
        <f t="shared" si="10"/>
        <v>0</v>
      </c>
      <c r="O38" s="146">
        <f t="shared" si="10"/>
        <v>0</v>
      </c>
      <c r="P38" s="146">
        <f t="shared" si="10"/>
        <v>0</v>
      </c>
      <c r="Q38" s="146">
        <f t="shared" si="10"/>
        <v>0</v>
      </c>
      <c r="R38" s="370">
        <f>SUM(R29:R37)</f>
        <v>27806247</v>
      </c>
      <c r="S38" s="150">
        <f>SUM(S29:S37)</f>
        <v>25415403</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600000</v>
      </c>
      <c r="C40" s="147">
        <f>75000+200000+285000</f>
        <v>560000</v>
      </c>
      <c r="D40" s="147">
        <v>40000</v>
      </c>
      <c r="E40" s="147">
        <f>B40-SUM(F40:P40)</f>
        <v>0</v>
      </c>
      <c r="F40" s="147"/>
      <c r="G40" s="147">
        <v>80000</v>
      </c>
      <c r="H40" s="147">
        <v>520000</v>
      </c>
      <c r="I40" s="147"/>
      <c r="J40" s="147"/>
      <c r="K40" s="147"/>
      <c r="L40" s="147"/>
      <c r="M40" s="147"/>
      <c r="N40" s="147"/>
      <c r="O40" s="147"/>
      <c r="P40" s="147"/>
      <c r="Q40" s="147"/>
      <c r="R40" s="550">
        <f>SUM(E40:Q40)</f>
        <v>600000</v>
      </c>
      <c r="S40" s="147">
        <f>C40</f>
        <v>560000</v>
      </c>
      <c r="T40" s="147"/>
      <c r="U40" s="143"/>
    </row>
    <row r="41" spans="1:21" s="144" customFormat="1">
      <c r="A41" s="145" t="s">
        <v>146</v>
      </c>
      <c r="B41" s="146">
        <f>SUM(C41+D41)</f>
        <v>351000</v>
      </c>
      <c r="C41" s="147">
        <v>336000</v>
      </c>
      <c r="D41" s="147">
        <v>15000</v>
      </c>
      <c r="E41" s="147">
        <f>B41-SUM(F41:P41)</f>
        <v>351000</v>
      </c>
      <c r="F41" s="147"/>
      <c r="G41" s="147"/>
      <c r="H41" s="147"/>
      <c r="I41" s="147"/>
      <c r="J41" s="147"/>
      <c r="K41" s="147"/>
      <c r="L41" s="147"/>
      <c r="M41" s="147"/>
      <c r="N41" s="147"/>
      <c r="O41" s="147"/>
      <c r="P41" s="147"/>
      <c r="Q41" s="147"/>
      <c r="R41" s="550">
        <f>SUM(E41:Q41)</f>
        <v>351000</v>
      </c>
      <c r="S41" s="147">
        <f>C41</f>
        <v>336000</v>
      </c>
      <c r="T41" s="147"/>
      <c r="U41" s="143"/>
    </row>
    <row r="42" spans="1:21" s="144" customFormat="1" ht="12">
      <c r="A42" s="149" t="s">
        <v>147</v>
      </c>
      <c r="B42" s="146">
        <f>SUM(C42:D42)</f>
        <v>951000</v>
      </c>
      <c r="C42" s="146">
        <f>SUM(C39:C41)</f>
        <v>896000</v>
      </c>
      <c r="D42" s="146">
        <f>SUM(D39:D41)</f>
        <v>55000</v>
      </c>
      <c r="E42" s="146">
        <f t="shared" ref="E42:T42" si="11">SUM(E40:E41)</f>
        <v>351000</v>
      </c>
      <c r="F42" s="146">
        <f t="shared" si="11"/>
        <v>0</v>
      </c>
      <c r="G42" s="146">
        <f t="shared" si="11"/>
        <v>80000</v>
      </c>
      <c r="H42" s="146">
        <f t="shared" si="11"/>
        <v>520000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70">
        <f>SUM(R40:R41)</f>
        <v>951000</v>
      </c>
      <c r="S42" s="150">
        <f t="shared" si="11"/>
        <v>896000</v>
      </c>
      <c r="T42" s="150">
        <f t="shared" si="11"/>
        <v>0</v>
      </c>
      <c r="U42" s="143"/>
    </row>
    <row r="43" spans="1:21" s="144" customFormat="1" ht="12">
      <c r="A43" s="149" t="s">
        <v>148</v>
      </c>
      <c r="B43" s="146">
        <f>SUM(C43:D43)</f>
        <v>808000</v>
      </c>
      <c r="C43" s="147">
        <v>733000</v>
      </c>
      <c r="D43" s="147">
        <v>75000</v>
      </c>
      <c r="E43" s="147">
        <f>B43-SUM(F43:P43)</f>
        <v>808000</v>
      </c>
      <c r="F43" s="147"/>
      <c r="G43" s="147"/>
      <c r="H43" s="147"/>
      <c r="I43" s="147"/>
      <c r="J43" s="147"/>
      <c r="K43" s="147"/>
      <c r="L43" s="147"/>
      <c r="M43" s="147"/>
      <c r="N43" s="147"/>
      <c r="O43" s="147"/>
      <c r="P43" s="147"/>
      <c r="Q43" s="147"/>
      <c r="R43" s="550">
        <f>SUM(E43:Q43)</f>
        <v>808000</v>
      </c>
      <c r="S43" s="147">
        <f>C43</f>
        <v>733000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2030000</v>
      </c>
      <c r="C45" s="147">
        <f>1130000+900000-D45</f>
        <v>1927294</v>
      </c>
      <c r="D45" s="147">
        <v>102706</v>
      </c>
      <c r="E45" s="147">
        <f t="shared" ref="E45:E53" si="13">B45-SUM(F45:P45)</f>
        <v>1766540</v>
      </c>
      <c r="F45" s="147"/>
      <c r="G45" s="147"/>
      <c r="H45" s="147"/>
      <c r="I45" s="147"/>
      <c r="J45" s="147"/>
      <c r="K45" s="147">
        <v>263460</v>
      </c>
      <c r="L45" s="147"/>
      <c r="M45" s="147"/>
      <c r="N45" s="147"/>
      <c r="O45" s="147"/>
      <c r="P45" s="147"/>
      <c r="Q45" s="147"/>
      <c r="R45" s="550">
        <f t="shared" ref="R45:R53" si="14">SUM(E45:Q45)</f>
        <v>2030000</v>
      </c>
      <c r="S45" s="147">
        <v>744851</v>
      </c>
      <c r="T45" s="147"/>
      <c r="U45" s="143"/>
    </row>
    <row r="46" spans="1:21" s="144" customFormat="1">
      <c r="A46" s="145" t="s">
        <v>151</v>
      </c>
      <c r="B46" s="146">
        <f t="shared" si="12"/>
        <v>223000</v>
      </c>
      <c r="C46" s="147">
        <v>223000</v>
      </c>
      <c r="D46" s="147"/>
      <c r="E46" s="147">
        <f t="shared" si="13"/>
        <v>0</v>
      </c>
      <c r="F46" s="147"/>
      <c r="G46" s="147">
        <v>223000</v>
      </c>
      <c r="H46" s="147"/>
      <c r="I46" s="147"/>
      <c r="J46" s="147"/>
      <c r="K46" s="147"/>
      <c r="L46" s="147"/>
      <c r="M46" s="147"/>
      <c r="N46" s="147"/>
      <c r="O46" s="147"/>
      <c r="P46" s="147"/>
      <c r="Q46" s="147"/>
      <c r="R46" s="550">
        <f t="shared" si="14"/>
        <v>223000</v>
      </c>
      <c r="S46" s="147">
        <f t="shared" ref="S46:S53" si="15">C46</f>
        <v>223000</v>
      </c>
      <c r="T46" s="147"/>
      <c r="U46" s="143"/>
    </row>
    <row r="47" spans="1:21" s="144" customFormat="1">
      <c r="A47" s="198" t="s">
        <v>152</v>
      </c>
      <c r="B47" s="146">
        <f t="shared" si="12"/>
        <v>0</v>
      </c>
      <c r="C47" s="147"/>
      <c r="D47" s="147"/>
      <c r="E47" s="147">
        <f t="shared" si="13"/>
        <v>0</v>
      </c>
      <c r="F47" s="147"/>
      <c r="G47" s="147"/>
      <c r="H47" s="147"/>
      <c r="I47" s="147"/>
      <c r="J47" s="147"/>
      <c r="K47" s="147"/>
      <c r="L47" s="147"/>
      <c r="M47" s="147"/>
      <c r="N47" s="147"/>
      <c r="O47" s="147"/>
      <c r="P47" s="147"/>
      <c r="Q47" s="147"/>
      <c r="R47" s="550">
        <f t="shared" si="14"/>
        <v>0</v>
      </c>
      <c r="S47" s="147">
        <f t="shared" si="15"/>
        <v>0</v>
      </c>
      <c r="T47" s="147"/>
      <c r="U47" s="143"/>
    </row>
    <row r="48" spans="1:21" s="144" customFormat="1">
      <c r="A48" s="145" t="s">
        <v>153</v>
      </c>
      <c r="B48" s="146">
        <f t="shared" si="12"/>
        <v>284985</v>
      </c>
      <c r="C48" s="147">
        <v>259985</v>
      </c>
      <c r="D48" s="147">
        <v>25000</v>
      </c>
      <c r="E48" s="147">
        <f t="shared" si="13"/>
        <v>25000</v>
      </c>
      <c r="F48" s="147"/>
      <c r="G48" s="147">
        <v>259985</v>
      </c>
      <c r="H48" s="147"/>
      <c r="I48" s="147"/>
      <c r="J48" s="147"/>
      <c r="K48" s="147"/>
      <c r="L48" s="147"/>
      <c r="M48" s="147"/>
      <c r="N48" s="147"/>
      <c r="O48" s="147"/>
      <c r="P48" s="147"/>
      <c r="Q48" s="147"/>
      <c r="R48" s="550">
        <f t="shared" si="14"/>
        <v>284985</v>
      </c>
      <c r="S48" s="147">
        <f t="shared" si="15"/>
        <v>259985</v>
      </c>
      <c r="T48" s="147"/>
      <c r="U48" s="143"/>
    </row>
    <row r="49" spans="1:21" s="144" customFormat="1">
      <c r="A49" s="145" t="s">
        <v>57</v>
      </c>
      <c r="B49" s="146">
        <f t="shared" si="12"/>
        <v>35000</v>
      </c>
      <c r="C49" s="147">
        <v>35000</v>
      </c>
      <c r="D49" s="147"/>
      <c r="E49" s="147">
        <f t="shared" si="13"/>
        <v>0</v>
      </c>
      <c r="F49" s="147"/>
      <c r="G49" s="147">
        <v>35000</v>
      </c>
      <c r="H49" s="147"/>
      <c r="I49" s="147"/>
      <c r="J49" s="147"/>
      <c r="K49" s="147"/>
      <c r="L49" s="147"/>
      <c r="M49" s="147"/>
      <c r="N49" s="147"/>
      <c r="O49" s="147"/>
      <c r="P49" s="147"/>
      <c r="Q49" s="147"/>
      <c r="R49" s="550">
        <f t="shared" si="14"/>
        <v>35000</v>
      </c>
      <c r="S49" s="147">
        <f t="shared" si="15"/>
        <v>35000</v>
      </c>
      <c r="T49" s="147"/>
      <c r="U49" s="143"/>
    </row>
    <row r="50" spans="1:21" s="144" customFormat="1">
      <c r="A50" s="145" t="s">
        <v>156</v>
      </c>
      <c r="B50" s="146">
        <f t="shared" si="12"/>
        <v>75000</v>
      </c>
      <c r="C50" s="147">
        <v>75000</v>
      </c>
      <c r="D50" s="147"/>
      <c r="E50" s="147">
        <f t="shared" si="13"/>
        <v>0</v>
      </c>
      <c r="F50" s="147"/>
      <c r="G50" s="147">
        <v>75000</v>
      </c>
      <c r="H50" s="147"/>
      <c r="I50" s="147"/>
      <c r="J50" s="147"/>
      <c r="K50" s="147"/>
      <c r="L50" s="147"/>
      <c r="M50" s="147"/>
      <c r="N50" s="147"/>
      <c r="O50" s="147"/>
      <c r="P50" s="147"/>
      <c r="Q50" s="147"/>
      <c r="R50" s="550">
        <f t="shared" si="14"/>
        <v>75000</v>
      </c>
      <c r="S50" s="147">
        <f t="shared" si="15"/>
        <v>75000</v>
      </c>
      <c r="T50" s="147"/>
      <c r="U50" s="143"/>
    </row>
    <row r="51" spans="1:21" s="144" customFormat="1">
      <c r="A51" s="304" t="s">
        <v>154</v>
      </c>
      <c r="B51" s="146">
        <f t="shared" si="12"/>
        <v>750000</v>
      </c>
      <c r="C51" s="147">
        <v>750000</v>
      </c>
      <c r="D51" s="147"/>
      <c r="E51" s="147">
        <f t="shared" si="13"/>
        <v>0</v>
      </c>
      <c r="F51" s="147"/>
      <c r="G51" s="147">
        <v>750000</v>
      </c>
      <c r="H51" s="147"/>
      <c r="I51" s="147"/>
      <c r="J51" s="147"/>
      <c r="K51" s="147"/>
      <c r="L51" s="147"/>
      <c r="M51" s="147"/>
      <c r="N51" s="147"/>
      <c r="O51" s="147"/>
      <c r="P51" s="147"/>
      <c r="Q51" s="147"/>
      <c r="R51" s="550">
        <f t="shared" si="14"/>
        <v>750000</v>
      </c>
      <c r="S51" s="147">
        <f t="shared" si="15"/>
        <v>750000</v>
      </c>
      <c r="T51" s="147"/>
      <c r="U51" s="143"/>
    </row>
    <row r="52" spans="1:21" s="144" customFormat="1">
      <c r="A52" s="145" t="s">
        <v>155</v>
      </c>
      <c r="B52" s="146">
        <f t="shared" si="12"/>
        <v>27000</v>
      </c>
      <c r="C52" s="147">
        <v>27000</v>
      </c>
      <c r="D52" s="147"/>
      <c r="E52" s="147">
        <f t="shared" si="13"/>
        <v>0</v>
      </c>
      <c r="F52" s="147"/>
      <c r="G52" s="147">
        <v>27000</v>
      </c>
      <c r="H52" s="147"/>
      <c r="I52" s="147"/>
      <c r="J52" s="147"/>
      <c r="K52" s="147"/>
      <c r="L52" s="147"/>
      <c r="M52" s="147"/>
      <c r="N52" s="147"/>
      <c r="O52" s="147"/>
      <c r="P52" s="147"/>
      <c r="Q52" s="147"/>
      <c r="R52" s="550">
        <f t="shared" si="14"/>
        <v>27000</v>
      </c>
      <c r="S52" s="147">
        <f t="shared" si="15"/>
        <v>27000</v>
      </c>
      <c r="T52" s="147"/>
      <c r="U52" s="143"/>
    </row>
    <row r="53" spans="1:21" s="144" customFormat="1">
      <c r="A53" s="1193" t="s">
        <v>2790</v>
      </c>
      <c r="B53" s="146">
        <f t="shared" si="12"/>
        <v>18000</v>
      </c>
      <c r="C53" s="147">
        <v>18000</v>
      </c>
      <c r="D53" s="147"/>
      <c r="E53" s="147">
        <f t="shared" si="13"/>
        <v>18000</v>
      </c>
      <c r="F53" s="147"/>
      <c r="G53" s="147"/>
      <c r="H53" s="147"/>
      <c r="I53" s="147"/>
      <c r="J53" s="147"/>
      <c r="K53" s="147"/>
      <c r="L53" s="147"/>
      <c r="M53" s="147"/>
      <c r="N53" s="147"/>
      <c r="O53" s="147"/>
      <c r="P53" s="147"/>
      <c r="Q53" s="147"/>
      <c r="R53" s="550">
        <f t="shared" si="14"/>
        <v>18000</v>
      </c>
      <c r="S53" s="147">
        <f t="shared" si="15"/>
        <v>18000</v>
      </c>
      <c r="T53" s="147"/>
      <c r="U53" s="143"/>
    </row>
    <row r="54" spans="1:21" s="153" customFormat="1" ht="12">
      <c r="A54" s="149" t="s">
        <v>157</v>
      </c>
      <c r="B54" s="150">
        <f>SUM(C54:D54)</f>
        <v>3442985</v>
      </c>
      <c r="C54" s="150">
        <f t="shared" ref="C54:T54" si="16">SUM(C45:C53)</f>
        <v>3315279</v>
      </c>
      <c r="D54" s="150">
        <f t="shared" si="16"/>
        <v>127706</v>
      </c>
      <c r="E54" s="150">
        <f t="shared" si="16"/>
        <v>1809540</v>
      </c>
      <c r="F54" s="150">
        <f t="shared" si="16"/>
        <v>0</v>
      </c>
      <c r="G54" s="150">
        <f t="shared" si="16"/>
        <v>1369985</v>
      </c>
      <c r="H54" s="150">
        <f t="shared" si="16"/>
        <v>0</v>
      </c>
      <c r="I54" s="150">
        <f t="shared" si="16"/>
        <v>0</v>
      </c>
      <c r="J54" s="150">
        <f t="shared" si="16"/>
        <v>0</v>
      </c>
      <c r="K54" s="150">
        <f t="shared" si="16"/>
        <v>263460</v>
      </c>
      <c r="L54" s="150">
        <f t="shared" si="16"/>
        <v>0</v>
      </c>
      <c r="M54" s="150">
        <f t="shared" si="16"/>
        <v>0</v>
      </c>
      <c r="N54" s="150">
        <f t="shared" si="16"/>
        <v>0</v>
      </c>
      <c r="O54" s="150">
        <f t="shared" si="16"/>
        <v>0</v>
      </c>
      <c r="P54" s="150">
        <f t="shared" si="16"/>
        <v>0</v>
      </c>
      <c r="Q54" s="150">
        <f t="shared" si="16"/>
        <v>0</v>
      </c>
      <c r="R54" s="370">
        <f t="shared" si="16"/>
        <v>3442985</v>
      </c>
      <c r="S54" s="150">
        <f t="shared" si="16"/>
        <v>2132836</v>
      </c>
      <c r="T54" s="150">
        <f t="shared" si="16"/>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7">SUM(C56+D56)</f>
        <v>27150</v>
      </c>
      <c r="C56" s="147">
        <f>17150+10000</f>
        <v>27150</v>
      </c>
      <c r="D56" s="147"/>
      <c r="E56" s="147">
        <f t="shared" ref="E56:E61" si="18">B56-SUM(F56:P56)</f>
        <v>0</v>
      </c>
      <c r="F56" s="147"/>
      <c r="G56" s="147">
        <v>27150</v>
      </c>
      <c r="H56" s="147"/>
      <c r="I56" s="147"/>
      <c r="J56" s="147"/>
      <c r="K56" s="147"/>
      <c r="L56" s="147"/>
      <c r="M56" s="147"/>
      <c r="N56" s="147"/>
      <c r="O56" s="147"/>
      <c r="P56" s="147"/>
      <c r="Q56" s="147"/>
      <c r="R56" s="550">
        <f t="shared" ref="R56:R61" si="19">SUM(E56:Q56)</f>
        <v>27150</v>
      </c>
      <c r="S56" s="148"/>
      <c r="T56" s="148"/>
      <c r="U56" s="143"/>
    </row>
    <row r="57" spans="1:21" s="204" customFormat="1">
      <c r="A57" s="198" t="s">
        <v>152</v>
      </c>
      <c r="B57" s="205">
        <f t="shared" si="17"/>
        <v>0</v>
      </c>
      <c r="C57" s="202"/>
      <c r="D57" s="202"/>
      <c r="E57" s="202">
        <f t="shared" si="18"/>
        <v>0</v>
      </c>
      <c r="F57" s="202"/>
      <c r="G57" s="202"/>
      <c r="H57" s="202"/>
      <c r="I57" s="202"/>
      <c r="J57" s="202"/>
      <c r="K57" s="202"/>
      <c r="L57" s="202"/>
      <c r="M57" s="202"/>
      <c r="N57" s="202"/>
      <c r="O57" s="202"/>
      <c r="P57" s="202"/>
      <c r="Q57" s="202"/>
      <c r="R57" s="550">
        <f t="shared" si="19"/>
        <v>0</v>
      </c>
      <c r="S57" s="206"/>
      <c r="T57" s="206"/>
      <c r="U57" s="203"/>
    </row>
    <row r="58" spans="1:21" s="144" customFormat="1">
      <c r="A58" s="145" t="s">
        <v>156</v>
      </c>
      <c r="B58" s="146">
        <f t="shared" si="17"/>
        <v>13050</v>
      </c>
      <c r="C58" s="147">
        <v>13050</v>
      </c>
      <c r="D58" s="147"/>
      <c r="E58" s="147">
        <f t="shared" si="18"/>
        <v>13050</v>
      </c>
      <c r="F58" s="147"/>
      <c r="G58" s="147"/>
      <c r="H58" s="147"/>
      <c r="I58" s="147"/>
      <c r="J58" s="147"/>
      <c r="K58" s="147"/>
      <c r="L58" s="147"/>
      <c r="M58" s="147"/>
      <c r="N58" s="147"/>
      <c r="O58" s="147"/>
      <c r="P58" s="147"/>
      <c r="Q58" s="147"/>
      <c r="R58" s="550">
        <f t="shared" si="19"/>
        <v>13050</v>
      </c>
      <c r="S58" s="148"/>
      <c r="T58" s="148"/>
      <c r="U58" s="143"/>
    </row>
    <row r="59" spans="1:21" s="144" customFormat="1">
      <c r="A59" s="304" t="s">
        <v>154</v>
      </c>
      <c r="B59" s="146">
        <f t="shared" si="17"/>
        <v>8500</v>
      </c>
      <c r="C59" s="147">
        <v>8500</v>
      </c>
      <c r="D59" s="147"/>
      <c r="E59" s="147">
        <f t="shared" si="18"/>
        <v>8500</v>
      </c>
      <c r="F59" s="147"/>
      <c r="G59" s="147"/>
      <c r="H59" s="147"/>
      <c r="I59" s="147"/>
      <c r="J59" s="147"/>
      <c r="K59" s="147"/>
      <c r="L59" s="147"/>
      <c r="M59" s="147"/>
      <c r="N59" s="147"/>
      <c r="O59" s="147"/>
      <c r="P59" s="147"/>
      <c r="Q59" s="147"/>
      <c r="R59" s="550">
        <f t="shared" si="19"/>
        <v>8500</v>
      </c>
      <c r="S59" s="148"/>
      <c r="T59" s="148"/>
      <c r="U59" s="143"/>
    </row>
    <row r="60" spans="1:21" s="144" customFormat="1">
      <c r="A60" s="145" t="s">
        <v>155</v>
      </c>
      <c r="B60" s="146">
        <f t="shared" si="17"/>
        <v>27000</v>
      </c>
      <c r="C60" s="147">
        <v>27000</v>
      </c>
      <c r="D60" s="147"/>
      <c r="E60" s="147">
        <f t="shared" si="18"/>
        <v>27000</v>
      </c>
      <c r="F60" s="147"/>
      <c r="G60" s="147"/>
      <c r="H60" s="147"/>
      <c r="I60" s="147"/>
      <c r="J60" s="147"/>
      <c r="K60" s="147"/>
      <c r="L60" s="147"/>
      <c r="M60" s="147"/>
      <c r="N60" s="147"/>
      <c r="O60" s="147"/>
      <c r="P60" s="147"/>
      <c r="Q60" s="147"/>
      <c r="R60" s="550">
        <f t="shared" si="19"/>
        <v>27000</v>
      </c>
      <c r="S60" s="148"/>
      <c r="T60" s="148"/>
      <c r="U60" s="143"/>
    </row>
    <row r="61" spans="1:21" s="144" customFormat="1">
      <c r="A61" s="1193" t="s">
        <v>2791</v>
      </c>
      <c r="B61" s="146">
        <f t="shared" si="17"/>
        <v>248000</v>
      </c>
      <c r="C61" s="147">
        <v>248000</v>
      </c>
      <c r="D61" s="147"/>
      <c r="E61" s="147">
        <f t="shared" si="18"/>
        <v>117000</v>
      </c>
      <c r="F61" s="147"/>
      <c r="G61" s="147">
        <v>131000</v>
      </c>
      <c r="H61" s="147"/>
      <c r="I61" s="147"/>
      <c r="J61" s="147"/>
      <c r="K61" s="147"/>
      <c r="L61" s="147"/>
      <c r="M61" s="147"/>
      <c r="N61" s="147"/>
      <c r="O61" s="147"/>
      <c r="P61" s="147"/>
      <c r="Q61" s="147"/>
      <c r="R61" s="550">
        <f t="shared" si="19"/>
        <v>248000</v>
      </c>
      <c r="S61" s="148"/>
      <c r="T61" s="148"/>
      <c r="U61" s="143"/>
    </row>
    <row r="62" spans="1:21" s="144" customFormat="1" ht="13.7" customHeight="1">
      <c r="A62" s="149" t="s">
        <v>302</v>
      </c>
      <c r="B62" s="146">
        <f>SUM(C62:D62)</f>
        <v>323700</v>
      </c>
      <c r="C62" s="146">
        <f t="shared" ref="C62:R62" si="20">SUM(C56:C61)</f>
        <v>323700</v>
      </c>
      <c r="D62" s="146">
        <f t="shared" si="20"/>
        <v>0</v>
      </c>
      <c r="E62" s="146">
        <f t="shared" si="20"/>
        <v>165550</v>
      </c>
      <c r="F62" s="146">
        <f t="shared" si="20"/>
        <v>0</v>
      </c>
      <c r="G62" s="146">
        <f t="shared" si="20"/>
        <v>158150</v>
      </c>
      <c r="H62" s="146">
        <f t="shared" si="20"/>
        <v>0</v>
      </c>
      <c r="I62" s="146">
        <f t="shared" si="20"/>
        <v>0</v>
      </c>
      <c r="J62" s="146">
        <f t="shared" si="20"/>
        <v>0</v>
      </c>
      <c r="K62" s="146">
        <f t="shared" si="20"/>
        <v>0</v>
      </c>
      <c r="L62" s="146">
        <f t="shared" si="20"/>
        <v>0</v>
      </c>
      <c r="M62" s="146">
        <f t="shared" si="20"/>
        <v>0</v>
      </c>
      <c r="N62" s="146">
        <f t="shared" si="20"/>
        <v>0</v>
      </c>
      <c r="O62" s="146">
        <f t="shared" si="20"/>
        <v>0</v>
      </c>
      <c r="P62" s="146">
        <f t="shared" si="20"/>
        <v>0</v>
      </c>
      <c r="Q62" s="146">
        <f t="shared" si="20"/>
        <v>0</v>
      </c>
      <c r="R62" s="370">
        <f t="shared" si="20"/>
        <v>323700</v>
      </c>
      <c r="S62" s="148"/>
      <c r="T62" s="148"/>
      <c r="U62" s="143"/>
    </row>
    <row r="63" spans="1:21" s="144" customFormat="1">
      <c r="A63" s="154" t="s">
        <v>303</v>
      </c>
      <c r="B63" s="146">
        <f t="shared" ref="B63:R63" si="21">SUM(B8+B11+B13+B14+B15+B26+B27+B38+B42+B43+B54+B62)</f>
        <v>35867092</v>
      </c>
      <c r="C63" s="146">
        <f t="shared" si="21"/>
        <v>33218542</v>
      </c>
      <c r="D63" s="146">
        <f t="shared" si="21"/>
        <v>2648550</v>
      </c>
      <c r="E63" s="146">
        <f t="shared" si="21"/>
        <v>17040688</v>
      </c>
      <c r="F63" s="146">
        <f t="shared" si="21"/>
        <v>7425000</v>
      </c>
      <c r="G63" s="146">
        <f t="shared" si="21"/>
        <v>5531862</v>
      </c>
      <c r="H63" s="146">
        <f t="shared" si="21"/>
        <v>4606082</v>
      </c>
      <c r="I63" s="146">
        <f t="shared" si="21"/>
        <v>1000000</v>
      </c>
      <c r="J63" s="146">
        <f t="shared" si="21"/>
        <v>0</v>
      </c>
      <c r="K63" s="146">
        <f t="shared" si="21"/>
        <v>263460</v>
      </c>
      <c r="L63" s="146">
        <f t="shared" si="21"/>
        <v>0</v>
      </c>
      <c r="M63" s="146">
        <f t="shared" si="21"/>
        <v>0</v>
      </c>
      <c r="N63" s="146">
        <f t="shared" si="21"/>
        <v>0</v>
      </c>
      <c r="O63" s="146">
        <f t="shared" si="21"/>
        <v>0</v>
      </c>
      <c r="P63" s="146">
        <f t="shared" si="21"/>
        <v>0</v>
      </c>
      <c r="Q63" s="146">
        <f t="shared" si="21"/>
        <v>0</v>
      </c>
      <c r="R63" s="370">
        <f t="shared" si="21"/>
        <v>35867092</v>
      </c>
      <c r="S63" s="146">
        <f>SUM(S10+S13+S14+S15+S26+S27+S38+S42+S43+S54)</f>
        <v>29177239</v>
      </c>
      <c r="T63" s="146">
        <f>SUM(T11+T13+T14+T15+T26+T27+T38+T42+T43+T54)</f>
        <v>0</v>
      </c>
      <c r="U63" s="143"/>
    </row>
    <row r="64" spans="1:21" s="144" customFormat="1" ht="23.5">
      <c r="A64" s="141" t="s">
        <v>1758</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160000</v>
      </c>
      <c r="C65" s="147">
        <f>100000+60000</f>
        <v>160000</v>
      </c>
      <c r="D65" s="147"/>
      <c r="E65" s="147">
        <f>B65-SUM(F65:P65)</f>
        <v>0</v>
      </c>
      <c r="F65" s="147"/>
      <c r="G65" s="147">
        <v>160000</v>
      </c>
      <c r="H65" s="147"/>
      <c r="I65" s="147"/>
      <c r="J65" s="147"/>
      <c r="K65" s="147"/>
      <c r="L65" s="147"/>
      <c r="M65" s="147"/>
      <c r="N65" s="147"/>
      <c r="O65" s="147"/>
      <c r="P65" s="147"/>
      <c r="Q65" s="147"/>
      <c r="R65" s="550">
        <f>SUM(E65:Q65)</f>
        <v>160000</v>
      </c>
      <c r="S65" s="147">
        <v>100000</v>
      </c>
      <c r="T65" s="147"/>
      <c r="U65" s="143"/>
    </row>
    <row r="66" spans="1:21" s="144" customFormat="1" ht="24" customHeight="1">
      <c r="A66" s="304" t="s">
        <v>1755</v>
      </c>
      <c r="B66" s="146">
        <f>SUM(C66+D66)</f>
        <v>55000</v>
      </c>
      <c r="C66" s="147">
        <v>55000</v>
      </c>
      <c r="D66" s="147"/>
      <c r="E66" s="147">
        <f>B66-SUM(F66:P66)</f>
        <v>0</v>
      </c>
      <c r="F66" s="147"/>
      <c r="G66" s="147">
        <v>55000</v>
      </c>
      <c r="H66" s="147"/>
      <c r="I66" s="147"/>
      <c r="J66" s="147"/>
      <c r="K66" s="147"/>
      <c r="L66" s="147"/>
      <c r="M66" s="147"/>
      <c r="N66" s="147"/>
      <c r="O66" s="147"/>
      <c r="P66" s="147"/>
      <c r="Q66" s="147"/>
      <c r="R66" s="550">
        <f>SUM(E66:Q66)</f>
        <v>55000</v>
      </c>
      <c r="S66" s="147"/>
      <c r="T66" s="147"/>
      <c r="U66" s="143"/>
    </row>
    <row r="67" spans="1:21" s="144" customFormat="1" ht="24" customHeight="1">
      <c r="A67" s="304" t="s">
        <v>1756</v>
      </c>
      <c r="B67" s="146">
        <f>SUM(C67+D67)</f>
        <v>0</v>
      </c>
      <c r="C67" s="147"/>
      <c r="D67" s="147"/>
      <c r="E67" s="147">
        <f>B67-SUM(F67:P67)</f>
        <v>0</v>
      </c>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1762</v>
      </c>
      <c r="B68" s="146">
        <f>SUM(C68+D68)</f>
        <v>0</v>
      </c>
      <c r="C68" s="147"/>
      <c r="D68" s="147"/>
      <c r="E68" s="147">
        <f>B68-SUM(F68:P68)</f>
        <v>0</v>
      </c>
      <c r="F68" s="147"/>
      <c r="G68" s="147"/>
      <c r="H68" s="147"/>
      <c r="I68" s="147"/>
      <c r="J68" s="147"/>
      <c r="K68" s="147"/>
      <c r="L68" s="147"/>
      <c r="M68" s="147"/>
      <c r="N68" s="147"/>
      <c r="O68" s="147"/>
      <c r="P68" s="147"/>
      <c r="Q68" s="147"/>
      <c r="R68" s="550">
        <f>SUM(E68:Q68)</f>
        <v>0</v>
      </c>
      <c r="S68" s="147"/>
      <c r="T68" s="147"/>
      <c r="U68" s="143"/>
    </row>
    <row r="69" spans="1:21" s="144" customFormat="1">
      <c r="A69" s="1193" t="s">
        <v>34</v>
      </c>
      <c r="B69" s="146">
        <f>SUM(C69+D69)</f>
        <v>0</v>
      </c>
      <c r="C69" s="147"/>
      <c r="D69" s="147"/>
      <c r="E69" s="147">
        <f>B69-SUM(F69:P69)</f>
        <v>0</v>
      </c>
      <c r="F69" s="147"/>
      <c r="G69" s="147"/>
      <c r="H69" s="147"/>
      <c r="I69" s="147"/>
      <c r="J69" s="147"/>
      <c r="K69" s="147"/>
      <c r="L69" s="147"/>
      <c r="M69" s="147"/>
      <c r="N69" s="147"/>
      <c r="O69" s="147"/>
      <c r="P69" s="147"/>
      <c r="Q69" s="147"/>
      <c r="R69" s="550">
        <f>SUM(E69:Q69)</f>
        <v>0</v>
      </c>
      <c r="S69" s="147"/>
      <c r="T69" s="147"/>
      <c r="U69" s="143"/>
    </row>
    <row r="70" spans="1:21" s="144" customFormat="1" ht="12">
      <c r="A70" s="149" t="s">
        <v>1759</v>
      </c>
      <c r="B70" s="146">
        <f>SUM(C70:D70)</f>
        <v>215000</v>
      </c>
      <c r="C70" s="146">
        <f>SUM(C65:C69)</f>
        <v>215000</v>
      </c>
      <c r="D70" s="146">
        <f>SUM(D65:D69)</f>
        <v>0</v>
      </c>
      <c r="E70" s="146">
        <f t="shared" ref="E70:T70" si="22">SUM(E65:E69)</f>
        <v>0</v>
      </c>
      <c r="F70" s="146">
        <f t="shared" si="22"/>
        <v>0</v>
      </c>
      <c r="G70" s="146">
        <f t="shared" si="22"/>
        <v>215000</v>
      </c>
      <c r="H70" s="146">
        <f t="shared" si="22"/>
        <v>0</v>
      </c>
      <c r="I70" s="146">
        <f t="shared" si="22"/>
        <v>0</v>
      </c>
      <c r="J70" s="146">
        <f t="shared" si="22"/>
        <v>0</v>
      </c>
      <c r="K70" s="146">
        <f t="shared" si="22"/>
        <v>0</v>
      </c>
      <c r="L70" s="146">
        <f t="shared" si="22"/>
        <v>0</v>
      </c>
      <c r="M70" s="146">
        <f t="shared" si="22"/>
        <v>0</v>
      </c>
      <c r="N70" s="146">
        <f t="shared" si="22"/>
        <v>0</v>
      </c>
      <c r="O70" s="146">
        <f t="shared" si="22"/>
        <v>0</v>
      </c>
      <c r="P70" s="146">
        <f t="shared" si="22"/>
        <v>0</v>
      </c>
      <c r="Q70" s="146">
        <f t="shared" si="22"/>
        <v>0</v>
      </c>
      <c r="R70" s="370">
        <f t="shared" si="22"/>
        <v>215000</v>
      </c>
      <c r="S70" s="150">
        <f t="shared" si="22"/>
        <v>100000</v>
      </c>
      <c r="T70" s="150">
        <f t="shared" si="22"/>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1008</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614</v>
      </c>
      <c r="B75" s="146">
        <f>SUM(C75+D75)</f>
        <v>467426</v>
      </c>
      <c r="C75" s="147">
        <v>467426</v>
      </c>
      <c r="D75" s="147"/>
      <c r="E75" s="147">
        <f>B75-SUM(F75:P75)</f>
        <v>467426</v>
      </c>
      <c r="F75" s="147"/>
      <c r="G75" s="147"/>
      <c r="H75" s="147"/>
      <c r="I75" s="147"/>
      <c r="J75" s="147"/>
      <c r="K75" s="147"/>
      <c r="L75" s="147"/>
      <c r="M75" s="147"/>
      <c r="N75" s="147"/>
      <c r="O75" s="147"/>
      <c r="P75" s="147"/>
      <c r="Q75" s="147"/>
      <c r="R75" s="550">
        <f>SUM(E75:Q75)</f>
        <v>467426</v>
      </c>
      <c r="S75" s="148"/>
      <c r="T75" s="148"/>
      <c r="U75" s="143"/>
    </row>
    <row r="76" spans="1:21" s="144" customFormat="1">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ht="12">
      <c r="A77" s="149" t="s">
        <v>615</v>
      </c>
      <c r="B77" s="146">
        <f>SUM(C77:D77)</f>
        <v>467426</v>
      </c>
      <c r="C77" s="146">
        <f>SUM(C72:C76)</f>
        <v>467426</v>
      </c>
      <c r="D77" s="146">
        <f>SUM(D72:D76)</f>
        <v>0</v>
      </c>
      <c r="E77" s="146">
        <f t="shared" ref="E77:Q77" si="23">SUM(E72:E76)</f>
        <v>467426</v>
      </c>
      <c r="F77" s="146">
        <f t="shared" si="23"/>
        <v>0</v>
      </c>
      <c r="G77" s="146">
        <f t="shared" si="23"/>
        <v>0</v>
      </c>
      <c r="H77" s="146">
        <f t="shared" si="23"/>
        <v>0</v>
      </c>
      <c r="I77" s="146">
        <f t="shared" si="23"/>
        <v>0</v>
      </c>
      <c r="J77" s="146">
        <f t="shared" si="23"/>
        <v>0</v>
      </c>
      <c r="K77" s="146">
        <f t="shared" si="23"/>
        <v>0</v>
      </c>
      <c r="L77" s="146">
        <f t="shared" si="23"/>
        <v>0</v>
      </c>
      <c r="M77" s="146">
        <f t="shared" si="23"/>
        <v>0</v>
      </c>
      <c r="N77" s="146">
        <f t="shared" si="23"/>
        <v>0</v>
      </c>
      <c r="O77" s="146">
        <f t="shared" si="23"/>
        <v>0</v>
      </c>
      <c r="P77" s="146">
        <f t="shared" si="23"/>
        <v>0</v>
      </c>
      <c r="Q77" s="146">
        <f t="shared" si="23"/>
        <v>0</v>
      </c>
      <c r="R77" s="370">
        <f>SUM(R72:R76)</f>
        <v>467426</v>
      </c>
      <c r="S77" s="148"/>
      <c r="T77" s="148"/>
      <c r="U77" s="143"/>
    </row>
    <row r="78" spans="1:21" s="144" customFormat="1">
      <c r="A78" s="141" t="s">
        <v>1317</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1319</v>
      </c>
      <c r="B79" s="146">
        <f>SUM(C79:D79)</f>
        <v>1429308</v>
      </c>
      <c r="C79" s="147">
        <v>1299397</v>
      </c>
      <c r="D79" s="147">
        <v>129911</v>
      </c>
      <c r="E79" s="147">
        <f>B79-SUM(F79:P79)</f>
        <v>1429308</v>
      </c>
      <c r="F79" s="147"/>
      <c r="G79" s="147"/>
      <c r="H79" s="147"/>
      <c r="I79" s="147"/>
      <c r="J79" s="147"/>
      <c r="K79" s="147"/>
      <c r="L79" s="147"/>
      <c r="M79" s="147"/>
      <c r="N79" s="147"/>
      <c r="O79" s="147"/>
      <c r="P79" s="147"/>
      <c r="Q79" s="147"/>
      <c r="R79" s="550">
        <f>SUM(E79:Q79)</f>
        <v>1429308</v>
      </c>
      <c r="S79" s="147">
        <f t="shared" ref="S79:S80" si="24">C79</f>
        <v>1299397</v>
      </c>
      <c r="T79" s="147"/>
      <c r="U79" s="143"/>
    </row>
    <row r="80" spans="1:21" s="144" customFormat="1">
      <c r="A80" s="304" t="s">
        <v>58</v>
      </c>
      <c r="B80" s="146">
        <f>SUM(C80:D80)</f>
        <v>390000</v>
      </c>
      <c r="C80" s="147">
        <f>390000-D80</f>
        <v>354553</v>
      </c>
      <c r="D80" s="147">
        <v>35447</v>
      </c>
      <c r="E80" s="147">
        <f>B80-SUM(F80:P80)</f>
        <v>390000</v>
      </c>
      <c r="F80" s="147"/>
      <c r="G80" s="147"/>
      <c r="H80" s="147"/>
      <c r="I80" s="147"/>
      <c r="J80" s="147"/>
      <c r="K80" s="147"/>
      <c r="L80" s="147"/>
      <c r="M80" s="147"/>
      <c r="N80" s="147"/>
      <c r="O80" s="147"/>
      <c r="P80" s="147"/>
      <c r="Q80" s="147"/>
      <c r="R80" s="550">
        <f>SUM(E80:Q80)</f>
        <v>390000</v>
      </c>
      <c r="S80" s="147">
        <f t="shared" si="24"/>
        <v>354553</v>
      </c>
      <c r="T80" s="147"/>
      <c r="U80" s="143"/>
    </row>
    <row r="81" spans="1:21" s="144" customFormat="1" ht="12">
      <c r="A81" s="149" t="s">
        <v>1316</v>
      </c>
      <c r="B81" s="146">
        <f>SUM(C81:D81)</f>
        <v>1819308</v>
      </c>
      <c r="C81" s="543">
        <f>SUM(C79:C80)</f>
        <v>1653950</v>
      </c>
      <c r="D81" s="543">
        <f t="shared" ref="D81:T81" si="25">SUM(D79:D80)</f>
        <v>165358</v>
      </c>
      <c r="E81" s="543">
        <f t="shared" si="25"/>
        <v>1819308</v>
      </c>
      <c r="F81" s="543">
        <f t="shared" si="25"/>
        <v>0</v>
      </c>
      <c r="G81" s="543">
        <f t="shared" si="25"/>
        <v>0</v>
      </c>
      <c r="H81" s="543">
        <f t="shared" si="25"/>
        <v>0</v>
      </c>
      <c r="I81" s="543">
        <f t="shared" si="25"/>
        <v>0</v>
      </c>
      <c r="J81" s="543">
        <f t="shared" si="25"/>
        <v>0</v>
      </c>
      <c r="K81" s="543">
        <f t="shared" si="25"/>
        <v>0</v>
      </c>
      <c r="L81" s="543">
        <f t="shared" si="25"/>
        <v>0</v>
      </c>
      <c r="M81" s="543">
        <f t="shared" si="25"/>
        <v>0</v>
      </c>
      <c r="N81" s="543">
        <f t="shared" si="25"/>
        <v>0</v>
      </c>
      <c r="O81" s="543">
        <f t="shared" si="25"/>
        <v>0</v>
      </c>
      <c r="P81" s="543">
        <f t="shared" si="25"/>
        <v>0</v>
      </c>
      <c r="Q81" s="543">
        <f t="shared" si="25"/>
        <v>0</v>
      </c>
      <c r="R81" s="543">
        <f t="shared" si="25"/>
        <v>1819308</v>
      </c>
      <c r="S81" s="543">
        <f t="shared" si="25"/>
        <v>1653950</v>
      </c>
      <c r="T81" s="543">
        <f t="shared" si="25"/>
        <v>0</v>
      </c>
      <c r="U81" s="143"/>
    </row>
    <row r="82" spans="1:21" s="144" customFormat="1">
      <c r="A82" s="141" t="s">
        <v>775</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2412</v>
      </c>
      <c r="B83" s="146">
        <f t="shared" ref="B83:B95" si="26">SUM(C83+D83)</f>
        <v>83138</v>
      </c>
      <c r="C83" s="147">
        <v>83138</v>
      </c>
      <c r="D83" s="147"/>
      <c r="E83" s="147">
        <f t="shared" ref="E83:E95" si="27">B83-SUM(F83:P83)</f>
        <v>0</v>
      </c>
      <c r="F83" s="147"/>
      <c r="G83" s="147">
        <f>B83</f>
        <v>83138</v>
      </c>
      <c r="H83" s="147"/>
      <c r="I83" s="147"/>
      <c r="J83" s="147"/>
      <c r="K83" s="147"/>
      <c r="L83" s="147"/>
      <c r="M83" s="147"/>
      <c r="N83" s="147"/>
      <c r="O83" s="147"/>
      <c r="P83" s="147"/>
      <c r="Q83" s="147"/>
      <c r="R83" s="550">
        <f t="shared" ref="R83:R95" si="28">SUM(E83:Q83)</f>
        <v>83138</v>
      </c>
      <c r="S83" s="148"/>
      <c r="T83" s="148"/>
      <c r="U83" s="143"/>
    </row>
    <row r="84" spans="1:21" s="144" customFormat="1">
      <c r="A84" s="145" t="s">
        <v>777</v>
      </c>
      <c r="B84" s="146">
        <f t="shared" si="26"/>
        <v>0</v>
      </c>
      <c r="C84" s="147"/>
      <c r="D84" s="147"/>
      <c r="E84" s="147">
        <f t="shared" si="27"/>
        <v>0</v>
      </c>
      <c r="F84" s="147"/>
      <c r="G84" s="147"/>
      <c r="H84" s="147"/>
      <c r="I84" s="147"/>
      <c r="J84" s="147"/>
      <c r="K84" s="147"/>
      <c r="L84" s="147"/>
      <c r="M84" s="147"/>
      <c r="N84" s="147"/>
      <c r="O84" s="147"/>
      <c r="P84" s="147"/>
      <c r="Q84" s="147"/>
      <c r="R84" s="550">
        <f t="shared" si="28"/>
        <v>0</v>
      </c>
      <c r="S84" s="147"/>
      <c r="T84" s="147"/>
      <c r="U84" s="143"/>
    </row>
    <row r="85" spans="1:21" s="144" customFormat="1">
      <c r="A85" s="145" t="s">
        <v>778</v>
      </c>
      <c r="B85" s="146">
        <f t="shared" si="26"/>
        <v>213918</v>
      </c>
      <c r="C85" s="147">
        <f>187983+25935</f>
        <v>213918</v>
      </c>
      <c r="D85" s="147"/>
      <c r="E85" s="147">
        <f t="shared" si="27"/>
        <v>0</v>
      </c>
      <c r="F85" s="147"/>
      <c r="G85" s="147"/>
      <c r="H85" s="147">
        <f>C85</f>
        <v>213918</v>
      </c>
      <c r="I85" s="147"/>
      <c r="J85" s="147"/>
      <c r="K85" s="147"/>
      <c r="L85" s="147"/>
      <c r="M85" s="147"/>
      <c r="N85" s="147"/>
      <c r="O85" s="147"/>
      <c r="P85" s="147"/>
      <c r="Q85" s="147"/>
      <c r="R85" s="550">
        <f t="shared" si="28"/>
        <v>213918</v>
      </c>
      <c r="S85" s="147">
        <f t="shared" ref="S85:S89" si="29">C85</f>
        <v>213918</v>
      </c>
      <c r="T85" s="147"/>
      <c r="U85" s="143"/>
    </row>
    <row r="86" spans="1:21" s="144" customFormat="1">
      <c r="A86" s="145" t="s">
        <v>779</v>
      </c>
      <c r="B86" s="146">
        <f t="shared" si="26"/>
        <v>500000</v>
      </c>
      <c r="C86" s="147">
        <f>241146+258854</f>
        <v>500000</v>
      </c>
      <c r="D86" s="147"/>
      <c r="E86" s="147">
        <f t="shared" si="27"/>
        <v>0</v>
      </c>
      <c r="F86" s="147"/>
      <c r="G86" s="147"/>
      <c r="H86" s="147">
        <v>500000</v>
      </c>
      <c r="I86" s="147"/>
      <c r="J86" s="147"/>
      <c r="K86" s="147"/>
      <c r="L86" s="147"/>
      <c r="M86" s="147"/>
      <c r="N86" s="147"/>
      <c r="O86" s="147"/>
      <c r="P86" s="147"/>
      <c r="Q86" s="147"/>
      <c r="R86" s="550">
        <f t="shared" si="28"/>
        <v>500000</v>
      </c>
      <c r="S86" s="147">
        <f t="shared" si="29"/>
        <v>500000</v>
      </c>
      <c r="T86" s="147"/>
      <c r="U86" s="143"/>
    </row>
    <row r="87" spans="1:21" s="144" customFormat="1">
      <c r="A87" s="145" t="s">
        <v>780</v>
      </c>
      <c r="B87" s="146">
        <f t="shared" si="26"/>
        <v>0</v>
      </c>
      <c r="C87" s="147"/>
      <c r="D87" s="147"/>
      <c r="E87" s="147">
        <f t="shared" si="27"/>
        <v>0</v>
      </c>
      <c r="F87" s="147"/>
      <c r="G87" s="147"/>
      <c r="H87" s="147"/>
      <c r="I87" s="147"/>
      <c r="J87" s="147"/>
      <c r="K87" s="147"/>
      <c r="L87" s="147"/>
      <c r="M87" s="147"/>
      <c r="N87" s="147"/>
      <c r="O87" s="147"/>
      <c r="P87" s="147"/>
      <c r="Q87" s="147"/>
      <c r="R87" s="550">
        <f t="shared" si="28"/>
        <v>0</v>
      </c>
      <c r="S87" s="147"/>
      <c r="T87" s="147"/>
      <c r="U87" s="143"/>
    </row>
    <row r="88" spans="1:21" s="144" customFormat="1">
      <c r="A88" s="145" t="s">
        <v>781</v>
      </c>
      <c r="B88" s="146">
        <f t="shared" si="26"/>
        <v>100000</v>
      </c>
      <c r="C88" s="147">
        <v>100000</v>
      </c>
      <c r="D88" s="147"/>
      <c r="E88" s="147">
        <f t="shared" si="27"/>
        <v>100000</v>
      </c>
      <c r="F88" s="147"/>
      <c r="G88" s="147"/>
      <c r="H88" s="147"/>
      <c r="I88" s="147"/>
      <c r="J88" s="147"/>
      <c r="K88" s="147"/>
      <c r="L88" s="147"/>
      <c r="M88" s="147"/>
      <c r="N88" s="147"/>
      <c r="O88" s="147"/>
      <c r="P88" s="147"/>
      <c r="Q88" s="147"/>
      <c r="R88" s="550">
        <f t="shared" si="28"/>
        <v>100000</v>
      </c>
      <c r="S88" s="148"/>
      <c r="T88" s="148"/>
      <c r="U88" s="143"/>
    </row>
    <row r="89" spans="1:21" s="144" customFormat="1">
      <c r="A89" s="145" t="s">
        <v>782</v>
      </c>
      <c r="B89" s="146">
        <f t="shared" si="26"/>
        <v>250000</v>
      </c>
      <c r="C89" s="147">
        <v>250000</v>
      </c>
      <c r="D89" s="147"/>
      <c r="E89" s="147">
        <f t="shared" si="27"/>
        <v>250000</v>
      </c>
      <c r="F89" s="147"/>
      <c r="G89" s="147"/>
      <c r="H89" s="147"/>
      <c r="I89" s="147"/>
      <c r="J89" s="147"/>
      <c r="K89" s="147"/>
      <c r="L89" s="147"/>
      <c r="M89" s="147"/>
      <c r="N89" s="147"/>
      <c r="O89" s="147"/>
      <c r="P89" s="147"/>
      <c r="Q89" s="147"/>
      <c r="R89" s="550">
        <f t="shared" si="28"/>
        <v>250000</v>
      </c>
      <c r="S89" s="147">
        <f t="shared" si="29"/>
        <v>250000</v>
      </c>
      <c r="T89" s="147"/>
      <c r="U89" s="143"/>
    </row>
    <row r="90" spans="1:21" s="144" customFormat="1">
      <c r="A90" s="145" t="s">
        <v>783</v>
      </c>
      <c r="B90" s="146">
        <f t="shared" si="26"/>
        <v>15000</v>
      </c>
      <c r="C90" s="147">
        <v>15000</v>
      </c>
      <c r="D90" s="147"/>
      <c r="E90" s="147">
        <f t="shared" si="27"/>
        <v>0</v>
      </c>
      <c r="F90" s="147"/>
      <c r="G90" s="147"/>
      <c r="H90" s="147">
        <v>15000</v>
      </c>
      <c r="I90" s="147"/>
      <c r="J90" s="147"/>
      <c r="K90" s="147"/>
      <c r="L90" s="147"/>
      <c r="M90" s="147"/>
      <c r="N90" s="147"/>
      <c r="O90" s="147"/>
      <c r="P90" s="147"/>
      <c r="Q90" s="147"/>
      <c r="R90" s="550">
        <f t="shared" si="28"/>
        <v>15000</v>
      </c>
      <c r="S90" s="147"/>
      <c r="T90" s="147"/>
      <c r="U90" s="143"/>
    </row>
    <row r="91" spans="1:21" s="144" customFormat="1">
      <c r="A91" s="145" t="s">
        <v>373</v>
      </c>
      <c r="B91" s="146">
        <f t="shared" si="26"/>
        <v>25000</v>
      </c>
      <c r="C91" s="147">
        <v>25000</v>
      </c>
      <c r="D91" s="147"/>
      <c r="E91" s="147">
        <f t="shared" si="27"/>
        <v>25000</v>
      </c>
      <c r="F91" s="147"/>
      <c r="G91" s="147"/>
      <c r="H91" s="147"/>
      <c r="I91" s="147"/>
      <c r="J91" s="147"/>
      <c r="K91" s="147"/>
      <c r="L91" s="147"/>
      <c r="M91" s="147"/>
      <c r="N91" s="147"/>
      <c r="O91" s="147"/>
      <c r="P91" s="147"/>
      <c r="Q91" s="147"/>
      <c r="R91" s="550">
        <f t="shared" si="28"/>
        <v>25000</v>
      </c>
      <c r="S91" s="147"/>
      <c r="T91" s="147"/>
      <c r="U91" s="143"/>
    </row>
    <row r="92" spans="1:21" s="144" customFormat="1">
      <c r="A92" s="304" t="s">
        <v>1318</v>
      </c>
      <c r="B92" s="146">
        <f t="shared" si="26"/>
        <v>15000</v>
      </c>
      <c r="C92" s="147">
        <v>15000</v>
      </c>
      <c r="D92" s="147"/>
      <c r="E92" s="147">
        <f t="shared" si="27"/>
        <v>0</v>
      </c>
      <c r="F92" s="147"/>
      <c r="G92" s="147"/>
      <c r="H92" s="147">
        <v>15000</v>
      </c>
      <c r="I92" s="147"/>
      <c r="J92" s="147"/>
      <c r="K92" s="147"/>
      <c r="L92" s="147"/>
      <c r="M92" s="147"/>
      <c r="N92" s="147"/>
      <c r="O92" s="147"/>
      <c r="P92" s="147"/>
      <c r="Q92" s="147"/>
      <c r="R92" s="550">
        <f t="shared" si="28"/>
        <v>15000</v>
      </c>
      <c r="S92" s="147">
        <f>C92</f>
        <v>15000</v>
      </c>
      <c r="T92" s="147"/>
      <c r="U92" s="143"/>
    </row>
    <row r="93" spans="1:21" s="144" customFormat="1">
      <c r="A93" s="1193" t="s">
        <v>34</v>
      </c>
      <c r="B93" s="146">
        <f t="shared" si="26"/>
        <v>0</v>
      </c>
      <c r="C93" s="147"/>
      <c r="D93" s="147"/>
      <c r="E93" s="147">
        <f t="shared" si="27"/>
        <v>0</v>
      </c>
      <c r="F93" s="147"/>
      <c r="G93" s="147"/>
      <c r="H93" s="147"/>
      <c r="I93" s="147"/>
      <c r="J93" s="147"/>
      <c r="K93" s="147"/>
      <c r="L93" s="147"/>
      <c r="M93" s="147"/>
      <c r="N93" s="147"/>
      <c r="O93" s="147"/>
      <c r="P93" s="147"/>
      <c r="Q93" s="147"/>
      <c r="R93" s="550">
        <f t="shared" si="28"/>
        <v>0</v>
      </c>
      <c r="S93" s="147"/>
      <c r="T93" s="147"/>
      <c r="U93" s="143"/>
    </row>
    <row r="94" spans="1:21" s="144" customFormat="1">
      <c r="A94" s="1193" t="s">
        <v>34</v>
      </c>
      <c r="B94" s="146">
        <f t="shared" si="26"/>
        <v>0</v>
      </c>
      <c r="C94" s="147"/>
      <c r="D94" s="147"/>
      <c r="E94" s="147">
        <f t="shared" si="27"/>
        <v>0</v>
      </c>
      <c r="F94" s="147"/>
      <c r="G94" s="147"/>
      <c r="H94" s="147"/>
      <c r="I94" s="147"/>
      <c r="J94" s="147"/>
      <c r="K94" s="147"/>
      <c r="L94" s="147"/>
      <c r="M94" s="147"/>
      <c r="N94" s="147"/>
      <c r="O94" s="147"/>
      <c r="P94" s="147"/>
      <c r="Q94" s="147"/>
      <c r="R94" s="550">
        <f t="shared" si="28"/>
        <v>0</v>
      </c>
      <c r="S94" s="147"/>
      <c r="T94" s="147"/>
      <c r="U94" s="143"/>
    </row>
    <row r="95" spans="1:21" s="144" customFormat="1">
      <c r="A95" s="1193" t="s">
        <v>34</v>
      </c>
      <c r="B95" s="146">
        <f t="shared" si="26"/>
        <v>0</v>
      </c>
      <c r="C95" s="147"/>
      <c r="D95" s="147"/>
      <c r="E95" s="147">
        <f t="shared" si="27"/>
        <v>0</v>
      </c>
      <c r="F95" s="147"/>
      <c r="G95" s="147"/>
      <c r="H95" s="147"/>
      <c r="I95" s="147"/>
      <c r="J95" s="147"/>
      <c r="K95" s="147"/>
      <c r="L95" s="147"/>
      <c r="M95" s="147"/>
      <c r="N95" s="147"/>
      <c r="O95" s="147"/>
      <c r="P95" s="147"/>
      <c r="Q95" s="147"/>
      <c r="R95" s="550">
        <f t="shared" si="28"/>
        <v>0</v>
      </c>
      <c r="S95" s="147"/>
      <c r="T95" s="147"/>
      <c r="U95" s="143"/>
    </row>
    <row r="96" spans="1:21" s="144" customFormat="1" ht="12">
      <c r="A96" s="149" t="s">
        <v>784</v>
      </c>
      <c r="B96" s="146">
        <f>SUM(C96:D96)</f>
        <v>1202056</v>
      </c>
      <c r="C96" s="146">
        <f t="shared" ref="C96:R96" si="30">SUM(C83:C95)</f>
        <v>1202056</v>
      </c>
      <c r="D96" s="146">
        <f t="shared" si="30"/>
        <v>0</v>
      </c>
      <c r="E96" s="146">
        <f t="shared" si="30"/>
        <v>375000</v>
      </c>
      <c r="F96" s="146">
        <f t="shared" si="30"/>
        <v>0</v>
      </c>
      <c r="G96" s="146">
        <f t="shared" si="30"/>
        <v>83138</v>
      </c>
      <c r="H96" s="146">
        <f t="shared" si="30"/>
        <v>743918</v>
      </c>
      <c r="I96" s="146">
        <f t="shared" si="30"/>
        <v>0</v>
      </c>
      <c r="J96" s="146">
        <f t="shared" si="30"/>
        <v>0</v>
      </c>
      <c r="K96" s="146">
        <f t="shared" si="30"/>
        <v>0</v>
      </c>
      <c r="L96" s="146">
        <f t="shared" si="30"/>
        <v>0</v>
      </c>
      <c r="M96" s="146">
        <f t="shared" si="30"/>
        <v>0</v>
      </c>
      <c r="N96" s="146">
        <f t="shared" si="30"/>
        <v>0</v>
      </c>
      <c r="O96" s="146">
        <f t="shared" si="30"/>
        <v>0</v>
      </c>
      <c r="P96" s="146">
        <f t="shared" si="30"/>
        <v>0</v>
      </c>
      <c r="Q96" s="146">
        <f t="shared" si="30"/>
        <v>0</v>
      </c>
      <c r="R96" s="370">
        <f t="shared" si="30"/>
        <v>1202056</v>
      </c>
      <c r="S96" s="150">
        <f>SUM(S84:S87,S89:S95)</f>
        <v>978918</v>
      </c>
      <c r="T96" s="146">
        <f>SUM(T84:T87,T89:T95)</f>
        <v>0</v>
      </c>
      <c r="U96" s="143"/>
    </row>
    <row r="97" spans="1:21" s="144" customFormat="1" ht="12">
      <c r="A97" s="149" t="s">
        <v>785</v>
      </c>
      <c r="B97" s="146">
        <f>SUM(C97:D97)</f>
        <v>39570882</v>
      </c>
      <c r="C97" s="146">
        <f t="shared" ref="C97:R97" si="31">SUM(C63+C70+C77+C81+C96)</f>
        <v>36756974</v>
      </c>
      <c r="D97" s="146">
        <f t="shared" si="31"/>
        <v>2813908</v>
      </c>
      <c r="E97" s="146">
        <f t="shared" si="31"/>
        <v>19702422</v>
      </c>
      <c r="F97" s="146">
        <f t="shared" si="31"/>
        <v>7425000</v>
      </c>
      <c r="G97" s="146">
        <f t="shared" si="31"/>
        <v>5830000</v>
      </c>
      <c r="H97" s="146">
        <f t="shared" si="31"/>
        <v>5350000</v>
      </c>
      <c r="I97" s="146">
        <f t="shared" si="31"/>
        <v>1000000</v>
      </c>
      <c r="J97" s="146">
        <f t="shared" si="31"/>
        <v>0</v>
      </c>
      <c r="K97" s="146">
        <f t="shared" si="31"/>
        <v>263460</v>
      </c>
      <c r="L97" s="146">
        <f t="shared" si="31"/>
        <v>0</v>
      </c>
      <c r="M97" s="146">
        <f t="shared" si="31"/>
        <v>0</v>
      </c>
      <c r="N97" s="146">
        <f t="shared" si="31"/>
        <v>0</v>
      </c>
      <c r="O97" s="146">
        <f t="shared" si="31"/>
        <v>0</v>
      </c>
      <c r="P97" s="146">
        <f t="shared" si="31"/>
        <v>0</v>
      </c>
      <c r="Q97" s="146">
        <f t="shared" si="31"/>
        <v>0</v>
      </c>
      <c r="R97" s="146">
        <f t="shared" si="31"/>
        <v>39570882</v>
      </c>
      <c r="S97" s="146">
        <f>SUM(S63+S70+S81+S96)</f>
        <v>31910107</v>
      </c>
      <c r="T97" s="146">
        <f>SUM(T63+T70+T81+T96)</f>
        <v>0</v>
      </c>
      <c r="U97" s="143"/>
    </row>
    <row r="98" spans="1:21" s="144" customFormat="1">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787</v>
      </c>
      <c r="B99" s="146">
        <f>SUM(C99+D99)</f>
        <v>3800000</v>
      </c>
      <c r="C99" s="1014">
        <v>3800000</v>
      </c>
      <c r="D99" s="1014"/>
      <c r="E99" s="1014">
        <f>B99-SUM(F99:P99)</f>
        <v>2149978</v>
      </c>
      <c r="F99" s="147"/>
      <c r="G99" s="147"/>
      <c r="H99" s="147"/>
      <c r="I99" s="147"/>
      <c r="J99" s="147">
        <v>1650022</v>
      </c>
      <c r="K99" s="147"/>
      <c r="L99" s="147"/>
      <c r="M99" s="147"/>
      <c r="N99" s="147"/>
      <c r="O99" s="147"/>
      <c r="P99" s="147"/>
      <c r="Q99" s="147"/>
      <c r="R99" s="550">
        <f>SUM(E99:Q99)</f>
        <v>3800000</v>
      </c>
      <c r="S99" s="147">
        <f t="shared" ref="S99" si="32">C99</f>
        <v>3800000</v>
      </c>
      <c r="T99" s="147"/>
      <c r="U99" s="143"/>
    </row>
    <row r="100" spans="1:21" s="144" customFormat="1">
      <c r="A100" s="304" t="s">
        <v>1760</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788</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1761</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ht="12">
      <c r="A104" s="149" t="s">
        <v>789</v>
      </c>
      <c r="B104" s="146">
        <f>SUM(C104:D104)</f>
        <v>3800000</v>
      </c>
      <c r="C104" s="146">
        <f>SUM(C99:C103)</f>
        <v>3800000</v>
      </c>
      <c r="D104" s="146">
        <f t="shared" ref="D104:T104" si="33">SUM(D99:D103)</f>
        <v>0</v>
      </c>
      <c r="E104" s="146">
        <f t="shared" si="33"/>
        <v>2149978</v>
      </c>
      <c r="F104" s="146">
        <f t="shared" si="33"/>
        <v>0</v>
      </c>
      <c r="G104" s="146">
        <f t="shared" si="33"/>
        <v>0</v>
      </c>
      <c r="H104" s="146">
        <f t="shared" si="33"/>
        <v>0</v>
      </c>
      <c r="I104" s="146">
        <f t="shared" si="33"/>
        <v>0</v>
      </c>
      <c r="J104" s="146">
        <f t="shared" si="33"/>
        <v>1650022</v>
      </c>
      <c r="K104" s="146">
        <f t="shared" si="33"/>
        <v>0</v>
      </c>
      <c r="L104" s="146">
        <f t="shared" si="33"/>
        <v>0</v>
      </c>
      <c r="M104" s="146">
        <f t="shared" si="33"/>
        <v>0</v>
      </c>
      <c r="N104" s="146">
        <f t="shared" si="33"/>
        <v>0</v>
      </c>
      <c r="O104" s="146">
        <f t="shared" si="33"/>
        <v>0</v>
      </c>
      <c r="P104" s="146">
        <f t="shared" si="33"/>
        <v>0</v>
      </c>
      <c r="Q104" s="146">
        <f t="shared" si="33"/>
        <v>0</v>
      </c>
      <c r="R104" s="370">
        <f t="shared" si="33"/>
        <v>3800000</v>
      </c>
      <c r="S104" s="150">
        <f t="shared" si="33"/>
        <v>3800000</v>
      </c>
      <c r="T104" s="150">
        <f t="shared" si="33"/>
        <v>0</v>
      </c>
      <c r="U104" s="143"/>
    </row>
    <row r="105" spans="1:21" s="144" customFormat="1" ht="12">
      <c r="A105" s="149" t="s">
        <v>790</v>
      </c>
      <c r="B105" s="150">
        <f>SUM(C105:D105)</f>
        <v>43370882</v>
      </c>
      <c r="C105" s="150">
        <f t="shared" ref="C105:R105" si="34">SUM(C97+C104)</f>
        <v>40556974</v>
      </c>
      <c r="D105" s="150">
        <f t="shared" si="34"/>
        <v>2813908</v>
      </c>
      <c r="E105" s="150">
        <f t="shared" si="34"/>
        <v>21852400</v>
      </c>
      <c r="F105" s="150">
        <f t="shared" si="34"/>
        <v>7425000</v>
      </c>
      <c r="G105" s="150">
        <f t="shared" si="34"/>
        <v>5830000</v>
      </c>
      <c r="H105" s="150">
        <f t="shared" si="34"/>
        <v>5350000</v>
      </c>
      <c r="I105" s="150">
        <f t="shared" si="34"/>
        <v>1000000</v>
      </c>
      <c r="J105" s="150">
        <f t="shared" si="34"/>
        <v>1650022</v>
      </c>
      <c r="K105" s="150">
        <f t="shared" si="34"/>
        <v>263460</v>
      </c>
      <c r="L105" s="150">
        <f t="shared" si="34"/>
        <v>0</v>
      </c>
      <c r="M105" s="150">
        <f t="shared" si="34"/>
        <v>0</v>
      </c>
      <c r="N105" s="150">
        <f t="shared" si="34"/>
        <v>0</v>
      </c>
      <c r="O105" s="150">
        <f t="shared" si="34"/>
        <v>0</v>
      </c>
      <c r="P105" s="150">
        <f t="shared" si="34"/>
        <v>0</v>
      </c>
      <c r="Q105" s="150">
        <f t="shared" si="34"/>
        <v>0</v>
      </c>
      <c r="R105" s="370">
        <f t="shared" si="34"/>
        <v>43370882</v>
      </c>
      <c r="S105" s="150">
        <f>S97+S104</f>
        <v>35710107</v>
      </c>
      <c r="T105" s="150">
        <f>T97+T104</f>
        <v>0</v>
      </c>
      <c r="U105" s="143"/>
    </row>
    <row r="106" spans="1:21" ht="12">
      <c r="A106" s="548" t="s">
        <v>1045</v>
      </c>
      <c r="B106" s="157"/>
      <c r="C106" s="157"/>
      <c r="D106" s="157"/>
      <c r="H106" s="159" t="s">
        <v>92</v>
      </c>
      <c r="I106" s="159"/>
      <c r="J106" s="159"/>
      <c r="R106" s="160" t="s">
        <v>93</v>
      </c>
      <c r="S106" s="147"/>
      <c r="T106" s="147"/>
    </row>
    <row r="107" spans="1:21" ht="12">
      <c r="A107" s="157" t="s">
        <v>184</v>
      </c>
      <c r="C107" s="157"/>
      <c r="D107" s="157"/>
      <c r="I107" s="162" t="s">
        <v>351</v>
      </c>
      <c r="J107" s="162"/>
      <c r="R107" s="160" t="s">
        <v>94</v>
      </c>
      <c r="S107" s="150">
        <f>S105+S106</f>
        <v>35710107</v>
      </c>
      <c r="T107" s="150">
        <f>T105+T106</f>
        <v>0</v>
      </c>
    </row>
    <row r="108" spans="1:21" s="201" customFormat="1" ht="12">
      <c r="A108" s="162" t="s">
        <v>892</v>
      </c>
      <c r="B108" s="157"/>
      <c r="C108" s="157"/>
      <c r="D108" s="157"/>
      <c r="E108" s="323">
        <f>Application!AO640</f>
        <v>21852400</v>
      </c>
      <c r="F108" s="323">
        <f>Application!AO627</f>
        <v>7425000</v>
      </c>
      <c r="G108" s="323">
        <f>Application!AO628</f>
        <v>5830000</v>
      </c>
      <c r="H108" s="323">
        <f>Application!AO629</f>
        <v>5350000</v>
      </c>
      <c r="I108" s="323">
        <f>Application!AO630</f>
        <v>1000000</v>
      </c>
      <c r="J108" s="323">
        <f>Application!AO631</f>
        <v>1650022</v>
      </c>
      <c r="K108" s="323">
        <f>Application!AO632</f>
        <v>263460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ht="12">
      <c r="A110" s="162" t="s">
        <v>978</v>
      </c>
      <c r="B110" s="157"/>
      <c r="C110" s="157"/>
      <c r="D110" s="157"/>
    </row>
    <row r="111" spans="1:21" ht="12">
      <c r="A111" s="156" t="s">
        <v>979</v>
      </c>
      <c r="B111" s="157"/>
      <c r="C111" s="157"/>
      <c r="D111" s="157"/>
    </row>
    <row r="112" spans="1:21" ht="12" customHeight="1">
      <c r="A112" s="336"/>
      <c r="B112" s="157"/>
      <c r="C112" s="157"/>
      <c r="D112" s="157"/>
    </row>
    <row r="113" spans="1:21" ht="12">
      <c r="A113" s="156" t="s">
        <v>1044</v>
      </c>
      <c r="B113" s="157"/>
      <c r="C113" s="157"/>
      <c r="D113" s="157"/>
    </row>
    <row r="114" spans="1:21" ht="12">
      <c r="A114" s="156" t="s">
        <v>2413</v>
      </c>
      <c r="B114" s="157"/>
      <c r="C114" s="157"/>
      <c r="D114" s="157"/>
    </row>
    <row r="115" spans="1:21" ht="12" customHeight="1">
      <c r="A115" s="336"/>
      <c r="B115" s="157"/>
      <c r="C115" s="157"/>
      <c r="D115" s="157"/>
    </row>
    <row r="116" spans="1:21" ht="12">
      <c r="A116" s="373" t="s">
        <v>1047</v>
      </c>
      <c r="B116" s="157"/>
      <c r="C116" s="157"/>
      <c r="D116" s="157"/>
    </row>
    <row r="117" spans="1:21" ht="12">
      <c r="A117" s="373" t="s">
        <v>1331</v>
      </c>
      <c r="B117" s="157"/>
      <c r="C117" s="157"/>
      <c r="D117" s="157"/>
    </row>
    <row r="118" spans="1:21" ht="12">
      <c r="A118" s="373" t="s">
        <v>1046</v>
      </c>
      <c r="B118" s="157"/>
      <c r="C118" s="157"/>
      <c r="D118" s="157"/>
    </row>
    <row r="119" spans="1:21" ht="12">
      <c r="A119" s="373" t="s">
        <v>1048</v>
      </c>
      <c r="B119" s="157"/>
      <c r="C119" s="157"/>
      <c r="D119" s="157"/>
    </row>
    <row r="120" spans="1:21" ht="12" customHeight="1">
      <c r="A120" s="372"/>
      <c r="B120" s="157"/>
      <c r="C120" s="157"/>
      <c r="D120" s="157"/>
    </row>
    <row r="121" spans="1:21" ht="15.5">
      <c r="A121" s="366" t="s">
        <v>1030</v>
      </c>
      <c r="B121" s="157"/>
      <c r="C121" s="157"/>
      <c r="D121" s="157"/>
    </row>
    <row r="122" spans="1:21">
      <c r="A122" s="353" t="s">
        <v>1014</v>
      </c>
      <c r="B122" s="352"/>
      <c r="C122" s="352"/>
      <c r="D122" s="1370" t="s">
        <v>1015</v>
      </c>
      <c r="E122" s="1370"/>
      <c r="F122" s="1370"/>
      <c r="G122" s="352"/>
      <c r="H122" s="352"/>
      <c r="I122" s="352"/>
      <c r="J122" s="352"/>
      <c r="K122" s="352"/>
      <c r="L122" s="352"/>
      <c r="M122" s="352"/>
      <c r="N122" s="352"/>
      <c r="O122" s="352"/>
      <c r="P122" s="352"/>
      <c r="Q122" s="352"/>
      <c r="R122" s="352"/>
      <c r="S122" s="352"/>
      <c r="T122" s="352"/>
      <c r="U122" s="354"/>
    </row>
    <row r="123" spans="1:21">
      <c r="A123" s="352" t="s">
        <v>1016</v>
      </c>
      <c r="B123" s="361"/>
      <c r="C123" s="352"/>
      <c r="D123" s="1372" t="s">
        <v>1332</v>
      </c>
      <c r="E123" s="1373"/>
      <c r="F123" s="1373"/>
      <c r="G123" s="1373"/>
      <c r="H123" s="1373"/>
      <c r="I123" s="1373"/>
      <c r="J123" s="1373"/>
      <c r="K123" s="1373"/>
      <c r="L123" s="1373"/>
      <c r="M123" s="1373"/>
      <c r="N123" s="1373"/>
      <c r="O123" s="1373"/>
      <c r="P123" s="1373"/>
      <c r="Q123" s="1373"/>
      <c r="R123" s="1373"/>
      <c r="S123" s="1373"/>
      <c r="T123" s="352"/>
      <c r="U123" s="354"/>
    </row>
    <row r="124" spans="1:21" ht="13">
      <c r="A124" s="117" t="s">
        <v>1017</v>
      </c>
      <c r="B124" s="361"/>
      <c r="C124" s="117"/>
      <c r="D124" s="1373"/>
      <c r="E124" s="1373"/>
      <c r="F124" s="1373"/>
      <c r="G124" s="1373"/>
      <c r="H124" s="1373"/>
      <c r="I124" s="1373"/>
      <c r="J124" s="1373"/>
      <c r="K124" s="1373"/>
      <c r="L124" s="1373"/>
      <c r="M124" s="1373"/>
      <c r="N124" s="1373"/>
      <c r="O124" s="1373"/>
      <c r="P124" s="1373"/>
      <c r="Q124" s="1373"/>
      <c r="R124" s="1373"/>
      <c r="S124" s="1373"/>
      <c r="T124" s="352"/>
      <c r="U124" s="354"/>
    </row>
    <row r="125" spans="1:21" ht="13">
      <c r="A125" s="117" t="s">
        <v>1018</v>
      </c>
      <c r="B125" s="361"/>
      <c r="C125" s="117"/>
      <c r="D125" s="1373"/>
      <c r="E125" s="1373"/>
      <c r="F125" s="1373"/>
      <c r="G125" s="1373"/>
      <c r="H125" s="1373"/>
      <c r="I125" s="1373"/>
      <c r="J125" s="1373"/>
      <c r="K125" s="1373"/>
      <c r="L125" s="1373"/>
      <c r="M125" s="1373"/>
      <c r="N125" s="1373"/>
      <c r="O125" s="1373"/>
      <c r="P125" s="1373"/>
      <c r="Q125" s="1373"/>
      <c r="R125" s="1373"/>
      <c r="S125" s="1373"/>
      <c r="T125" s="352"/>
      <c r="U125" s="354"/>
    </row>
    <row r="126" spans="1:21" ht="13">
      <c r="A126" s="117" t="s">
        <v>1019</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3">
      <c r="A127" s="117" t="s">
        <v>1020</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3">
      <c r="A128" s="117" t="s">
        <v>1021</v>
      </c>
      <c r="B128" s="361"/>
      <c r="C128" s="117"/>
      <c r="D128" s="1365"/>
      <c r="E128" s="1365"/>
      <c r="F128" s="1365"/>
      <c r="G128" s="1365"/>
      <c r="H128" s="1365"/>
      <c r="I128" s="117"/>
      <c r="J128" s="1366"/>
      <c r="K128" s="1366"/>
      <c r="L128" s="117"/>
      <c r="M128" s="117"/>
      <c r="N128" s="117"/>
      <c r="O128" s="117"/>
      <c r="P128" s="117"/>
      <c r="Q128" s="117"/>
      <c r="R128" s="117"/>
      <c r="S128" s="117"/>
      <c r="T128" s="352"/>
      <c r="U128" s="354"/>
    </row>
    <row r="129" spans="1:21" ht="13">
      <c r="A129" s="117" t="s">
        <v>301</v>
      </c>
      <c r="B129" s="361"/>
      <c r="C129" s="117"/>
      <c r="D129" s="1367" t="s">
        <v>1022</v>
      </c>
      <c r="E129" s="1367"/>
      <c r="F129" s="1367"/>
      <c r="G129" s="1367"/>
      <c r="H129" s="1367"/>
      <c r="I129" s="117"/>
      <c r="J129" s="117" t="s">
        <v>1023</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3">
      <c r="A131" s="363" t="s">
        <v>1024</v>
      </c>
      <c r="B131" s="362">
        <f>SUM(B123:B129)</f>
        <v>0</v>
      </c>
      <c r="C131" s="117"/>
      <c r="D131" s="1368"/>
      <c r="E131" s="1369"/>
      <c r="F131" s="1369"/>
      <c r="G131" s="1369"/>
      <c r="H131" s="1369"/>
      <c r="I131" s="117"/>
      <c r="J131" s="1368"/>
      <c r="K131" s="1369"/>
      <c r="L131" s="1369"/>
      <c r="M131" s="1369"/>
      <c r="N131" s="117"/>
      <c r="O131" s="117"/>
      <c r="P131" s="117"/>
      <c r="Q131" s="117"/>
      <c r="R131" s="117"/>
      <c r="S131" s="117"/>
      <c r="T131" s="352"/>
      <c r="U131" s="354"/>
    </row>
    <row r="132" spans="1:21" ht="12" customHeight="1">
      <c r="A132" s="364"/>
      <c r="B132" s="117"/>
      <c r="C132" s="117"/>
      <c r="D132" s="1374" t="s">
        <v>1025</v>
      </c>
      <c r="E132" s="1374"/>
      <c r="F132" s="1374"/>
      <c r="G132" s="1374"/>
      <c r="H132" s="1374"/>
      <c r="I132" s="117"/>
      <c r="J132" s="1374" t="s">
        <v>1026</v>
      </c>
      <c r="K132" s="1374"/>
      <c r="L132" s="1374"/>
      <c r="M132" s="1374"/>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3">
      <c r="A134" s="91" t="s">
        <v>1027</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3">
      <c r="A135" s="336" t="s">
        <v>1028</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3">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375"/>
      <c r="B138" s="1365"/>
      <c r="C138" s="1365"/>
      <c r="D138" s="356"/>
      <c r="E138" s="1366"/>
      <c r="F138" s="1366"/>
      <c r="G138" s="117"/>
      <c r="H138" s="117"/>
      <c r="I138" s="117"/>
      <c r="J138" s="117"/>
      <c r="K138" s="117"/>
      <c r="L138" s="117"/>
      <c r="M138" s="117"/>
      <c r="N138" s="117"/>
      <c r="O138" s="117"/>
      <c r="P138" s="117"/>
      <c r="Q138" s="117"/>
      <c r="R138" s="117"/>
      <c r="S138" s="117"/>
      <c r="T138" s="358"/>
      <c r="U138" s="359"/>
    </row>
    <row r="139" spans="1:21" ht="13.25">
      <c r="A139" s="1371" t="s">
        <v>1029</v>
      </c>
      <c r="B139" s="1371"/>
      <c r="C139" s="1371"/>
      <c r="D139" s="356"/>
      <c r="E139" s="117" t="s">
        <v>1023</v>
      </c>
      <c r="F139" s="117"/>
      <c r="G139" s="117"/>
      <c r="H139" s="117"/>
      <c r="I139" s="117"/>
      <c r="J139" s="117"/>
      <c r="K139" s="117"/>
      <c r="L139" s="117"/>
      <c r="M139" s="117"/>
      <c r="N139" s="117"/>
      <c r="O139" s="117"/>
      <c r="P139" s="117"/>
      <c r="Q139" s="117"/>
      <c r="R139" s="117"/>
      <c r="S139" s="117"/>
      <c r="T139" s="358"/>
      <c r="U139" s="359"/>
    </row>
    <row r="140" spans="1:21" ht="13.2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104" priority="8">
      <formula>AND(B25&gt;0,OR(A25="",A25="Other: (Specify)"))</formula>
    </cfRule>
  </conditionalFormatting>
  <conditionalFormatting sqref="A37">
    <cfRule type="expression" dxfId="103" priority="7">
      <formula>AND(B37&gt;0,OR(A37="",A37="Other: (Specify)"))</formula>
    </cfRule>
  </conditionalFormatting>
  <conditionalFormatting sqref="A53">
    <cfRule type="expression" dxfId="102" priority="6">
      <formula>AND(B53&gt;0,OR(A53="",A53="Other: (Specify)"))</formula>
    </cfRule>
  </conditionalFormatting>
  <conditionalFormatting sqref="A61">
    <cfRule type="expression" dxfId="101" priority="5">
      <formula>AND(B61&gt;0,OR(A61="",A61="Other: (Specify)"))</formula>
    </cfRule>
  </conditionalFormatting>
  <conditionalFormatting sqref="A69">
    <cfRule type="expression" dxfId="100" priority="4">
      <formula>AND(B69&gt;0,OR(A69="",A69="Other: (Specify)"))</formula>
    </cfRule>
  </conditionalFormatting>
  <conditionalFormatting sqref="A76">
    <cfRule type="expression" dxfId="99" priority="3">
      <formula>AND(B76&gt;0,OR(A76="",A76="Other: (Specify)"))</formula>
    </cfRule>
  </conditionalFormatting>
  <conditionalFormatting sqref="A93:A95">
    <cfRule type="expression" dxfId="98" priority="2">
      <formula>AND(B93&gt;0,OR(A93="",A93="Other: (Specify)"))</formula>
    </cfRule>
  </conditionalFormatting>
  <conditionalFormatting sqref="A103">
    <cfRule type="expression" dxfId="97" priority="1">
      <formula>AND(B103&gt;0,OR(A103="",A103="Other: (Specify)"))</formula>
    </cfRule>
  </conditionalFormatting>
  <conditionalFormatting sqref="C10">
    <cfRule type="expression" dxfId="96" priority="85">
      <formula>"(S10+T10)&gt;C10 "</formula>
    </cfRule>
  </conditionalFormatting>
  <conditionalFormatting sqref="E105:Q105">
    <cfRule type="cellIs" dxfId="95" priority="208" stopIfTrue="1" operator="notEqual">
      <formula>E$108</formula>
    </cfRule>
  </conditionalFormatting>
  <conditionalFormatting sqref="R4:R15">
    <cfRule type="cellIs" dxfId="94"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93"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92"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91"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90"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89"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88"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87"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86" priority="213" stopIfTrue="1" operator="notEqual">
      <formula>$B79</formula>
    </cfRule>
  </conditionalFormatting>
  <conditionalFormatting sqref="R83:R96">
    <cfRule type="cellIs" dxfId="85"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84"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83" priority="253" stopIfTrue="1">
      <formula>(S10+T10)&gt;C10</formula>
    </cfRule>
  </conditionalFormatting>
  <conditionalFormatting sqref="S13:S14">
    <cfRule type="expression" dxfId="82" priority="202" stopIfTrue="1">
      <formula>(S13+T13)&gt;C13</formula>
    </cfRule>
  </conditionalFormatting>
  <conditionalFormatting sqref="S17:S25">
    <cfRule type="expression" dxfId="81" priority="186" stopIfTrue="1">
      <formula>(S17+T17)&gt;C17</formula>
    </cfRule>
  </conditionalFormatting>
  <conditionalFormatting sqref="S27">
    <cfRule type="expression" dxfId="80" priority="179" stopIfTrue="1">
      <formula>(S27+T27)&gt;C27</formula>
    </cfRule>
  </conditionalFormatting>
  <conditionalFormatting sqref="S29:S37">
    <cfRule type="expression" dxfId="79" priority="169" stopIfTrue="1">
      <formula>(S29+T29)&gt;C29</formula>
    </cfRule>
  </conditionalFormatting>
  <conditionalFormatting sqref="S40:S41">
    <cfRule type="expression" dxfId="78" priority="160" stopIfTrue="1">
      <formula>(S40+T40)&gt;C40</formula>
    </cfRule>
  </conditionalFormatting>
  <conditionalFormatting sqref="S43">
    <cfRule type="expression" dxfId="77" priority="157" stopIfTrue="1">
      <formula>(S43+T43)&gt;C43</formula>
    </cfRule>
  </conditionalFormatting>
  <conditionalFormatting sqref="S45:S53">
    <cfRule type="expression" dxfId="76" priority="142" stopIfTrue="1">
      <formula>(S45+T45)&gt;C45</formula>
    </cfRule>
  </conditionalFormatting>
  <conditionalFormatting sqref="S65:S69">
    <cfRule type="expression" dxfId="75" priority="131" stopIfTrue="1">
      <formula>(S65+T65)&gt;C65</formula>
    </cfRule>
  </conditionalFormatting>
  <conditionalFormatting sqref="S79:S80">
    <cfRule type="expression" dxfId="74" priority="127" stopIfTrue="1">
      <formula>(S79+T79)&gt;C79</formula>
    </cfRule>
  </conditionalFormatting>
  <conditionalFormatting sqref="S84:S87">
    <cfRule type="expression" dxfId="73" priority="121" stopIfTrue="1">
      <formula>(S84+T84)&gt;C84</formula>
    </cfRule>
  </conditionalFormatting>
  <conditionalFormatting sqref="S89:S95">
    <cfRule type="expression" dxfId="72" priority="110" stopIfTrue="1">
      <formula>(S89+T89)&gt;C89</formula>
    </cfRule>
  </conditionalFormatting>
  <conditionalFormatting sqref="S99:S103">
    <cfRule type="expression" dxfId="71" priority="93" stopIfTrue="1">
      <formula>(S99+T99)&gt;C99</formula>
    </cfRule>
  </conditionalFormatting>
  <conditionalFormatting sqref="T9">
    <cfRule type="expression" dxfId="70" priority="254" stopIfTrue="1">
      <formula>T9&gt;C9</formula>
    </cfRule>
  </conditionalFormatting>
  <conditionalFormatting sqref="T10">
    <cfRule type="expression" dxfId="69" priority="83" stopIfTrue="1">
      <formula>(S10+T10)&gt;C10</formula>
    </cfRule>
  </conditionalFormatting>
  <conditionalFormatting sqref="T13:T14">
    <cfRule type="expression" dxfId="68" priority="80" stopIfTrue="1">
      <formula>(S13+T13)&gt;C13</formula>
    </cfRule>
  </conditionalFormatting>
  <conditionalFormatting sqref="T17:T25">
    <cfRule type="expression" dxfId="67" priority="56" stopIfTrue="1">
      <formula>(S17+T17)&gt;C17</formula>
    </cfRule>
  </conditionalFormatting>
  <conditionalFormatting sqref="T27">
    <cfRule type="expression" dxfId="66" priority="54" stopIfTrue="1">
      <formula>(S27+T27)&gt;C27</formula>
    </cfRule>
  </conditionalFormatting>
  <conditionalFormatting sqref="T29:T37">
    <cfRule type="expression" dxfId="65" priority="45" stopIfTrue="1">
      <formula>(S29+T29)&gt;C29</formula>
    </cfRule>
  </conditionalFormatting>
  <conditionalFormatting sqref="T40:T41">
    <cfRule type="expression" dxfId="64" priority="43" stopIfTrue="1">
      <formula>(S40+T40)&gt;C40</formula>
    </cfRule>
  </conditionalFormatting>
  <conditionalFormatting sqref="T43">
    <cfRule type="expression" dxfId="63" priority="42" stopIfTrue="1">
      <formula>(S43+T43)&gt;C43</formula>
    </cfRule>
  </conditionalFormatting>
  <conditionalFormatting sqref="T45:T53">
    <cfRule type="expression" dxfId="62" priority="32" stopIfTrue="1">
      <formula>(S45+T45)&gt;C45</formula>
    </cfRule>
  </conditionalFormatting>
  <conditionalFormatting sqref="T65:T69">
    <cfRule type="expression" dxfId="61" priority="30" stopIfTrue="1">
      <formula>(S65+T65)&gt;C65</formula>
    </cfRule>
  </conditionalFormatting>
  <conditionalFormatting sqref="T79:T80">
    <cfRule type="expression" dxfId="60" priority="28" stopIfTrue="1">
      <formula>(S79+T79)&gt;C79</formula>
    </cfRule>
  </conditionalFormatting>
  <conditionalFormatting sqref="T84:T87">
    <cfRule type="expression" dxfId="59" priority="24" stopIfTrue="1">
      <formula>(S84+T84)&gt;C84</formula>
    </cfRule>
  </conditionalFormatting>
  <conditionalFormatting sqref="T89:T95">
    <cfRule type="expression" dxfId="58" priority="17" stopIfTrue="1">
      <formula>(S89+T89)&gt;C89</formula>
    </cfRule>
  </conditionalFormatting>
  <conditionalFormatting sqref="T99:T103">
    <cfRule type="expression" dxfId="57"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261" zoomScaleNormal="100" workbookViewId="0">
      <selection activeCell="AA937" sqref="AA937:AF937"/>
    </sheetView>
  </sheetViews>
  <sheetFormatPr defaultColWidth="0" defaultRowHeight="0" customHeight="1" zeroHeight="1"/>
  <cols>
    <col min="1" max="36" width="2.54296875" customWidth="1"/>
    <col min="37" max="37" width="2.86328125" customWidth="1"/>
    <col min="38" max="45" width="2.54296875" customWidth="1"/>
    <col min="46" max="46" width="3.7265625" customWidth="1"/>
    <col min="47" max="59" width="3.7265625" hidden="1"/>
    <col min="60" max="60" width="5.26953125" hidden="1"/>
    <col min="61" max="61" width="5" hidden="1"/>
    <col min="62" max="72" width="3.7265625" hidden="1"/>
    <col min="73" max="74" width="7.26953125" hidden="1"/>
    <col min="16384" max="16384" width="3.726562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503" t="s">
        <v>100</v>
      </c>
      <c r="B8" s="1503"/>
      <c r="C8" s="1503"/>
      <c r="D8" s="1503"/>
      <c r="E8" s="1503"/>
      <c r="F8" s="1503"/>
      <c r="G8" s="1503"/>
      <c r="H8" s="1503"/>
      <c r="I8" s="1503"/>
      <c r="J8" s="1503"/>
      <c r="K8" s="1503"/>
      <c r="L8" s="1503"/>
      <c r="M8" s="1503"/>
      <c r="N8" s="1503"/>
      <c r="O8" s="1503"/>
      <c r="P8" s="1503"/>
      <c r="Q8" s="1503"/>
      <c r="R8" s="1503"/>
      <c r="S8" s="1503"/>
      <c r="T8" s="1503"/>
      <c r="U8" s="1503"/>
      <c r="V8" s="1503"/>
      <c r="W8" s="1503"/>
      <c r="X8" s="1503"/>
      <c r="Y8" s="1503"/>
      <c r="Z8" s="1503"/>
      <c r="AA8" s="1503"/>
      <c r="AB8" s="1503"/>
      <c r="AC8" s="1503"/>
      <c r="AD8" s="1503"/>
      <c r="AE8" s="1503"/>
      <c r="AF8" s="1503"/>
      <c r="AG8" s="1503"/>
      <c r="AH8" s="1503"/>
      <c r="AI8" s="1503"/>
      <c r="AJ8" s="1503"/>
      <c r="AK8" s="1503"/>
      <c r="AL8" s="1503"/>
      <c r="AM8" s="1503"/>
      <c r="AN8" s="1503"/>
      <c r="AO8" s="1503"/>
      <c r="AP8" s="1503"/>
      <c r="AQ8" s="1503"/>
      <c r="AR8" s="1503"/>
      <c r="AS8" s="1503"/>
      <c r="AT8" s="1503"/>
      <c r="AU8" s="933"/>
      <c r="AV8" s="933"/>
      <c r="AW8" s="933"/>
      <c r="AX8" s="933"/>
      <c r="AY8" s="933"/>
    </row>
    <row r="9" spans="1:51" ht="12.95" customHeight="1">
      <c r="A9" s="1311" t="s">
        <v>2394</v>
      </c>
      <c r="B9" s="1311"/>
      <c r="C9" s="1311"/>
      <c r="D9" s="1311"/>
      <c r="E9" s="1311"/>
      <c r="F9" s="1311"/>
      <c r="G9" s="1311"/>
      <c r="H9" s="1311"/>
      <c r="I9" s="1311"/>
      <c r="J9" s="1311"/>
      <c r="K9" s="1311"/>
      <c r="L9" s="1311"/>
      <c r="M9" s="1311"/>
      <c r="N9" s="1311"/>
      <c r="O9" s="1311"/>
      <c r="P9" s="1311"/>
      <c r="Q9" s="1311"/>
      <c r="R9" s="1311"/>
      <c r="S9" s="1311"/>
      <c r="T9" s="1311"/>
      <c r="U9" s="1311"/>
      <c r="V9" s="1311"/>
      <c r="W9" s="1311"/>
      <c r="X9" s="1311"/>
      <c r="Y9" s="1311"/>
      <c r="Z9" s="1311"/>
      <c r="AA9" s="1311"/>
      <c r="AB9" s="1311"/>
      <c r="AC9" s="1311"/>
      <c r="AD9" s="1311"/>
      <c r="AE9" s="1311"/>
      <c r="AF9" s="1311"/>
      <c r="AG9" s="1311"/>
      <c r="AH9" s="1311"/>
      <c r="AI9" s="1311"/>
      <c r="AJ9" s="1311"/>
      <c r="AK9" s="1311"/>
      <c r="AL9" s="1311"/>
      <c r="AM9" s="1311"/>
      <c r="AN9" s="1311"/>
      <c r="AO9" s="1311"/>
      <c r="AP9" s="1311"/>
      <c r="AQ9" s="1311"/>
      <c r="AR9" s="1311"/>
      <c r="AS9" s="1311"/>
      <c r="AT9" s="1311"/>
      <c r="AU9" s="13"/>
      <c r="AV9" s="13"/>
      <c r="AW9" s="13"/>
      <c r="AX9" s="13"/>
      <c r="AY9" s="13"/>
    </row>
    <row r="10" spans="1:51" ht="12.95" customHeight="1">
      <c r="A10" s="1311" t="s">
        <v>2585</v>
      </c>
      <c r="B10" s="1311"/>
      <c r="C10" s="1311"/>
      <c r="D10" s="1311"/>
      <c r="E10" s="1311"/>
      <c r="F10" s="1311"/>
      <c r="G10" s="1311"/>
      <c r="H10" s="1311"/>
      <c r="I10" s="1311"/>
      <c r="J10" s="1311"/>
      <c r="K10" s="1311"/>
      <c r="L10" s="1311"/>
      <c r="M10" s="1311"/>
      <c r="N10" s="1311"/>
      <c r="O10" s="1311"/>
      <c r="P10" s="1311"/>
      <c r="Q10" s="1311"/>
      <c r="R10" s="1311"/>
      <c r="S10" s="1311"/>
      <c r="T10" s="1311"/>
      <c r="U10" s="1311"/>
      <c r="V10" s="1311"/>
      <c r="W10" s="1311"/>
      <c r="X10" s="1311"/>
      <c r="Y10" s="1311"/>
      <c r="Z10" s="1311"/>
      <c r="AA10" s="1311"/>
      <c r="AB10" s="1311"/>
      <c r="AC10" s="1311"/>
      <c r="AD10" s="1311"/>
      <c r="AE10" s="1311"/>
      <c r="AF10" s="1311"/>
      <c r="AG10" s="1311"/>
      <c r="AH10" s="1311"/>
      <c r="AI10" s="1311"/>
      <c r="AJ10" s="1311"/>
      <c r="AK10" s="1311"/>
      <c r="AL10" s="1311"/>
      <c r="AM10" s="1311"/>
      <c r="AN10" s="1311"/>
      <c r="AO10" s="1311"/>
      <c r="AP10" s="1311"/>
      <c r="AQ10" s="1311"/>
      <c r="AR10" s="1311"/>
      <c r="AS10" s="1311"/>
      <c r="AT10" s="1311"/>
      <c r="AU10" s="13"/>
      <c r="AV10" s="13"/>
      <c r="AW10" s="13"/>
      <c r="AX10" s="13"/>
      <c r="AY10" s="13"/>
    </row>
    <row r="11" spans="1:51" ht="12.95" customHeight="1">
      <c r="A11" s="1311" t="s">
        <v>1772</v>
      </c>
      <c r="B11" s="1311"/>
      <c r="C11" s="1311"/>
      <c r="D11" s="1311"/>
      <c r="E11" s="1311"/>
      <c r="F11" s="1311"/>
      <c r="G11" s="1311"/>
      <c r="H11" s="1311"/>
      <c r="I11" s="1311"/>
      <c r="J11" s="1311"/>
      <c r="K11" s="1311"/>
      <c r="L11" s="1311"/>
      <c r="M11" s="1311"/>
      <c r="N11" s="1311"/>
      <c r="O11" s="1311"/>
      <c r="P11" s="1311"/>
      <c r="Q11" s="1311"/>
      <c r="R11" s="1311"/>
      <c r="S11" s="1311"/>
      <c r="T11" s="1311"/>
      <c r="U11" s="1311"/>
      <c r="V11" s="1311"/>
      <c r="W11" s="1311"/>
      <c r="X11" s="1311"/>
      <c r="Y11" s="1311"/>
      <c r="Z11" s="1311"/>
      <c r="AA11" s="1311"/>
      <c r="AB11" s="1311"/>
      <c r="AC11" s="1311"/>
      <c r="AD11" s="1311"/>
      <c r="AE11" s="1311"/>
      <c r="AF11" s="1311"/>
      <c r="AG11" s="1311"/>
      <c r="AH11" s="1311"/>
      <c r="AI11" s="1311"/>
      <c r="AJ11" s="1311"/>
      <c r="AK11" s="1311"/>
      <c r="AL11" s="1311"/>
      <c r="AM11" s="1311"/>
      <c r="AN11" s="1311"/>
      <c r="AO11" s="1311"/>
      <c r="AP11" s="1311"/>
      <c r="AQ11" s="1311"/>
      <c r="AR11" s="1311"/>
      <c r="AS11" s="1311"/>
      <c r="AT11" s="1311"/>
      <c r="AU11" s="13"/>
      <c r="AV11" s="13"/>
      <c r="AW11" s="13"/>
      <c r="AX11" s="13"/>
      <c r="AY11" s="13"/>
    </row>
    <row r="12" spans="1:51" ht="12.95" customHeight="1">
      <c r="A12" s="1504" t="s">
        <v>2638</v>
      </c>
      <c r="B12" s="1504"/>
      <c r="C12" s="1504"/>
      <c r="D12" s="1504"/>
      <c r="E12" s="1504"/>
      <c r="F12" s="1504"/>
      <c r="G12" s="1504"/>
      <c r="H12" s="1504"/>
      <c r="I12" s="1504"/>
      <c r="J12" s="1504"/>
      <c r="K12" s="1504"/>
      <c r="L12" s="1504"/>
      <c r="M12" s="1504"/>
      <c r="N12" s="1504"/>
      <c r="O12" s="1504"/>
      <c r="P12" s="1504"/>
      <c r="Q12" s="1504"/>
      <c r="R12" s="1504"/>
      <c r="S12" s="1504"/>
      <c r="T12" s="1504"/>
      <c r="U12" s="1504"/>
      <c r="V12" s="1504"/>
      <c r="W12" s="1504"/>
      <c r="X12" s="1504"/>
      <c r="Y12" s="1504"/>
      <c r="Z12" s="1504"/>
      <c r="AA12" s="1504"/>
      <c r="AB12" s="1504"/>
      <c r="AC12" s="1504"/>
      <c r="AD12" s="1504"/>
      <c r="AE12" s="1504"/>
      <c r="AF12" s="1504"/>
      <c r="AG12" s="1504"/>
      <c r="AH12" s="1504"/>
      <c r="AI12" s="1504"/>
      <c r="AJ12" s="1504"/>
      <c r="AK12" s="1504"/>
      <c r="AL12" s="1504"/>
      <c r="AM12" s="1504"/>
      <c r="AN12" s="1504"/>
      <c r="AO12" s="1504"/>
      <c r="AP12" s="1504"/>
      <c r="AQ12" s="1504"/>
      <c r="AR12" s="1504"/>
      <c r="AS12" s="1504"/>
      <c r="AT12" s="1504"/>
      <c r="AU12" s="6"/>
      <c r="AV12" s="6"/>
      <c r="AW12" s="6"/>
      <c r="AX12" s="6"/>
      <c r="AY12" s="6"/>
    </row>
    <row r="13" spans="1:51" ht="12.95" customHeight="1">
      <c r="A13" s="1273" t="s">
        <v>2395</v>
      </c>
      <c r="B13" s="1273"/>
      <c r="C13" s="1273"/>
      <c r="D13" s="1273"/>
      <c r="E13" s="1273"/>
      <c r="F13" s="1273"/>
      <c r="G13" s="1273"/>
      <c r="H13" s="1273"/>
      <c r="I13" s="1273"/>
      <c r="J13" s="1273"/>
      <c r="K13" s="1273"/>
      <c r="L13" s="1273"/>
      <c r="M13" s="1273"/>
      <c r="N13" s="1273"/>
      <c r="O13" s="1273"/>
      <c r="P13" s="1273"/>
      <c r="Q13" s="1273"/>
      <c r="R13" s="1273"/>
      <c r="S13" s="1273"/>
      <c r="T13" s="1273"/>
      <c r="U13" s="1273"/>
      <c r="V13" s="1273"/>
      <c r="W13" s="1273"/>
      <c r="X13" s="1273"/>
      <c r="Y13" s="1273"/>
      <c r="Z13" s="1273"/>
      <c r="AA13" s="1273"/>
      <c r="AB13" s="1273"/>
      <c r="AC13" s="1273"/>
      <c r="AD13" s="1273"/>
      <c r="AE13" s="1273"/>
      <c r="AF13" s="1273"/>
      <c r="AG13" s="1273"/>
      <c r="AH13" s="1273"/>
      <c r="AI13" s="1273"/>
      <c r="AJ13" s="1273"/>
      <c r="AK13" s="1273"/>
      <c r="AL13" s="1273"/>
      <c r="AM13" s="1273"/>
      <c r="AN13" s="1273"/>
      <c r="AO13" s="1273"/>
      <c r="AP13" s="1273"/>
      <c r="AQ13" s="1273"/>
      <c r="AR13" s="1273"/>
      <c r="AS13" s="1273"/>
      <c r="AT13" s="1273"/>
      <c r="AU13" s="934"/>
      <c r="AV13" s="934"/>
      <c r="AW13" s="934"/>
      <c r="AX13" s="934"/>
      <c r="AY13" s="934"/>
    </row>
    <row r="14" spans="1:51" ht="12.95" customHeight="1">
      <c r="A14" s="1273"/>
      <c r="B14" s="1273"/>
      <c r="C14" s="1273"/>
      <c r="D14" s="1273"/>
      <c r="E14" s="1273"/>
      <c r="F14" s="1273"/>
      <c r="G14" s="1273"/>
      <c r="H14" s="1273"/>
      <c r="I14" s="1273"/>
      <c r="J14" s="1273"/>
      <c r="K14" s="1273"/>
      <c r="L14" s="1273"/>
      <c r="M14" s="1273"/>
      <c r="N14" s="1273"/>
      <c r="O14" s="1273"/>
      <c r="P14" s="1273"/>
      <c r="Q14" s="1273"/>
      <c r="R14" s="1273"/>
      <c r="S14" s="1273"/>
      <c r="T14" s="1273"/>
      <c r="U14" s="1273"/>
      <c r="V14" s="1273"/>
      <c r="W14" s="1273"/>
      <c r="X14" s="1273"/>
      <c r="Y14" s="1273"/>
      <c r="Z14" s="1273"/>
      <c r="AA14" s="1273"/>
      <c r="AB14" s="1273"/>
      <c r="AC14" s="1273"/>
      <c r="AD14" s="1273"/>
      <c r="AE14" s="1273"/>
      <c r="AF14" s="1273"/>
      <c r="AG14" s="1273"/>
      <c r="AH14" s="1273"/>
      <c r="AI14" s="1273"/>
      <c r="AJ14" s="1273"/>
      <c r="AK14" s="1273"/>
      <c r="AL14" s="1273"/>
      <c r="AM14" s="1273"/>
      <c r="AN14" s="1273"/>
      <c r="AO14" s="1273"/>
      <c r="AP14" s="1273"/>
      <c r="AQ14" s="1273"/>
      <c r="AR14" s="1273"/>
      <c r="AS14" s="1273"/>
      <c r="AT14" s="1273"/>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2396</v>
      </c>
      <c r="C16" s="4"/>
      <c r="D16" s="4"/>
      <c r="E16" s="4"/>
      <c r="F16" s="4"/>
      <c r="G16" s="4"/>
      <c r="H16" s="1510" t="s">
        <v>2639</v>
      </c>
      <c r="I16" s="1510"/>
      <c r="J16" s="1510"/>
      <c r="K16" s="1510"/>
      <c r="L16" s="1510"/>
      <c r="M16" s="1510"/>
      <c r="N16" s="1510"/>
      <c r="O16" s="1510"/>
      <c r="P16" s="1510"/>
      <c r="Q16" s="1510"/>
      <c r="R16" s="1510"/>
      <c r="S16" s="1510"/>
      <c r="T16" s="1510"/>
      <c r="U16" s="1510"/>
      <c r="V16" s="1510"/>
      <c r="W16" s="1510"/>
      <c r="X16" s="1510"/>
      <c r="Y16" s="1510"/>
      <c r="Z16" s="1510"/>
      <c r="AA16" s="1510"/>
      <c r="AB16" s="1510"/>
      <c r="AC16" s="1510"/>
      <c r="AD16" s="1510"/>
      <c r="AE16" s="1510"/>
      <c r="AF16" s="1510"/>
      <c r="AG16" s="1510"/>
      <c r="AH16" s="1510"/>
      <c r="AI16" s="1510"/>
      <c r="AJ16" s="1510"/>
    </row>
    <row r="17" spans="1:52" ht="12.95" customHeight="1"/>
    <row r="18" spans="1:52" ht="12.95" customHeight="1">
      <c r="A18" s="57" t="s">
        <v>101</v>
      </c>
      <c r="C18" s="4"/>
      <c r="D18" s="4"/>
      <c r="E18" s="4"/>
      <c r="F18" s="4"/>
      <c r="G18" s="4"/>
      <c r="H18" s="1509" t="s">
        <v>2640</v>
      </c>
      <c r="I18" s="1497"/>
      <c r="J18" s="1497"/>
      <c r="K18" s="1497"/>
      <c r="L18" s="1497"/>
      <c r="M18" s="1497"/>
      <c r="N18" s="1497"/>
      <c r="O18" s="1497"/>
      <c r="P18" s="1497"/>
      <c r="Q18" s="1497"/>
      <c r="R18" s="1497"/>
      <c r="S18" s="1497"/>
      <c r="T18" s="1497"/>
      <c r="U18" s="1497"/>
      <c r="V18" s="1497"/>
      <c r="W18" s="1497"/>
      <c r="X18" s="1497"/>
      <c r="Y18" s="1497"/>
      <c r="Z18" s="1497"/>
      <c r="AA18" s="1497"/>
      <c r="AB18" s="1497"/>
      <c r="AC18" s="1497"/>
      <c r="AD18" s="1497"/>
      <c r="AE18" s="1497"/>
      <c r="AF18" s="1497"/>
      <c r="AG18" s="1497"/>
      <c r="AH18" s="1497"/>
      <c r="AI18" s="1497"/>
      <c r="AJ18" s="1497"/>
    </row>
    <row r="19" spans="1:52" ht="12.95" customHeight="1"/>
    <row r="20" spans="1:52" ht="12.95" customHeight="1">
      <c r="A20" s="1505" t="s">
        <v>885</v>
      </c>
      <c r="B20" s="1505"/>
      <c r="C20" s="1505"/>
      <c r="D20" s="1505"/>
      <c r="E20" s="1505"/>
      <c r="F20" s="1505"/>
      <c r="G20" s="1505"/>
      <c r="H20" s="1505"/>
      <c r="I20" s="1505"/>
      <c r="J20" s="1505"/>
      <c r="K20" s="1505"/>
      <c r="L20" s="1505"/>
      <c r="M20" s="1505"/>
      <c r="N20" s="1505"/>
      <c r="O20" s="1505"/>
      <c r="P20" s="1505"/>
      <c r="Q20" s="1505"/>
      <c r="R20" s="1505"/>
      <c r="S20" s="1505"/>
      <c r="T20" s="1505"/>
      <c r="U20" s="1505"/>
      <c r="V20" s="1505"/>
      <c r="W20" s="1505"/>
      <c r="X20" s="1505"/>
      <c r="Y20" s="1505"/>
      <c r="Z20" s="1505"/>
      <c r="AA20" s="1505"/>
      <c r="AB20" s="1505"/>
      <c r="AC20" s="1505"/>
      <c r="AD20" s="1505"/>
      <c r="AE20" s="1505"/>
      <c r="AF20" s="1505"/>
      <c r="AG20" s="1505"/>
      <c r="AH20" s="1505"/>
      <c r="AI20" s="1505"/>
      <c r="AJ20" s="1505"/>
      <c r="AK20" s="1505"/>
      <c r="AL20" s="1505"/>
      <c r="AM20" s="1505"/>
      <c r="AN20" s="1505"/>
      <c r="AO20" s="1505"/>
      <c r="AP20" s="1505"/>
      <c r="AQ20" s="1505"/>
      <c r="AR20" s="1505"/>
      <c r="AS20" s="1505"/>
      <c r="AT20" s="1505"/>
      <c r="AU20" s="935"/>
      <c r="AV20" s="935"/>
      <c r="AW20" s="935"/>
      <c r="AX20" s="935"/>
      <c r="AY20" s="935"/>
    </row>
    <row r="21" spans="1:52" ht="12.95" customHeight="1">
      <c r="A21" s="1824" t="s">
        <v>1034</v>
      </c>
      <c r="B21" s="1824"/>
      <c r="C21" s="1824"/>
      <c r="D21" s="1824"/>
      <c r="E21" s="1824"/>
      <c r="F21" s="1824"/>
      <c r="G21" s="1824"/>
      <c r="H21" s="1824"/>
      <c r="I21" s="1824"/>
      <c r="J21" s="1824"/>
      <c r="K21" s="1824"/>
      <c r="L21" s="1824"/>
      <c r="M21" s="1824"/>
      <c r="N21" s="1824"/>
      <c r="O21" s="1824"/>
      <c r="P21" s="1824"/>
      <c r="Q21" s="1824"/>
      <c r="R21" s="1824"/>
      <c r="S21" s="1824"/>
      <c r="T21" s="1824"/>
      <c r="U21" s="1824"/>
      <c r="V21" s="1824"/>
      <c r="W21" s="1824"/>
      <c r="X21" s="1824"/>
      <c r="Y21" s="1824"/>
      <c r="Z21" s="1824"/>
      <c r="AA21" s="1824"/>
      <c r="AB21" s="1824"/>
      <c r="AC21" s="1824"/>
      <c r="AD21" s="1824"/>
      <c r="AE21" s="1824"/>
      <c r="AF21" s="1824"/>
      <c r="AG21" s="1824"/>
      <c r="AH21" s="1824"/>
      <c r="AI21" s="1824"/>
      <c r="AJ21" s="1824"/>
      <c r="AK21" s="1824"/>
      <c r="AL21" s="1824"/>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37" t="s">
        <v>2510</v>
      </c>
      <c r="B23" s="1337"/>
      <c r="C23" s="1337"/>
      <c r="D23" s="1337"/>
      <c r="E23" s="1337"/>
      <c r="F23" s="1337"/>
      <c r="G23" s="1337"/>
      <c r="H23" s="1337"/>
      <c r="I23" s="1337"/>
      <c r="J23" s="1337"/>
      <c r="K23" s="1337"/>
      <c r="L23" s="1337"/>
      <c r="M23" s="1337"/>
      <c r="N23" s="1337"/>
      <c r="O23" s="1337"/>
      <c r="P23" s="1337"/>
      <c r="Q23" s="1337"/>
      <c r="R23" s="1337"/>
      <c r="S23" s="1337"/>
      <c r="T23" s="1337"/>
      <c r="U23" s="1337"/>
      <c r="V23" s="1337"/>
      <c r="W23" s="1337"/>
      <c r="X23" s="1337"/>
      <c r="Y23" s="1337"/>
      <c r="Z23" s="1337"/>
      <c r="AA23" s="1337"/>
      <c r="AB23" s="1337"/>
      <c r="AC23" s="1337"/>
      <c r="AD23" s="1337"/>
      <c r="AE23" s="1337"/>
      <c r="AF23" s="1337"/>
      <c r="AG23" s="1337"/>
      <c r="AH23" s="1337"/>
      <c r="AI23" s="1337"/>
      <c r="AJ23" s="1337"/>
      <c r="AK23" s="1337"/>
      <c r="AL23" s="1337"/>
      <c r="AM23" s="1337"/>
      <c r="AN23" s="1337"/>
      <c r="AO23" s="1337"/>
      <c r="AP23" s="1337"/>
      <c r="AQ23" s="1337"/>
      <c r="AR23" s="1337"/>
      <c r="AS23" s="1337"/>
      <c r="AT23" s="1337"/>
      <c r="AU23" s="18"/>
      <c r="AV23" s="18"/>
      <c r="AW23" s="18"/>
      <c r="AX23" s="18"/>
      <c r="AY23" s="18"/>
      <c r="AZ23" s="18"/>
    </row>
    <row r="24" spans="1:52" ht="12.95" customHeight="1">
      <c r="A24" s="1337"/>
      <c r="B24" s="1337"/>
      <c r="C24" s="1337"/>
      <c r="D24" s="1337"/>
      <c r="E24" s="1337"/>
      <c r="F24" s="1337"/>
      <c r="G24" s="1337"/>
      <c r="H24" s="1337"/>
      <c r="I24" s="1337"/>
      <c r="J24" s="1337"/>
      <c r="K24" s="1337"/>
      <c r="L24" s="1337"/>
      <c r="M24" s="1337"/>
      <c r="N24" s="1337"/>
      <c r="O24" s="1337"/>
      <c r="P24" s="1337"/>
      <c r="Q24" s="1337"/>
      <c r="R24" s="1337"/>
      <c r="S24" s="1337"/>
      <c r="T24" s="1337"/>
      <c r="U24" s="1337"/>
      <c r="V24" s="1337"/>
      <c r="W24" s="1337"/>
      <c r="X24" s="1337"/>
      <c r="Y24" s="1337"/>
      <c r="Z24" s="1337"/>
      <c r="AA24" s="1337"/>
      <c r="AB24" s="1337"/>
      <c r="AC24" s="1337"/>
      <c r="AD24" s="1337"/>
      <c r="AE24" s="1337"/>
      <c r="AF24" s="1337"/>
      <c r="AG24" s="1337"/>
      <c r="AH24" s="1337"/>
      <c r="AI24" s="1337"/>
      <c r="AJ24" s="1337"/>
      <c r="AK24" s="1337"/>
      <c r="AL24" s="1337"/>
      <c r="AM24" s="1337"/>
      <c r="AN24" s="1337"/>
      <c r="AO24" s="1337"/>
      <c r="AP24" s="1337"/>
      <c r="AQ24" s="1337"/>
      <c r="AR24" s="1337"/>
      <c r="AS24" s="1337"/>
      <c r="AT24" s="1337"/>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823">
        <f>'Basis &amp; Credits'!AB56</f>
        <v>1428404</v>
      </c>
      <c r="N26" s="1823"/>
      <c r="O26" s="1823"/>
      <c r="P26" s="1823"/>
      <c r="Q26" s="1823"/>
      <c r="R26" s="4" t="s">
        <v>769</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555">
        <f>'Basis &amp; Credits'!AB77</f>
        <v>10710551</v>
      </c>
      <c r="N27" s="1555"/>
      <c r="O27" s="1555"/>
      <c r="P27" s="1555"/>
      <c r="Q27" s="1555"/>
      <c r="R27" s="3" t="s">
        <v>1378</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506" t="s">
        <v>2511</v>
      </c>
      <c r="B29" s="1506"/>
      <c r="C29" s="1506"/>
      <c r="D29" s="1506"/>
      <c r="E29" s="1506"/>
      <c r="F29" s="1506"/>
      <c r="G29" s="1506"/>
      <c r="H29" s="1506"/>
      <c r="I29" s="1506"/>
      <c r="J29" s="1506"/>
      <c r="K29" s="1506"/>
      <c r="L29" s="1506"/>
      <c r="M29" s="1506"/>
      <c r="N29" s="1506"/>
      <c r="O29" s="1506"/>
      <c r="P29" s="1506"/>
      <c r="Q29" s="1506"/>
      <c r="R29" s="1506"/>
      <c r="S29" s="1506"/>
      <c r="T29" s="1506"/>
      <c r="U29" s="1506"/>
      <c r="V29" s="1506"/>
      <c r="W29" s="1506"/>
      <c r="X29" s="1506"/>
      <c r="Y29" s="1506"/>
      <c r="Z29" s="1506"/>
      <c r="AA29" s="1506"/>
      <c r="AB29" s="1506"/>
      <c r="AC29" s="1506"/>
      <c r="AD29" s="1506"/>
      <c r="AE29" s="1506"/>
      <c r="AF29" s="1506"/>
      <c r="AG29" s="1506"/>
      <c r="AH29" s="1506"/>
      <c r="AI29" s="1506"/>
      <c r="AJ29" s="1506"/>
      <c r="AK29" s="1506"/>
      <c r="AL29" s="1506"/>
      <c r="AM29" s="1506"/>
      <c r="AN29" s="1506"/>
      <c r="AO29" s="1506"/>
      <c r="AP29" s="1506"/>
      <c r="AQ29" s="1506"/>
      <c r="AR29" s="1506"/>
      <c r="AS29" s="1506"/>
      <c r="AT29" s="1506"/>
    </row>
    <row r="30" spans="1:52" ht="12.95" customHeight="1">
      <c r="A30" s="1506"/>
      <c r="B30" s="1506"/>
      <c r="C30" s="1506"/>
      <c r="D30" s="1506"/>
      <c r="E30" s="1506"/>
      <c r="F30" s="1506"/>
      <c r="G30" s="1506"/>
      <c r="H30" s="1506"/>
      <c r="I30" s="1506"/>
      <c r="J30" s="1506"/>
      <c r="K30" s="1506"/>
      <c r="L30" s="1506"/>
      <c r="M30" s="1506"/>
      <c r="N30" s="1506"/>
      <c r="O30" s="1506"/>
      <c r="P30" s="1506"/>
      <c r="Q30" s="1506"/>
      <c r="R30" s="1506"/>
      <c r="S30" s="1506"/>
      <c r="T30" s="1506"/>
      <c r="U30" s="1506"/>
      <c r="V30" s="1506"/>
      <c r="W30" s="1506"/>
      <c r="X30" s="1506"/>
      <c r="Y30" s="1506"/>
      <c r="Z30" s="1506"/>
      <c r="AA30" s="1506"/>
      <c r="AB30" s="1506"/>
      <c r="AC30" s="1506"/>
      <c r="AD30" s="1506"/>
      <c r="AE30" s="1506"/>
      <c r="AF30" s="1506"/>
      <c r="AG30" s="1506"/>
      <c r="AH30" s="1506"/>
      <c r="AI30" s="1506"/>
      <c r="AJ30" s="1506"/>
      <c r="AK30" s="1506"/>
      <c r="AL30" s="1506"/>
      <c r="AM30" s="1506"/>
      <c r="AN30" s="1506"/>
      <c r="AO30" s="1506"/>
      <c r="AP30" s="1506"/>
      <c r="AQ30" s="1506"/>
      <c r="AR30" s="1506"/>
      <c r="AS30" s="1506"/>
      <c r="AT30" s="1506"/>
      <c r="AZ30" s="20"/>
    </row>
    <row r="31" spans="1:52" ht="12.95" customHeight="1">
      <c r="A31" s="1506"/>
      <c r="B31" s="1506"/>
      <c r="C31" s="1506"/>
      <c r="D31" s="1506"/>
      <c r="E31" s="1506"/>
      <c r="F31" s="1506"/>
      <c r="G31" s="1506"/>
      <c r="H31" s="1506"/>
      <c r="I31" s="1506"/>
      <c r="J31" s="1506"/>
      <c r="K31" s="1506"/>
      <c r="L31" s="1506"/>
      <c r="M31" s="1506"/>
      <c r="N31" s="1506"/>
      <c r="O31" s="1506"/>
      <c r="P31" s="1506"/>
      <c r="Q31" s="1506"/>
      <c r="R31" s="1506"/>
      <c r="S31" s="1506"/>
      <c r="T31" s="1506"/>
      <c r="U31" s="1506"/>
      <c r="V31" s="1506"/>
      <c r="W31" s="1506"/>
      <c r="X31" s="1506"/>
      <c r="Y31" s="1506"/>
      <c r="Z31" s="1506"/>
      <c r="AA31" s="1506"/>
      <c r="AB31" s="1506"/>
      <c r="AC31" s="1506"/>
      <c r="AD31" s="1506"/>
      <c r="AE31" s="1506"/>
      <c r="AF31" s="1506"/>
      <c r="AG31" s="1506"/>
      <c r="AH31" s="1506"/>
      <c r="AI31" s="1506"/>
      <c r="AJ31" s="1506"/>
      <c r="AK31" s="1506"/>
      <c r="AL31" s="1506"/>
      <c r="AM31" s="1506"/>
      <c r="AN31" s="1506"/>
      <c r="AO31" s="1506"/>
      <c r="AP31" s="1506"/>
      <c r="AQ31" s="1506"/>
      <c r="AR31" s="1506"/>
      <c r="AS31" s="1506"/>
      <c r="AT31" s="1506"/>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1389</v>
      </c>
      <c r="C33" s="553"/>
      <c r="D33" s="553"/>
      <c r="E33" s="553"/>
      <c r="F33" s="553"/>
      <c r="G33" s="553"/>
      <c r="H33" s="553"/>
      <c r="I33" s="553"/>
      <c r="J33" s="553"/>
      <c r="K33" s="553"/>
      <c r="L33" s="553"/>
      <c r="M33" s="553"/>
      <c r="N33" s="553"/>
      <c r="O33" s="1484" t="s">
        <v>554</v>
      </c>
      <c r="P33" s="1484"/>
      <c r="Q33" s="1507" t="s">
        <v>2512</v>
      </c>
      <c r="R33" s="1507"/>
      <c r="S33" s="1507"/>
      <c r="T33" s="1507"/>
      <c r="U33" s="1507"/>
      <c r="V33" s="1507"/>
      <c r="W33" s="1507"/>
      <c r="X33" s="1507"/>
      <c r="Y33" s="1507"/>
      <c r="Z33" s="1507"/>
      <c r="AA33" s="1507"/>
      <c r="AB33" s="1507"/>
      <c r="AC33" s="1507"/>
      <c r="AD33" s="1507"/>
      <c r="AE33" s="1507"/>
      <c r="AF33" s="1507"/>
      <c r="AG33" s="1507"/>
      <c r="AH33" s="1507"/>
      <c r="AI33" s="1507"/>
      <c r="AJ33" s="1507"/>
      <c r="AK33" s="1507"/>
      <c r="AL33" s="1507"/>
      <c r="AM33" s="1507"/>
      <c r="AN33" s="1507"/>
      <c r="AO33" s="1507"/>
      <c r="AP33" s="1507"/>
      <c r="AQ33" s="1507"/>
      <c r="AR33" s="1507"/>
      <c r="AS33" s="1507"/>
      <c r="AT33" s="1507"/>
      <c r="AU33" s="20"/>
      <c r="AV33" s="20"/>
      <c r="AW33" s="20"/>
      <c r="AX33" s="20"/>
      <c r="AY33" s="20"/>
    </row>
    <row r="34" spans="1:52" ht="12.95" customHeight="1">
      <c r="A34" s="1506" t="s">
        <v>2513</v>
      </c>
      <c r="B34" s="1506"/>
      <c r="C34" s="1506"/>
      <c r="D34" s="1506"/>
      <c r="E34" s="1506"/>
      <c r="F34" s="1506"/>
      <c r="G34" s="1506"/>
      <c r="H34" s="1506"/>
      <c r="I34" s="1506"/>
      <c r="J34" s="1506"/>
      <c r="K34" s="1506"/>
      <c r="L34" s="1506"/>
      <c r="M34" s="1506"/>
      <c r="N34" s="1506"/>
      <c r="O34" s="1506"/>
      <c r="P34" s="1506"/>
      <c r="Q34" s="1506"/>
      <c r="R34" s="1506"/>
      <c r="S34" s="1506"/>
      <c r="T34" s="1506"/>
      <c r="U34" s="1506"/>
      <c r="V34" s="1506"/>
      <c r="W34" s="1506"/>
      <c r="X34" s="1506"/>
      <c r="Y34" s="1506"/>
      <c r="Z34" s="1506"/>
      <c r="AA34" s="1506"/>
      <c r="AB34" s="1506"/>
      <c r="AC34" s="1506"/>
      <c r="AD34" s="1506"/>
      <c r="AE34" s="1506"/>
      <c r="AF34" s="1506"/>
      <c r="AG34" s="1506"/>
      <c r="AH34" s="1506"/>
      <c r="AI34" s="1506"/>
      <c r="AJ34" s="1506"/>
      <c r="AK34" s="1506"/>
      <c r="AL34" s="1506"/>
      <c r="AM34" s="1506"/>
      <c r="AN34" s="1506"/>
      <c r="AO34" s="1506"/>
      <c r="AP34" s="1506"/>
      <c r="AQ34" s="1506"/>
      <c r="AR34" s="1506"/>
      <c r="AS34" s="1506"/>
      <c r="AT34" s="1506"/>
      <c r="AU34" s="20"/>
      <c r="AV34" s="20"/>
      <c r="AW34" s="20"/>
      <c r="AX34" s="20"/>
      <c r="AY34" s="20"/>
      <c r="AZ34" s="20"/>
    </row>
    <row r="35" spans="1:52" ht="12.95" customHeight="1">
      <c r="A35" s="1506"/>
      <c r="B35" s="1506"/>
      <c r="C35" s="1506"/>
      <c r="D35" s="1506"/>
      <c r="E35" s="1506"/>
      <c r="F35" s="1506"/>
      <c r="G35" s="1506"/>
      <c r="H35" s="1506"/>
      <c r="I35" s="1506"/>
      <c r="J35" s="1506"/>
      <c r="K35" s="1506"/>
      <c r="L35" s="1506"/>
      <c r="M35" s="1506"/>
      <c r="N35" s="1506"/>
      <c r="O35" s="1506"/>
      <c r="P35" s="1506"/>
      <c r="Q35" s="1506"/>
      <c r="R35" s="1506"/>
      <c r="S35" s="1506"/>
      <c r="T35" s="1506"/>
      <c r="U35" s="1506"/>
      <c r="V35" s="1506"/>
      <c r="W35" s="1506"/>
      <c r="X35" s="1506"/>
      <c r="Y35" s="1506"/>
      <c r="Z35" s="1506"/>
      <c r="AA35" s="1506"/>
      <c r="AB35" s="1506"/>
      <c r="AC35" s="1506"/>
      <c r="AD35" s="1506"/>
      <c r="AE35" s="1506"/>
      <c r="AF35" s="1506"/>
      <c r="AG35" s="1506"/>
      <c r="AH35" s="1506"/>
      <c r="AI35" s="1506"/>
      <c r="AJ35" s="1506"/>
      <c r="AK35" s="1506"/>
      <c r="AL35" s="1506"/>
      <c r="AM35" s="1506"/>
      <c r="AN35" s="1506"/>
      <c r="AO35" s="1506"/>
      <c r="AP35" s="1506"/>
      <c r="AQ35" s="1506"/>
      <c r="AR35" s="1506"/>
      <c r="AS35" s="1506"/>
      <c r="AT35" s="1506"/>
      <c r="AU35" s="20"/>
      <c r="AV35" s="20"/>
      <c r="AW35" s="20"/>
      <c r="AX35" s="20"/>
      <c r="AY35" s="20"/>
      <c r="AZ35" s="20"/>
    </row>
    <row r="36" spans="1:52" ht="12.95" customHeight="1">
      <c r="A36" s="1506"/>
      <c r="B36" s="1506"/>
      <c r="C36" s="1506"/>
      <c r="D36" s="1506"/>
      <c r="E36" s="1506"/>
      <c r="F36" s="1506"/>
      <c r="G36" s="1506"/>
      <c r="H36" s="1506"/>
      <c r="I36" s="1506"/>
      <c r="J36" s="1506"/>
      <c r="K36" s="1506"/>
      <c r="L36" s="1506"/>
      <c r="M36" s="1506"/>
      <c r="N36" s="1506"/>
      <c r="O36" s="1506"/>
      <c r="P36" s="1506"/>
      <c r="Q36" s="1506"/>
      <c r="R36" s="1506"/>
      <c r="S36" s="1506"/>
      <c r="T36" s="1506"/>
      <c r="U36" s="1506"/>
      <c r="V36" s="1506"/>
      <c r="W36" s="1506"/>
      <c r="X36" s="1506"/>
      <c r="Y36" s="1506"/>
      <c r="Z36" s="1506"/>
      <c r="AA36" s="1506"/>
      <c r="AB36" s="1506"/>
      <c r="AC36" s="1506"/>
      <c r="AD36" s="1506"/>
      <c r="AE36" s="1506"/>
      <c r="AF36" s="1506"/>
      <c r="AG36" s="1506"/>
      <c r="AH36" s="1506"/>
      <c r="AI36" s="1506"/>
      <c r="AJ36" s="1506"/>
      <c r="AK36" s="1506"/>
      <c r="AL36" s="1506"/>
      <c r="AM36" s="1506"/>
      <c r="AN36" s="1506"/>
      <c r="AO36" s="1506"/>
      <c r="AP36" s="1506"/>
      <c r="AQ36" s="1506"/>
      <c r="AR36" s="1506"/>
      <c r="AS36" s="1506"/>
      <c r="AT36" s="1506"/>
      <c r="AU36" s="20"/>
      <c r="AV36" s="20"/>
      <c r="AW36" s="20"/>
      <c r="AX36" s="20"/>
      <c r="AY36" s="20"/>
      <c r="AZ36" s="20"/>
    </row>
    <row r="37" spans="1:52" ht="12.95" customHeight="1">
      <c r="A37" s="1506"/>
      <c r="B37" s="1506"/>
      <c r="C37" s="1506"/>
      <c r="D37" s="1506"/>
      <c r="E37" s="1506"/>
      <c r="F37" s="1506"/>
      <c r="G37" s="1506"/>
      <c r="H37" s="1506"/>
      <c r="I37" s="1506"/>
      <c r="J37" s="1506"/>
      <c r="K37" s="1506"/>
      <c r="L37" s="1506"/>
      <c r="M37" s="1506"/>
      <c r="N37" s="1506"/>
      <c r="O37" s="1506"/>
      <c r="P37" s="1506"/>
      <c r="Q37" s="1506"/>
      <c r="R37" s="1506"/>
      <c r="S37" s="1506"/>
      <c r="T37" s="1506"/>
      <c r="U37" s="1506"/>
      <c r="V37" s="1506"/>
      <c r="W37" s="1506"/>
      <c r="X37" s="1506"/>
      <c r="Y37" s="1506"/>
      <c r="Z37" s="1506"/>
      <c r="AA37" s="1506"/>
      <c r="AB37" s="1506"/>
      <c r="AC37" s="1506"/>
      <c r="AD37" s="1506"/>
      <c r="AE37" s="1506"/>
      <c r="AF37" s="1506"/>
      <c r="AG37" s="1506"/>
      <c r="AH37" s="1506"/>
      <c r="AI37" s="1506"/>
      <c r="AJ37" s="1506"/>
      <c r="AK37" s="1506"/>
      <c r="AL37" s="1506"/>
      <c r="AM37" s="1506"/>
      <c r="AN37" s="1506"/>
      <c r="AO37" s="1506"/>
      <c r="AP37" s="1506"/>
      <c r="AQ37" s="1506"/>
      <c r="AR37" s="1506"/>
      <c r="AS37" s="1506"/>
      <c r="AT37" s="1506"/>
      <c r="AZ37" s="20"/>
    </row>
    <row r="38" spans="1:52" ht="12.95" customHeight="1">
      <c r="A38" s="3"/>
      <c r="AZ38" s="20"/>
    </row>
    <row r="39" spans="1:52" ht="12.95" customHeight="1">
      <c r="A39" s="1275" t="s">
        <v>2514</v>
      </c>
      <c r="B39" s="1275"/>
      <c r="C39" s="1275"/>
      <c r="D39" s="1275"/>
      <c r="E39" s="1275"/>
      <c r="F39" s="1275"/>
      <c r="G39" s="1275"/>
      <c r="H39" s="1275"/>
      <c r="I39" s="1275"/>
      <c r="J39" s="1275"/>
      <c r="K39" s="1275"/>
      <c r="L39" s="1275"/>
      <c r="M39" s="1275"/>
      <c r="N39" s="1275"/>
      <c r="O39" s="1275"/>
      <c r="P39" s="1275"/>
      <c r="Q39" s="1275"/>
      <c r="R39" s="1275"/>
      <c r="S39" s="1275"/>
      <c r="T39" s="1275"/>
      <c r="U39" s="1275"/>
      <c r="V39" s="1275"/>
      <c r="W39" s="1275"/>
      <c r="X39" s="1275"/>
      <c r="Y39" s="1275"/>
      <c r="Z39" s="1275"/>
      <c r="AA39" s="1275"/>
      <c r="AB39" s="1275"/>
      <c r="AC39" s="1275"/>
      <c r="AD39" s="1275"/>
      <c r="AE39" s="1275"/>
      <c r="AF39" s="1275"/>
      <c r="AG39" s="1275"/>
      <c r="AH39" s="1275"/>
      <c r="AI39" s="1275"/>
      <c r="AJ39" s="1275"/>
      <c r="AK39" s="1275"/>
      <c r="AL39" s="1275"/>
      <c r="AM39" s="1275"/>
      <c r="AN39" s="1275"/>
      <c r="AO39" s="1275"/>
      <c r="AP39" s="1275"/>
      <c r="AQ39" s="1275"/>
      <c r="AR39" s="1275"/>
      <c r="AS39" s="1275"/>
      <c r="AT39" s="1275"/>
      <c r="AZ39" s="20"/>
    </row>
    <row r="40" spans="1:52" ht="12.95" customHeight="1">
      <c r="A40" s="1275"/>
      <c r="B40" s="1275"/>
      <c r="C40" s="1275"/>
      <c r="D40" s="1275"/>
      <c r="E40" s="1275"/>
      <c r="F40" s="1275"/>
      <c r="G40" s="1275"/>
      <c r="H40" s="1275"/>
      <c r="I40" s="1275"/>
      <c r="J40" s="1275"/>
      <c r="K40" s="1275"/>
      <c r="L40" s="1275"/>
      <c r="M40" s="1275"/>
      <c r="N40" s="1275"/>
      <c r="O40" s="1275"/>
      <c r="P40" s="1275"/>
      <c r="Q40" s="1275"/>
      <c r="R40" s="1275"/>
      <c r="S40" s="1275"/>
      <c r="T40" s="1275"/>
      <c r="U40" s="1275"/>
      <c r="V40" s="1275"/>
      <c r="W40" s="1275"/>
      <c r="X40" s="1275"/>
      <c r="Y40" s="1275"/>
      <c r="Z40" s="1275"/>
      <c r="AA40" s="1275"/>
      <c r="AB40" s="1275"/>
      <c r="AC40" s="1275"/>
      <c r="AD40" s="1275"/>
      <c r="AE40" s="1275"/>
      <c r="AF40" s="1275"/>
      <c r="AG40" s="1275"/>
      <c r="AH40" s="1275"/>
      <c r="AI40" s="1275"/>
      <c r="AJ40" s="1275"/>
      <c r="AK40" s="1275"/>
      <c r="AL40" s="1275"/>
      <c r="AM40" s="1275"/>
      <c r="AN40" s="1275"/>
      <c r="AO40" s="1275"/>
      <c r="AP40" s="1275"/>
      <c r="AQ40" s="1275"/>
      <c r="AR40" s="1275"/>
      <c r="AS40" s="1275"/>
      <c r="AT40" s="1275"/>
      <c r="AU40" s="20"/>
      <c r="AV40" s="20"/>
      <c r="AW40" s="20"/>
      <c r="AX40" s="20"/>
      <c r="AY40" s="20"/>
      <c r="AZ40" s="20"/>
    </row>
    <row r="41" spans="1:52" ht="12.95" customHeight="1">
      <c r="A41" s="1275"/>
      <c r="B41" s="1275"/>
      <c r="C41" s="1275"/>
      <c r="D41" s="1275"/>
      <c r="E41" s="1275"/>
      <c r="F41" s="1275"/>
      <c r="G41" s="1275"/>
      <c r="H41" s="1275"/>
      <c r="I41" s="1275"/>
      <c r="J41" s="1275"/>
      <c r="K41" s="1275"/>
      <c r="L41" s="1275"/>
      <c r="M41" s="1275"/>
      <c r="N41" s="1275"/>
      <c r="O41" s="1275"/>
      <c r="P41" s="1275"/>
      <c r="Q41" s="1275"/>
      <c r="R41" s="1275"/>
      <c r="S41" s="1275"/>
      <c r="T41" s="1275"/>
      <c r="U41" s="1275"/>
      <c r="V41" s="1275"/>
      <c r="W41" s="1275"/>
      <c r="X41" s="1275"/>
      <c r="Y41" s="1275"/>
      <c r="Z41" s="1275"/>
      <c r="AA41" s="1275"/>
      <c r="AB41" s="1275"/>
      <c r="AC41" s="1275"/>
      <c r="AD41" s="1275"/>
      <c r="AE41" s="1275"/>
      <c r="AF41" s="1275"/>
      <c r="AG41" s="1275"/>
      <c r="AH41" s="1275"/>
      <c r="AI41" s="1275"/>
      <c r="AJ41" s="1275"/>
      <c r="AK41" s="1275"/>
      <c r="AL41" s="1275"/>
      <c r="AM41" s="1275"/>
      <c r="AN41" s="1275"/>
      <c r="AO41" s="1275"/>
      <c r="AP41" s="1275"/>
      <c r="AQ41" s="1275"/>
      <c r="AR41" s="1275"/>
      <c r="AS41" s="1275"/>
      <c r="AT41" s="1275"/>
      <c r="AU41" s="20"/>
      <c r="AV41" s="20"/>
      <c r="AW41" s="20"/>
      <c r="AX41" s="20"/>
      <c r="AY41" s="20"/>
      <c r="AZ41" s="20"/>
    </row>
    <row r="42" spans="1:52" ht="12.95" customHeight="1">
      <c r="A42" s="1275"/>
      <c r="B42" s="1275"/>
      <c r="C42" s="1275"/>
      <c r="D42" s="1275"/>
      <c r="E42" s="1275"/>
      <c r="F42" s="1275"/>
      <c r="G42" s="1275"/>
      <c r="H42" s="1275"/>
      <c r="I42" s="1275"/>
      <c r="J42" s="1275"/>
      <c r="K42" s="1275"/>
      <c r="L42" s="1275"/>
      <c r="M42" s="1275"/>
      <c r="N42" s="1275"/>
      <c r="O42" s="1275"/>
      <c r="P42" s="1275"/>
      <c r="Q42" s="1275"/>
      <c r="R42" s="1275"/>
      <c r="S42" s="1275"/>
      <c r="T42" s="1275"/>
      <c r="U42" s="1275"/>
      <c r="V42" s="1275"/>
      <c r="W42" s="1275"/>
      <c r="X42" s="1275"/>
      <c r="Y42" s="1275"/>
      <c r="Z42" s="1275"/>
      <c r="AA42" s="1275"/>
      <c r="AB42" s="1275"/>
      <c r="AC42" s="1275"/>
      <c r="AD42" s="1275"/>
      <c r="AE42" s="1275"/>
      <c r="AF42" s="1275"/>
      <c r="AG42" s="1275"/>
      <c r="AH42" s="1275"/>
      <c r="AI42" s="1275"/>
      <c r="AJ42" s="1275"/>
      <c r="AK42" s="1275"/>
      <c r="AL42" s="1275"/>
      <c r="AM42" s="1275"/>
      <c r="AN42" s="1275"/>
      <c r="AO42" s="1275"/>
      <c r="AP42" s="1275"/>
      <c r="AQ42" s="1275"/>
      <c r="AR42" s="1275"/>
      <c r="AS42" s="1275"/>
      <c r="AT42" s="1275"/>
      <c r="AZ42" s="20"/>
    </row>
    <row r="43" spans="1:52" ht="12.95" customHeight="1">
      <c r="A43" s="1275"/>
      <c r="B43" s="1275"/>
      <c r="C43" s="1275"/>
      <c r="D43" s="1275"/>
      <c r="E43" s="1275"/>
      <c r="F43" s="1275"/>
      <c r="G43" s="1275"/>
      <c r="H43" s="1275"/>
      <c r="I43" s="1275"/>
      <c r="J43" s="1275"/>
      <c r="K43" s="1275"/>
      <c r="L43" s="1275"/>
      <c r="M43" s="1275"/>
      <c r="N43" s="1275"/>
      <c r="O43" s="1275"/>
      <c r="P43" s="1275"/>
      <c r="Q43" s="1275"/>
      <c r="R43" s="1275"/>
      <c r="S43" s="1275"/>
      <c r="T43" s="1275"/>
      <c r="U43" s="1275"/>
      <c r="V43" s="1275"/>
      <c r="W43" s="1275"/>
      <c r="X43" s="1275"/>
      <c r="Y43" s="1275"/>
      <c r="Z43" s="1275"/>
      <c r="AA43" s="1275"/>
      <c r="AB43" s="1275"/>
      <c r="AC43" s="1275"/>
      <c r="AD43" s="1275"/>
      <c r="AE43" s="1275"/>
      <c r="AF43" s="1275"/>
      <c r="AG43" s="1275"/>
      <c r="AH43" s="1275"/>
      <c r="AI43" s="1275"/>
      <c r="AJ43" s="1275"/>
      <c r="AK43" s="1275"/>
      <c r="AL43" s="1275"/>
      <c r="AM43" s="1275"/>
      <c r="AN43" s="1275"/>
      <c r="AO43" s="1275"/>
      <c r="AP43" s="1275"/>
      <c r="AQ43" s="1275"/>
      <c r="AR43" s="1275"/>
      <c r="AS43" s="1275"/>
      <c r="AT43" s="1275"/>
      <c r="AU43" s="20"/>
      <c r="AV43" s="20"/>
      <c r="AW43" s="20"/>
      <c r="AX43" s="20"/>
      <c r="AY43" s="20"/>
      <c r="AZ43" s="20"/>
    </row>
    <row r="44" spans="1:52" ht="12.95" customHeight="1">
      <c r="A44" s="1275"/>
      <c r="B44" s="1275"/>
      <c r="C44" s="1275"/>
      <c r="D44" s="1275"/>
      <c r="E44" s="1275"/>
      <c r="F44" s="1275"/>
      <c r="G44" s="1275"/>
      <c r="H44" s="1275"/>
      <c r="I44" s="1275"/>
      <c r="J44" s="1275"/>
      <c r="K44" s="1275"/>
      <c r="L44" s="1275"/>
      <c r="M44" s="1275"/>
      <c r="N44" s="1275"/>
      <c r="O44" s="1275"/>
      <c r="P44" s="1275"/>
      <c r="Q44" s="1275"/>
      <c r="R44" s="1275"/>
      <c r="S44" s="1275"/>
      <c r="T44" s="1275"/>
      <c r="U44" s="1275"/>
      <c r="V44" s="1275"/>
      <c r="W44" s="1275"/>
      <c r="X44" s="1275"/>
      <c r="Y44" s="1275"/>
      <c r="Z44" s="1275"/>
      <c r="AA44" s="1275"/>
      <c r="AB44" s="1275"/>
      <c r="AC44" s="1275"/>
      <c r="AD44" s="1275"/>
      <c r="AE44" s="1275"/>
      <c r="AF44" s="1275"/>
      <c r="AG44" s="1275"/>
      <c r="AH44" s="1275"/>
      <c r="AI44" s="1275"/>
      <c r="AJ44" s="1275"/>
      <c r="AK44" s="1275"/>
      <c r="AL44" s="1275"/>
      <c r="AM44" s="1275"/>
      <c r="AN44" s="1275"/>
      <c r="AO44" s="1275"/>
      <c r="AP44" s="1275"/>
      <c r="AQ44" s="1275"/>
      <c r="AR44" s="1275"/>
      <c r="AS44" s="1275"/>
      <c r="AT44" s="1275"/>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37" t="s">
        <v>2515</v>
      </c>
      <c r="B46" s="1337"/>
      <c r="C46" s="1337"/>
      <c r="D46" s="1337"/>
      <c r="E46" s="1337"/>
      <c r="F46" s="1337"/>
      <c r="G46" s="1337"/>
      <c r="H46" s="1337"/>
      <c r="I46" s="1337"/>
      <c r="J46" s="1337"/>
      <c r="K46" s="1337"/>
      <c r="L46" s="1337"/>
      <c r="M46" s="1337"/>
      <c r="N46" s="1337"/>
      <c r="O46" s="1337"/>
      <c r="P46" s="1337"/>
      <c r="Q46" s="1337"/>
      <c r="R46" s="1337"/>
      <c r="S46" s="1337"/>
      <c r="T46" s="1337"/>
      <c r="U46" s="1337"/>
      <c r="V46" s="1337"/>
      <c r="W46" s="1337"/>
      <c r="X46" s="1337"/>
      <c r="Y46" s="1337"/>
      <c r="Z46" s="1337"/>
      <c r="AA46" s="1337"/>
      <c r="AB46" s="1337"/>
      <c r="AC46" s="1337"/>
      <c r="AD46" s="1337"/>
      <c r="AE46" s="1337"/>
      <c r="AF46" s="1337"/>
      <c r="AG46" s="1337"/>
      <c r="AH46" s="1337"/>
      <c r="AI46" s="1337"/>
      <c r="AJ46" s="1337"/>
      <c r="AK46" s="1337"/>
      <c r="AL46" s="1337"/>
      <c r="AM46" s="1337"/>
      <c r="AN46" s="1337"/>
      <c r="AO46" s="1337"/>
      <c r="AP46" s="1337"/>
      <c r="AQ46" s="1337"/>
      <c r="AR46" s="1337"/>
      <c r="AS46" s="1337"/>
      <c r="AT46" s="1337"/>
      <c r="AU46" s="20"/>
      <c r="AV46" s="20"/>
      <c r="AW46" s="20"/>
      <c r="AX46" s="20"/>
      <c r="AY46" s="20"/>
      <c r="AZ46" s="20"/>
    </row>
    <row r="47" spans="1:52" ht="12.95" customHeight="1">
      <c r="A47" s="1337"/>
      <c r="B47" s="1337"/>
      <c r="C47" s="1337"/>
      <c r="D47" s="1337"/>
      <c r="E47" s="1337"/>
      <c r="F47" s="1337"/>
      <c r="G47" s="1337"/>
      <c r="H47" s="1337"/>
      <c r="I47" s="1337"/>
      <c r="J47" s="1337"/>
      <c r="K47" s="1337"/>
      <c r="L47" s="1337"/>
      <c r="M47" s="1337"/>
      <c r="N47" s="1337"/>
      <c r="O47" s="1337"/>
      <c r="P47" s="1337"/>
      <c r="Q47" s="1337"/>
      <c r="R47" s="1337"/>
      <c r="S47" s="1337"/>
      <c r="T47" s="1337"/>
      <c r="U47" s="1337"/>
      <c r="V47" s="1337"/>
      <c r="W47" s="1337"/>
      <c r="X47" s="1337"/>
      <c r="Y47" s="1337"/>
      <c r="Z47" s="1337"/>
      <c r="AA47" s="1337"/>
      <c r="AB47" s="1337"/>
      <c r="AC47" s="1337"/>
      <c r="AD47" s="1337"/>
      <c r="AE47" s="1337"/>
      <c r="AF47" s="1337"/>
      <c r="AG47" s="1337"/>
      <c r="AH47" s="1337"/>
      <c r="AI47" s="1337"/>
      <c r="AJ47" s="1337"/>
      <c r="AK47" s="1337"/>
      <c r="AL47" s="1337"/>
      <c r="AM47" s="1337"/>
      <c r="AN47" s="1337"/>
      <c r="AO47" s="1337"/>
      <c r="AP47" s="1337"/>
      <c r="AQ47" s="1337"/>
      <c r="AR47" s="1337"/>
      <c r="AS47" s="1337"/>
      <c r="AT47" s="1337"/>
      <c r="AU47" s="20"/>
      <c r="AV47" s="20"/>
      <c r="AW47" s="20"/>
      <c r="AX47" s="20"/>
      <c r="AY47" s="20"/>
      <c r="AZ47" s="20"/>
    </row>
    <row r="48" spans="1:52" ht="12.95" customHeight="1">
      <c r="A48" s="1337"/>
      <c r="B48" s="1337"/>
      <c r="C48" s="1337"/>
      <c r="D48" s="1337"/>
      <c r="E48" s="1337"/>
      <c r="F48" s="1337"/>
      <c r="G48" s="1337"/>
      <c r="H48" s="1337"/>
      <c r="I48" s="1337"/>
      <c r="J48" s="1337"/>
      <c r="K48" s="1337"/>
      <c r="L48" s="1337"/>
      <c r="M48" s="1337"/>
      <c r="N48" s="1337"/>
      <c r="O48" s="1337"/>
      <c r="P48" s="1337"/>
      <c r="Q48" s="1337"/>
      <c r="R48" s="1337"/>
      <c r="S48" s="1337"/>
      <c r="T48" s="1337"/>
      <c r="U48" s="1337"/>
      <c r="V48" s="1337"/>
      <c r="W48" s="1337"/>
      <c r="X48" s="1337"/>
      <c r="Y48" s="1337"/>
      <c r="Z48" s="1337"/>
      <c r="AA48" s="1337"/>
      <c r="AB48" s="1337"/>
      <c r="AC48" s="1337"/>
      <c r="AD48" s="1337"/>
      <c r="AE48" s="1337"/>
      <c r="AF48" s="1337"/>
      <c r="AG48" s="1337"/>
      <c r="AH48" s="1337"/>
      <c r="AI48" s="1337"/>
      <c r="AJ48" s="1337"/>
      <c r="AK48" s="1337"/>
      <c r="AL48" s="1337"/>
      <c r="AM48" s="1337"/>
      <c r="AN48" s="1337"/>
      <c r="AO48" s="1337"/>
      <c r="AP48" s="1337"/>
      <c r="AQ48" s="1337"/>
      <c r="AR48" s="1337"/>
      <c r="AS48" s="1337"/>
      <c r="AT48" s="1337"/>
      <c r="AU48" s="20"/>
      <c r="AV48" s="20"/>
      <c r="AW48" s="20"/>
      <c r="AX48" s="20"/>
      <c r="AY48" s="20"/>
      <c r="AZ48" s="20"/>
    </row>
    <row r="49" spans="1:52" ht="12.95" customHeight="1">
      <c r="A49" s="1337"/>
      <c r="B49" s="1337"/>
      <c r="C49" s="1337"/>
      <c r="D49" s="1337"/>
      <c r="E49" s="1337"/>
      <c r="F49" s="1337"/>
      <c r="G49" s="1337"/>
      <c r="H49" s="1337"/>
      <c r="I49" s="1337"/>
      <c r="J49" s="1337"/>
      <c r="K49" s="1337"/>
      <c r="L49" s="1337"/>
      <c r="M49" s="1337"/>
      <c r="N49" s="1337"/>
      <c r="O49" s="1337"/>
      <c r="P49" s="1337"/>
      <c r="Q49" s="1337"/>
      <c r="R49" s="1337"/>
      <c r="S49" s="1337"/>
      <c r="T49" s="1337"/>
      <c r="U49" s="1337"/>
      <c r="V49" s="1337"/>
      <c r="W49" s="1337"/>
      <c r="X49" s="1337"/>
      <c r="Y49" s="1337"/>
      <c r="Z49" s="1337"/>
      <c r="AA49" s="1337"/>
      <c r="AB49" s="1337"/>
      <c r="AC49" s="1337"/>
      <c r="AD49" s="1337"/>
      <c r="AE49" s="1337"/>
      <c r="AF49" s="1337"/>
      <c r="AG49" s="1337"/>
      <c r="AH49" s="1337"/>
      <c r="AI49" s="1337"/>
      <c r="AJ49" s="1337"/>
      <c r="AK49" s="1337"/>
      <c r="AL49" s="1337"/>
      <c r="AM49" s="1337"/>
      <c r="AN49" s="1337"/>
      <c r="AO49" s="1337"/>
      <c r="AP49" s="1337"/>
      <c r="AQ49" s="1337"/>
      <c r="AR49" s="1337"/>
      <c r="AS49" s="1337"/>
      <c r="AT49" s="1337"/>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75" t="s">
        <v>2516</v>
      </c>
      <c r="B51" s="1275"/>
      <c r="C51" s="1275"/>
      <c r="D51" s="1275"/>
      <c r="E51" s="1275"/>
      <c r="F51" s="1275"/>
      <c r="G51" s="1275"/>
      <c r="H51" s="1275"/>
      <c r="I51" s="1275"/>
      <c r="J51" s="1275"/>
      <c r="K51" s="1275"/>
      <c r="L51" s="1275"/>
      <c r="M51" s="1275"/>
      <c r="N51" s="1275"/>
      <c r="O51" s="1275"/>
      <c r="P51" s="1275"/>
      <c r="Q51" s="1275"/>
      <c r="R51" s="1275"/>
      <c r="S51" s="1275"/>
      <c r="T51" s="1275"/>
      <c r="U51" s="1275"/>
      <c r="V51" s="1275"/>
      <c r="W51" s="1275"/>
      <c r="X51" s="1275"/>
      <c r="Y51" s="1275"/>
      <c r="Z51" s="1275"/>
      <c r="AA51" s="1275"/>
      <c r="AB51" s="1275"/>
      <c r="AC51" s="1275"/>
      <c r="AD51" s="1275"/>
      <c r="AE51" s="1275"/>
      <c r="AF51" s="1275"/>
      <c r="AG51" s="1275"/>
      <c r="AH51" s="1275"/>
      <c r="AI51" s="1275"/>
      <c r="AJ51" s="1275"/>
      <c r="AK51" s="1275"/>
      <c r="AL51" s="1275"/>
      <c r="AM51" s="1275"/>
      <c r="AN51" s="1275"/>
      <c r="AO51" s="1275"/>
      <c r="AP51" s="1275"/>
      <c r="AQ51" s="1275"/>
      <c r="AR51" s="1275"/>
      <c r="AS51" s="1275"/>
      <c r="AT51" s="1275"/>
      <c r="AU51" s="20"/>
      <c r="AV51" s="20"/>
      <c r="AW51" s="20"/>
      <c r="AX51" s="20"/>
      <c r="AY51" s="20"/>
      <c r="AZ51" s="20"/>
    </row>
    <row r="52" spans="1:52" ht="12.95" customHeight="1">
      <c r="A52" s="1275"/>
      <c r="B52" s="1275"/>
      <c r="C52" s="1275"/>
      <c r="D52" s="1275"/>
      <c r="E52" s="1275"/>
      <c r="F52" s="1275"/>
      <c r="G52" s="1275"/>
      <c r="H52" s="1275"/>
      <c r="I52" s="1275"/>
      <c r="J52" s="1275"/>
      <c r="K52" s="1275"/>
      <c r="L52" s="1275"/>
      <c r="M52" s="1275"/>
      <c r="N52" s="1275"/>
      <c r="O52" s="1275"/>
      <c r="P52" s="1275"/>
      <c r="Q52" s="1275"/>
      <c r="R52" s="1275"/>
      <c r="S52" s="1275"/>
      <c r="T52" s="1275"/>
      <c r="U52" s="1275"/>
      <c r="V52" s="1275"/>
      <c r="W52" s="1275"/>
      <c r="X52" s="1275"/>
      <c r="Y52" s="1275"/>
      <c r="Z52" s="1275"/>
      <c r="AA52" s="1275"/>
      <c r="AB52" s="1275"/>
      <c r="AC52" s="1275"/>
      <c r="AD52" s="1275"/>
      <c r="AE52" s="1275"/>
      <c r="AF52" s="1275"/>
      <c r="AG52" s="1275"/>
      <c r="AH52" s="1275"/>
      <c r="AI52" s="1275"/>
      <c r="AJ52" s="1275"/>
      <c r="AK52" s="1275"/>
      <c r="AL52" s="1275"/>
      <c r="AM52" s="1275"/>
      <c r="AN52" s="1275"/>
      <c r="AO52" s="1275"/>
      <c r="AP52" s="1275"/>
      <c r="AQ52" s="1275"/>
      <c r="AR52" s="1275"/>
      <c r="AS52" s="1275"/>
      <c r="AT52" s="1275"/>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75" t="s">
        <v>2517</v>
      </c>
      <c r="B54" s="1275"/>
      <c r="C54" s="1275"/>
      <c r="D54" s="1275"/>
      <c r="E54" s="1275"/>
      <c r="F54" s="1275"/>
      <c r="G54" s="1275"/>
      <c r="H54" s="1275"/>
      <c r="I54" s="1275"/>
      <c r="J54" s="1275"/>
      <c r="K54" s="1275"/>
      <c r="L54" s="1275"/>
      <c r="M54" s="1275"/>
      <c r="N54" s="1275"/>
      <c r="O54" s="1275"/>
      <c r="P54" s="1275"/>
      <c r="Q54" s="1275"/>
      <c r="R54" s="1275"/>
      <c r="S54" s="1275"/>
      <c r="T54" s="1275"/>
      <c r="U54" s="1275"/>
      <c r="V54" s="1275"/>
      <c r="W54" s="1275"/>
      <c r="X54" s="1275"/>
      <c r="Y54" s="1275"/>
      <c r="Z54" s="1275"/>
      <c r="AA54" s="1275"/>
      <c r="AB54" s="1275"/>
      <c r="AC54" s="1275"/>
      <c r="AD54" s="1275"/>
      <c r="AE54" s="1275"/>
      <c r="AF54" s="1275"/>
      <c r="AG54" s="1275"/>
      <c r="AH54" s="1275"/>
      <c r="AI54" s="1275"/>
      <c r="AJ54" s="1275"/>
      <c r="AK54" s="1275"/>
      <c r="AL54" s="1275"/>
      <c r="AM54" s="1275"/>
      <c r="AN54" s="1275"/>
      <c r="AO54" s="1275"/>
      <c r="AP54" s="1275"/>
      <c r="AQ54" s="1275"/>
      <c r="AR54" s="1275"/>
      <c r="AS54" s="1275"/>
      <c r="AT54" s="1275"/>
      <c r="AU54" s="20"/>
      <c r="AV54" s="20"/>
      <c r="AW54" s="20"/>
      <c r="AX54" s="20"/>
      <c r="AY54" s="20"/>
      <c r="AZ54" s="21"/>
    </row>
    <row r="55" spans="1:52" ht="12.95" customHeight="1">
      <c r="A55" s="1275"/>
      <c r="B55" s="1275"/>
      <c r="C55" s="1275"/>
      <c r="D55" s="1275"/>
      <c r="E55" s="1275"/>
      <c r="F55" s="1275"/>
      <c r="G55" s="1275"/>
      <c r="H55" s="1275"/>
      <c r="I55" s="1275"/>
      <c r="J55" s="1275"/>
      <c r="K55" s="1275"/>
      <c r="L55" s="1275"/>
      <c r="M55" s="1275"/>
      <c r="N55" s="1275"/>
      <c r="O55" s="1275"/>
      <c r="P55" s="1275"/>
      <c r="Q55" s="1275"/>
      <c r="R55" s="1275"/>
      <c r="S55" s="1275"/>
      <c r="T55" s="1275"/>
      <c r="U55" s="1275"/>
      <c r="V55" s="1275"/>
      <c r="W55" s="1275"/>
      <c r="X55" s="1275"/>
      <c r="Y55" s="1275"/>
      <c r="Z55" s="1275"/>
      <c r="AA55" s="1275"/>
      <c r="AB55" s="1275"/>
      <c r="AC55" s="1275"/>
      <c r="AD55" s="1275"/>
      <c r="AE55" s="1275"/>
      <c r="AF55" s="1275"/>
      <c r="AG55" s="1275"/>
      <c r="AH55" s="1275"/>
      <c r="AI55" s="1275"/>
      <c r="AJ55" s="1275"/>
      <c r="AK55" s="1275"/>
      <c r="AL55" s="1275"/>
      <c r="AM55" s="1275"/>
      <c r="AN55" s="1275"/>
      <c r="AO55" s="1275"/>
      <c r="AP55" s="1275"/>
      <c r="AQ55" s="1275"/>
      <c r="AR55" s="1275"/>
      <c r="AS55" s="1275"/>
      <c r="AT55" s="1275"/>
      <c r="AZ55" s="21"/>
    </row>
    <row r="56" spans="1:52" ht="12.95" customHeight="1">
      <c r="A56" s="1275"/>
      <c r="B56" s="1275"/>
      <c r="C56" s="1275"/>
      <c r="D56" s="1275"/>
      <c r="E56" s="1275"/>
      <c r="F56" s="1275"/>
      <c r="G56" s="1275"/>
      <c r="H56" s="1275"/>
      <c r="I56" s="1275"/>
      <c r="J56" s="1275"/>
      <c r="K56" s="1275"/>
      <c r="L56" s="1275"/>
      <c r="M56" s="1275"/>
      <c r="N56" s="1275"/>
      <c r="O56" s="1275"/>
      <c r="P56" s="1275"/>
      <c r="Q56" s="1275"/>
      <c r="R56" s="1275"/>
      <c r="S56" s="1275"/>
      <c r="T56" s="1275"/>
      <c r="U56" s="1275"/>
      <c r="V56" s="1275"/>
      <c r="W56" s="1275"/>
      <c r="X56" s="1275"/>
      <c r="Y56" s="1275"/>
      <c r="Z56" s="1275"/>
      <c r="AA56" s="1275"/>
      <c r="AB56" s="1275"/>
      <c r="AC56" s="1275"/>
      <c r="AD56" s="1275"/>
      <c r="AE56" s="1275"/>
      <c r="AF56" s="1275"/>
      <c r="AG56" s="1275"/>
      <c r="AH56" s="1275"/>
      <c r="AI56" s="1275"/>
      <c r="AJ56" s="1275"/>
      <c r="AK56" s="1275"/>
      <c r="AL56" s="1275"/>
      <c r="AM56" s="1275"/>
      <c r="AN56" s="1275"/>
      <c r="AO56" s="1275"/>
      <c r="AP56" s="1275"/>
      <c r="AQ56" s="1275"/>
      <c r="AR56" s="1275"/>
      <c r="AS56" s="1275"/>
      <c r="AT56" s="1275"/>
    </row>
    <row r="57" spans="1:52" ht="12.95" customHeight="1">
      <c r="A57" s="1275"/>
      <c r="B57" s="1275"/>
      <c r="C57" s="1275"/>
      <c r="D57" s="1275"/>
      <c r="E57" s="1275"/>
      <c r="F57" s="1275"/>
      <c r="G57" s="1275"/>
      <c r="H57" s="1275"/>
      <c r="I57" s="1275"/>
      <c r="J57" s="1275"/>
      <c r="K57" s="1275"/>
      <c r="L57" s="1275"/>
      <c r="M57" s="1275"/>
      <c r="N57" s="1275"/>
      <c r="O57" s="1275"/>
      <c r="P57" s="1275"/>
      <c r="Q57" s="1275"/>
      <c r="R57" s="1275"/>
      <c r="S57" s="1275"/>
      <c r="T57" s="1275"/>
      <c r="U57" s="1275"/>
      <c r="V57" s="1275"/>
      <c r="W57" s="1275"/>
      <c r="X57" s="1275"/>
      <c r="Y57" s="1275"/>
      <c r="Z57" s="1275"/>
      <c r="AA57" s="1275"/>
      <c r="AB57" s="1275"/>
      <c r="AC57" s="1275"/>
      <c r="AD57" s="1275"/>
      <c r="AE57" s="1275"/>
      <c r="AF57" s="1275"/>
      <c r="AG57" s="1275"/>
      <c r="AH57" s="1275"/>
      <c r="AI57" s="1275"/>
      <c r="AJ57" s="1275"/>
      <c r="AK57" s="1275"/>
      <c r="AL57" s="1275"/>
      <c r="AM57" s="1275"/>
      <c r="AN57" s="1275"/>
      <c r="AO57" s="1275"/>
      <c r="AP57" s="1275"/>
      <c r="AQ57" s="1275"/>
      <c r="AR57" s="1275"/>
      <c r="AS57" s="1275"/>
      <c r="AT57" s="1275"/>
    </row>
    <row r="58" spans="1:52" ht="12.95" customHeight="1">
      <c r="A58" s="1275"/>
      <c r="B58" s="1275"/>
      <c r="C58" s="1275"/>
      <c r="D58" s="1275"/>
      <c r="E58" s="1275"/>
      <c r="F58" s="1275"/>
      <c r="G58" s="1275"/>
      <c r="H58" s="1275"/>
      <c r="I58" s="1275"/>
      <c r="J58" s="1275"/>
      <c r="K58" s="1275"/>
      <c r="L58" s="1275"/>
      <c r="M58" s="1275"/>
      <c r="N58" s="1275"/>
      <c r="O58" s="1275"/>
      <c r="P58" s="1275"/>
      <c r="Q58" s="1275"/>
      <c r="R58" s="1275"/>
      <c r="S58" s="1275"/>
      <c r="T58" s="1275"/>
      <c r="U58" s="1275"/>
      <c r="V58" s="1275"/>
      <c r="W58" s="1275"/>
      <c r="X58" s="1275"/>
      <c r="Y58" s="1275"/>
      <c r="Z58" s="1275"/>
      <c r="AA58" s="1275"/>
      <c r="AB58" s="1275"/>
      <c r="AC58" s="1275"/>
      <c r="AD58" s="1275"/>
      <c r="AE58" s="1275"/>
      <c r="AF58" s="1275"/>
      <c r="AG58" s="1275"/>
      <c r="AH58" s="1275"/>
      <c r="AI58" s="1275"/>
      <c r="AJ58" s="1275"/>
      <c r="AK58" s="1275"/>
      <c r="AL58" s="1275"/>
      <c r="AM58" s="1275"/>
      <c r="AN58" s="1275"/>
      <c r="AO58" s="1275"/>
      <c r="AP58" s="1275"/>
      <c r="AQ58" s="1275"/>
      <c r="AR58" s="1275"/>
      <c r="AS58" s="1275"/>
      <c r="AT58" s="1275"/>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75" t="s">
        <v>2518</v>
      </c>
      <c r="B60" s="1275"/>
      <c r="C60" s="1275"/>
      <c r="D60" s="1275"/>
      <c r="E60" s="1275"/>
      <c r="F60" s="1275"/>
      <c r="G60" s="1275"/>
      <c r="H60" s="1275"/>
      <c r="I60" s="1275"/>
      <c r="J60" s="1275"/>
      <c r="K60" s="1275"/>
      <c r="L60" s="1275"/>
      <c r="M60" s="1275"/>
      <c r="N60" s="1275"/>
      <c r="O60" s="1275"/>
      <c r="P60" s="1275"/>
      <c r="Q60" s="1275"/>
      <c r="R60" s="1275"/>
      <c r="S60" s="1275"/>
      <c r="T60" s="1275"/>
      <c r="U60" s="1275"/>
      <c r="V60" s="1275"/>
      <c r="W60" s="1275"/>
      <c r="X60" s="1275"/>
      <c r="Y60" s="1275"/>
      <c r="Z60" s="1275"/>
      <c r="AA60" s="1275"/>
      <c r="AB60" s="1275"/>
      <c r="AC60" s="1275"/>
      <c r="AD60" s="1275"/>
      <c r="AE60" s="1275"/>
      <c r="AF60" s="1275"/>
      <c r="AG60" s="1275"/>
      <c r="AH60" s="1275"/>
      <c r="AI60" s="1275"/>
      <c r="AJ60" s="1275"/>
      <c r="AK60" s="1275"/>
      <c r="AL60" s="1275"/>
      <c r="AM60" s="1275"/>
      <c r="AN60" s="1275"/>
      <c r="AO60" s="1275"/>
      <c r="AP60" s="1275"/>
      <c r="AQ60" s="1275"/>
      <c r="AR60" s="1275"/>
      <c r="AS60" s="1275"/>
      <c r="AT60" s="1275"/>
      <c r="AU60" s="20"/>
      <c r="AV60" s="20"/>
      <c r="AW60" s="20"/>
      <c r="AX60" s="20"/>
      <c r="AY60" s="20"/>
      <c r="AZ60" s="20"/>
    </row>
    <row r="61" spans="1:52" ht="12.95" customHeight="1">
      <c r="A61" s="1275"/>
      <c r="B61" s="1275"/>
      <c r="C61" s="1275"/>
      <c r="D61" s="1275"/>
      <c r="E61" s="1275"/>
      <c r="F61" s="1275"/>
      <c r="G61" s="1275"/>
      <c r="H61" s="1275"/>
      <c r="I61" s="1275"/>
      <c r="J61" s="1275"/>
      <c r="K61" s="1275"/>
      <c r="L61" s="1275"/>
      <c r="M61" s="1275"/>
      <c r="N61" s="1275"/>
      <c r="O61" s="1275"/>
      <c r="P61" s="1275"/>
      <c r="Q61" s="1275"/>
      <c r="R61" s="1275"/>
      <c r="S61" s="1275"/>
      <c r="T61" s="1275"/>
      <c r="U61" s="1275"/>
      <c r="V61" s="1275"/>
      <c r="W61" s="1275"/>
      <c r="X61" s="1275"/>
      <c r="Y61" s="1275"/>
      <c r="Z61" s="1275"/>
      <c r="AA61" s="1275"/>
      <c r="AB61" s="1275"/>
      <c r="AC61" s="1275"/>
      <c r="AD61" s="1275"/>
      <c r="AE61" s="1275"/>
      <c r="AF61" s="1275"/>
      <c r="AG61" s="1275"/>
      <c r="AH61" s="1275"/>
      <c r="AI61" s="1275"/>
      <c r="AJ61" s="1275"/>
      <c r="AK61" s="1275"/>
      <c r="AL61" s="1275"/>
      <c r="AM61" s="1275"/>
      <c r="AN61" s="1275"/>
      <c r="AO61" s="1275"/>
      <c r="AP61" s="1275"/>
      <c r="AQ61" s="1275"/>
      <c r="AR61" s="1275"/>
      <c r="AS61" s="1275"/>
      <c r="AT61" s="1275"/>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2519</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508" t="s">
        <v>2520</v>
      </c>
      <c r="B65" s="1508"/>
      <c r="C65" s="1508"/>
      <c r="D65" s="1508"/>
      <c r="E65" s="1508"/>
      <c r="F65" s="1508"/>
      <c r="G65" s="1508"/>
      <c r="H65" s="1508"/>
      <c r="I65" s="1508"/>
      <c r="J65" s="1508"/>
      <c r="K65" s="1508"/>
      <c r="L65" s="1508"/>
      <c r="M65" s="1508"/>
      <c r="N65" s="1508"/>
      <c r="O65" s="1508"/>
      <c r="P65" s="1508"/>
      <c r="Q65" s="1508"/>
      <c r="R65" s="1508"/>
      <c r="S65" s="1508"/>
      <c r="T65" s="1508"/>
      <c r="U65" s="1508"/>
      <c r="V65" s="1508"/>
      <c r="W65" s="1508"/>
      <c r="X65" s="1508"/>
      <c r="Y65" s="1508"/>
      <c r="Z65" s="1508"/>
      <c r="AA65" s="1508"/>
      <c r="AB65" s="1508"/>
      <c r="AC65" s="1508"/>
      <c r="AD65" s="1508"/>
      <c r="AE65" s="1508"/>
      <c r="AF65" s="1508"/>
      <c r="AG65" s="1508"/>
      <c r="AH65" s="1508"/>
      <c r="AI65" s="1508"/>
      <c r="AJ65" s="1508"/>
      <c r="AK65" s="1508"/>
      <c r="AL65" s="1508"/>
      <c r="AM65" s="1508"/>
      <c r="AN65" s="1508"/>
      <c r="AO65" s="1508"/>
      <c r="AP65" s="1508"/>
      <c r="AQ65" s="1508"/>
      <c r="AR65" s="1508"/>
      <c r="AS65" s="1508"/>
      <c r="AT65" s="1508"/>
      <c r="AU65" s="21"/>
      <c r="AV65" s="21"/>
      <c r="AW65" s="21"/>
      <c r="AX65" s="21"/>
      <c r="AY65" s="21"/>
      <c r="AZ65" s="20"/>
    </row>
    <row r="66" spans="1:52" ht="12.95" customHeight="1">
      <c r="A66" s="1508"/>
      <c r="B66" s="1508"/>
      <c r="C66" s="1508"/>
      <c r="D66" s="1508"/>
      <c r="E66" s="1508"/>
      <c r="F66" s="1508"/>
      <c r="G66" s="1508"/>
      <c r="H66" s="1508"/>
      <c r="I66" s="1508"/>
      <c r="J66" s="1508"/>
      <c r="K66" s="1508"/>
      <c r="L66" s="1508"/>
      <c r="M66" s="1508"/>
      <c r="N66" s="1508"/>
      <c r="O66" s="1508"/>
      <c r="P66" s="1508"/>
      <c r="Q66" s="1508"/>
      <c r="R66" s="1508"/>
      <c r="S66" s="1508"/>
      <c r="T66" s="1508"/>
      <c r="U66" s="1508"/>
      <c r="V66" s="1508"/>
      <c r="W66" s="1508"/>
      <c r="X66" s="1508"/>
      <c r="Y66" s="1508"/>
      <c r="Z66" s="1508"/>
      <c r="AA66" s="1508"/>
      <c r="AB66" s="1508"/>
      <c r="AC66" s="1508"/>
      <c r="AD66" s="1508"/>
      <c r="AE66" s="1508"/>
      <c r="AF66" s="1508"/>
      <c r="AG66" s="1508"/>
      <c r="AH66" s="1508"/>
      <c r="AI66" s="1508"/>
      <c r="AJ66" s="1508"/>
      <c r="AK66" s="1508"/>
      <c r="AL66" s="1508"/>
      <c r="AM66" s="1508"/>
      <c r="AN66" s="1508"/>
      <c r="AO66" s="1508"/>
      <c r="AP66" s="1508"/>
      <c r="AQ66" s="1508"/>
      <c r="AR66" s="1508"/>
      <c r="AS66" s="1508"/>
      <c r="AT66" s="1508"/>
      <c r="AU66" s="21"/>
      <c r="AV66" s="21"/>
      <c r="AW66" s="21"/>
      <c r="AX66" s="21"/>
      <c r="AY66" s="21"/>
      <c r="AZ66" s="20"/>
    </row>
    <row r="67" spans="1:52" ht="12.95" customHeight="1">
      <c r="A67" s="1508"/>
      <c r="B67" s="1508"/>
      <c r="C67" s="1508"/>
      <c r="D67" s="1508"/>
      <c r="E67" s="1508"/>
      <c r="F67" s="1508"/>
      <c r="G67" s="1508"/>
      <c r="H67" s="1508"/>
      <c r="I67" s="1508"/>
      <c r="J67" s="1508"/>
      <c r="K67" s="1508"/>
      <c r="L67" s="1508"/>
      <c r="M67" s="1508"/>
      <c r="N67" s="1508"/>
      <c r="O67" s="1508"/>
      <c r="P67" s="1508"/>
      <c r="Q67" s="1508"/>
      <c r="R67" s="1508"/>
      <c r="S67" s="1508"/>
      <c r="T67" s="1508"/>
      <c r="U67" s="1508"/>
      <c r="V67" s="1508"/>
      <c r="W67" s="1508"/>
      <c r="X67" s="1508"/>
      <c r="Y67" s="1508"/>
      <c r="Z67" s="1508"/>
      <c r="AA67" s="1508"/>
      <c r="AB67" s="1508"/>
      <c r="AC67" s="1508"/>
      <c r="AD67" s="1508"/>
      <c r="AE67" s="1508"/>
      <c r="AF67" s="1508"/>
      <c r="AG67" s="1508"/>
      <c r="AH67" s="1508"/>
      <c r="AI67" s="1508"/>
      <c r="AJ67" s="1508"/>
      <c r="AK67" s="1508"/>
      <c r="AL67" s="1508"/>
      <c r="AM67" s="1508"/>
      <c r="AN67" s="1508"/>
      <c r="AO67" s="1508"/>
      <c r="AP67" s="1508"/>
      <c r="AQ67" s="1508"/>
      <c r="AR67" s="1508"/>
      <c r="AS67" s="1508"/>
      <c r="AT67" s="1508"/>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508" t="s">
        <v>2521</v>
      </c>
      <c r="B69" s="1508"/>
      <c r="C69" s="1508"/>
      <c r="D69" s="1508"/>
      <c r="E69" s="1508"/>
      <c r="F69" s="1508"/>
      <c r="G69" s="1508"/>
      <c r="H69" s="1508"/>
      <c r="I69" s="1508"/>
      <c r="J69" s="1508"/>
      <c r="K69" s="1508"/>
      <c r="L69" s="1508"/>
      <c r="M69" s="1508"/>
      <c r="N69" s="1508"/>
      <c r="O69" s="1508"/>
      <c r="P69" s="1508"/>
      <c r="Q69" s="1508"/>
      <c r="R69" s="1508"/>
      <c r="S69" s="1508"/>
      <c r="T69" s="1508"/>
      <c r="U69" s="1508"/>
      <c r="V69" s="1508"/>
      <c r="W69" s="1508"/>
      <c r="X69" s="1508"/>
      <c r="Y69" s="1508"/>
      <c r="Z69" s="1508"/>
      <c r="AA69" s="1508"/>
      <c r="AB69" s="1508"/>
      <c r="AC69" s="1508"/>
      <c r="AD69" s="1508"/>
      <c r="AE69" s="1508"/>
      <c r="AF69" s="1508"/>
      <c r="AG69" s="1508"/>
      <c r="AH69" s="1508"/>
      <c r="AI69" s="1508"/>
      <c r="AJ69" s="1508"/>
      <c r="AK69" s="1508"/>
      <c r="AL69" s="1508"/>
      <c r="AM69" s="1508"/>
      <c r="AN69" s="1508"/>
      <c r="AO69" s="1508"/>
      <c r="AP69" s="1508"/>
      <c r="AQ69" s="1508"/>
      <c r="AR69" s="1508"/>
      <c r="AS69" s="1508"/>
      <c r="AT69" s="1508"/>
      <c r="AZ69" s="20"/>
    </row>
    <row r="70" spans="1:52" ht="12.95" customHeight="1">
      <c r="A70" s="1508"/>
      <c r="B70" s="1508"/>
      <c r="C70" s="1508"/>
      <c r="D70" s="1508"/>
      <c r="E70" s="1508"/>
      <c r="F70" s="1508"/>
      <c r="G70" s="1508"/>
      <c r="H70" s="1508"/>
      <c r="I70" s="1508"/>
      <c r="J70" s="1508"/>
      <c r="K70" s="1508"/>
      <c r="L70" s="1508"/>
      <c r="M70" s="1508"/>
      <c r="N70" s="1508"/>
      <c r="O70" s="1508"/>
      <c r="P70" s="1508"/>
      <c r="Q70" s="1508"/>
      <c r="R70" s="1508"/>
      <c r="S70" s="1508"/>
      <c r="T70" s="1508"/>
      <c r="U70" s="1508"/>
      <c r="V70" s="1508"/>
      <c r="W70" s="1508"/>
      <c r="X70" s="1508"/>
      <c r="Y70" s="1508"/>
      <c r="Z70" s="1508"/>
      <c r="AA70" s="1508"/>
      <c r="AB70" s="1508"/>
      <c r="AC70" s="1508"/>
      <c r="AD70" s="1508"/>
      <c r="AE70" s="1508"/>
      <c r="AF70" s="1508"/>
      <c r="AG70" s="1508"/>
      <c r="AH70" s="1508"/>
      <c r="AI70" s="1508"/>
      <c r="AJ70" s="1508"/>
      <c r="AK70" s="1508"/>
      <c r="AL70" s="1508"/>
      <c r="AM70" s="1508"/>
      <c r="AN70" s="1508"/>
      <c r="AO70" s="1508"/>
      <c r="AP70" s="1508"/>
      <c r="AQ70" s="1508"/>
      <c r="AR70" s="1508"/>
      <c r="AS70" s="1508"/>
      <c r="AT70" s="1508"/>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506" t="s">
        <v>2522</v>
      </c>
      <c r="B72" s="1506"/>
      <c r="C72" s="1506"/>
      <c r="D72" s="1506"/>
      <c r="E72" s="1506"/>
      <c r="F72" s="1506"/>
      <c r="G72" s="1506"/>
      <c r="H72" s="1506"/>
      <c r="I72" s="1506"/>
      <c r="J72" s="1506"/>
      <c r="K72" s="1506"/>
      <c r="L72" s="1506"/>
      <c r="M72" s="1506"/>
      <c r="N72" s="1506"/>
      <c r="O72" s="1506"/>
      <c r="P72" s="1506"/>
      <c r="Q72" s="1506"/>
      <c r="R72" s="1506"/>
      <c r="S72" s="1506"/>
      <c r="T72" s="1506"/>
      <c r="U72" s="1506"/>
      <c r="V72" s="1506"/>
      <c r="W72" s="1506"/>
      <c r="X72" s="1506"/>
      <c r="Y72" s="1506"/>
      <c r="Z72" s="1506"/>
      <c r="AA72" s="1506"/>
      <c r="AB72" s="1506"/>
      <c r="AC72" s="1506"/>
      <c r="AD72" s="1506"/>
      <c r="AE72" s="1506"/>
      <c r="AF72" s="1506"/>
      <c r="AG72" s="1506"/>
      <c r="AH72" s="1506"/>
      <c r="AI72" s="1506"/>
      <c r="AJ72" s="1506"/>
      <c r="AK72" s="1506"/>
      <c r="AL72" s="1506"/>
      <c r="AM72" s="1506"/>
      <c r="AN72" s="1506"/>
      <c r="AO72" s="1506"/>
      <c r="AP72" s="1506"/>
      <c r="AQ72" s="1506"/>
      <c r="AR72" s="1506"/>
      <c r="AS72" s="1506"/>
      <c r="AT72" s="1506"/>
      <c r="AU72" s="20"/>
      <c r="AV72" s="20"/>
      <c r="AW72" s="20"/>
      <c r="AX72" s="20"/>
      <c r="AY72" s="20"/>
      <c r="AZ72" s="20"/>
    </row>
    <row r="73" spans="1:52" ht="12.95" customHeight="1">
      <c r="A73" s="1506"/>
      <c r="B73" s="1506"/>
      <c r="C73" s="1506"/>
      <c r="D73" s="1506"/>
      <c r="E73" s="1506"/>
      <c r="F73" s="1506"/>
      <c r="G73" s="1506"/>
      <c r="H73" s="1506"/>
      <c r="I73" s="1506"/>
      <c r="J73" s="1506"/>
      <c r="K73" s="1506"/>
      <c r="L73" s="1506"/>
      <c r="M73" s="1506"/>
      <c r="N73" s="1506"/>
      <c r="O73" s="1506"/>
      <c r="P73" s="1506"/>
      <c r="Q73" s="1506"/>
      <c r="R73" s="1506"/>
      <c r="S73" s="1506"/>
      <c r="T73" s="1506"/>
      <c r="U73" s="1506"/>
      <c r="V73" s="1506"/>
      <c r="W73" s="1506"/>
      <c r="X73" s="1506"/>
      <c r="Y73" s="1506"/>
      <c r="Z73" s="1506"/>
      <c r="AA73" s="1506"/>
      <c r="AB73" s="1506"/>
      <c r="AC73" s="1506"/>
      <c r="AD73" s="1506"/>
      <c r="AE73" s="1506"/>
      <c r="AF73" s="1506"/>
      <c r="AG73" s="1506"/>
      <c r="AH73" s="1506"/>
      <c r="AI73" s="1506"/>
      <c r="AJ73" s="1506"/>
      <c r="AK73" s="1506"/>
      <c r="AL73" s="1506"/>
      <c r="AM73" s="1506"/>
      <c r="AN73" s="1506"/>
      <c r="AO73" s="1506"/>
      <c r="AP73" s="1506"/>
      <c r="AQ73" s="1506"/>
      <c r="AR73" s="1506"/>
      <c r="AS73" s="1506"/>
      <c r="AT73" s="1506"/>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839" t="s">
        <v>2523</v>
      </c>
      <c r="B75" s="1839"/>
      <c r="C75" s="1839"/>
      <c r="D75" s="1839"/>
      <c r="E75" s="1839"/>
      <c r="F75" s="1839"/>
      <c r="G75" s="1839"/>
      <c r="H75" s="1839"/>
      <c r="I75" s="1839"/>
      <c r="J75" s="1839"/>
      <c r="K75" s="1839"/>
      <c r="L75" s="1839"/>
      <c r="M75" s="1839"/>
      <c r="N75" s="1839"/>
      <c r="O75" s="1839"/>
      <c r="P75" s="1839"/>
      <c r="Q75" s="1839"/>
      <c r="R75" s="1839"/>
      <c r="S75" s="1839"/>
      <c r="T75" s="1839"/>
      <c r="U75" s="1839"/>
      <c r="V75" s="1839"/>
      <c r="W75" s="1839"/>
      <c r="X75" s="1839"/>
      <c r="Y75" s="1839"/>
      <c r="Z75" s="1839"/>
      <c r="AA75" s="1839"/>
      <c r="AB75" s="1839"/>
      <c r="AC75" s="1839"/>
      <c r="AD75" s="1839"/>
      <c r="AE75" s="1839"/>
      <c r="AF75" s="1839"/>
      <c r="AG75" s="1839"/>
      <c r="AH75" s="1839"/>
      <c r="AI75" s="1839"/>
      <c r="AJ75" s="1839"/>
      <c r="AK75" s="1839"/>
      <c r="AL75" s="1839"/>
      <c r="AM75" s="1839"/>
      <c r="AN75" s="1839"/>
      <c r="AO75" s="1839"/>
      <c r="AP75" s="1839"/>
      <c r="AQ75" s="1839"/>
      <c r="AR75" s="1839"/>
      <c r="AS75" s="1839"/>
      <c r="AT75" s="1839"/>
      <c r="AU75" s="20"/>
      <c r="AV75" s="20"/>
      <c r="AW75" s="20"/>
      <c r="AX75" s="20"/>
      <c r="AY75" s="20"/>
      <c r="AZ75" s="20"/>
    </row>
    <row r="76" spans="1:52" ht="12.95" customHeight="1">
      <c r="A76" s="1839"/>
      <c r="B76" s="1839"/>
      <c r="C76" s="1839"/>
      <c r="D76" s="1839"/>
      <c r="E76" s="1839"/>
      <c r="F76" s="1839"/>
      <c r="G76" s="1839"/>
      <c r="H76" s="1839"/>
      <c r="I76" s="1839"/>
      <c r="J76" s="1839"/>
      <c r="K76" s="1839"/>
      <c r="L76" s="1839"/>
      <c r="M76" s="1839"/>
      <c r="N76" s="1839"/>
      <c r="O76" s="1839"/>
      <c r="P76" s="1839"/>
      <c r="Q76" s="1839"/>
      <c r="R76" s="1839"/>
      <c r="S76" s="1839"/>
      <c r="T76" s="1839"/>
      <c r="U76" s="1839"/>
      <c r="V76" s="1839"/>
      <c r="W76" s="1839"/>
      <c r="X76" s="1839"/>
      <c r="Y76" s="1839"/>
      <c r="Z76" s="1839"/>
      <c r="AA76" s="1839"/>
      <c r="AB76" s="1839"/>
      <c r="AC76" s="1839"/>
      <c r="AD76" s="1839"/>
      <c r="AE76" s="1839"/>
      <c r="AF76" s="1839"/>
      <c r="AG76" s="1839"/>
      <c r="AH76" s="1839"/>
      <c r="AI76" s="1839"/>
      <c r="AJ76" s="1839"/>
      <c r="AK76" s="1839"/>
      <c r="AL76" s="1839"/>
      <c r="AM76" s="1839"/>
      <c r="AN76" s="1839"/>
      <c r="AO76" s="1839"/>
      <c r="AP76" s="1839"/>
      <c r="AQ76" s="1839"/>
      <c r="AR76" s="1839"/>
      <c r="AS76" s="1839"/>
      <c r="AT76" s="1839"/>
      <c r="AU76" s="20"/>
      <c r="AV76" s="20"/>
      <c r="AW76" s="20"/>
      <c r="AX76" s="20"/>
      <c r="AY76" s="20"/>
      <c r="AZ76" s="17"/>
    </row>
    <row r="77" spans="1:52" ht="12.95" customHeight="1">
      <c r="A77" s="1839"/>
      <c r="B77" s="1839"/>
      <c r="C77" s="1839"/>
      <c r="D77" s="1839"/>
      <c r="E77" s="1839"/>
      <c r="F77" s="1839"/>
      <c r="G77" s="1839"/>
      <c r="H77" s="1839"/>
      <c r="I77" s="1839"/>
      <c r="J77" s="1839"/>
      <c r="K77" s="1839"/>
      <c r="L77" s="1839"/>
      <c r="M77" s="1839"/>
      <c r="N77" s="1839"/>
      <c r="O77" s="1839"/>
      <c r="P77" s="1839"/>
      <c r="Q77" s="1839"/>
      <c r="R77" s="1839"/>
      <c r="S77" s="1839"/>
      <c r="T77" s="1839"/>
      <c r="U77" s="1839"/>
      <c r="V77" s="1839"/>
      <c r="W77" s="1839"/>
      <c r="X77" s="1839"/>
      <c r="Y77" s="1839"/>
      <c r="Z77" s="1839"/>
      <c r="AA77" s="1839"/>
      <c r="AB77" s="1839"/>
      <c r="AC77" s="1839"/>
      <c r="AD77" s="1839"/>
      <c r="AE77" s="1839"/>
      <c r="AF77" s="1839"/>
      <c r="AG77" s="1839"/>
      <c r="AH77" s="1839"/>
      <c r="AI77" s="1839"/>
      <c r="AJ77" s="1839"/>
      <c r="AK77" s="1839"/>
      <c r="AL77" s="1839"/>
      <c r="AM77" s="1839"/>
      <c r="AN77" s="1839"/>
      <c r="AO77" s="1839"/>
      <c r="AP77" s="1839"/>
      <c r="AQ77" s="1839"/>
      <c r="AR77" s="1839"/>
      <c r="AS77" s="1839"/>
      <c r="AT77" s="1839"/>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508" t="s">
        <v>2524</v>
      </c>
      <c r="B79" s="1508"/>
      <c r="C79" s="1508"/>
      <c r="D79" s="1508"/>
      <c r="E79" s="1508"/>
      <c r="F79" s="1508"/>
      <c r="G79" s="1508"/>
      <c r="H79" s="1508"/>
      <c r="I79" s="1508"/>
      <c r="J79" s="1508"/>
      <c r="K79" s="1508"/>
      <c r="L79" s="1508"/>
      <c r="M79" s="1508"/>
      <c r="N79" s="1508"/>
      <c r="O79" s="1508"/>
      <c r="P79" s="1508"/>
      <c r="Q79" s="1508"/>
      <c r="R79" s="1508"/>
      <c r="S79" s="1508"/>
      <c r="T79" s="1508"/>
      <c r="U79" s="1508"/>
      <c r="V79" s="1508"/>
      <c r="W79" s="1508"/>
      <c r="X79" s="1508"/>
      <c r="Y79" s="1508"/>
      <c r="Z79" s="1508"/>
      <c r="AA79" s="1508"/>
      <c r="AB79" s="1508"/>
      <c r="AC79" s="1508"/>
      <c r="AD79" s="1508"/>
      <c r="AE79" s="1508"/>
      <c r="AF79" s="1508"/>
      <c r="AG79" s="1508"/>
      <c r="AH79" s="1508"/>
      <c r="AI79" s="1508"/>
      <c r="AJ79" s="1508"/>
      <c r="AK79" s="1508"/>
      <c r="AL79" s="1508"/>
      <c r="AM79" s="1508"/>
      <c r="AN79" s="1508"/>
      <c r="AO79" s="1508"/>
      <c r="AP79" s="1508"/>
      <c r="AQ79" s="1508"/>
      <c r="AR79" s="1508"/>
      <c r="AS79" s="1508"/>
      <c r="AT79" s="1508"/>
      <c r="AU79" s="20"/>
      <c r="AV79" s="20"/>
      <c r="AW79" s="20"/>
      <c r="AX79" s="20"/>
      <c r="AY79" s="20"/>
      <c r="AZ79" s="20"/>
    </row>
    <row r="80" spans="1:52" ht="12.95" customHeight="1">
      <c r="A80" s="1508"/>
      <c r="B80" s="1508"/>
      <c r="C80" s="1508"/>
      <c r="D80" s="1508"/>
      <c r="E80" s="1508"/>
      <c r="F80" s="1508"/>
      <c r="G80" s="1508"/>
      <c r="H80" s="1508"/>
      <c r="I80" s="1508"/>
      <c r="J80" s="1508"/>
      <c r="K80" s="1508"/>
      <c r="L80" s="1508"/>
      <c r="M80" s="1508"/>
      <c r="N80" s="1508"/>
      <c r="O80" s="1508"/>
      <c r="P80" s="1508"/>
      <c r="Q80" s="1508"/>
      <c r="R80" s="1508"/>
      <c r="S80" s="1508"/>
      <c r="T80" s="1508"/>
      <c r="U80" s="1508"/>
      <c r="V80" s="1508"/>
      <c r="W80" s="1508"/>
      <c r="X80" s="1508"/>
      <c r="Y80" s="1508"/>
      <c r="Z80" s="1508"/>
      <c r="AA80" s="1508"/>
      <c r="AB80" s="1508"/>
      <c r="AC80" s="1508"/>
      <c r="AD80" s="1508"/>
      <c r="AE80" s="1508"/>
      <c r="AF80" s="1508"/>
      <c r="AG80" s="1508"/>
      <c r="AH80" s="1508"/>
      <c r="AI80" s="1508"/>
      <c r="AJ80" s="1508"/>
      <c r="AK80" s="1508"/>
      <c r="AL80" s="1508"/>
      <c r="AM80" s="1508"/>
      <c r="AN80" s="1508"/>
      <c r="AO80" s="1508"/>
      <c r="AP80" s="1508"/>
      <c r="AQ80" s="1508"/>
      <c r="AR80" s="1508"/>
      <c r="AS80" s="1508"/>
      <c r="AT80" s="1508"/>
      <c r="AU80" s="20"/>
      <c r="AV80" s="20"/>
      <c r="AW80" s="20"/>
      <c r="AX80" s="20"/>
      <c r="AY80" s="20"/>
      <c r="AZ80" s="20"/>
    </row>
    <row r="81" spans="1:52" ht="12.95" customHeight="1">
      <c r="A81" s="1508"/>
      <c r="B81" s="1508"/>
      <c r="C81" s="1508"/>
      <c r="D81" s="1508"/>
      <c r="E81" s="1508"/>
      <c r="F81" s="1508"/>
      <c r="G81" s="1508"/>
      <c r="H81" s="1508"/>
      <c r="I81" s="1508"/>
      <c r="J81" s="1508"/>
      <c r="K81" s="1508"/>
      <c r="L81" s="1508"/>
      <c r="M81" s="1508"/>
      <c r="N81" s="1508"/>
      <c r="O81" s="1508"/>
      <c r="P81" s="1508"/>
      <c r="Q81" s="1508"/>
      <c r="R81" s="1508"/>
      <c r="S81" s="1508"/>
      <c r="T81" s="1508"/>
      <c r="U81" s="1508"/>
      <c r="V81" s="1508"/>
      <c r="W81" s="1508"/>
      <c r="X81" s="1508"/>
      <c r="Y81" s="1508"/>
      <c r="Z81" s="1508"/>
      <c r="AA81" s="1508"/>
      <c r="AB81" s="1508"/>
      <c r="AC81" s="1508"/>
      <c r="AD81" s="1508"/>
      <c r="AE81" s="1508"/>
      <c r="AF81" s="1508"/>
      <c r="AG81" s="1508"/>
      <c r="AH81" s="1508"/>
      <c r="AI81" s="1508"/>
      <c r="AJ81" s="1508"/>
      <c r="AK81" s="1508"/>
      <c r="AL81" s="1508"/>
      <c r="AM81" s="1508"/>
      <c r="AN81" s="1508"/>
      <c r="AO81" s="1508"/>
      <c r="AP81" s="1508"/>
      <c r="AQ81" s="1508"/>
      <c r="AR81" s="1508"/>
      <c r="AS81" s="1508"/>
      <c r="AT81" s="1508"/>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75" t="s">
        <v>2525</v>
      </c>
      <c r="B83" s="1275"/>
      <c r="C83" s="1275"/>
      <c r="D83" s="1275"/>
      <c r="E83" s="1275"/>
      <c r="F83" s="1275"/>
      <c r="G83" s="1275"/>
      <c r="H83" s="1275"/>
      <c r="I83" s="1275"/>
      <c r="J83" s="1275"/>
      <c r="K83" s="1275"/>
      <c r="L83" s="1275"/>
      <c r="M83" s="1275"/>
      <c r="N83" s="1275"/>
      <c r="O83" s="1275"/>
      <c r="P83" s="1275"/>
      <c r="Q83" s="1275"/>
      <c r="R83" s="1275"/>
      <c r="S83" s="1275"/>
      <c r="T83" s="1275"/>
      <c r="U83" s="1275"/>
      <c r="V83" s="1275"/>
      <c r="W83" s="1275"/>
      <c r="X83" s="1275"/>
      <c r="Y83" s="1275"/>
      <c r="Z83" s="1275"/>
      <c r="AA83" s="1275"/>
      <c r="AB83" s="1275"/>
      <c r="AC83" s="1275"/>
      <c r="AD83" s="1275"/>
      <c r="AE83" s="1275"/>
      <c r="AF83" s="1275"/>
      <c r="AG83" s="1275"/>
      <c r="AH83" s="1275"/>
      <c r="AI83" s="1275"/>
      <c r="AJ83" s="1275"/>
      <c r="AK83" s="1275"/>
      <c r="AL83" s="1275"/>
      <c r="AM83" s="1275"/>
      <c r="AN83" s="1275"/>
      <c r="AO83" s="1275"/>
      <c r="AP83" s="1275"/>
      <c r="AQ83" s="1275"/>
      <c r="AR83" s="1275"/>
      <c r="AS83" s="1275"/>
      <c r="AT83" s="1275"/>
      <c r="AU83" s="20"/>
      <c r="AV83" s="20"/>
      <c r="AW83" s="20"/>
      <c r="AX83" s="20"/>
      <c r="AY83" s="20"/>
      <c r="AZ83" s="20"/>
    </row>
    <row r="84" spans="1:52" ht="12.95" customHeight="1">
      <c r="A84" s="1275"/>
      <c r="B84" s="1275"/>
      <c r="C84" s="1275"/>
      <c r="D84" s="1275"/>
      <c r="E84" s="1275"/>
      <c r="F84" s="1275"/>
      <c r="G84" s="1275"/>
      <c r="H84" s="1275"/>
      <c r="I84" s="1275"/>
      <c r="J84" s="1275"/>
      <c r="K84" s="1275"/>
      <c r="L84" s="1275"/>
      <c r="M84" s="1275"/>
      <c r="N84" s="1275"/>
      <c r="O84" s="1275"/>
      <c r="P84" s="1275"/>
      <c r="Q84" s="1275"/>
      <c r="R84" s="1275"/>
      <c r="S84" s="1275"/>
      <c r="T84" s="1275"/>
      <c r="U84" s="1275"/>
      <c r="V84" s="1275"/>
      <c r="W84" s="1275"/>
      <c r="X84" s="1275"/>
      <c r="Y84" s="1275"/>
      <c r="Z84" s="1275"/>
      <c r="AA84" s="1275"/>
      <c r="AB84" s="1275"/>
      <c r="AC84" s="1275"/>
      <c r="AD84" s="1275"/>
      <c r="AE84" s="1275"/>
      <c r="AF84" s="1275"/>
      <c r="AG84" s="1275"/>
      <c r="AH84" s="1275"/>
      <c r="AI84" s="1275"/>
      <c r="AJ84" s="1275"/>
      <c r="AK84" s="1275"/>
      <c r="AL84" s="1275"/>
      <c r="AM84" s="1275"/>
      <c r="AN84" s="1275"/>
      <c r="AO84" s="1275"/>
      <c r="AP84" s="1275"/>
      <c r="AQ84" s="1275"/>
      <c r="AR84" s="1275"/>
      <c r="AS84" s="1275"/>
      <c r="AT84" s="1275"/>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75" t="s">
        <v>2526</v>
      </c>
      <c r="B86" s="1275"/>
      <c r="C86" s="1275"/>
      <c r="D86" s="1275"/>
      <c r="E86" s="1275"/>
      <c r="F86" s="1275"/>
      <c r="G86" s="1275"/>
      <c r="H86" s="1275"/>
      <c r="I86" s="1275"/>
      <c r="J86" s="1275"/>
      <c r="K86" s="1275"/>
      <c r="L86" s="1275"/>
      <c r="M86" s="1275"/>
      <c r="N86" s="1275"/>
      <c r="O86" s="1275"/>
      <c r="P86" s="1275"/>
      <c r="Q86" s="1275"/>
      <c r="R86" s="1275"/>
      <c r="S86" s="1275"/>
      <c r="T86" s="1275"/>
      <c r="U86" s="1275"/>
      <c r="V86" s="1275"/>
      <c r="W86" s="1275"/>
      <c r="X86" s="1275"/>
      <c r="Y86" s="1275"/>
      <c r="Z86" s="1275"/>
      <c r="AA86" s="1275"/>
      <c r="AB86" s="1275"/>
      <c r="AC86" s="1275"/>
      <c r="AD86" s="1275"/>
      <c r="AE86" s="1275"/>
      <c r="AF86" s="1275"/>
      <c r="AG86" s="1275"/>
      <c r="AH86" s="1275"/>
      <c r="AI86" s="1275"/>
      <c r="AJ86" s="1275"/>
      <c r="AK86" s="1275"/>
      <c r="AL86" s="1275"/>
      <c r="AM86" s="1275"/>
      <c r="AN86" s="1275"/>
      <c r="AO86" s="1275"/>
      <c r="AP86" s="1275"/>
      <c r="AQ86" s="1275"/>
      <c r="AR86" s="1275"/>
      <c r="AS86" s="1275"/>
      <c r="AT86" s="1275"/>
      <c r="AU86" s="20"/>
      <c r="AV86" s="20"/>
      <c r="AW86" s="20"/>
      <c r="AX86" s="20"/>
      <c r="AY86" s="20"/>
      <c r="AZ86" s="20"/>
    </row>
    <row r="87" spans="1:52" ht="12.95" customHeight="1">
      <c r="A87" s="1275"/>
      <c r="B87" s="1275"/>
      <c r="C87" s="1275"/>
      <c r="D87" s="1275"/>
      <c r="E87" s="1275"/>
      <c r="F87" s="1275"/>
      <c r="G87" s="1275"/>
      <c r="H87" s="1275"/>
      <c r="I87" s="1275"/>
      <c r="J87" s="1275"/>
      <c r="K87" s="1275"/>
      <c r="L87" s="1275"/>
      <c r="M87" s="1275"/>
      <c r="N87" s="1275"/>
      <c r="O87" s="1275"/>
      <c r="P87" s="1275"/>
      <c r="Q87" s="1275"/>
      <c r="R87" s="1275"/>
      <c r="S87" s="1275"/>
      <c r="T87" s="1275"/>
      <c r="U87" s="1275"/>
      <c r="V87" s="1275"/>
      <c r="W87" s="1275"/>
      <c r="X87" s="1275"/>
      <c r="Y87" s="1275"/>
      <c r="Z87" s="1275"/>
      <c r="AA87" s="1275"/>
      <c r="AB87" s="1275"/>
      <c r="AC87" s="1275"/>
      <c r="AD87" s="1275"/>
      <c r="AE87" s="1275"/>
      <c r="AF87" s="1275"/>
      <c r="AG87" s="1275"/>
      <c r="AH87" s="1275"/>
      <c r="AI87" s="1275"/>
      <c r="AJ87" s="1275"/>
      <c r="AK87" s="1275"/>
      <c r="AL87" s="1275"/>
      <c r="AM87" s="1275"/>
      <c r="AN87" s="1275"/>
      <c r="AO87" s="1275"/>
      <c r="AP87" s="1275"/>
      <c r="AQ87" s="1275"/>
      <c r="AR87" s="1275"/>
      <c r="AS87" s="1275"/>
      <c r="AT87" s="1275"/>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373" t="s">
        <v>2527</v>
      </c>
      <c r="B89" s="1373"/>
      <c r="C89" s="1373"/>
      <c r="D89" s="1373"/>
      <c r="E89" s="1373"/>
      <c r="F89" s="1373"/>
      <c r="G89" s="1373"/>
      <c r="H89" s="1373"/>
      <c r="I89" s="1373"/>
      <c r="J89" s="1373"/>
      <c r="K89" s="1373"/>
      <c r="L89" s="1373"/>
      <c r="M89" s="1373"/>
      <c r="N89" s="1373"/>
      <c r="O89" s="1373"/>
      <c r="P89" s="1373"/>
      <c r="Q89" s="1373"/>
      <c r="R89" s="1373"/>
      <c r="S89" s="1373"/>
      <c r="T89" s="1373"/>
      <c r="U89" s="1373"/>
      <c r="V89" s="1373"/>
      <c r="W89" s="1373"/>
      <c r="X89" s="1373"/>
      <c r="Y89" s="1373"/>
      <c r="Z89" s="1373"/>
      <c r="AA89" s="1373"/>
      <c r="AB89" s="1373"/>
      <c r="AC89" s="1373"/>
      <c r="AD89" s="1373"/>
      <c r="AE89" s="1373"/>
      <c r="AF89" s="1373"/>
      <c r="AG89" s="1373"/>
      <c r="AH89" s="1373"/>
      <c r="AI89" s="1373"/>
      <c r="AJ89" s="1373"/>
      <c r="AK89" s="1373"/>
      <c r="AL89" s="1373"/>
      <c r="AM89" s="1373"/>
      <c r="AN89" s="1373"/>
      <c r="AO89" s="1373"/>
      <c r="AP89" s="1373"/>
      <c r="AQ89" s="1373"/>
      <c r="AR89" s="1373"/>
      <c r="AS89" s="1373"/>
      <c r="AT89" s="1373"/>
      <c r="AU89" s="17"/>
      <c r="AV89" s="17"/>
      <c r="AW89" s="17"/>
      <c r="AX89" s="17"/>
      <c r="AY89" s="17"/>
      <c r="AZ89" s="20"/>
    </row>
    <row r="90" spans="1:52" ht="12.95" customHeight="1">
      <c r="A90" s="1373"/>
      <c r="B90" s="1373"/>
      <c r="C90" s="1373"/>
      <c r="D90" s="1373"/>
      <c r="E90" s="1373"/>
      <c r="F90" s="1373"/>
      <c r="G90" s="1373"/>
      <c r="H90" s="1373"/>
      <c r="I90" s="1373"/>
      <c r="J90" s="1373"/>
      <c r="K90" s="1373"/>
      <c r="L90" s="1373"/>
      <c r="M90" s="1373"/>
      <c r="N90" s="1373"/>
      <c r="O90" s="1373"/>
      <c r="P90" s="1373"/>
      <c r="Q90" s="1373"/>
      <c r="R90" s="1373"/>
      <c r="S90" s="1373"/>
      <c r="T90" s="1373"/>
      <c r="U90" s="1373"/>
      <c r="V90" s="1373"/>
      <c r="W90" s="1373"/>
      <c r="X90" s="1373"/>
      <c r="Y90" s="1373"/>
      <c r="Z90" s="1373"/>
      <c r="AA90" s="1373"/>
      <c r="AB90" s="1373"/>
      <c r="AC90" s="1373"/>
      <c r="AD90" s="1373"/>
      <c r="AE90" s="1373"/>
      <c r="AF90" s="1373"/>
      <c r="AG90" s="1373"/>
      <c r="AH90" s="1373"/>
      <c r="AI90" s="1373"/>
      <c r="AJ90" s="1373"/>
      <c r="AK90" s="1373"/>
      <c r="AL90" s="1373"/>
      <c r="AM90" s="1373"/>
      <c r="AN90" s="1373"/>
      <c r="AO90" s="1373"/>
      <c r="AP90" s="1373"/>
      <c r="AQ90" s="1373"/>
      <c r="AR90" s="1373"/>
      <c r="AS90" s="1373"/>
      <c r="AT90" s="1373"/>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839" t="s">
        <v>2528</v>
      </c>
      <c r="B92" s="1839"/>
      <c r="C92" s="1839"/>
      <c r="D92" s="1839"/>
      <c r="E92" s="1839"/>
      <c r="F92" s="1839"/>
      <c r="G92" s="1839"/>
      <c r="H92" s="1839"/>
      <c r="I92" s="1839"/>
      <c r="J92" s="1839"/>
      <c r="K92" s="1839"/>
      <c r="L92" s="1839"/>
      <c r="M92" s="1839"/>
      <c r="N92" s="1839"/>
      <c r="O92" s="1839"/>
      <c r="P92" s="1839"/>
      <c r="Q92" s="1839"/>
      <c r="R92" s="1839"/>
      <c r="S92" s="1839"/>
      <c r="T92" s="1839"/>
      <c r="U92" s="1839"/>
      <c r="V92" s="1839"/>
      <c r="W92" s="1839"/>
      <c r="X92" s="1839"/>
      <c r="Y92" s="1839"/>
      <c r="Z92" s="1839"/>
      <c r="AA92" s="1839"/>
      <c r="AB92" s="1839"/>
      <c r="AC92" s="1839"/>
      <c r="AD92" s="1839"/>
      <c r="AE92" s="1839"/>
      <c r="AF92" s="1839"/>
      <c r="AG92" s="1839"/>
      <c r="AH92" s="1839"/>
      <c r="AI92" s="1839"/>
      <c r="AJ92" s="1839"/>
      <c r="AK92" s="1839"/>
      <c r="AL92" s="1839"/>
      <c r="AM92" s="1839"/>
      <c r="AN92" s="1839"/>
      <c r="AO92" s="1839"/>
      <c r="AP92" s="1839"/>
      <c r="AQ92" s="1839"/>
      <c r="AR92" s="1839"/>
      <c r="AS92" s="1839"/>
      <c r="AT92" s="1839"/>
      <c r="AU92" s="20"/>
      <c r="AV92" s="20"/>
      <c r="AW92" s="20"/>
      <c r="AX92" s="20"/>
      <c r="AY92" s="20"/>
      <c r="AZ92" s="20"/>
    </row>
    <row r="93" spans="1:52" ht="12.95" customHeight="1">
      <c r="A93" s="1839"/>
      <c r="B93" s="1839"/>
      <c r="C93" s="1839"/>
      <c r="D93" s="1839"/>
      <c r="E93" s="1839"/>
      <c r="F93" s="1839"/>
      <c r="G93" s="1839"/>
      <c r="H93" s="1839"/>
      <c r="I93" s="1839"/>
      <c r="J93" s="1839"/>
      <c r="K93" s="1839"/>
      <c r="L93" s="1839"/>
      <c r="M93" s="1839"/>
      <c r="N93" s="1839"/>
      <c r="O93" s="1839"/>
      <c r="P93" s="1839"/>
      <c r="Q93" s="1839"/>
      <c r="R93" s="1839"/>
      <c r="S93" s="1839"/>
      <c r="T93" s="1839"/>
      <c r="U93" s="1839"/>
      <c r="V93" s="1839"/>
      <c r="W93" s="1839"/>
      <c r="X93" s="1839"/>
      <c r="Y93" s="1839"/>
      <c r="Z93" s="1839"/>
      <c r="AA93" s="1839"/>
      <c r="AB93" s="1839"/>
      <c r="AC93" s="1839"/>
      <c r="AD93" s="1839"/>
      <c r="AE93" s="1839"/>
      <c r="AF93" s="1839"/>
      <c r="AG93" s="1839"/>
      <c r="AH93" s="1839"/>
      <c r="AI93" s="1839"/>
      <c r="AJ93" s="1839"/>
      <c r="AK93" s="1839"/>
      <c r="AL93" s="1839"/>
      <c r="AM93" s="1839"/>
      <c r="AN93" s="1839"/>
      <c r="AO93" s="1839"/>
      <c r="AP93" s="1839"/>
      <c r="AQ93" s="1839"/>
      <c r="AR93" s="1839"/>
      <c r="AS93" s="1839"/>
      <c r="AT93" s="1839"/>
      <c r="AU93" s="20"/>
      <c r="AV93" s="20"/>
      <c r="AW93" s="20"/>
      <c r="AX93" s="20"/>
      <c r="AY93" s="20"/>
      <c r="AZ93" s="20"/>
    </row>
    <row r="94" spans="1:52" ht="12.95" customHeight="1">
      <c r="A94" s="1839"/>
      <c r="B94" s="1839"/>
      <c r="C94" s="1839"/>
      <c r="D94" s="1839"/>
      <c r="E94" s="1839"/>
      <c r="F94" s="1839"/>
      <c r="G94" s="1839"/>
      <c r="H94" s="1839"/>
      <c r="I94" s="1839"/>
      <c r="J94" s="1839"/>
      <c r="K94" s="1839"/>
      <c r="L94" s="1839"/>
      <c r="M94" s="1839"/>
      <c r="N94" s="1839"/>
      <c r="O94" s="1839"/>
      <c r="P94" s="1839"/>
      <c r="Q94" s="1839"/>
      <c r="R94" s="1839"/>
      <c r="S94" s="1839"/>
      <c r="T94" s="1839"/>
      <c r="U94" s="1839"/>
      <c r="V94" s="1839"/>
      <c r="W94" s="1839"/>
      <c r="X94" s="1839"/>
      <c r="Y94" s="1839"/>
      <c r="Z94" s="1839"/>
      <c r="AA94" s="1839"/>
      <c r="AB94" s="1839"/>
      <c r="AC94" s="1839"/>
      <c r="AD94" s="1839"/>
      <c r="AE94" s="1839"/>
      <c r="AF94" s="1839"/>
      <c r="AG94" s="1839"/>
      <c r="AH94" s="1839"/>
      <c r="AI94" s="1839"/>
      <c r="AJ94" s="1839"/>
      <c r="AK94" s="1839"/>
      <c r="AL94" s="1839"/>
      <c r="AM94" s="1839"/>
      <c r="AN94" s="1839"/>
      <c r="AO94" s="1839"/>
      <c r="AP94" s="1839"/>
      <c r="AQ94" s="1839"/>
      <c r="AR94" s="1839"/>
      <c r="AS94" s="1839"/>
      <c r="AT94" s="1839"/>
      <c r="AU94" s="20"/>
      <c r="AV94" s="20"/>
      <c r="AW94" s="20"/>
      <c r="AX94" s="20"/>
      <c r="AY94" s="20"/>
      <c r="AZ94" s="20"/>
    </row>
    <row r="95" spans="1:52" ht="12.95" customHeight="1">
      <c r="A95" s="1839"/>
      <c r="B95" s="1839"/>
      <c r="C95" s="1839"/>
      <c r="D95" s="1839"/>
      <c r="E95" s="1839"/>
      <c r="F95" s="1839"/>
      <c r="G95" s="1839"/>
      <c r="H95" s="1839"/>
      <c r="I95" s="1839"/>
      <c r="J95" s="1839"/>
      <c r="K95" s="1839"/>
      <c r="L95" s="1839"/>
      <c r="M95" s="1839"/>
      <c r="N95" s="1839"/>
      <c r="O95" s="1839"/>
      <c r="P95" s="1839"/>
      <c r="Q95" s="1839"/>
      <c r="R95" s="1839"/>
      <c r="S95" s="1839"/>
      <c r="T95" s="1839"/>
      <c r="U95" s="1839"/>
      <c r="V95" s="1839"/>
      <c r="W95" s="1839"/>
      <c r="X95" s="1839"/>
      <c r="Y95" s="1839"/>
      <c r="Z95" s="1839"/>
      <c r="AA95" s="1839"/>
      <c r="AB95" s="1839"/>
      <c r="AC95" s="1839"/>
      <c r="AD95" s="1839"/>
      <c r="AE95" s="1839"/>
      <c r="AF95" s="1839"/>
      <c r="AG95" s="1839"/>
      <c r="AH95" s="1839"/>
      <c r="AI95" s="1839"/>
      <c r="AJ95" s="1839"/>
      <c r="AK95" s="1839"/>
      <c r="AL95" s="1839"/>
      <c r="AM95" s="1839"/>
      <c r="AN95" s="1839"/>
      <c r="AO95" s="1839"/>
      <c r="AP95" s="1839"/>
      <c r="AQ95" s="1839"/>
      <c r="AR95" s="1839"/>
      <c r="AS95" s="1839"/>
      <c r="AT95" s="1839"/>
      <c r="AU95" s="20"/>
      <c r="AV95" s="20"/>
      <c r="AW95" s="20"/>
      <c r="AX95" s="20"/>
      <c r="AY95" s="20"/>
      <c r="AZ95" s="20"/>
    </row>
    <row r="96" spans="1:52" ht="12.95" customHeight="1">
      <c r="A96" s="1839"/>
      <c r="B96" s="1839"/>
      <c r="C96" s="1839"/>
      <c r="D96" s="1839"/>
      <c r="E96" s="1839"/>
      <c r="F96" s="1839"/>
      <c r="G96" s="1839"/>
      <c r="H96" s="1839"/>
      <c r="I96" s="1839"/>
      <c r="J96" s="1839"/>
      <c r="K96" s="1839"/>
      <c r="L96" s="1839"/>
      <c r="M96" s="1839"/>
      <c r="N96" s="1839"/>
      <c r="O96" s="1839"/>
      <c r="P96" s="1839"/>
      <c r="Q96" s="1839"/>
      <c r="R96" s="1839"/>
      <c r="S96" s="1839"/>
      <c r="T96" s="1839"/>
      <c r="U96" s="1839"/>
      <c r="V96" s="1839"/>
      <c r="W96" s="1839"/>
      <c r="X96" s="1839"/>
      <c r="Y96" s="1839"/>
      <c r="Z96" s="1839"/>
      <c r="AA96" s="1839"/>
      <c r="AB96" s="1839"/>
      <c r="AC96" s="1839"/>
      <c r="AD96" s="1839"/>
      <c r="AE96" s="1839"/>
      <c r="AF96" s="1839"/>
      <c r="AG96" s="1839"/>
      <c r="AH96" s="1839"/>
      <c r="AI96" s="1839"/>
      <c r="AJ96" s="1839"/>
      <c r="AK96" s="1839"/>
      <c r="AL96" s="1839"/>
      <c r="AM96" s="1839"/>
      <c r="AN96" s="1839"/>
      <c r="AO96" s="1839"/>
      <c r="AP96" s="1839"/>
      <c r="AQ96" s="1839"/>
      <c r="AR96" s="1839"/>
      <c r="AS96" s="1839"/>
      <c r="AT96" s="1839"/>
      <c r="AU96" s="20"/>
      <c r="AV96" s="20"/>
      <c r="AW96" s="20"/>
      <c r="AX96" s="20"/>
      <c r="AY96" s="20"/>
      <c r="AZ96" s="20"/>
    </row>
    <row r="97" spans="1:52" ht="12.95" customHeight="1">
      <c r="A97" s="1839"/>
      <c r="B97" s="1839"/>
      <c r="C97" s="1839"/>
      <c r="D97" s="1839"/>
      <c r="E97" s="1839"/>
      <c r="F97" s="1839"/>
      <c r="G97" s="1839"/>
      <c r="H97" s="1839"/>
      <c r="I97" s="1839"/>
      <c r="J97" s="1839"/>
      <c r="K97" s="1839"/>
      <c r="L97" s="1839"/>
      <c r="M97" s="1839"/>
      <c r="N97" s="1839"/>
      <c r="O97" s="1839"/>
      <c r="P97" s="1839"/>
      <c r="Q97" s="1839"/>
      <c r="R97" s="1839"/>
      <c r="S97" s="1839"/>
      <c r="T97" s="1839"/>
      <c r="U97" s="1839"/>
      <c r="V97" s="1839"/>
      <c r="W97" s="1839"/>
      <c r="X97" s="1839"/>
      <c r="Y97" s="1839"/>
      <c r="Z97" s="1839"/>
      <c r="AA97" s="1839"/>
      <c r="AB97" s="1839"/>
      <c r="AC97" s="1839"/>
      <c r="AD97" s="1839"/>
      <c r="AE97" s="1839"/>
      <c r="AF97" s="1839"/>
      <c r="AG97" s="1839"/>
      <c r="AH97" s="1839"/>
      <c r="AI97" s="1839"/>
      <c r="AJ97" s="1839"/>
      <c r="AK97" s="1839"/>
      <c r="AL97" s="1839"/>
      <c r="AM97" s="1839"/>
      <c r="AN97" s="1839"/>
      <c r="AO97" s="1839"/>
      <c r="AP97" s="1839"/>
      <c r="AQ97" s="1839"/>
      <c r="AR97" s="1839"/>
      <c r="AS97" s="1839"/>
      <c r="AT97" s="1839"/>
      <c r="AU97" s="20"/>
      <c r="AV97" s="20"/>
      <c r="AW97" s="20"/>
      <c r="AX97" s="20"/>
      <c r="AY97" s="20"/>
      <c r="AZ97" s="20"/>
    </row>
    <row r="98" spans="1:52" ht="12.95" customHeight="1">
      <c r="A98" s="1839"/>
      <c r="B98" s="1839"/>
      <c r="C98" s="1839"/>
      <c r="D98" s="1839"/>
      <c r="E98" s="1839"/>
      <c r="F98" s="1839"/>
      <c r="G98" s="1839"/>
      <c r="H98" s="1839"/>
      <c r="I98" s="1839"/>
      <c r="J98" s="1839"/>
      <c r="K98" s="1839"/>
      <c r="L98" s="1839"/>
      <c r="M98" s="1839"/>
      <c r="N98" s="1839"/>
      <c r="O98" s="1839"/>
      <c r="P98" s="1839"/>
      <c r="Q98" s="1839"/>
      <c r="R98" s="1839"/>
      <c r="S98" s="1839"/>
      <c r="T98" s="1839"/>
      <c r="U98" s="1839"/>
      <c r="V98" s="1839"/>
      <c r="W98" s="1839"/>
      <c r="X98" s="1839"/>
      <c r="Y98" s="1839"/>
      <c r="Z98" s="1839"/>
      <c r="AA98" s="1839"/>
      <c r="AB98" s="1839"/>
      <c r="AC98" s="1839"/>
      <c r="AD98" s="1839"/>
      <c r="AE98" s="1839"/>
      <c r="AF98" s="1839"/>
      <c r="AG98" s="1839"/>
      <c r="AH98" s="1839"/>
      <c r="AI98" s="1839"/>
      <c r="AJ98" s="1839"/>
      <c r="AK98" s="1839"/>
      <c r="AL98" s="1839"/>
      <c r="AM98" s="1839"/>
      <c r="AN98" s="1839"/>
      <c r="AO98" s="1839"/>
      <c r="AP98" s="1839"/>
      <c r="AQ98" s="1839"/>
      <c r="AR98" s="1839"/>
      <c r="AS98" s="1839"/>
      <c r="AT98" s="1839"/>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6" t="s">
        <v>2529</v>
      </c>
      <c r="B100" s="1306"/>
      <c r="C100" s="1306"/>
      <c r="D100" s="1306"/>
      <c r="E100" s="1306"/>
      <c r="F100" s="1306"/>
      <c r="G100" s="1306"/>
      <c r="H100" s="1306"/>
      <c r="I100" s="1306"/>
      <c r="J100" s="1306"/>
      <c r="K100" s="1306"/>
      <c r="L100" s="1306"/>
      <c r="M100" s="1306"/>
      <c r="N100" s="1306"/>
      <c r="O100" s="1306"/>
      <c r="P100" s="1306"/>
      <c r="Q100" s="1306"/>
      <c r="R100" s="1306"/>
      <c r="S100" s="1306"/>
      <c r="T100" s="1306"/>
      <c r="U100" s="1306"/>
      <c r="V100" s="1306"/>
      <c r="W100" s="1306"/>
      <c r="X100" s="1306"/>
      <c r="Y100" s="1306"/>
      <c r="Z100" s="1306"/>
      <c r="AA100" s="1306"/>
      <c r="AB100" s="1306"/>
      <c r="AC100" s="1306"/>
      <c r="AD100" s="1306"/>
      <c r="AE100" s="1306"/>
      <c r="AF100" s="1306"/>
      <c r="AG100" s="1306"/>
      <c r="AH100" s="1306"/>
      <c r="AI100" s="1306"/>
      <c r="AJ100" s="1306"/>
      <c r="AK100" s="1306"/>
      <c r="AL100" s="1306"/>
      <c r="AM100" s="1306"/>
      <c r="AN100" s="1306"/>
      <c r="AO100" s="1306"/>
      <c r="AP100" s="1306"/>
      <c r="AQ100" s="1306"/>
      <c r="AR100" s="1306"/>
      <c r="AS100" s="1306"/>
      <c r="AT100" s="1306"/>
      <c r="AU100" s="20"/>
      <c r="AV100" s="20"/>
      <c r="AW100" s="20"/>
      <c r="AX100" s="20"/>
      <c r="AY100" s="20"/>
      <c r="AZ100" s="20"/>
    </row>
    <row r="101" spans="1:52" ht="12.95" customHeight="1">
      <c r="A101" s="1306"/>
      <c r="B101" s="1306"/>
      <c r="C101" s="1306"/>
      <c r="D101" s="1306"/>
      <c r="E101" s="1306"/>
      <c r="F101" s="1306"/>
      <c r="G101" s="1306"/>
      <c r="H101" s="1306"/>
      <c r="I101" s="1306"/>
      <c r="J101" s="1306"/>
      <c r="K101" s="1306"/>
      <c r="L101" s="1306"/>
      <c r="M101" s="1306"/>
      <c r="N101" s="1306"/>
      <c r="O101" s="1306"/>
      <c r="P101" s="1306"/>
      <c r="Q101" s="1306"/>
      <c r="R101" s="1306"/>
      <c r="S101" s="1306"/>
      <c r="T101" s="1306"/>
      <c r="U101" s="1306"/>
      <c r="V101" s="1306"/>
      <c r="W101" s="1306"/>
      <c r="X101" s="1306"/>
      <c r="Y101" s="1306"/>
      <c r="Z101" s="1306"/>
      <c r="AA101" s="1306"/>
      <c r="AB101" s="1306"/>
      <c r="AC101" s="1306"/>
      <c r="AD101" s="1306"/>
      <c r="AE101" s="1306"/>
      <c r="AF101" s="1306"/>
      <c r="AG101" s="1306"/>
      <c r="AH101" s="1306"/>
      <c r="AI101" s="1306"/>
      <c r="AJ101" s="1306"/>
      <c r="AK101" s="1306"/>
      <c r="AL101" s="1306"/>
      <c r="AM101" s="1306"/>
      <c r="AN101" s="1306"/>
      <c r="AO101" s="1306"/>
      <c r="AP101" s="1306"/>
      <c r="AQ101" s="1306"/>
      <c r="AR101" s="1306"/>
      <c r="AS101" s="1306"/>
      <c r="AT101" s="1306"/>
      <c r="AU101" s="20"/>
      <c r="AV101" s="20"/>
      <c r="AW101" s="20"/>
      <c r="AX101" s="20"/>
      <c r="AY101" s="20"/>
      <c r="AZ101" s="20"/>
    </row>
    <row r="102" spans="1:52" ht="12.95" customHeight="1">
      <c r="A102" s="1306"/>
      <c r="B102" s="1306"/>
      <c r="C102" s="1306"/>
      <c r="D102" s="1306"/>
      <c r="E102" s="1306"/>
      <c r="F102" s="1306"/>
      <c r="G102" s="1306"/>
      <c r="H102" s="1306"/>
      <c r="I102" s="1306"/>
      <c r="J102" s="1306"/>
      <c r="K102" s="1306"/>
      <c r="L102" s="1306"/>
      <c r="M102" s="1306"/>
      <c r="N102" s="1306"/>
      <c r="O102" s="1306"/>
      <c r="P102" s="1306"/>
      <c r="Q102" s="1306"/>
      <c r="R102" s="1306"/>
      <c r="S102" s="1306"/>
      <c r="T102" s="1306"/>
      <c r="U102" s="1306"/>
      <c r="V102" s="1306"/>
      <c r="W102" s="1306"/>
      <c r="X102" s="1306"/>
      <c r="Y102" s="1306"/>
      <c r="Z102" s="1306"/>
      <c r="AA102" s="1306"/>
      <c r="AB102" s="1306"/>
      <c r="AC102" s="1306"/>
      <c r="AD102" s="1306"/>
      <c r="AE102" s="1306"/>
      <c r="AF102" s="1306"/>
      <c r="AG102" s="1306"/>
      <c r="AH102" s="1306"/>
      <c r="AI102" s="1306"/>
      <c r="AJ102" s="1306"/>
      <c r="AK102" s="1306"/>
      <c r="AL102" s="1306"/>
      <c r="AM102" s="1306"/>
      <c r="AN102" s="1306"/>
      <c r="AO102" s="1306"/>
      <c r="AP102" s="1306"/>
      <c r="AQ102" s="1306"/>
      <c r="AR102" s="1306"/>
      <c r="AS102" s="1306"/>
      <c r="AT102" s="1306"/>
      <c r="AU102" s="20"/>
      <c r="AV102" s="20"/>
      <c r="AW102" s="20"/>
      <c r="AX102" s="20"/>
      <c r="AY102" s="20"/>
      <c r="AZ102" s="20"/>
    </row>
    <row r="103" spans="1:52" ht="12.95" customHeight="1">
      <c r="A103" s="1306"/>
      <c r="B103" s="1306"/>
      <c r="C103" s="1306"/>
      <c r="D103" s="1306"/>
      <c r="E103" s="1306"/>
      <c r="F103" s="1306"/>
      <c r="G103" s="1306"/>
      <c r="H103" s="1306"/>
      <c r="I103" s="1306"/>
      <c r="J103" s="1306"/>
      <c r="K103" s="1306"/>
      <c r="L103" s="1306"/>
      <c r="M103" s="1306"/>
      <c r="N103" s="1306"/>
      <c r="O103" s="1306"/>
      <c r="P103" s="1306"/>
      <c r="Q103" s="1306"/>
      <c r="R103" s="1306"/>
      <c r="S103" s="1306"/>
      <c r="T103" s="1306"/>
      <c r="U103" s="1306"/>
      <c r="V103" s="1306"/>
      <c r="W103" s="1306"/>
      <c r="X103" s="1306"/>
      <c r="Y103" s="1306"/>
      <c r="Z103" s="1306"/>
      <c r="AA103" s="1306"/>
      <c r="AB103" s="1306"/>
      <c r="AC103" s="1306"/>
      <c r="AD103" s="1306"/>
      <c r="AE103" s="1306"/>
      <c r="AF103" s="1306"/>
      <c r="AG103" s="1306"/>
      <c r="AH103" s="1306"/>
      <c r="AI103" s="1306"/>
      <c r="AJ103" s="1306"/>
      <c r="AK103" s="1306"/>
      <c r="AL103" s="1306"/>
      <c r="AM103" s="1306"/>
      <c r="AN103" s="1306"/>
      <c r="AO103" s="1306"/>
      <c r="AP103" s="1306"/>
      <c r="AQ103" s="1306"/>
      <c r="AR103" s="1306"/>
      <c r="AS103" s="1306"/>
      <c r="AT103" s="1306"/>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6" t="s">
        <v>2530</v>
      </c>
      <c r="B105" s="1306"/>
      <c r="C105" s="1306"/>
      <c r="D105" s="1306"/>
      <c r="E105" s="1306"/>
      <c r="F105" s="1306"/>
      <c r="G105" s="1306"/>
      <c r="H105" s="1306"/>
      <c r="I105" s="1306"/>
      <c r="J105" s="1306"/>
      <c r="K105" s="1306"/>
      <c r="L105" s="1306"/>
      <c r="M105" s="1306"/>
      <c r="N105" s="1306"/>
      <c r="O105" s="1306"/>
      <c r="P105" s="1306"/>
      <c r="Q105" s="1306"/>
      <c r="R105" s="1306"/>
      <c r="S105" s="1306"/>
      <c r="T105" s="1306"/>
      <c r="U105" s="1306"/>
      <c r="V105" s="1306"/>
      <c r="W105" s="1306"/>
      <c r="X105" s="1306"/>
      <c r="Y105" s="1306"/>
      <c r="Z105" s="1306"/>
      <c r="AA105" s="1306"/>
      <c r="AB105" s="1306"/>
      <c r="AC105" s="1306"/>
      <c r="AD105" s="1306"/>
      <c r="AE105" s="1306"/>
      <c r="AF105" s="1306"/>
      <c r="AG105" s="1306"/>
      <c r="AH105" s="1306"/>
      <c r="AI105" s="1306"/>
      <c r="AJ105" s="1306"/>
      <c r="AK105" s="1306"/>
      <c r="AL105" s="1306"/>
      <c r="AM105" s="1306"/>
      <c r="AN105" s="1306"/>
      <c r="AO105" s="1306"/>
      <c r="AP105" s="1306"/>
      <c r="AQ105" s="1306"/>
      <c r="AR105" s="1306"/>
      <c r="AS105" s="1306"/>
      <c r="AT105" s="1306"/>
      <c r="AU105" s="20"/>
      <c r="AV105" s="20"/>
      <c r="AW105" s="20"/>
      <c r="AX105" s="20"/>
      <c r="AY105" s="20"/>
    </row>
    <row r="106" spans="1:52" ht="12.95" customHeight="1">
      <c r="A106" s="1306"/>
      <c r="B106" s="1306"/>
      <c r="C106" s="1306"/>
      <c r="D106" s="1306"/>
      <c r="E106" s="1306"/>
      <c r="F106" s="1306"/>
      <c r="G106" s="1306"/>
      <c r="H106" s="1306"/>
      <c r="I106" s="1306"/>
      <c r="J106" s="1306"/>
      <c r="K106" s="1306"/>
      <c r="L106" s="1306"/>
      <c r="M106" s="1306"/>
      <c r="N106" s="1306"/>
      <c r="O106" s="1306"/>
      <c r="P106" s="1306"/>
      <c r="Q106" s="1306"/>
      <c r="R106" s="1306"/>
      <c r="S106" s="1306"/>
      <c r="T106" s="1306"/>
      <c r="U106" s="1306"/>
      <c r="V106" s="1306"/>
      <c r="W106" s="1306"/>
      <c r="X106" s="1306"/>
      <c r="Y106" s="1306"/>
      <c r="Z106" s="1306"/>
      <c r="AA106" s="1306"/>
      <c r="AB106" s="1306"/>
      <c r="AC106" s="1306"/>
      <c r="AD106" s="1306"/>
      <c r="AE106" s="1306"/>
      <c r="AF106" s="1306"/>
      <c r="AG106" s="1306"/>
      <c r="AH106" s="1306"/>
      <c r="AI106" s="1306"/>
      <c r="AJ106" s="1306"/>
      <c r="AK106" s="1306"/>
      <c r="AL106" s="1306"/>
      <c r="AM106" s="1306"/>
      <c r="AN106" s="1306"/>
      <c r="AO106" s="1306"/>
      <c r="AP106" s="1306"/>
      <c r="AQ106" s="1306"/>
      <c r="AR106" s="1306"/>
      <c r="AS106" s="1306"/>
      <c r="AT106" s="1306"/>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2531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819"/>
      <c r="H113" s="1819"/>
      <c r="I113" s="3" t="s">
        <v>182</v>
      </c>
      <c r="L113" s="1819"/>
      <c r="M113" s="1819"/>
      <c r="N113" s="1819"/>
      <c r="O113" s="1819"/>
      <c r="P113" s="1830" t="s">
        <v>2532</v>
      </c>
      <c r="Q113" s="1830"/>
      <c r="R113" s="1830"/>
      <c r="S113" s="1830"/>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820"/>
      <c r="D115" s="1820"/>
      <c r="E115" s="1820"/>
      <c r="F115" s="1820"/>
      <c r="G115" s="1820"/>
      <c r="H115" s="1820"/>
      <c r="I115" s="1820"/>
      <c r="J115" s="1820"/>
      <c r="K115" s="1820"/>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637</v>
      </c>
      <c r="Y117" s="1819"/>
      <c r="Z117" s="1819"/>
      <c r="AA117" s="1819"/>
      <c r="AB117" s="1819"/>
      <c r="AC117" s="1819"/>
      <c r="AD117" s="1819"/>
      <c r="AE117" s="1819"/>
      <c r="AF117" s="1819"/>
      <c r="AG117" s="1819"/>
      <c r="AH117" s="1819"/>
      <c r="AI117" s="1819"/>
      <c r="AJ117" s="1819"/>
      <c r="AK117" s="1819"/>
    </row>
    <row r="118" spans="1:51" ht="12.95" customHeight="1">
      <c r="X118" s="3"/>
      <c r="Y118" s="3"/>
      <c r="Z118" s="3" t="s">
        <v>638</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819"/>
      <c r="Z120" s="1819"/>
      <c r="AA120" s="1819"/>
      <c r="AB120" s="1819"/>
      <c r="AC120" s="1819"/>
      <c r="AD120" s="1819"/>
      <c r="AE120" s="1819"/>
      <c r="AF120" s="1819"/>
      <c r="AG120" s="1819"/>
      <c r="AH120" s="1819"/>
      <c r="AI120" s="1819"/>
      <c r="AJ120" s="1819"/>
      <c r="AK120" s="1819"/>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819"/>
      <c r="Z123" s="1819"/>
      <c r="AA123" s="1819"/>
      <c r="AB123" s="1819"/>
      <c r="AC123" s="1819"/>
      <c r="AD123" s="1819"/>
      <c r="AE123" s="1819"/>
      <c r="AF123" s="1819"/>
      <c r="AG123" s="1819"/>
      <c r="AH123" s="1819"/>
      <c r="AI123" s="1819"/>
      <c r="AJ123" s="1819"/>
      <c r="AK123" s="1819"/>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10"/>
      <c r="G150" s="1310"/>
      <c r="H150" s="1310"/>
      <c r="I150" s="1310"/>
      <c r="J150" s="1310"/>
      <c r="K150" s="1310"/>
      <c r="L150" s="1310"/>
      <c r="M150" s="1310"/>
      <c r="N150" s="1310"/>
      <c r="O150" s="1310"/>
      <c r="P150" s="1310"/>
      <c r="Q150" s="1310"/>
      <c r="R150" s="1310"/>
      <c r="S150" s="1310"/>
      <c r="T150" s="1310"/>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654</v>
      </c>
      <c r="O153" s="1893" t="s">
        <v>2641</v>
      </c>
      <c r="P153" s="1893"/>
      <c r="Q153" s="1893"/>
      <c r="R153" s="1893"/>
      <c r="S153" s="1893"/>
      <c r="T153" s="1893"/>
      <c r="U153" s="1893"/>
      <c r="V153" s="1893"/>
      <c r="W153" s="1893"/>
      <c r="X153" s="1893"/>
      <c r="Y153" s="1893"/>
      <c r="Z153" s="1893"/>
      <c r="AA153" s="1893"/>
      <c r="AB153" s="1893"/>
      <c r="AC153" s="1893"/>
      <c r="AD153" s="1893"/>
      <c r="AE153" s="1893"/>
      <c r="AF153" s="1893"/>
      <c r="AG153" s="1893"/>
      <c r="AH153" s="1893"/>
    </row>
    <row r="154" spans="1:72" ht="12.95" customHeight="1">
      <c r="D154" s="325" t="s">
        <v>442</v>
      </c>
      <c r="O154" s="1894" t="s">
        <v>2642</v>
      </c>
      <c r="P154" s="1894"/>
      <c r="Q154" s="1894"/>
      <c r="R154" s="1894"/>
      <c r="S154" s="1894"/>
      <c r="T154" s="1894"/>
      <c r="U154" s="1894"/>
      <c r="V154" s="1894"/>
      <c r="W154" s="1894"/>
      <c r="X154" s="1894"/>
      <c r="Y154" s="1894"/>
      <c r="Z154" s="1894"/>
      <c r="AA154" s="1894"/>
      <c r="AB154" s="1894"/>
      <c r="AC154" s="1894"/>
      <c r="AD154" s="1894"/>
      <c r="AE154" s="1894"/>
      <c r="AF154" s="1894"/>
      <c r="AG154" s="1894"/>
      <c r="AH154" s="1894"/>
    </row>
    <row r="155" spans="1:72" ht="12.95" customHeight="1">
      <c r="D155" s="8" t="s">
        <v>444</v>
      </c>
      <c r="F155" s="8"/>
      <c r="G155" s="8"/>
      <c r="H155" s="8"/>
      <c r="I155" s="8"/>
      <c r="J155" s="8"/>
      <c r="K155" s="8"/>
      <c r="L155" s="8"/>
      <c r="M155" s="8"/>
      <c r="N155" s="8"/>
      <c r="O155" s="1826" t="s">
        <v>443</v>
      </c>
      <c r="P155" s="1826"/>
      <c r="Q155" s="1826"/>
      <c r="R155" s="1826"/>
      <c r="S155" s="1826"/>
      <c r="T155" s="1826"/>
      <c r="U155" s="1826"/>
      <c r="V155" s="1826"/>
      <c r="W155" s="1826"/>
      <c r="X155" s="1826"/>
      <c r="Y155" s="1826"/>
      <c r="Z155" s="1826"/>
      <c r="AA155" s="1826"/>
      <c r="AB155" s="1826"/>
      <c r="AC155" s="1826"/>
      <c r="AD155" s="1826"/>
      <c r="AE155" s="1826"/>
      <c r="AF155" s="1826"/>
      <c r="AG155" s="1826"/>
      <c r="AH155" s="1826"/>
    </row>
    <row r="156" spans="1:72" ht="12.95" customHeight="1">
      <c r="D156" t="s">
        <v>314</v>
      </c>
      <c r="O156" s="1509" t="s">
        <v>2643</v>
      </c>
      <c r="P156" s="1486"/>
      <c r="Q156" s="1486"/>
      <c r="R156" s="1486"/>
      <c r="S156" s="1486"/>
      <c r="T156" s="1486"/>
      <c r="U156" s="1486"/>
      <c r="V156" s="1486"/>
      <c r="W156" s="1486"/>
      <c r="X156" s="1486"/>
      <c r="Y156" s="1486"/>
      <c r="Z156" s="1486"/>
      <c r="AA156" s="1486"/>
      <c r="AB156" s="1486"/>
      <c r="AC156" s="1486"/>
      <c r="AD156" s="1486"/>
      <c r="AE156" s="1486"/>
      <c r="AF156" s="1486"/>
      <c r="AG156" s="1486"/>
      <c r="AH156" s="1486"/>
      <c r="BT156" t="s">
        <v>308</v>
      </c>
    </row>
    <row r="157" spans="1:72" ht="12.95" customHeight="1">
      <c r="D157" t="s">
        <v>315</v>
      </c>
      <c r="O157" s="1509" t="s">
        <v>2644</v>
      </c>
      <c r="P157" s="1497"/>
      <c r="Q157" s="1497"/>
      <c r="R157" s="1497"/>
      <c r="S157" s="1497"/>
      <c r="T157" s="1497"/>
      <c r="U157" s="1497"/>
      <c r="V157" s="1497"/>
      <c r="W157" s="1497"/>
      <c r="X157" s="1497"/>
      <c r="Y157" s="8"/>
      <c r="Z157" s="8"/>
      <c r="AA157" s="8"/>
      <c r="AB157" s="8"/>
      <c r="AC157" s="8"/>
      <c r="AD157" s="8"/>
      <c r="AE157" s="8"/>
      <c r="AF157" s="8"/>
      <c r="BN157" s="23" t="s">
        <v>645</v>
      </c>
      <c r="BT157" t="s">
        <v>485</v>
      </c>
    </row>
    <row r="158" spans="1:72" ht="12.95" customHeight="1">
      <c r="D158" t="s">
        <v>316</v>
      </c>
      <c r="O158" s="1827">
        <v>91801</v>
      </c>
      <c r="P158" s="1827"/>
      <c r="Q158" s="1827"/>
      <c r="R158" s="1827"/>
      <c r="S158" s="9"/>
      <c r="T158" s="9"/>
      <c r="U158" s="9"/>
      <c r="V158" s="9"/>
      <c r="W158" s="9"/>
      <c r="X158" s="9"/>
      <c r="Y158" s="9"/>
      <c r="Z158" s="9"/>
      <c r="AA158" s="9"/>
      <c r="AB158" s="9"/>
      <c r="AC158" s="9"/>
      <c r="AD158" s="9"/>
      <c r="AE158" s="9"/>
      <c r="AF158" s="9"/>
      <c r="BN158" s="23" t="s">
        <v>646</v>
      </c>
      <c r="BT158" t="s">
        <v>486</v>
      </c>
    </row>
    <row r="159" spans="1:72" ht="12.95" customHeight="1">
      <c r="D159" t="s">
        <v>317</v>
      </c>
      <c r="O159" s="1818" t="s">
        <v>2645</v>
      </c>
      <c r="P159" s="1821"/>
      <c r="Q159" s="1821"/>
      <c r="R159" s="1821"/>
      <c r="S159" s="1821"/>
      <c r="T159" s="1821"/>
      <c r="V159" s="97" t="s">
        <v>272</v>
      </c>
      <c r="W159" s="1828"/>
      <c r="X159" s="1828"/>
      <c r="Y159" s="10"/>
      <c r="Z159" s="10"/>
      <c r="AA159" s="10"/>
      <c r="AB159" s="10"/>
      <c r="AC159" s="10"/>
      <c r="AD159" s="10"/>
      <c r="AE159" s="10"/>
      <c r="AF159" s="10"/>
      <c r="BN159" s="23" t="s">
        <v>340</v>
      </c>
      <c r="BT159" t="s">
        <v>487</v>
      </c>
    </row>
    <row r="160" spans="1:72" ht="12.95" customHeight="1">
      <c r="D160" t="s">
        <v>318</v>
      </c>
      <c r="O160" s="1821"/>
      <c r="P160" s="1821"/>
      <c r="Q160" s="1821"/>
      <c r="R160" s="1821"/>
      <c r="S160" s="1821"/>
      <c r="T160" s="1821"/>
      <c r="U160" s="10"/>
      <c r="V160" s="10"/>
      <c r="W160" s="10"/>
      <c r="X160" s="10"/>
      <c r="Y160" s="10"/>
      <c r="Z160" s="10"/>
      <c r="AA160" s="10"/>
      <c r="AB160" s="10"/>
      <c r="AC160" s="10"/>
      <c r="AD160" s="10"/>
      <c r="AE160" s="10"/>
      <c r="AF160" s="10"/>
      <c r="BN160" s="23" t="s">
        <v>669</v>
      </c>
      <c r="BT160" t="s">
        <v>488</v>
      </c>
    </row>
    <row r="161" spans="1:72" ht="12.95" customHeight="1">
      <c r="D161" t="s">
        <v>319</v>
      </c>
      <c r="O161" s="1808" t="s">
        <v>2646</v>
      </c>
      <c r="P161" s="1808"/>
      <c r="Q161" s="1808"/>
      <c r="R161" s="1808"/>
      <c r="S161" s="1808"/>
      <c r="T161" s="1808"/>
      <c r="U161" s="1808"/>
      <c r="V161" s="1808"/>
      <c r="W161" s="1808"/>
      <c r="X161" s="1808"/>
      <c r="Y161" s="1808"/>
      <c r="Z161" s="1808"/>
      <c r="AA161" s="1808"/>
      <c r="AB161" s="1808"/>
      <c r="AC161" s="1808"/>
      <c r="AD161" s="1808"/>
      <c r="AE161" s="1808"/>
      <c r="AF161" s="1808"/>
      <c r="AG161" s="1808"/>
      <c r="AH161" s="1808"/>
      <c r="BJ161" t="s">
        <v>678</v>
      </c>
      <c r="BN161" s="23" t="s">
        <v>670</v>
      </c>
      <c r="BT161" t="s">
        <v>489</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5" customHeight="1">
      <c r="C163" s="27" t="s">
        <v>82</v>
      </c>
      <c r="D163" s="3" t="s">
        <v>2416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5" customHeight="1">
      <c r="C164" s="27"/>
      <c r="D164" s="1822" t="s">
        <v>2627</v>
      </c>
      <c r="E164" s="1822"/>
      <c r="F164" s="1822"/>
      <c r="G164" s="1822"/>
      <c r="H164" s="1822"/>
      <c r="I164" s="1822"/>
      <c r="J164" s="1822"/>
      <c r="K164" s="1822"/>
      <c r="L164" s="1822"/>
      <c r="M164" s="1822"/>
      <c r="N164" s="1822"/>
      <c r="O164" s="1822"/>
      <c r="P164" s="1822"/>
      <c r="Q164" s="1822"/>
      <c r="R164" s="1822"/>
      <c r="S164" s="1822"/>
      <c r="T164" s="1822"/>
      <c r="U164" s="1822"/>
      <c r="V164" s="1822"/>
      <c r="W164" s="1822"/>
      <c r="X164" s="1822"/>
      <c r="Y164" s="1822"/>
      <c r="Z164" s="1822"/>
      <c r="AA164" s="1822"/>
      <c r="AB164" s="1822"/>
      <c r="AC164" s="1822"/>
      <c r="AD164" s="1822"/>
      <c r="AE164" s="1822"/>
      <c r="AF164" s="1822"/>
      <c r="AG164" s="1822"/>
      <c r="AH164" s="1822"/>
      <c r="BN164" s="23" t="s">
        <v>673</v>
      </c>
      <c r="BT164" t="s">
        <v>492</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5" customHeight="1">
      <c r="A169" s="1438" t="s">
        <v>548</v>
      </c>
      <c r="B169" s="1438"/>
      <c r="C169" s="1438"/>
      <c r="D169" s="1438"/>
      <c r="E169" s="1438"/>
      <c r="F169" s="1438"/>
      <c r="G169" s="1438"/>
      <c r="H169" s="1438"/>
      <c r="I169" s="1438"/>
      <c r="J169" s="1438"/>
      <c r="K169" s="1438"/>
      <c r="L169" s="1438"/>
      <c r="M169" s="1438"/>
      <c r="N169" s="1438"/>
      <c r="O169" s="1438"/>
      <c r="P169" s="1438"/>
      <c r="Q169" s="1438"/>
      <c r="R169" s="1438"/>
      <c r="S169" s="1438"/>
      <c r="T169" s="1438"/>
      <c r="U169" s="1438"/>
      <c r="V169" s="1438"/>
      <c r="W169" s="1438"/>
      <c r="X169" s="1438"/>
      <c r="Y169" s="1438"/>
      <c r="Z169" s="1438"/>
      <c r="AA169" s="1438"/>
      <c r="AB169" s="1438"/>
      <c r="AC169" s="1438"/>
      <c r="AD169" s="1438"/>
      <c r="AE169" s="1438"/>
      <c r="AF169" s="1438"/>
      <c r="AG169" s="1438"/>
      <c r="AH169" s="1438"/>
      <c r="AI169" s="1438"/>
      <c r="AJ169" s="1438"/>
      <c r="AK169" s="1438"/>
      <c r="AL169" s="1438"/>
      <c r="AM169" s="1438"/>
      <c r="AN169" s="1438"/>
      <c r="AO169" s="1438"/>
      <c r="AP169" s="1438"/>
      <c r="AQ169" s="1438"/>
      <c r="AR169" s="1438"/>
      <c r="AS169" s="1438"/>
      <c r="AT169" s="1438"/>
      <c r="AU169" s="95"/>
      <c r="AV169" s="95"/>
      <c r="AW169" s="95"/>
      <c r="AX169" s="95"/>
      <c r="AY169" s="95"/>
      <c r="BN169" s="23" t="s">
        <v>682</v>
      </c>
      <c r="BT169" t="s">
        <v>497</v>
      </c>
    </row>
    <row r="170" spans="1:72" ht="12.95" customHeight="1">
      <c r="A170" s="1438"/>
      <c r="B170" s="1438"/>
      <c r="C170" s="1438"/>
      <c r="D170" s="1438"/>
      <c r="E170" s="1438"/>
      <c r="F170" s="1438"/>
      <c r="G170" s="1438"/>
      <c r="H170" s="1438"/>
      <c r="I170" s="1438"/>
      <c r="J170" s="1438"/>
      <c r="K170" s="1438"/>
      <c r="L170" s="1438"/>
      <c r="M170" s="1438"/>
      <c r="N170" s="1438"/>
      <c r="O170" s="1438"/>
      <c r="P170" s="1438"/>
      <c r="Q170" s="1438"/>
      <c r="R170" s="1438"/>
      <c r="S170" s="1438"/>
      <c r="T170" s="1438"/>
      <c r="U170" s="1438"/>
      <c r="V170" s="1438"/>
      <c r="W170" s="1438"/>
      <c r="X170" s="1438"/>
      <c r="Y170" s="1438"/>
      <c r="Z170" s="1438"/>
      <c r="AA170" s="1438"/>
      <c r="AB170" s="1438"/>
      <c r="AC170" s="1438"/>
      <c r="AD170" s="1438"/>
      <c r="AE170" s="1438"/>
      <c r="AF170" s="1438"/>
      <c r="AG170" s="1438"/>
      <c r="AH170" s="1438"/>
      <c r="AI170" s="1438"/>
      <c r="AJ170" s="1438"/>
      <c r="AK170" s="1438"/>
      <c r="AL170" s="1438"/>
      <c r="AM170" s="1438"/>
      <c r="AN170" s="1438"/>
      <c r="AO170" s="1438"/>
      <c r="AP170" s="1438"/>
      <c r="AQ170" s="1438"/>
      <c r="AR170" s="1438"/>
      <c r="AS170" s="1438"/>
      <c r="AT170" s="1438"/>
      <c r="AU170" s="95"/>
      <c r="AV170" s="95"/>
      <c r="AW170" s="95"/>
      <c r="AX170" s="95"/>
      <c r="AY170" s="95"/>
      <c r="BN170" s="23" t="s">
        <v>683</v>
      </c>
      <c r="BT170" t="s">
        <v>498</v>
      </c>
    </row>
    <row r="171" spans="1:72" ht="12.95" customHeight="1">
      <c r="BN171" s="23" t="s">
        <v>212</v>
      </c>
      <c r="BT171" t="s">
        <v>499</v>
      </c>
    </row>
    <row r="172" spans="1:72" ht="12.95" customHeight="1">
      <c r="A172" s="2" t="s">
        <v>320</v>
      </c>
      <c r="C172" s="2" t="s">
        <v>321</v>
      </c>
      <c r="BN172" s="23" t="s">
        <v>214</v>
      </c>
      <c r="BT172" t="s">
        <v>500</v>
      </c>
    </row>
    <row r="173" spans="1:72" ht="12.95" customHeight="1">
      <c r="C173" s="24"/>
      <c r="D173" t="s">
        <v>322</v>
      </c>
      <c r="J173" s="1825" t="s">
        <v>372</v>
      </c>
      <c r="K173" s="1825"/>
      <c r="L173" s="1825"/>
      <c r="M173" s="1825"/>
      <c r="N173" s="1825"/>
      <c r="O173" s="1825"/>
      <c r="P173" s="1825"/>
      <c r="Q173" s="1825"/>
      <c r="R173" s="1825"/>
      <c r="S173" s="1825"/>
      <c r="U173" s="25"/>
      <c r="X173" s="25"/>
      <c r="BB173" s="3" t="s">
        <v>308</v>
      </c>
      <c r="BN173" s="23" t="s">
        <v>215</v>
      </c>
      <c r="BT173" t="s">
        <v>501</v>
      </c>
    </row>
    <row r="174" spans="1:72" ht="12.95" customHeight="1">
      <c r="C174" s="24"/>
      <c r="D174" s="3" t="s">
        <v>1309</v>
      </c>
      <c r="J174" s="1486" t="s">
        <v>2422</v>
      </c>
      <c r="K174" s="1486"/>
      <c r="L174" s="1486"/>
      <c r="M174" s="1486"/>
      <c r="N174" s="1486"/>
      <c r="O174" s="1486"/>
      <c r="P174" s="1486"/>
      <c r="Q174" s="1486"/>
      <c r="R174" s="1486"/>
      <c r="S174" s="1486"/>
      <c r="T174" s="1486"/>
      <c r="U174" s="1486"/>
      <c r="V174" s="1486"/>
      <c r="W174" s="1486"/>
      <c r="X174" s="1486"/>
      <c r="Y174" s="1486"/>
      <c r="Z174" s="1486"/>
      <c r="AA174" s="1486"/>
      <c r="AB174" s="1486"/>
      <c r="BB174" t="s">
        <v>2275</v>
      </c>
      <c r="BN174" s="23" t="s">
        <v>217</v>
      </c>
      <c r="BT174" t="s">
        <v>502</v>
      </c>
    </row>
    <row r="175" spans="1:72" ht="12.95" customHeight="1">
      <c r="C175" s="8"/>
      <c r="D175" s="3" t="s">
        <v>323</v>
      </c>
      <c r="O175" s="27"/>
      <c r="U175" s="1484" t="s">
        <v>554</v>
      </c>
      <c r="V175" s="1484"/>
      <c r="BB175" t="s">
        <v>2239</v>
      </c>
      <c r="BN175" s="23" t="s">
        <v>218</v>
      </c>
      <c r="BT175" t="s">
        <v>503</v>
      </c>
    </row>
    <row r="176" spans="1:72" ht="12.95" customHeight="1">
      <c r="C176" s="8"/>
      <c r="D176" s="26"/>
      <c r="E176" t="s">
        <v>305</v>
      </c>
      <c r="O176" s="27"/>
      <c r="P176" t="s">
        <v>2397</v>
      </c>
      <c r="T176" s="27" t="s">
        <v>306</v>
      </c>
      <c r="U176" s="1475">
        <v>23</v>
      </c>
      <c r="V176" s="1475"/>
      <c r="W176" s="1" t="s">
        <v>307</v>
      </c>
      <c r="X176" s="1840">
        <v>23</v>
      </c>
      <c r="Y176" s="1840"/>
      <c r="BB176" t="s">
        <v>2276</v>
      </c>
      <c r="BN176" s="23" t="s">
        <v>220</v>
      </c>
      <c r="BT176" t="s">
        <v>504</v>
      </c>
    </row>
    <row r="177" spans="1:72" ht="12.95" customHeight="1">
      <c r="C177" s="24"/>
      <c r="D177" t="s">
        <v>250</v>
      </c>
      <c r="R177" s="1484" t="s">
        <v>554</v>
      </c>
      <c r="S177" s="1484"/>
      <c r="BB177" t="s">
        <v>2581</v>
      </c>
      <c r="BN177" s="23" t="s">
        <v>221</v>
      </c>
      <c r="BT177" t="s">
        <v>505</v>
      </c>
    </row>
    <row r="178" spans="1:72" ht="12.95" customHeight="1">
      <c r="C178" s="24"/>
      <c r="D178" s="3" t="s">
        <v>1310</v>
      </c>
      <c r="AA178" t="s">
        <v>2397</v>
      </c>
      <c r="AE178" s="27" t="s">
        <v>306</v>
      </c>
      <c r="AF178" s="1676">
        <v>22</v>
      </c>
      <c r="AG178" s="1676"/>
      <c r="AH178" s="1" t="s">
        <v>307</v>
      </c>
      <c r="AI178" s="1485" t="s">
        <v>2792</v>
      </c>
      <c r="AJ178" s="1485"/>
      <c r="AK178" s="1485"/>
      <c r="BB178" t="s">
        <v>2582</v>
      </c>
      <c r="BN178" s="23" t="s">
        <v>222</v>
      </c>
      <c r="BT178" t="s">
        <v>53</v>
      </c>
    </row>
    <row r="179" spans="1:72" ht="12.95" customHeight="1">
      <c r="C179" s="24"/>
      <c r="BN179" s="23" t="s">
        <v>223</v>
      </c>
      <c r="BT179" t="s">
        <v>54</v>
      </c>
    </row>
    <row r="180" spans="1:72" ht="12.95" customHeight="1">
      <c r="C180" s="24"/>
      <c r="D180" t="s">
        <v>2398</v>
      </c>
      <c r="X180" s="1484" t="s">
        <v>678</v>
      </c>
      <c r="Y180" s="1484"/>
      <c r="BN180" s="23" t="s">
        <v>225</v>
      </c>
      <c r="BT180" t="s">
        <v>55</v>
      </c>
    </row>
    <row r="181" spans="1:72" ht="12.95" customHeight="1">
      <c r="C181" s="8"/>
      <c r="E181" s="4" t="s">
        <v>996</v>
      </c>
      <c r="BN181" s="23" t="s">
        <v>226</v>
      </c>
      <c r="BT181" t="s">
        <v>56</v>
      </c>
    </row>
    <row r="182" spans="1:72" ht="12.95" customHeight="1">
      <c r="C182" s="564"/>
      <c r="BN182" s="23" t="s">
        <v>227</v>
      </c>
      <c r="BT182" t="s">
        <v>60</v>
      </c>
    </row>
    <row r="183" spans="1:72" ht="12.95" customHeight="1">
      <c r="A183" s="2" t="s">
        <v>585</v>
      </c>
      <c r="C183" s="2" t="s">
        <v>586</v>
      </c>
      <c r="BN183" s="23" t="s">
        <v>229</v>
      </c>
      <c r="BT183" t="s">
        <v>61</v>
      </c>
    </row>
    <row r="184" spans="1:72" ht="12.95" customHeight="1">
      <c r="C184" s="21"/>
      <c r="D184" t="s">
        <v>587</v>
      </c>
      <c r="I184" s="1499" t="str">
        <f>H18</f>
        <v>Mariposa on Second</v>
      </c>
      <c r="J184" s="1499"/>
      <c r="K184" s="1499"/>
      <c r="L184" s="1499"/>
      <c r="M184" s="1499"/>
      <c r="N184" s="1499"/>
      <c r="O184" s="1499"/>
      <c r="P184" s="1499"/>
      <c r="Q184" s="1499"/>
      <c r="R184" s="1499"/>
      <c r="S184" s="1499"/>
      <c r="T184" s="1499"/>
      <c r="U184" s="1499"/>
      <c r="V184" s="1499"/>
      <c r="W184" s="1499"/>
      <c r="X184" s="1499"/>
      <c r="Y184" s="1499"/>
      <c r="Z184" s="1499"/>
      <c r="AA184" s="1499"/>
      <c r="AB184" s="1499"/>
      <c r="AC184" s="1499"/>
      <c r="AD184" s="1499"/>
      <c r="AE184" s="1499"/>
      <c r="BC184" t="s">
        <v>596</v>
      </c>
      <c r="BN184" s="23" t="s">
        <v>231</v>
      </c>
      <c r="BT184" t="s">
        <v>62</v>
      </c>
    </row>
    <row r="185" spans="1:72" ht="12.95" customHeight="1">
      <c r="C185" s="21"/>
      <c r="D185" t="s">
        <v>588</v>
      </c>
      <c r="I185" s="1726" t="s">
        <v>2647</v>
      </c>
      <c r="J185" s="1514"/>
      <c r="K185" s="1514"/>
      <c r="L185" s="1514"/>
      <c r="M185" s="1514"/>
      <c r="N185" s="1514"/>
      <c r="O185" s="1514"/>
      <c r="P185" s="1514"/>
      <c r="Q185" s="1514"/>
      <c r="R185" s="1514"/>
      <c r="S185" s="1514"/>
      <c r="T185" s="1514"/>
      <c r="U185" s="1514"/>
      <c r="V185" s="1514"/>
      <c r="W185" s="1514"/>
      <c r="X185" s="1514"/>
      <c r="Y185" s="1514"/>
      <c r="Z185" s="1514"/>
      <c r="AA185" s="1514"/>
      <c r="AB185" s="1514"/>
      <c r="AC185" s="1514"/>
      <c r="AD185" s="1514"/>
      <c r="AE185" s="1514"/>
      <c r="BC185" t="s">
        <v>597</v>
      </c>
      <c r="BN185" s="23" t="s">
        <v>232</v>
      </c>
      <c r="BT185" t="s">
        <v>63</v>
      </c>
    </row>
    <row r="186" spans="1:72" ht="12.95" customHeight="1">
      <c r="C186" s="21"/>
      <c r="E186" t="s">
        <v>168</v>
      </c>
      <c r="BN186" s="23" t="s">
        <v>233</v>
      </c>
      <c r="BT186" t="s">
        <v>64</v>
      </c>
    </row>
    <row r="187" spans="1:72" ht="12.95" customHeight="1">
      <c r="C187" s="21"/>
      <c r="E187" s="1835"/>
      <c r="F187" s="1835"/>
      <c r="G187" s="1835"/>
      <c r="H187" s="1835"/>
      <c r="I187" s="1835"/>
      <c r="J187" s="1835"/>
      <c r="K187" s="1835"/>
      <c r="L187" s="1835"/>
      <c r="M187" s="1835"/>
      <c r="N187" s="1835"/>
      <c r="O187" s="1835"/>
      <c r="P187" s="1835"/>
      <c r="Q187" s="1835"/>
      <c r="R187" s="1835"/>
      <c r="S187" s="1835"/>
      <c r="T187" s="1835"/>
      <c r="U187" s="1835"/>
      <c r="V187" s="1835"/>
      <c r="W187" s="1835"/>
      <c r="X187" s="1835"/>
      <c r="Y187" s="1835"/>
      <c r="Z187" s="1835"/>
      <c r="AA187" s="1835"/>
      <c r="AB187" s="1835"/>
      <c r="AC187" s="1835"/>
      <c r="AD187" s="1835"/>
      <c r="AE187" s="1835"/>
      <c r="BN187" s="23" t="s">
        <v>234</v>
      </c>
      <c r="BT187" t="s">
        <v>65</v>
      </c>
    </row>
    <row r="188" spans="1:72" ht="12.95" customHeight="1">
      <c r="C188" s="21"/>
      <c r="E188" s="1743"/>
      <c r="F188" s="1743"/>
      <c r="G188" s="1743"/>
      <c r="H188" s="1743"/>
      <c r="I188" s="1743"/>
      <c r="J188" s="1743"/>
      <c r="K188" s="1743"/>
      <c r="L188" s="1743"/>
      <c r="M188" s="1743"/>
      <c r="N188" s="1743"/>
      <c r="O188" s="1743"/>
      <c r="P188" s="1743"/>
      <c r="Q188" s="1743"/>
      <c r="R188" s="1743"/>
      <c r="S188" s="1743"/>
      <c r="T188" s="1743"/>
      <c r="U188" s="1743"/>
      <c r="V188" s="1743"/>
      <c r="W188" s="1743"/>
      <c r="X188" s="1743"/>
      <c r="Y188" s="1743"/>
      <c r="Z188" s="1743"/>
      <c r="AA188" s="1743"/>
      <c r="AB188" s="1743"/>
      <c r="AC188" s="1743"/>
      <c r="AD188" s="1743"/>
      <c r="AE188" s="1743"/>
      <c r="BN188" s="23" t="s">
        <v>236</v>
      </c>
      <c r="BT188" t="s">
        <v>66</v>
      </c>
    </row>
    <row r="189" spans="1:72" ht="12.95" customHeight="1">
      <c r="C189" s="21"/>
      <c r="D189" t="s">
        <v>589</v>
      </c>
      <c r="I189" s="1509" t="s">
        <v>2644</v>
      </c>
      <c r="J189" s="1486"/>
      <c r="K189" s="1486"/>
      <c r="L189" s="1486"/>
      <c r="M189" s="1486"/>
      <c r="N189" s="1486"/>
      <c r="O189" s="1486"/>
      <c r="P189" s="1486"/>
      <c r="Q189" t="s">
        <v>591</v>
      </c>
      <c r="T189" s="1486" t="s">
        <v>503</v>
      </c>
      <c r="U189" s="1486"/>
      <c r="V189" s="1486"/>
      <c r="W189" s="1486"/>
      <c r="X189" s="1486"/>
      <c r="Y189" s="1486"/>
      <c r="Z189" s="1486"/>
      <c r="AA189" s="1486"/>
      <c r="AB189" s="1486"/>
      <c r="AC189" s="1486"/>
      <c r="AD189" s="1486"/>
      <c r="AE189" s="1486"/>
      <c r="BC189" t="s">
        <v>308</v>
      </c>
      <c r="BH189" s="3" t="s">
        <v>600</v>
      </c>
      <c r="BN189" s="23" t="s">
        <v>237</v>
      </c>
      <c r="BT189" t="s">
        <v>67</v>
      </c>
    </row>
    <row r="190" spans="1:72" ht="12.95" customHeight="1">
      <c r="C190" s="21"/>
      <c r="D190" t="s">
        <v>592</v>
      </c>
      <c r="I190" s="1514">
        <v>91801</v>
      </c>
      <c r="J190" s="1514"/>
      <c r="K190" s="1514"/>
      <c r="L190" s="1514"/>
      <c r="M190" s="1514"/>
      <c r="N190" s="1514"/>
      <c r="O190" t="s">
        <v>594</v>
      </c>
      <c r="T190" s="1832">
        <v>4810.01</v>
      </c>
      <c r="U190" s="1832"/>
      <c r="V190" s="1832"/>
      <c r="W190" s="1832"/>
      <c r="X190" s="1832"/>
      <c r="Y190" s="1832"/>
      <c r="Z190" s="1832"/>
      <c r="AA190" s="1832"/>
      <c r="AB190" s="1832"/>
      <c r="AC190" s="1832"/>
      <c r="AD190" s="1832"/>
      <c r="AE190" s="1832"/>
      <c r="BC190" t="s">
        <v>1066</v>
      </c>
      <c r="BH190" t="s">
        <v>1066</v>
      </c>
      <c r="BN190" s="23" t="s">
        <v>644</v>
      </c>
      <c r="BT190" t="s">
        <v>68</v>
      </c>
    </row>
    <row r="191" spans="1:72" ht="12.95" customHeight="1">
      <c r="C191" s="21"/>
      <c r="D191" t="s">
        <v>471</v>
      </c>
      <c r="N191" s="1834" t="s">
        <v>2648</v>
      </c>
      <c r="O191" s="1835"/>
      <c r="P191" s="1835"/>
      <c r="Q191" s="1835"/>
      <c r="R191" s="1835"/>
      <c r="S191" s="1835"/>
      <c r="T191" s="1835"/>
      <c r="U191" s="1835"/>
      <c r="V191" s="1835"/>
      <c r="W191" s="1835"/>
      <c r="X191" s="1835"/>
      <c r="Y191" s="1835"/>
      <c r="Z191" s="1835"/>
      <c r="AA191" s="1835"/>
      <c r="AB191" s="1835"/>
      <c r="AC191" s="1835"/>
      <c r="AD191" s="1835"/>
      <c r="AE191" s="1835"/>
      <c r="BC191" t="s">
        <v>1065</v>
      </c>
      <c r="BH191" t="s">
        <v>1065</v>
      </c>
      <c r="BN191" s="23" t="s">
        <v>698</v>
      </c>
      <c r="BT191" t="s">
        <v>737</v>
      </c>
    </row>
    <row r="192" spans="1:72" ht="12.95" customHeight="1">
      <c r="C192" s="21"/>
      <c r="M192" s="40"/>
      <c r="N192" s="1743"/>
      <c r="O192" s="1743"/>
      <c r="P192" s="1743"/>
      <c r="Q192" s="1743"/>
      <c r="R192" s="1743"/>
      <c r="S192" s="1743"/>
      <c r="T192" s="1743"/>
      <c r="U192" s="1743"/>
      <c r="V192" s="1743"/>
      <c r="W192" s="1743"/>
      <c r="X192" s="1743"/>
      <c r="Y192" s="1743"/>
      <c r="Z192" s="1743"/>
      <c r="AA192" s="1743"/>
      <c r="AB192" s="1743"/>
      <c r="AC192" s="1743"/>
      <c r="AD192" s="1743"/>
      <c r="AE192" s="1743"/>
      <c r="BC192" t="s">
        <v>1068</v>
      </c>
      <c r="BH192" s="3" t="s">
        <v>1476</v>
      </c>
      <c r="BN192" s="23" t="s">
        <v>699</v>
      </c>
      <c r="BT192" t="s">
        <v>738</v>
      </c>
    </row>
    <row r="193" spans="1:74" ht="12.95" customHeight="1">
      <c r="C193" s="21"/>
      <c r="D193" t="s">
        <v>2399</v>
      </c>
      <c r="M193" s="40"/>
      <c r="N193" s="928"/>
      <c r="O193" s="928"/>
      <c r="P193" s="928"/>
      <c r="Q193" s="928"/>
      <c r="R193" s="928"/>
      <c r="S193" s="928"/>
      <c r="T193" s="1831" t="s">
        <v>2239</v>
      </c>
      <c r="U193" s="1831"/>
      <c r="V193" s="1831"/>
      <c r="W193" s="1831"/>
      <c r="X193" s="1831"/>
      <c r="Y193" s="1831"/>
      <c r="Z193" s="1831"/>
      <c r="AA193" s="1831"/>
      <c r="AB193" s="1831"/>
      <c r="AC193" s="1831"/>
      <c r="AD193" s="1831"/>
      <c r="AE193" s="1831"/>
      <c r="AF193" s="1831"/>
      <c r="AG193" s="1831"/>
      <c r="AH193" s="1831"/>
      <c r="AI193" s="1831"/>
      <c r="BC193" t="s">
        <v>1067</v>
      </c>
      <c r="BH193" s="3" t="s">
        <v>1743</v>
      </c>
      <c r="BN193" s="23" t="s">
        <v>700</v>
      </c>
      <c r="BT193" t="s">
        <v>739</v>
      </c>
    </row>
    <row r="194" spans="1:74" ht="12.95" customHeight="1">
      <c r="C194" s="21"/>
      <c r="D194" s="3" t="s">
        <v>2583</v>
      </c>
      <c r="M194" s="40"/>
      <c r="N194" s="928"/>
      <c r="O194" s="928"/>
      <c r="P194" s="928"/>
      <c r="Q194" s="928"/>
      <c r="R194" s="928"/>
      <c r="S194" s="928"/>
      <c r="AH194" s="1484" t="s">
        <v>678</v>
      </c>
      <c r="AI194" s="1484"/>
      <c r="BC194" t="s">
        <v>1476</v>
      </c>
      <c r="BN194" s="23" t="s">
        <v>701</v>
      </c>
      <c r="BT194" t="s">
        <v>740</v>
      </c>
    </row>
    <row r="195" spans="1:74" ht="12.95" customHeight="1">
      <c r="C195" s="21"/>
      <c r="D195" t="s">
        <v>332</v>
      </c>
      <c r="T195" s="1484" t="s">
        <v>678</v>
      </c>
      <c r="U195" s="1484"/>
      <c r="W195" t="s">
        <v>694</v>
      </c>
      <c r="AH195" s="1484">
        <v>27</v>
      </c>
      <c r="AI195" s="1484"/>
      <c r="BC195" t="s">
        <v>2049</v>
      </c>
      <c r="BN195" s="23" t="s">
        <v>243</v>
      </c>
      <c r="BT195" t="s">
        <v>741</v>
      </c>
    </row>
    <row r="196" spans="1:74" ht="12.95" customHeight="1">
      <c r="C196" s="21"/>
      <c r="D196" t="s">
        <v>387</v>
      </c>
      <c r="T196" s="1432" t="s">
        <v>678</v>
      </c>
      <c r="U196" s="1432"/>
      <c r="W196" t="s">
        <v>695</v>
      </c>
      <c r="AH196" s="1484">
        <v>49</v>
      </c>
      <c r="AI196" s="1484"/>
      <c r="BN196" s="23" t="s">
        <v>244</v>
      </c>
      <c r="BT196" t="s">
        <v>69</v>
      </c>
    </row>
    <row r="197" spans="1:74" ht="12.95" customHeight="1">
      <c r="C197" s="21"/>
      <c r="D197" s="3" t="s">
        <v>169</v>
      </c>
      <c r="T197" s="1432" t="s">
        <v>678</v>
      </c>
      <c r="U197" s="1432"/>
      <c r="W197" t="s">
        <v>696</v>
      </c>
      <c r="AH197" s="1484">
        <v>22</v>
      </c>
      <c r="AI197" s="1484"/>
      <c r="BC197" t="s">
        <v>308</v>
      </c>
      <c r="BN197" s="23" t="s">
        <v>245</v>
      </c>
      <c r="BT197" t="s">
        <v>70</v>
      </c>
    </row>
    <row r="198" spans="1:74" s="14" customFormat="1" ht="12.95" customHeight="1">
      <c r="A198"/>
      <c r="B198"/>
      <c r="C198" s="21"/>
      <c r="D198" s="3" t="s">
        <v>1766</v>
      </c>
      <c r="E198"/>
      <c r="F198"/>
      <c r="G198"/>
      <c r="H198"/>
      <c r="I198"/>
      <c r="J198"/>
      <c r="K198"/>
      <c r="L198"/>
      <c r="M198"/>
      <c r="N198"/>
      <c r="O198"/>
      <c r="P198"/>
      <c r="Q198"/>
      <c r="R198"/>
      <c r="S198"/>
      <c r="T198" s="1432"/>
      <c r="U198" s="1432"/>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2.95" customHeight="1">
      <c r="A199"/>
      <c r="B199"/>
      <c r="C199" s="21"/>
      <c r="D199" s="118" t="s">
        <v>2533</v>
      </c>
      <c r="E199"/>
      <c r="F199"/>
      <c r="G199"/>
      <c r="H199"/>
      <c r="I199"/>
      <c r="J199"/>
      <c r="K199"/>
      <c r="L199"/>
      <c r="M199"/>
      <c r="N199"/>
      <c r="O199"/>
      <c r="P199"/>
      <c r="Q199"/>
      <c r="R199"/>
      <c r="S199"/>
      <c r="T199"/>
      <c r="U199"/>
      <c r="V199"/>
      <c r="W199"/>
      <c r="Z199" s="1484" t="s">
        <v>678</v>
      </c>
      <c r="AA199" s="1484"/>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2.95"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1091</v>
      </c>
      <c r="BD200" s="469"/>
      <c r="BN200" s="23" t="s">
        <v>709</v>
      </c>
      <c r="BO200"/>
      <c r="BP200"/>
      <c r="BQ200"/>
      <c r="BR200"/>
      <c r="BS200"/>
      <c r="BT200" s="32" t="s">
        <v>194</v>
      </c>
      <c r="BU200"/>
    </row>
    <row r="201" spans="1:74" s="14" customFormat="1" ht="12.95" customHeight="1">
      <c r="A201"/>
      <c r="B201"/>
      <c r="C201" s="21"/>
      <c r="D201" s="221" t="s">
        <v>939</v>
      </c>
      <c r="E201"/>
      <c r="F201"/>
      <c r="G201"/>
      <c r="H201"/>
      <c r="I201"/>
      <c r="J201"/>
      <c r="K201"/>
      <c r="L201"/>
      <c r="M201"/>
      <c r="N201"/>
      <c r="O201"/>
      <c r="P201"/>
      <c r="Q201"/>
      <c r="R201"/>
      <c r="S201"/>
      <c r="T201" s="1"/>
      <c r="U201" s="1"/>
      <c r="V201"/>
      <c r="W201" s="221"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9"/>
      <c r="BN201" s="23" t="s">
        <v>710</v>
      </c>
      <c r="BO201" s="31"/>
      <c r="BP201" s="32"/>
      <c r="BQ201" s="32"/>
      <c r="BR201" s="32"/>
      <c r="BS201" s="32"/>
      <c r="BT201" s="32" t="s">
        <v>195</v>
      </c>
      <c r="BU201"/>
    </row>
    <row r="202" spans="1:74" ht="12.95" customHeight="1">
      <c r="C202" s="21"/>
      <c r="D202" s="546"/>
      <c r="BC202" t="s">
        <v>1092</v>
      </c>
      <c r="BD202" s="469"/>
      <c r="BN202" s="23" t="s">
        <v>711</v>
      </c>
      <c r="BO202" s="14"/>
      <c r="BP202" s="32"/>
      <c r="BQ202" s="32"/>
      <c r="BR202" s="32"/>
      <c r="BS202" s="32"/>
      <c r="BT202" s="32" t="s">
        <v>196</v>
      </c>
    </row>
    <row r="203" spans="1:74" ht="12.95" customHeight="1">
      <c r="A203" s="2" t="s">
        <v>595</v>
      </c>
      <c r="C203" s="2" t="s">
        <v>136</v>
      </c>
      <c r="BC203" t="s">
        <v>1093</v>
      </c>
      <c r="BN203" s="23" t="s">
        <v>712</v>
      </c>
      <c r="BO203" s="14"/>
      <c r="BP203" s="32"/>
      <c r="BQ203" s="32"/>
      <c r="BR203" s="32"/>
      <c r="BS203" s="32"/>
      <c r="BT203" s="32" t="s">
        <v>197</v>
      </c>
    </row>
    <row r="204" spans="1:74" ht="12.95" customHeight="1">
      <c r="D204" s="1499" t="s">
        <v>386</v>
      </c>
      <c r="E204" s="1499"/>
      <c r="F204" s="1499"/>
      <c r="G204" s="1499"/>
      <c r="H204" s="1499"/>
      <c r="I204" s="1499"/>
      <c r="J204" s="1499"/>
      <c r="K204" s="1499"/>
      <c r="L204" s="1499"/>
      <c r="M204" s="1499"/>
      <c r="P204" s="1817">
        <f>M26</f>
        <v>1428404</v>
      </c>
      <c r="Q204" s="1811"/>
      <c r="R204" s="1811"/>
      <c r="S204" s="1811"/>
      <c r="T204" s="1811"/>
      <c r="U204" s="1811"/>
      <c r="Z204" s="1809" t="s">
        <v>1291</v>
      </c>
      <c r="AA204" s="1809"/>
      <c r="AB204" s="1809"/>
      <c r="AC204" s="1809"/>
      <c r="AD204" s="1809"/>
      <c r="AE204" s="1809"/>
      <c r="AF204" s="1809"/>
      <c r="BC204" t="s">
        <v>619</v>
      </c>
      <c r="BN204" s="23" t="s">
        <v>713</v>
      </c>
      <c r="BT204" s="32" t="s">
        <v>198</v>
      </c>
      <c r="BU204" s="14"/>
    </row>
    <row r="205" spans="1:74" ht="12.95" customHeight="1">
      <c r="C205" s="21"/>
      <c r="D205" s="1838" t="s">
        <v>1356</v>
      </c>
      <c r="E205" s="1499"/>
      <c r="F205" s="1499"/>
      <c r="G205" s="1499"/>
      <c r="H205" s="1499"/>
      <c r="I205" s="1499"/>
      <c r="J205" s="1499"/>
      <c r="K205" s="1499"/>
      <c r="L205" s="1499"/>
      <c r="M205" s="1499"/>
      <c r="P205" s="1811">
        <f>M27</f>
        <v>10710551</v>
      </c>
      <c r="Q205" s="1811"/>
      <c r="R205" s="1811"/>
      <c r="S205" s="1811"/>
      <c r="T205" s="1811"/>
      <c r="U205" s="1811"/>
      <c r="V205" s="28"/>
      <c r="W205" s="3" t="s">
        <v>1911</v>
      </c>
      <c r="Z205" s="1809"/>
      <c r="AA205" s="1809"/>
      <c r="AB205" s="1809"/>
      <c r="AC205" s="1809"/>
      <c r="AD205" s="1809"/>
      <c r="AE205" s="1809"/>
      <c r="AF205" s="1809"/>
      <c r="AG205" t="s">
        <v>1357</v>
      </c>
      <c r="AP205" s="1484" t="s">
        <v>678</v>
      </c>
      <c r="AQ205" s="1484"/>
      <c r="BC205" t="s">
        <v>1051</v>
      </c>
      <c r="BN205" s="23" t="s">
        <v>109</v>
      </c>
      <c r="BT205" s="32" t="s">
        <v>174</v>
      </c>
      <c r="BU205" s="14"/>
    </row>
    <row r="206" spans="1:74" ht="12.95" customHeight="1">
      <c r="D206" s="29"/>
      <c r="E206" s="29"/>
      <c r="F206" s="29"/>
      <c r="G206" s="29"/>
      <c r="H206" s="29"/>
      <c r="I206" s="29"/>
      <c r="J206" s="29"/>
      <c r="K206" s="29"/>
      <c r="L206" s="29"/>
      <c r="M206" s="29"/>
      <c r="N206" s="29"/>
      <c r="O206" s="29"/>
      <c r="P206" s="29"/>
      <c r="Z206" s="1810"/>
      <c r="AA206" s="1810"/>
      <c r="AB206" s="1810"/>
      <c r="AC206" s="1810"/>
      <c r="AD206" s="1810"/>
      <c r="AE206" s="1810"/>
      <c r="AF206" s="1810"/>
      <c r="BC206" s="470" t="s">
        <v>1094</v>
      </c>
      <c r="BN206" s="23" t="s">
        <v>110</v>
      </c>
      <c r="BT206" s="32" t="s">
        <v>199</v>
      </c>
      <c r="BU206" s="14"/>
    </row>
    <row r="207" spans="1:74" ht="12.95" customHeight="1">
      <c r="A207" s="2" t="s">
        <v>598</v>
      </c>
      <c r="C207" s="2" t="s">
        <v>560</v>
      </c>
      <c r="BC207" s="3" t="s">
        <v>2573</v>
      </c>
      <c r="BN207" s="23" t="s">
        <v>45</v>
      </c>
      <c r="BT207" s="32" t="s">
        <v>200</v>
      </c>
    </row>
    <row r="208" spans="1:74" ht="12.95" customHeight="1">
      <c r="C208" s="21"/>
      <c r="D208" s="1497" t="s">
        <v>2649</v>
      </c>
      <c r="E208" s="1497"/>
      <c r="F208" s="1497"/>
      <c r="G208" s="1497"/>
      <c r="H208" s="1497"/>
      <c r="I208" s="1497"/>
      <c r="J208" s="1497"/>
      <c r="K208" s="1497"/>
      <c r="L208" s="1497"/>
      <c r="M208" s="1497"/>
      <c r="BC208" t="s">
        <v>1095</v>
      </c>
      <c r="BN208" s="23" t="s">
        <v>46</v>
      </c>
      <c r="BT208" s="32" t="s">
        <v>201</v>
      </c>
    </row>
    <row r="209" spans="1:72" ht="12.95" customHeight="1">
      <c r="BC209" t="s">
        <v>668</v>
      </c>
      <c r="BN209" s="23" t="s">
        <v>47</v>
      </c>
      <c r="BT209" s="32" t="s">
        <v>202</v>
      </c>
    </row>
    <row r="210" spans="1:72" ht="12.95" customHeight="1">
      <c r="A210" s="2" t="s">
        <v>599</v>
      </c>
      <c r="C210" s="2" t="s">
        <v>389</v>
      </c>
      <c r="BN210" s="23" t="s">
        <v>48</v>
      </c>
      <c r="BT210" s="32" t="s">
        <v>203</v>
      </c>
    </row>
    <row r="211" spans="1:72" ht="12.95" customHeight="1">
      <c r="C211" s="21"/>
      <c r="D211" s="1497" t="s">
        <v>1068</v>
      </c>
      <c r="E211" s="1497"/>
      <c r="F211" s="1497"/>
      <c r="G211" s="1497"/>
      <c r="H211" s="1497"/>
      <c r="I211" s="1497"/>
      <c r="J211" s="1497"/>
      <c r="K211" s="1497"/>
      <c r="L211" s="1497"/>
      <c r="M211" s="1497"/>
      <c r="BN211" s="23" t="s">
        <v>129</v>
      </c>
      <c r="BT211" s="32" t="s">
        <v>130</v>
      </c>
    </row>
    <row r="212" spans="1:72" ht="12.95" customHeight="1">
      <c r="C212" s="21"/>
      <c r="D212" t="s">
        <v>1353</v>
      </c>
      <c r="Y212" s="1484">
        <v>35</v>
      </c>
      <c r="Z212" s="1484"/>
      <c r="AB212" s="1836">
        <f>IFERROR(Y212/AG440,"")</f>
        <v>0.7142857142857143</v>
      </c>
      <c r="AC212" s="1837"/>
      <c r="BC212" t="s">
        <v>308</v>
      </c>
      <c r="BI212" t="s">
        <v>1291</v>
      </c>
      <c r="BN212" s="23" t="s">
        <v>49</v>
      </c>
      <c r="BT212" s="32" t="s">
        <v>204</v>
      </c>
    </row>
    <row r="213" spans="1:72" ht="12.95" customHeight="1">
      <c r="D213" s="1189" t="s">
        <v>1742</v>
      </c>
      <c r="BC213" t="s">
        <v>535</v>
      </c>
      <c r="BI213" t="s">
        <v>2631</v>
      </c>
      <c r="BN213" s="23" t="s">
        <v>50</v>
      </c>
      <c r="BT213" s="32" t="s">
        <v>205</v>
      </c>
    </row>
    <row r="214" spans="1:72" ht="12.95" customHeight="1">
      <c r="D214" s="1859" t="s">
        <v>1743</v>
      </c>
      <c r="E214" s="1859"/>
      <c r="F214" s="1859"/>
      <c r="G214" s="1859"/>
      <c r="H214" s="1859"/>
      <c r="I214" s="1859"/>
      <c r="J214" s="1859"/>
      <c r="K214" s="1859"/>
      <c r="L214" s="1859"/>
      <c r="M214" s="1859"/>
      <c r="N214" s="1859"/>
      <c r="O214" s="1859"/>
      <c r="P214" s="1859"/>
      <c r="Q214" s="1859"/>
      <c r="R214" s="1859"/>
      <c r="S214" s="1859"/>
      <c r="T214" s="1859"/>
      <c r="U214" s="1859"/>
      <c r="V214" s="1859"/>
      <c r="W214" s="1859"/>
      <c r="X214" s="1859"/>
      <c r="Y214" s="1859"/>
      <c r="Z214" s="1859"/>
      <c r="AU214" s="21"/>
      <c r="AV214" s="21"/>
      <c r="AW214" s="21"/>
      <c r="AX214" s="21"/>
      <c r="AY214" s="21"/>
      <c r="BC214" t="s">
        <v>539</v>
      </c>
      <c r="BI214" t="s">
        <v>2637</v>
      </c>
      <c r="BN214" s="23" t="s">
        <v>327</v>
      </c>
      <c r="BT214" s="32" t="s">
        <v>206</v>
      </c>
    </row>
    <row r="215" spans="1:72" ht="12.95" customHeight="1">
      <c r="D215" s="3" t="s">
        <v>1767</v>
      </c>
      <c r="Z215" s="40"/>
      <c r="AB215" s="1848"/>
      <c r="AC215" s="1848"/>
      <c r="AD215" s="1848"/>
      <c r="AE215" s="1848"/>
      <c r="AF215" s="1848"/>
      <c r="AG215" s="1848"/>
      <c r="AH215" s="1848"/>
      <c r="AI215" s="1848"/>
      <c r="AJ215" s="1848"/>
      <c r="AK215" s="1848"/>
      <c r="AL215" s="1848"/>
      <c r="AM215" s="21"/>
      <c r="AN215" s="21"/>
      <c r="AO215" s="21"/>
      <c r="AP215" s="21"/>
      <c r="AQ215" s="21"/>
      <c r="AR215" s="21"/>
      <c r="AS215" s="21"/>
      <c r="AT215" s="21"/>
      <c r="AU215" s="21"/>
      <c r="AV215" s="21"/>
      <c r="AW215" s="21"/>
      <c r="AX215" s="21"/>
      <c r="AY215" s="21"/>
      <c r="BC215" t="s">
        <v>536</v>
      </c>
      <c r="BI215" t="s">
        <v>2632</v>
      </c>
    </row>
    <row r="216" spans="1:72" ht="12.95" customHeight="1">
      <c r="D216" s="3" t="s">
        <v>1765</v>
      </c>
      <c r="Z216" s="40"/>
      <c r="AB216" s="1848"/>
      <c r="AC216" s="1848"/>
      <c r="AD216" s="1848"/>
      <c r="AE216" s="1848"/>
      <c r="AF216" s="1848"/>
      <c r="AG216" s="1848"/>
      <c r="AH216" s="1848"/>
      <c r="AI216" s="1848"/>
      <c r="AJ216" s="1848"/>
      <c r="AK216" s="1848"/>
      <c r="AL216" s="1848"/>
      <c r="AM216" s="21"/>
      <c r="AN216" s="21"/>
      <c r="AO216" s="21"/>
      <c r="AP216" s="21"/>
      <c r="AQ216" s="21"/>
      <c r="AR216" s="21"/>
      <c r="AS216" s="21"/>
      <c r="AT216" s="21"/>
      <c r="AU216" s="21"/>
      <c r="AV216" s="21"/>
      <c r="AW216" s="21"/>
      <c r="AX216" s="21"/>
      <c r="AY216" s="21"/>
      <c r="BC216" t="s">
        <v>575</v>
      </c>
      <c r="BI216" t="s">
        <v>2633</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row>
    <row r="218" spans="1:72" ht="12.95" customHeight="1">
      <c r="A218" s="2" t="s">
        <v>601</v>
      </c>
      <c r="C218" s="2" t="s">
        <v>1329</v>
      </c>
      <c r="D218" s="28"/>
      <c r="BC218" t="s">
        <v>538</v>
      </c>
    </row>
    <row r="219" spans="1:72" ht="12.95" customHeight="1">
      <c r="A219" s="2"/>
      <c r="C219" s="2"/>
      <c r="D219" s="4" t="s">
        <v>1009</v>
      </c>
      <c r="AZ219" s="3"/>
      <c r="BA219" s="3"/>
      <c r="BC219" t="s">
        <v>378</v>
      </c>
    </row>
    <row r="220" spans="1:72" ht="12.95" customHeight="1">
      <c r="A220" s="2"/>
      <c r="C220" s="2"/>
      <c r="D220" s="1497" t="s">
        <v>887</v>
      </c>
      <c r="E220" s="1497"/>
      <c r="F220" s="1497"/>
      <c r="G220" s="1497"/>
      <c r="H220" s="1497"/>
      <c r="I220" s="1497"/>
      <c r="J220" s="1497"/>
      <c r="K220" s="1497"/>
      <c r="L220" s="1497"/>
      <c r="M220" s="1497"/>
      <c r="N220" s="1497"/>
      <c r="O220" s="1497"/>
      <c r="P220" s="1497"/>
      <c r="Q220" s="1497"/>
      <c r="R220" s="1497"/>
      <c r="S220" s="1497"/>
      <c r="T220" s="1497"/>
      <c r="U220" s="1497"/>
      <c r="V220" s="1497"/>
      <c r="W220" s="1497"/>
      <c r="X220" s="1497"/>
      <c r="Y220" s="1497"/>
      <c r="Z220" s="1497"/>
      <c r="BA220" s="3"/>
      <c r="BC220" t="s">
        <v>301</v>
      </c>
    </row>
    <row r="221" spans="1:72" ht="12.95" customHeight="1">
      <c r="A221" s="2"/>
      <c r="B221" s="14"/>
      <c r="C221" s="2"/>
      <c r="AU221" s="95"/>
      <c r="AV221" s="95"/>
      <c r="AW221" s="95"/>
      <c r="AX221" s="95"/>
      <c r="AY221" s="95"/>
      <c r="BA221" s="3"/>
    </row>
    <row r="222" spans="1:72" ht="12.95" customHeight="1">
      <c r="A222" s="1438" t="s">
        <v>549</v>
      </c>
      <c r="B222" s="1438"/>
      <c r="C222" s="1438"/>
      <c r="D222" s="1438"/>
      <c r="E222" s="1438"/>
      <c r="F222" s="1438"/>
      <c r="G222" s="1438"/>
      <c r="H222" s="1438"/>
      <c r="I222" s="1438"/>
      <c r="J222" s="1438"/>
      <c r="K222" s="1438"/>
      <c r="L222" s="1438"/>
      <c r="M222" s="1438"/>
      <c r="N222" s="1438"/>
      <c r="O222" s="1438"/>
      <c r="P222" s="1438"/>
      <c r="Q222" s="1438"/>
      <c r="R222" s="1438"/>
      <c r="S222" s="1438"/>
      <c r="T222" s="1438"/>
      <c r="U222" s="1438"/>
      <c r="V222" s="1438"/>
      <c r="W222" s="1438"/>
      <c r="X222" s="1438"/>
      <c r="Y222" s="1438"/>
      <c r="Z222" s="1438"/>
      <c r="AA222" s="1438"/>
      <c r="AB222" s="1438"/>
      <c r="AC222" s="1438"/>
      <c r="AD222" s="1438"/>
      <c r="AE222" s="1438"/>
      <c r="AF222" s="1438"/>
      <c r="AG222" s="1438"/>
      <c r="AH222" s="1438"/>
      <c r="AI222" s="1438"/>
      <c r="AJ222" s="1438"/>
      <c r="AK222" s="1438"/>
      <c r="AL222" s="1438"/>
      <c r="AM222" s="1438"/>
      <c r="AN222" s="1438"/>
      <c r="AO222" s="1438"/>
      <c r="AP222" s="1438"/>
      <c r="AQ222" s="1438"/>
      <c r="AR222" s="1438"/>
      <c r="AS222" s="1438"/>
      <c r="AT222" s="1438"/>
      <c r="AU222" s="95"/>
      <c r="AV222" s="95"/>
      <c r="AW222" s="95"/>
      <c r="AX222" s="95"/>
      <c r="AY222" s="95"/>
      <c r="AZ222" s="3"/>
      <c r="BA222" s="3"/>
      <c r="BP222" s="34"/>
    </row>
    <row r="223" spans="1:72" ht="12.95" customHeight="1">
      <c r="A223" s="1438"/>
      <c r="B223" s="1438"/>
      <c r="C223" s="1438"/>
      <c r="D223" s="1438"/>
      <c r="E223" s="1438"/>
      <c r="F223" s="1438"/>
      <c r="G223" s="1438"/>
      <c r="H223" s="1438"/>
      <c r="I223" s="1438"/>
      <c r="J223" s="1438"/>
      <c r="K223" s="1438"/>
      <c r="L223" s="1438"/>
      <c r="M223" s="1438"/>
      <c r="N223" s="1438"/>
      <c r="O223" s="1438"/>
      <c r="P223" s="1438"/>
      <c r="Q223" s="1438"/>
      <c r="R223" s="1438"/>
      <c r="S223" s="1438"/>
      <c r="T223" s="1438"/>
      <c r="U223" s="1438"/>
      <c r="V223" s="1438"/>
      <c r="W223" s="1438"/>
      <c r="X223" s="1438"/>
      <c r="Y223" s="1438"/>
      <c r="Z223" s="1438"/>
      <c r="AA223" s="1438"/>
      <c r="AB223" s="1438"/>
      <c r="AC223" s="1438"/>
      <c r="AD223" s="1438"/>
      <c r="AE223" s="1438"/>
      <c r="AF223" s="1438"/>
      <c r="AG223" s="1438"/>
      <c r="AH223" s="1438"/>
      <c r="AI223" s="1438"/>
      <c r="AJ223" s="1438"/>
      <c r="AK223" s="1438"/>
      <c r="AL223" s="1438"/>
      <c r="AM223" s="1438"/>
      <c r="AN223" s="1438"/>
      <c r="AO223" s="1438"/>
      <c r="AP223" s="1438"/>
      <c r="AQ223" s="1438"/>
      <c r="AR223" s="1438"/>
      <c r="AS223" s="1438"/>
      <c r="AT223" s="1438"/>
      <c r="BA223" s="3"/>
      <c r="BB223" s="3"/>
      <c r="BQ223" s="34"/>
    </row>
    <row r="224" spans="1:72" ht="12.95" customHeight="1">
      <c r="AZ224" s="4"/>
      <c r="BA224" s="3"/>
      <c r="BB224" s="3"/>
      <c r="BQ224" s="34"/>
    </row>
    <row r="225" spans="1:69" ht="12.95" customHeight="1">
      <c r="A225" s="2" t="s">
        <v>320</v>
      </c>
      <c r="B225" s="2"/>
      <c r="C225" s="2" t="s">
        <v>2400</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84" t="s">
        <v>600</v>
      </c>
      <c r="AJ226" s="1484"/>
      <c r="AL226" s="3"/>
      <c r="AM226" s="3"/>
      <c r="AN226" s="3"/>
      <c r="AO226" s="3"/>
      <c r="AP226" s="3"/>
      <c r="AQ226" s="3"/>
      <c r="AR226" s="3"/>
      <c r="AS226" s="3"/>
      <c r="AT226" s="3"/>
      <c r="AU226" s="3"/>
      <c r="AV226" s="3"/>
      <c r="AW226" s="3"/>
      <c r="AX226" s="3"/>
      <c r="AY226" s="3"/>
      <c r="AZ226" s="4"/>
      <c r="BB226" s="218" t="s">
        <v>547</v>
      </c>
      <c r="BG226" s="259">
        <f>IF(AND(AND($M$249="for profit",$M$257="for profit",$M$265="nonprofit")),2,0)</f>
        <v>0</v>
      </c>
      <c r="BO226" s="34"/>
    </row>
    <row r="227" spans="1:69" ht="12.95"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84" t="s">
        <v>554</v>
      </c>
      <c r="AJ227" s="1484"/>
      <c r="AL227" s="3"/>
      <c r="AM227" s="3"/>
      <c r="AN227" s="3"/>
      <c r="AO227" s="3"/>
      <c r="AP227" s="3"/>
      <c r="AQ227" s="3"/>
      <c r="AR227" s="3"/>
      <c r="AS227" s="3"/>
      <c r="AT227" s="3"/>
      <c r="AU227" s="3"/>
      <c r="AV227" s="3"/>
      <c r="AW227" s="3"/>
      <c r="AX227" s="3"/>
      <c r="AY227" s="3"/>
      <c r="BA227" s="3"/>
      <c r="BB227" s="218" t="s">
        <v>547</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84" t="s">
        <v>554</v>
      </c>
      <c r="AJ228" s="1484"/>
      <c r="AL228" s="3"/>
      <c r="AM228" s="3"/>
      <c r="AN228" s="3"/>
      <c r="AO228" s="3"/>
      <c r="AP228" s="3"/>
      <c r="AQ228" s="3"/>
      <c r="AR228" s="3"/>
      <c r="AS228" s="3"/>
      <c r="AT228" s="3"/>
      <c r="AU228" s="3"/>
      <c r="AV228" s="3"/>
      <c r="AW228" s="3"/>
      <c r="AX228" s="3"/>
      <c r="AY228" s="3"/>
      <c r="AZ228" s="4"/>
      <c r="BA228" s="3"/>
      <c r="BB228" s="218" t="s">
        <v>547</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84" t="s">
        <v>600</v>
      </c>
      <c r="AJ229" s="1484"/>
      <c r="AL229" s="3"/>
      <c r="AM229" s="3"/>
      <c r="AN229" s="3"/>
      <c r="AO229" s="3"/>
      <c r="AP229" s="3"/>
      <c r="AQ229" s="3"/>
      <c r="AR229" s="3"/>
      <c r="AS229" s="3"/>
      <c r="AT229" s="3"/>
      <c r="AU229" s="3"/>
      <c r="AV229" s="3"/>
      <c r="AW229" s="3"/>
      <c r="AX229" s="3"/>
      <c r="AY229" s="3"/>
      <c r="BA229" s="3"/>
      <c r="BB229" s="218" t="s">
        <v>547</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IF(AND(AND($M$249="nonprofit",$M$257="for profit",$M$265="(select one)")),2,0)</f>
        <v>2</v>
      </c>
      <c r="BO230" s="34"/>
    </row>
    <row r="231" spans="1:69" ht="12.95" customHeight="1">
      <c r="A231" s="2" t="s">
        <v>585</v>
      </c>
      <c r="B231" s="4"/>
      <c r="C231" s="2" t="s">
        <v>2401</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479</v>
      </c>
      <c r="E232" s="4"/>
      <c r="F232" s="4"/>
      <c r="G232" s="4"/>
      <c r="H232" s="4"/>
      <c r="I232" s="4"/>
      <c r="J232" s="4"/>
      <c r="K232" s="4"/>
      <c r="M232" s="1833" t="str">
        <f>H16</f>
        <v>Alhambra Second Street LP</v>
      </c>
      <c r="N232" s="1833"/>
      <c r="O232" s="1833"/>
      <c r="P232" s="1833"/>
      <c r="Q232" s="1833"/>
      <c r="R232" s="1833"/>
      <c r="S232" s="1833"/>
      <c r="T232" s="1833"/>
      <c r="U232" s="1833"/>
      <c r="V232" s="1833"/>
      <c r="W232" s="1833"/>
      <c r="X232" s="1833"/>
      <c r="Y232" s="1833"/>
      <c r="Z232" s="1833"/>
      <c r="AA232" s="1833"/>
      <c r="AB232" s="1833"/>
      <c r="AC232" s="1833"/>
      <c r="AD232" s="1833"/>
      <c r="AE232" s="1833"/>
      <c r="AF232" s="1833"/>
      <c r="AG232" s="1833"/>
      <c r="AH232" s="1833"/>
      <c r="AI232" s="1833"/>
      <c r="AJ232" s="1833"/>
      <c r="AK232" s="1833"/>
      <c r="AZ232" s="4"/>
      <c r="BA232" s="3"/>
      <c r="BB232" s="219" t="s">
        <v>547</v>
      </c>
      <c r="BG232" s="259">
        <f>IF(AND(AND($M$249="nonprofit",$M$257="nonprofit",$M$265="for profit")),2,0)</f>
        <v>0</v>
      </c>
      <c r="BQ232" s="34"/>
    </row>
    <row r="233" spans="1:69" ht="12.95" customHeight="1">
      <c r="D233" s="4" t="s">
        <v>85</v>
      </c>
      <c r="E233" s="4"/>
      <c r="F233" s="4"/>
      <c r="G233" s="4"/>
      <c r="H233" s="4"/>
      <c r="I233" s="4"/>
      <c r="J233" s="4"/>
      <c r="K233" s="4"/>
      <c r="M233" s="1509" t="s">
        <v>2651</v>
      </c>
      <c r="N233" s="1497"/>
      <c r="O233" s="1497"/>
      <c r="P233" s="1497"/>
      <c r="Q233" s="1497"/>
      <c r="R233" s="1497"/>
      <c r="S233" s="1497"/>
      <c r="T233" s="1497"/>
      <c r="U233" s="1497"/>
      <c r="V233" s="1497"/>
      <c r="W233" s="1497"/>
      <c r="X233" s="1497"/>
      <c r="Y233" s="1497"/>
      <c r="Z233" s="1497"/>
      <c r="AA233" s="1497"/>
      <c r="AB233" s="1497"/>
      <c r="AC233" s="1497"/>
      <c r="AD233" s="1497"/>
      <c r="AE233" s="1497"/>
      <c r="BB233" s="219" t="s">
        <v>547</v>
      </c>
      <c r="BG233" s="259">
        <f>IF(AND(AND($M$249="nonprofit",$M$257="for profit",$M$265="nonprofit")),2,0)</f>
        <v>0</v>
      </c>
    </row>
    <row r="234" spans="1:69" ht="12.95" customHeight="1">
      <c r="D234" s="4" t="s">
        <v>589</v>
      </c>
      <c r="E234" s="4"/>
      <c r="M234" s="1509" t="s">
        <v>2652</v>
      </c>
      <c r="N234" s="1497"/>
      <c r="O234" s="1497"/>
      <c r="P234" s="1497"/>
      <c r="Q234" s="1497"/>
      <c r="R234" s="1497"/>
      <c r="S234" s="1497"/>
      <c r="T234" s="1497"/>
      <c r="V234" s="33" t="s">
        <v>86</v>
      </c>
      <c r="W234" s="1726" t="s">
        <v>2653</v>
      </c>
      <c r="X234" s="1517"/>
      <c r="Y234" s="4" t="s">
        <v>592</v>
      </c>
      <c r="AC234" s="1497">
        <v>92655</v>
      </c>
      <c r="AD234" s="1497"/>
      <c r="AE234" s="1497"/>
      <c r="AU234" s="4"/>
      <c r="AV234" s="4"/>
      <c r="AW234" s="4"/>
      <c r="AX234" s="4"/>
      <c r="AY234" s="4"/>
      <c r="AZ234" s="4"/>
      <c r="BB234" s="219" t="s">
        <v>547</v>
      </c>
      <c r="BG234" s="258">
        <f>IF(AND(AND($M$249="for profit",$M$257="nonprofit",$M$265="nonprofit")),2,0)</f>
        <v>0</v>
      </c>
      <c r="BO234" s="34"/>
    </row>
    <row r="235" spans="1:69" ht="12.95" customHeight="1">
      <c r="D235" s="4" t="s">
        <v>87</v>
      </c>
      <c r="E235" s="4"/>
      <c r="F235" s="4"/>
      <c r="G235" s="4"/>
      <c r="H235" s="4"/>
      <c r="I235" s="4"/>
      <c r="J235" s="4"/>
      <c r="K235" s="19"/>
      <c r="M235" s="1509" t="s">
        <v>2654</v>
      </c>
      <c r="N235" s="1497"/>
      <c r="O235" s="1497"/>
      <c r="P235" s="1497"/>
      <c r="Q235" s="1497"/>
      <c r="R235" s="1497"/>
      <c r="S235" s="1497"/>
      <c r="T235" s="1497"/>
      <c r="U235" s="1497"/>
      <c r="V235" s="1497"/>
      <c r="W235" s="1497"/>
      <c r="X235" s="1497"/>
      <c r="Y235" s="1497"/>
      <c r="Z235" s="1497"/>
      <c r="AA235" s="1497"/>
      <c r="AB235" s="1497"/>
      <c r="AC235" s="1497"/>
      <c r="AD235" s="1497"/>
      <c r="AE235" s="1497"/>
      <c r="AI235" s="4"/>
      <c r="AJ235" s="4"/>
      <c r="AK235" s="4"/>
      <c r="AL235" s="4"/>
      <c r="AM235" s="4"/>
      <c r="AN235" s="4"/>
      <c r="AO235" s="4"/>
      <c r="AP235" s="4"/>
      <c r="AQ235" s="4"/>
      <c r="AR235" s="4"/>
      <c r="AS235" s="4"/>
      <c r="AT235" s="4"/>
      <c r="BB235" s="219"/>
      <c r="BG235" s="218"/>
    </row>
    <row r="236" spans="1:69" ht="12.95" customHeight="1">
      <c r="D236" s="4" t="s">
        <v>88</v>
      </c>
      <c r="E236" s="4"/>
      <c r="F236" s="4"/>
      <c r="M236" s="1516" t="s">
        <v>2655</v>
      </c>
      <c r="N236" s="1498"/>
      <c r="O236" s="1498"/>
      <c r="P236" s="1498"/>
      <c r="Q236" s="1498"/>
      <c r="R236" s="1498"/>
      <c r="S236" s="4" t="s">
        <v>207</v>
      </c>
      <c r="T236" s="4"/>
      <c r="U236" s="1517"/>
      <c r="V236" s="1517"/>
      <c r="W236" s="1517"/>
      <c r="X236" s="4" t="s">
        <v>89</v>
      </c>
      <c r="Z236" s="1498"/>
      <c r="AA236" s="1498"/>
      <c r="AB236" s="1498"/>
      <c r="AC236" s="1498"/>
      <c r="AD236" s="1498"/>
      <c r="AE236" s="1498"/>
      <c r="AU236" s="4"/>
      <c r="AV236" s="4"/>
      <c r="AW236" s="4"/>
      <c r="AX236" s="4"/>
      <c r="AY236" s="4"/>
      <c r="AZ236" s="4"/>
      <c r="BB236" s="218" t="s">
        <v>546</v>
      </c>
      <c r="BG236" s="259">
        <f>IF(AND(AND($M$249="nonprofit",$M$257="nonprofit",$M$265="(select one)")),1,0)</f>
        <v>0</v>
      </c>
    </row>
    <row r="237" spans="1:69" ht="12.95" customHeight="1">
      <c r="D237" s="4" t="s">
        <v>90</v>
      </c>
      <c r="E237" s="4"/>
      <c r="F237" s="4"/>
      <c r="M237" s="1808" t="s">
        <v>2656</v>
      </c>
      <c r="N237" s="1808"/>
      <c r="O237" s="1808"/>
      <c r="P237" s="1808"/>
      <c r="Q237" s="1808"/>
      <c r="R237" s="1808"/>
      <c r="S237" s="1808"/>
      <c r="T237" s="1808"/>
      <c r="U237" s="1808"/>
      <c r="V237" s="1808"/>
      <c r="W237" s="1808"/>
      <c r="X237" s="1808"/>
      <c r="Y237" s="1808"/>
      <c r="Z237" s="1808"/>
      <c r="AA237" s="1808"/>
      <c r="AB237" s="1808"/>
      <c r="AC237" s="1808"/>
      <c r="AD237" s="1808"/>
      <c r="AE237" s="1808"/>
      <c r="AF237" s="4"/>
      <c r="AG237" s="4"/>
      <c r="AH237" s="4"/>
      <c r="AI237" s="4"/>
      <c r="AJ237" s="4"/>
      <c r="AK237" s="4"/>
      <c r="AL237" s="4"/>
      <c r="AM237" s="4"/>
      <c r="AN237" s="4"/>
      <c r="AO237" s="4"/>
      <c r="AP237" s="4"/>
      <c r="AQ237" s="4"/>
      <c r="AR237" s="4"/>
      <c r="AS237" s="4"/>
      <c r="AT237" s="4"/>
      <c r="AU237" s="3"/>
      <c r="AV237" s="3"/>
      <c r="AW237" s="3"/>
      <c r="AX237" s="3"/>
      <c r="AY237" s="3"/>
      <c r="BB237" s="218" t="s">
        <v>546</v>
      </c>
      <c r="BG237" s="259">
        <f>IF(AND(AND($M$249="nonprofit",$M$257="nonprofit",$M$265="nonprofit")),1,0)</f>
        <v>0</v>
      </c>
    </row>
    <row r="238" spans="1:69" ht="12.95" customHeight="1">
      <c r="A238" s="2" t="s">
        <v>595</v>
      </c>
      <c r="C238" s="2" t="s">
        <v>534</v>
      </c>
      <c r="M238" s="1514" t="s">
        <v>537</v>
      </c>
      <c r="N238" s="1514"/>
      <c r="O238" s="1514"/>
      <c r="P238" s="1514"/>
      <c r="Q238" s="1514"/>
      <c r="R238" s="1514"/>
      <c r="S238" s="1514"/>
      <c r="T238" s="1514"/>
      <c r="U238" s="218" t="s">
        <v>922</v>
      </c>
      <c r="V238" s="218"/>
      <c r="W238" s="218"/>
      <c r="X238" s="218"/>
      <c r="Y238" s="218"/>
      <c r="Z238" s="218"/>
      <c r="AA238" s="1814" t="s">
        <v>2650</v>
      </c>
      <c r="AB238" s="1814"/>
      <c r="AC238" s="1814"/>
      <c r="AD238" s="1814"/>
      <c r="AE238" s="1814"/>
      <c r="AF238" s="1814"/>
      <c r="AG238" s="1814"/>
      <c r="AH238" s="1814"/>
      <c r="AI238" s="1814"/>
      <c r="AJ238" s="1814"/>
      <c r="AK238" s="1814"/>
      <c r="AL238" s="3"/>
      <c r="AM238" s="3"/>
      <c r="AN238" s="3"/>
      <c r="AO238" s="3"/>
      <c r="AP238" s="3"/>
      <c r="AQ238" s="3"/>
      <c r="AR238" s="3"/>
      <c r="AS238" s="3"/>
      <c r="AT238" s="3"/>
      <c r="AU238" s="3"/>
      <c r="AV238" s="3"/>
      <c r="AW238" s="3"/>
      <c r="AX238" s="3"/>
      <c r="AY238" s="3"/>
      <c r="BB238" s="218" t="s">
        <v>546</v>
      </c>
      <c r="BG238" s="259">
        <f>IF(AND(AND($M$249="nonprofit",$M$257="(select one)",$M$265="(select one)")),1,0)</f>
        <v>0</v>
      </c>
      <c r="BN238" s="34"/>
    </row>
    <row r="239" spans="1:69" ht="12.95" customHeight="1">
      <c r="D239" t="s">
        <v>540</v>
      </c>
      <c r="M239" s="1486"/>
      <c r="N239" s="1486"/>
      <c r="O239" s="1486"/>
      <c r="P239" s="1486"/>
      <c r="Q239" s="1486"/>
      <c r="R239" s="1486"/>
      <c r="S239" s="1486"/>
      <c r="T239" s="1486"/>
      <c r="U239" s="1486"/>
      <c r="V239" s="1486"/>
      <c r="W239" s="1486"/>
      <c r="X239" s="1486"/>
      <c r="Y239" s="1486"/>
      <c r="Z239" s="1486"/>
      <c r="AA239" s="1486"/>
      <c r="AB239" s="1486"/>
      <c r="AC239" s="1486"/>
      <c r="AD239" s="1486"/>
      <c r="AE239" s="1486"/>
      <c r="AF239" s="4"/>
      <c r="AG239" s="4"/>
      <c r="AH239" s="4"/>
      <c r="AI239" s="4"/>
      <c r="AJ239" s="4"/>
      <c r="AK239" s="3"/>
      <c r="AL239" s="3"/>
      <c r="AM239" s="3"/>
      <c r="AN239" s="3"/>
      <c r="AO239" s="3"/>
      <c r="AP239" s="3"/>
      <c r="AQ239" s="3"/>
      <c r="AR239" s="3"/>
      <c r="AS239" s="3"/>
      <c r="AT239" s="3"/>
      <c r="BB239" s="218" t="s">
        <v>890</v>
      </c>
      <c r="BG239" s="259">
        <f>IF(AND(AND($M$249="for profit",$M$257="for profit",$M$265="(select one)")),3,0)</f>
        <v>0</v>
      </c>
    </row>
    <row r="240" spans="1:69" ht="12.95" customHeight="1">
      <c r="D240" s="4"/>
      <c r="BB240" s="218" t="s">
        <v>890</v>
      </c>
      <c r="BG240" s="259">
        <f>IF(AND(AND($M$249="for profit",$M$257="for profit",$M$265="for profit")),3,0)</f>
        <v>0</v>
      </c>
    </row>
    <row r="241" spans="1:71" ht="12.95" customHeight="1">
      <c r="A241" s="2" t="s">
        <v>598</v>
      </c>
      <c r="C241" s="2" t="s">
        <v>1290</v>
      </c>
      <c r="D241" s="4"/>
      <c r="L241" s="8"/>
      <c r="M241" s="8"/>
      <c r="N241" s="8"/>
      <c r="AU241" s="3"/>
      <c r="AV241" s="3"/>
      <c r="AW241" s="3"/>
      <c r="AX241" s="3"/>
      <c r="AY241" s="3"/>
      <c r="BB241" s="218" t="s">
        <v>890</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482</v>
      </c>
      <c r="D243" s="4" t="s">
        <v>541</v>
      </c>
      <c r="E243" s="4"/>
      <c r="F243" s="4"/>
      <c r="G243" s="4"/>
      <c r="H243" s="4"/>
      <c r="I243" s="4"/>
      <c r="J243" s="4"/>
      <c r="K243" s="4"/>
      <c r="L243" s="4"/>
      <c r="M243" s="1816" t="s">
        <v>2657</v>
      </c>
      <c r="N243" s="1812"/>
      <c r="O243" s="1812"/>
      <c r="P243" s="1812"/>
      <c r="Q243" s="1812"/>
      <c r="R243" s="1812"/>
      <c r="S243" s="1812"/>
      <c r="T243" s="1812"/>
      <c r="U243" s="1812"/>
      <c r="V243" s="1812"/>
      <c r="W243" s="1812"/>
      <c r="X243" s="1812"/>
      <c r="Y243" s="1812"/>
      <c r="Z243" s="1812"/>
      <c r="AA243" s="1812"/>
      <c r="AB243" s="1812"/>
      <c r="AC243" s="1812"/>
      <c r="AD243" s="1812"/>
      <c r="AE243" s="1812"/>
      <c r="AF243" s="1812" t="s">
        <v>2780</v>
      </c>
      <c r="AG243" s="1812"/>
      <c r="AH243" s="1812"/>
      <c r="AI243" s="1812"/>
      <c r="AJ243" s="1812"/>
      <c r="AK243" s="1812"/>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509" t="s">
        <v>2651</v>
      </c>
      <c r="N244" s="1497"/>
      <c r="O244" s="1497"/>
      <c r="P244" s="1497"/>
      <c r="Q244" s="1497"/>
      <c r="R244" s="1497"/>
      <c r="S244" s="1497"/>
      <c r="T244" s="1497"/>
      <c r="U244" s="1497"/>
      <c r="V244" s="1497"/>
      <c r="W244" s="1497"/>
      <c r="X244" s="1497"/>
      <c r="Y244" s="1497"/>
      <c r="Z244" s="1497"/>
      <c r="AA244" s="1497"/>
      <c r="AB244" s="1497"/>
      <c r="AC244" s="1497"/>
      <c r="AD244" s="1497"/>
      <c r="AE244" s="1497"/>
      <c r="AF244" s="3" t="s">
        <v>1286</v>
      </c>
      <c r="AL244" s="4"/>
      <c r="AM244" s="4"/>
      <c r="AN244" s="4"/>
      <c r="AO244" s="4"/>
      <c r="AP244" s="4"/>
      <c r="AQ244" s="4"/>
      <c r="AR244" s="4"/>
      <c r="AS244" s="4"/>
      <c r="AT244" s="4"/>
      <c r="BB244" t="s">
        <v>308</v>
      </c>
      <c r="BG244">
        <v>1</v>
      </c>
      <c r="BH244" t="s">
        <v>543</v>
      </c>
    </row>
    <row r="245" spans="1:71" ht="12.95" customHeight="1">
      <c r="A245" s="19"/>
      <c r="B245" s="4"/>
      <c r="C245" s="4"/>
      <c r="D245" s="4" t="s">
        <v>589</v>
      </c>
      <c r="E245" s="4"/>
      <c r="M245" s="1509" t="s">
        <v>2652</v>
      </c>
      <c r="N245" s="1497"/>
      <c r="O245" s="1497"/>
      <c r="P245" s="1497"/>
      <c r="Q245" s="1497"/>
      <c r="R245" s="1497"/>
      <c r="S245" s="1497"/>
      <c r="T245" s="1497"/>
      <c r="V245" s="33" t="s">
        <v>86</v>
      </c>
      <c r="W245" s="1726" t="s">
        <v>2653</v>
      </c>
      <c r="X245" s="1517"/>
      <c r="Y245" s="4" t="s">
        <v>592</v>
      </c>
      <c r="AC245" s="1497">
        <v>92655</v>
      </c>
      <c r="AD245" s="1497"/>
      <c r="AE245" s="1497"/>
      <c r="AF245" s="3" t="s">
        <v>1287</v>
      </c>
      <c r="AU245" s="4"/>
      <c r="AV245" s="4"/>
      <c r="AW245" s="4"/>
      <c r="AX245" s="4"/>
      <c r="AY245" s="4"/>
      <c r="BB245" s="4" t="s">
        <v>281</v>
      </c>
      <c r="BG245">
        <v>2</v>
      </c>
      <c r="BH245" t="s">
        <v>575</v>
      </c>
      <c r="BO245" s="257" t="str">
        <f>VLOOKUP(BG243,BG244:BH247,2,FALSE)</f>
        <v>Joint Venture</v>
      </c>
    </row>
    <row r="246" spans="1:71" ht="12.95" customHeight="1">
      <c r="A246" s="19"/>
      <c r="B246" s="4"/>
      <c r="C246" s="4"/>
      <c r="D246" s="4" t="s">
        <v>87</v>
      </c>
      <c r="E246" s="4"/>
      <c r="F246" s="4"/>
      <c r="G246" s="4"/>
      <c r="H246" s="4"/>
      <c r="I246" s="4"/>
      <c r="J246" s="4"/>
      <c r="K246" s="4"/>
      <c r="L246" s="19"/>
      <c r="M246" s="1509" t="s">
        <v>2654</v>
      </c>
      <c r="N246" s="1497"/>
      <c r="O246" s="1497"/>
      <c r="P246" s="1497"/>
      <c r="Q246" s="1497"/>
      <c r="R246" s="1497"/>
      <c r="S246" s="1497"/>
      <c r="T246" s="1497"/>
      <c r="U246" s="1497"/>
      <c r="V246" s="1497"/>
      <c r="W246" s="1497"/>
      <c r="X246" s="1497"/>
      <c r="Y246" s="1497"/>
      <c r="Z246" s="1497"/>
      <c r="AA246" s="1497"/>
      <c r="AB246" s="1497"/>
      <c r="AC246" s="1497"/>
      <c r="AD246" s="1497"/>
      <c r="AE246" s="1497"/>
      <c r="AH246" s="1829">
        <v>8.0000000000000002E-3</v>
      </c>
      <c r="AI246" s="1829"/>
      <c r="AJ246" s="1829"/>
      <c r="AK246" s="1829"/>
      <c r="AL246" s="4"/>
      <c r="AM246" s="4"/>
      <c r="AN246" s="4"/>
      <c r="AO246" s="4"/>
      <c r="AP246" s="4"/>
      <c r="AQ246" s="4"/>
      <c r="AR246" s="4"/>
      <c r="AS246" s="4"/>
      <c r="AT246" s="4"/>
      <c r="BB246" s="4" t="s">
        <v>173</v>
      </c>
      <c r="BG246">
        <v>3</v>
      </c>
      <c r="BH246" t="s">
        <v>545</v>
      </c>
      <c r="BN246" s="34"/>
    </row>
    <row r="247" spans="1:71" ht="12.95" customHeight="1">
      <c r="A247" s="19"/>
      <c r="B247" s="4"/>
      <c r="C247" s="4"/>
      <c r="D247" s="4" t="s">
        <v>88</v>
      </c>
      <c r="E247" s="4"/>
      <c r="F247" s="4"/>
      <c r="M247" s="1516" t="s">
        <v>2655</v>
      </c>
      <c r="N247" s="1498"/>
      <c r="O247" s="1498"/>
      <c r="P247" s="1498"/>
      <c r="Q247" s="1498"/>
      <c r="R247" s="1498"/>
      <c r="S247" s="4" t="s">
        <v>207</v>
      </c>
      <c r="T247" s="4"/>
      <c r="U247" s="1517"/>
      <c r="V247" s="1517"/>
      <c r="W247" s="1517"/>
      <c r="X247" s="4" t="s">
        <v>89</v>
      </c>
      <c r="Z247" s="1498"/>
      <c r="AA247" s="1498"/>
      <c r="AB247" s="1498"/>
      <c r="AC247" s="1498"/>
      <c r="AD247" s="1498"/>
      <c r="AE247" s="1498"/>
      <c r="AU247" s="4"/>
      <c r="AV247" s="4"/>
      <c r="AW247" s="4"/>
      <c r="AX247" s="4"/>
      <c r="AY247" s="4"/>
      <c r="BG247">
        <v>0</v>
      </c>
      <c r="BH247" s="3"/>
      <c r="BN247" s="34"/>
    </row>
    <row r="248" spans="1:71" ht="12.95" customHeight="1">
      <c r="A248" s="19"/>
      <c r="B248" s="4"/>
      <c r="C248" s="4"/>
      <c r="D248" s="4" t="s">
        <v>90</v>
      </c>
      <c r="E248" s="4"/>
      <c r="F248" s="4"/>
      <c r="M248" s="1808" t="s">
        <v>2656</v>
      </c>
      <c r="N248" s="1808"/>
      <c r="O248" s="1808"/>
      <c r="P248" s="1808"/>
      <c r="Q248" s="1808"/>
      <c r="R248" s="1808"/>
      <c r="S248" s="1808"/>
      <c r="T248" s="1808"/>
      <c r="U248" s="1808"/>
      <c r="V248" s="1808"/>
      <c r="W248" s="1808"/>
      <c r="X248" s="1808"/>
      <c r="Y248" s="1808"/>
      <c r="Z248" s="1808"/>
      <c r="AA248" s="1808"/>
      <c r="AB248" s="1808"/>
      <c r="AC248" s="1808"/>
      <c r="AD248" s="1808"/>
      <c r="AE248" s="1808"/>
      <c r="AG248" s="4"/>
      <c r="AH248" s="4"/>
      <c r="AI248" s="4"/>
      <c r="AJ248" s="4"/>
      <c r="AK248" s="4"/>
      <c r="AL248" s="4"/>
      <c r="AM248" s="4"/>
      <c r="AN248" s="4"/>
      <c r="AO248" s="4"/>
      <c r="AP248" s="4"/>
      <c r="AQ248" s="4"/>
      <c r="AR248" s="4"/>
      <c r="AS248" s="4"/>
      <c r="AT248" s="4"/>
      <c r="BN248" s="34"/>
    </row>
    <row r="249" spans="1:71" ht="12.95" customHeight="1">
      <c r="A249" s="13"/>
      <c r="B249" s="4"/>
      <c r="C249" s="56"/>
      <c r="D249" s="4" t="s">
        <v>544</v>
      </c>
      <c r="E249" s="4"/>
      <c r="F249" s="4"/>
      <c r="G249" s="4"/>
      <c r="H249" s="4"/>
      <c r="I249" s="4"/>
      <c r="J249" s="4"/>
      <c r="K249" s="4"/>
      <c r="L249" s="4"/>
      <c r="M249" s="1514" t="s">
        <v>543</v>
      </c>
      <c r="N249" s="1514"/>
      <c r="O249" s="1514"/>
      <c r="P249" s="1514"/>
      <c r="Q249" s="1514"/>
      <c r="R249" s="1514"/>
      <c r="S249" s="1514"/>
      <c r="T249" s="1514"/>
      <c r="U249" s="218" t="s">
        <v>922</v>
      </c>
      <c r="V249" s="218"/>
      <c r="W249" s="218"/>
      <c r="X249" s="218"/>
      <c r="Y249" s="218"/>
      <c r="Z249" s="218"/>
      <c r="AA249" s="1813" t="s">
        <v>2650</v>
      </c>
      <c r="AB249" s="1814"/>
      <c r="AC249" s="1814"/>
      <c r="AD249" s="1814"/>
      <c r="AE249" s="1814"/>
      <c r="AF249" s="1814"/>
      <c r="AG249" s="1814"/>
      <c r="AH249" s="1814"/>
      <c r="AI249" s="1814"/>
      <c r="AJ249" s="1814"/>
      <c r="AK249" s="1814"/>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975</v>
      </c>
      <c r="E251" s="4"/>
      <c r="F251" s="4"/>
      <c r="G251" s="4"/>
      <c r="H251" s="4"/>
      <c r="I251" s="4"/>
      <c r="J251" s="4"/>
      <c r="K251" s="4"/>
      <c r="L251" s="4"/>
      <c r="M251" s="1816" t="s">
        <v>2658</v>
      </c>
      <c r="N251" s="1812"/>
      <c r="O251" s="1812"/>
      <c r="P251" s="1812"/>
      <c r="Q251" s="1812"/>
      <c r="R251" s="1812"/>
      <c r="S251" s="1812"/>
      <c r="T251" s="1812"/>
      <c r="U251" s="1812"/>
      <c r="V251" s="1812"/>
      <c r="W251" s="1812"/>
      <c r="X251" s="1812"/>
      <c r="Y251" s="1812"/>
      <c r="Z251" s="1812"/>
      <c r="AA251" s="1812"/>
      <c r="AB251" s="1812"/>
      <c r="AC251" s="1812"/>
      <c r="AD251" s="1812"/>
      <c r="AE251" s="1812"/>
      <c r="AF251" s="1812" t="s">
        <v>2659</v>
      </c>
      <c r="AG251" s="1812"/>
      <c r="AH251" s="1812"/>
      <c r="AI251" s="1812"/>
      <c r="AJ251" s="1812"/>
      <c r="AK251" s="1812"/>
      <c r="AU251" s="4"/>
      <c r="AV251" s="4"/>
      <c r="AW251" s="4"/>
      <c r="AX251" s="4"/>
      <c r="AY251" s="4"/>
      <c r="BN251" s="34"/>
    </row>
    <row r="252" spans="1:71" ht="12.95" customHeight="1">
      <c r="A252" s="19"/>
      <c r="B252" s="4"/>
      <c r="C252" s="4"/>
      <c r="D252" s="4" t="s">
        <v>85</v>
      </c>
      <c r="E252" s="4"/>
      <c r="F252" s="4"/>
      <c r="G252" s="4"/>
      <c r="H252" s="4"/>
      <c r="I252" s="4"/>
      <c r="J252" s="4"/>
      <c r="K252" s="4"/>
      <c r="L252" s="4"/>
      <c r="M252" s="1509" t="s">
        <v>2793</v>
      </c>
      <c r="N252" s="1497"/>
      <c r="O252" s="1497"/>
      <c r="P252" s="1497"/>
      <c r="Q252" s="1497"/>
      <c r="R252" s="1497"/>
      <c r="S252" s="1497"/>
      <c r="T252" s="1497"/>
      <c r="U252" s="1497"/>
      <c r="V252" s="1497"/>
      <c r="W252" s="1497"/>
      <c r="X252" s="1497"/>
      <c r="Y252" s="1497"/>
      <c r="Z252" s="1497"/>
      <c r="AA252" s="1497"/>
      <c r="AB252" s="1497"/>
      <c r="AC252" s="1497"/>
      <c r="AD252" s="1497"/>
      <c r="AE252" s="1497"/>
      <c r="AF252" s="3" t="s">
        <v>1286</v>
      </c>
      <c r="AL252" s="4"/>
      <c r="AM252" s="4"/>
      <c r="AN252" s="4"/>
      <c r="AO252" s="4"/>
      <c r="AP252" s="4"/>
      <c r="AQ252" s="4"/>
      <c r="AR252" s="4"/>
      <c r="AS252" s="4"/>
      <c r="AT252" s="4"/>
      <c r="BN252" s="34"/>
    </row>
    <row r="253" spans="1:71" ht="12.95" customHeight="1">
      <c r="A253" s="19"/>
      <c r="B253" s="4"/>
      <c r="C253" s="4"/>
      <c r="D253" s="4" t="s">
        <v>589</v>
      </c>
      <c r="E253" s="4"/>
      <c r="M253" s="1509" t="s">
        <v>2794</v>
      </c>
      <c r="N253" s="1497"/>
      <c r="O253" s="1497"/>
      <c r="P253" s="1497"/>
      <c r="Q253" s="1497"/>
      <c r="R253" s="1497"/>
      <c r="S253" s="1497"/>
      <c r="T253" s="1497"/>
      <c r="V253" s="33" t="s">
        <v>86</v>
      </c>
      <c r="W253" s="1726" t="s">
        <v>2795</v>
      </c>
      <c r="X253" s="1517"/>
      <c r="Y253" s="4" t="s">
        <v>592</v>
      </c>
      <c r="AC253" s="1497">
        <v>98226</v>
      </c>
      <c r="AD253" s="1497"/>
      <c r="AE253" s="1497"/>
      <c r="AF253" s="3" t="s">
        <v>1287</v>
      </c>
      <c r="AU253" s="4"/>
      <c r="AV253" s="4"/>
      <c r="AW253" s="4"/>
      <c r="AX253" s="4"/>
      <c r="AY253" s="4"/>
      <c r="BN253" s="34"/>
    </row>
    <row r="254" spans="1:71" ht="12.95" customHeight="1">
      <c r="A254" s="19"/>
      <c r="B254" s="4"/>
      <c r="C254" s="4"/>
      <c r="D254" s="4" t="s">
        <v>87</v>
      </c>
      <c r="E254" s="4"/>
      <c r="F254" s="4"/>
      <c r="G254" s="4"/>
      <c r="H254" s="4"/>
      <c r="I254" s="4"/>
      <c r="J254" s="4"/>
      <c r="K254" s="4"/>
      <c r="L254" s="19"/>
      <c r="M254" s="1509" t="s">
        <v>2660</v>
      </c>
      <c r="N254" s="1497"/>
      <c r="O254" s="1497"/>
      <c r="P254" s="1497"/>
      <c r="Q254" s="1497"/>
      <c r="R254" s="1497"/>
      <c r="S254" s="1497"/>
      <c r="T254" s="1497"/>
      <c r="U254" s="1497"/>
      <c r="V254" s="1497"/>
      <c r="W254" s="1497"/>
      <c r="X254" s="1497"/>
      <c r="Y254" s="1497"/>
      <c r="Z254" s="1497"/>
      <c r="AA254" s="1497"/>
      <c r="AB254" s="1497"/>
      <c r="AC254" s="1497"/>
      <c r="AD254" s="1497"/>
      <c r="AE254" s="1497"/>
      <c r="AH254" s="1829">
        <v>2E-3</v>
      </c>
      <c r="AI254" s="1829"/>
      <c r="AJ254" s="1829"/>
      <c r="AK254" s="1829"/>
      <c r="AL254" s="4"/>
      <c r="AM254" s="4"/>
      <c r="AN254" s="4"/>
      <c r="AO254" s="4"/>
      <c r="AP254" s="4"/>
      <c r="AQ254" s="4"/>
      <c r="AR254" s="4"/>
      <c r="AS254" s="4"/>
      <c r="AT254" s="4"/>
    </row>
    <row r="255" spans="1:71" ht="12.95" customHeight="1">
      <c r="A255" s="19"/>
      <c r="B255" s="4"/>
      <c r="C255" s="4"/>
      <c r="D255" s="4" t="s">
        <v>88</v>
      </c>
      <c r="E255" s="4"/>
      <c r="F255" s="4"/>
      <c r="M255" s="1516" t="s">
        <v>2661</v>
      </c>
      <c r="N255" s="1498"/>
      <c r="O255" s="1498"/>
      <c r="P255" s="1498"/>
      <c r="Q255" s="1498"/>
      <c r="R255" s="1498"/>
      <c r="S255" s="4" t="s">
        <v>207</v>
      </c>
      <c r="T255" s="4"/>
      <c r="U255" s="1517"/>
      <c r="V255" s="1517"/>
      <c r="W255" s="1517"/>
      <c r="X255" s="4" t="s">
        <v>89</v>
      </c>
      <c r="Z255" s="1498"/>
      <c r="AA255" s="1498"/>
      <c r="AB255" s="1498"/>
      <c r="AC255" s="1498"/>
      <c r="AD255" s="1498"/>
      <c r="AE255" s="1498"/>
      <c r="AU255" s="4"/>
      <c r="AV255" s="4"/>
      <c r="AW255" s="4"/>
      <c r="AX255" s="4"/>
      <c r="AY255" s="4"/>
      <c r="BN255" s="34"/>
    </row>
    <row r="256" spans="1:71" ht="12.95" customHeight="1">
      <c r="A256" s="19"/>
      <c r="B256" s="4"/>
      <c r="C256" s="4"/>
      <c r="D256" s="4" t="s">
        <v>90</v>
      </c>
      <c r="E256" s="4"/>
      <c r="F256" s="4"/>
      <c r="M256" s="1808" t="s">
        <v>2662</v>
      </c>
      <c r="N256" s="1808"/>
      <c r="O256" s="1808"/>
      <c r="P256" s="1808"/>
      <c r="Q256" s="1808"/>
      <c r="R256" s="1808"/>
      <c r="S256" s="1808"/>
      <c r="T256" s="1808"/>
      <c r="U256" s="1808"/>
      <c r="V256" s="1808"/>
      <c r="W256" s="1808"/>
      <c r="X256" s="1808"/>
      <c r="Y256" s="1808"/>
      <c r="Z256" s="1808"/>
      <c r="AA256" s="1808"/>
      <c r="AB256" s="1808"/>
      <c r="AC256" s="1808"/>
      <c r="AD256" s="1808"/>
      <c r="AE256" s="1808"/>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544</v>
      </c>
      <c r="E257" s="4"/>
      <c r="F257" s="4"/>
      <c r="G257" s="4"/>
      <c r="H257" s="4"/>
      <c r="I257" s="4"/>
      <c r="J257" s="4"/>
      <c r="K257" s="4"/>
      <c r="L257" s="4"/>
      <c r="M257" s="1514" t="s">
        <v>545</v>
      </c>
      <c r="N257" s="1514"/>
      <c r="O257" s="1514"/>
      <c r="P257" s="1514"/>
      <c r="Q257" s="1514"/>
      <c r="R257" s="1514"/>
      <c r="S257" s="1514"/>
      <c r="T257" s="1514"/>
      <c r="U257" s="218" t="s">
        <v>922</v>
      </c>
      <c r="V257" s="218"/>
      <c r="W257" s="218"/>
      <c r="X257" s="218"/>
      <c r="Y257" s="218"/>
      <c r="Z257" s="218"/>
      <c r="AA257" s="1813" t="s">
        <v>2663</v>
      </c>
      <c r="AB257" s="1814"/>
      <c r="AC257" s="1814"/>
      <c r="AD257" s="1814"/>
      <c r="AE257" s="1814"/>
      <c r="AF257" s="1814"/>
      <c r="AG257" s="1814"/>
      <c r="AH257" s="1814"/>
      <c r="AI257" s="1814"/>
      <c r="AJ257" s="1814"/>
      <c r="AK257" s="1814"/>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889</v>
      </c>
      <c r="D259" s="4" t="s">
        <v>541</v>
      </c>
      <c r="E259" s="4"/>
      <c r="F259" s="4"/>
      <c r="G259" s="4"/>
      <c r="H259" s="4"/>
      <c r="I259" s="4"/>
      <c r="J259" s="4"/>
      <c r="K259" s="4"/>
      <c r="L259" s="4"/>
      <c r="M259" s="1812"/>
      <c r="N259" s="1812"/>
      <c r="O259" s="1812"/>
      <c r="P259" s="1812"/>
      <c r="Q259" s="1812"/>
      <c r="R259" s="1812"/>
      <c r="S259" s="1812"/>
      <c r="T259" s="1812"/>
      <c r="U259" s="1812"/>
      <c r="V259" s="1812"/>
      <c r="W259" s="1812"/>
      <c r="X259" s="1812"/>
      <c r="Y259" s="1812"/>
      <c r="Z259" s="1812"/>
      <c r="AA259" s="1812"/>
      <c r="AB259" s="1812"/>
      <c r="AC259" s="1812"/>
      <c r="AD259" s="1812"/>
      <c r="AE259" s="1812"/>
      <c r="AF259" s="1812" t="s">
        <v>308</v>
      </c>
      <c r="AG259" s="1812"/>
      <c r="AH259" s="1812"/>
      <c r="AI259" s="1812"/>
      <c r="AJ259" s="1812"/>
      <c r="AK259" s="1812"/>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97"/>
      <c r="N260" s="1497"/>
      <c r="O260" s="1497"/>
      <c r="P260" s="1497"/>
      <c r="Q260" s="1497"/>
      <c r="R260" s="1497"/>
      <c r="S260" s="1497"/>
      <c r="T260" s="1497"/>
      <c r="U260" s="1497"/>
      <c r="V260" s="1497"/>
      <c r="W260" s="1497"/>
      <c r="X260" s="1497"/>
      <c r="Y260" s="1497"/>
      <c r="Z260" s="1497"/>
      <c r="AA260" s="1497"/>
      <c r="AB260" s="1497"/>
      <c r="AC260" s="1497"/>
      <c r="AD260" s="1497"/>
      <c r="AE260" s="1497"/>
      <c r="AF260" s="3" t="s">
        <v>1286</v>
      </c>
      <c r="AL260" s="3"/>
      <c r="AM260" s="3"/>
      <c r="AN260" s="3"/>
      <c r="AO260" s="3"/>
      <c r="AP260" s="3"/>
      <c r="AQ260" s="3"/>
      <c r="AR260" s="3"/>
      <c r="AS260" s="3"/>
      <c r="AT260" s="3"/>
      <c r="AU260" s="3"/>
      <c r="AV260" s="3"/>
      <c r="AW260" s="3"/>
      <c r="AX260" s="3"/>
      <c r="AY260" s="3"/>
      <c r="BN260" s="34"/>
    </row>
    <row r="261" spans="1:66" ht="12.95" customHeight="1">
      <c r="A261" s="13"/>
      <c r="B261" s="4"/>
      <c r="C261" s="4"/>
      <c r="D261" s="4" t="s">
        <v>589</v>
      </c>
      <c r="E261" s="4"/>
      <c r="M261" s="1497"/>
      <c r="N261" s="1497"/>
      <c r="O261" s="1497"/>
      <c r="P261" s="1497"/>
      <c r="Q261" s="1497"/>
      <c r="R261" s="1497"/>
      <c r="S261" s="1497"/>
      <c r="T261" s="1497"/>
      <c r="V261" s="33" t="s">
        <v>86</v>
      </c>
      <c r="W261" s="1517"/>
      <c r="X261" s="1517"/>
      <c r="Y261" s="4" t="s">
        <v>592</v>
      </c>
      <c r="AC261" s="1497"/>
      <c r="AD261" s="1497"/>
      <c r="AE261" s="1497"/>
      <c r="AF261" s="3" t="s">
        <v>1287</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97"/>
      <c r="N262" s="1497"/>
      <c r="O262" s="1497"/>
      <c r="P262" s="1497"/>
      <c r="Q262" s="1497"/>
      <c r="R262" s="1497"/>
      <c r="S262" s="1497"/>
      <c r="T262" s="1497"/>
      <c r="U262" s="1497"/>
      <c r="V262" s="1497"/>
      <c r="W262" s="1497"/>
      <c r="X262" s="1497"/>
      <c r="Y262" s="1497"/>
      <c r="Z262" s="1497"/>
      <c r="AA262" s="1497"/>
      <c r="AB262" s="1497"/>
      <c r="AC262" s="1497"/>
      <c r="AD262" s="1497"/>
      <c r="AE262" s="1497"/>
      <c r="AH262" s="1829"/>
      <c r="AI262" s="1829"/>
      <c r="AJ262" s="1829"/>
      <c r="AK262" s="1829"/>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498"/>
      <c r="N263" s="1498"/>
      <c r="O263" s="1498"/>
      <c r="P263" s="1498"/>
      <c r="Q263" s="1498"/>
      <c r="R263" s="1498"/>
      <c r="S263" s="4" t="s">
        <v>207</v>
      </c>
      <c r="T263" s="4"/>
      <c r="U263" s="1517"/>
      <c r="V263" s="1517"/>
      <c r="W263" s="1517"/>
      <c r="X263" s="4" t="s">
        <v>89</v>
      </c>
      <c r="Z263" s="1498"/>
      <c r="AA263" s="1498"/>
      <c r="AB263" s="1498"/>
      <c r="AC263" s="1498"/>
      <c r="AD263" s="1498"/>
      <c r="AE263" s="1498"/>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808"/>
      <c r="N264" s="1808"/>
      <c r="O264" s="1808"/>
      <c r="P264" s="1808"/>
      <c r="Q264" s="1808"/>
      <c r="R264" s="1808"/>
      <c r="S264" s="1808"/>
      <c r="T264" s="1808"/>
      <c r="U264" s="1808"/>
      <c r="V264" s="1808"/>
      <c r="W264" s="1808"/>
      <c r="X264" s="1808"/>
      <c r="Y264" s="1808"/>
      <c r="Z264" s="1808"/>
      <c r="AA264" s="1842"/>
      <c r="AB264" s="1842"/>
      <c r="AC264" s="1842"/>
      <c r="AD264" s="1842"/>
      <c r="AE264" s="1842"/>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544</v>
      </c>
      <c r="E265" s="4"/>
      <c r="F265" s="4"/>
      <c r="G265" s="4"/>
      <c r="H265" s="4"/>
      <c r="I265" s="4"/>
      <c r="J265" s="4"/>
      <c r="K265" s="4"/>
      <c r="L265" s="4"/>
      <c r="M265" s="1514" t="s">
        <v>308</v>
      </c>
      <c r="N265" s="1514"/>
      <c r="O265" s="1514"/>
      <c r="P265" s="1514"/>
      <c r="Q265" s="1514"/>
      <c r="R265" s="1514"/>
      <c r="S265" s="1514"/>
      <c r="T265" s="1514"/>
      <c r="U265" s="218" t="s">
        <v>922</v>
      </c>
      <c r="V265" s="218"/>
      <c r="W265" s="218"/>
      <c r="X265" s="218"/>
      <c r="Y265" s="218"/>
      <c r="Z265" s="218"/>
      <c r="AA265" s="1815"/>
      <c r="AB265" s="1815"/>
      <c r="AC265" s="1815"/>
      <c r="AD265" s="1815"/>
      <c r="AE265" s="1815"/>
      <c r="AF265" s="1815"/>
      <c r="AG265" s="1815"/>
      <c r="AH265" s="1815"/>
      <c r="AI265" s="1815"/>
      <c r="AJ265" s="1815"/>
      <c r="AK265" s="1815"/>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599</v>
      </c>
      <c r="B267" s="4"/>
      <c r="C267" s="2" t="s">
        <v>296</v>
      </c>
      <c r="D267" s="4"/>
      <c r="E267" s="4"/>
      <c r="F267" s="4"/>
      <c r="G267" s="4"/>
      <c r="H267" s="4"/>
      <c r="I267" s="4"/>
      <c r="J267" s="4"/>
      <c r="K267" s="4"/>
      <c r="L267" s="4"/>
      <c r="M267" s="35"/>
      <c r="N267" s="35"/>
      <c r="O267" s="35"/>
      <c r="P267" s="35"/>
      <c r="Q267" s="35"/>
      <c r="T267" s="1841" t="str">
        <f>IFERROR(BO245,"")</f>
        <v>Joint Venture</v>
      </c>
      <c r="U267" s="1841"/>
      <c r="V267" s="1841"/>
      <c r="W267" s="1841"/>
      <c r="X267" s="1841"/>
      <c r="Z267" s="331" t="s">
        <v>974</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817</v>
      </c>
      <c r="AF268" s="4"/>
      <c r="AG268" s="4"/>
      <c r="AH268" s="4"/>
      <c r="AI268" s="4"/>
      <c r="AJ268" s="4"/>
      <c r="AL268" s="65"/>
      <c r="BN268" s="34"/>
    </row>
    <row r="269" spans="1:66" ht="12.95"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5" t="s">
        <v>973</v>
      </c>
      <c r="AA269" s="48"/>
      <c r="AB269" s="48"/>
      <c r="AC269" s="48"/>
      <c r="AD269" s="48"/>
      <c r="AE269" s="48"/>
      <c r="AF269" s="104"/>
      <c r="AG269" s="104"/>
      <c r="AH269" s="104"/>
      <c r="AI269" s="104"/>
      <c r="AJ269" s="104"/>
      <c r="AK269" s="48"/>
      <c r="AL269" s="49"/>
      <c r="BN269" s="34"/>
    </row>
    <row r="270" spans="1:66" ht="12.95" customHeight="1">
      <c r="A270" s="4"/>
      <c r="B270" s="36">
        <v>0</v>
      </c>
      <c r="D270" s="1497" t="s">
        <v>281</v>
      </c>
      <c r="E270" s="1497"/>
      <c r="F270" s="1497"/>
      <c r="G270" s="1497"/>
      <c r="H270" s="1497"/>
      <c r="J270" t="s">
        <v>280</v>
      </c>
      <c r="X270" s="1557"/>
      <c r="Y270" s="1557"/>
      <c r="Z270" s="1557"/>
      <c r="AA270" s="1557"/>
      <c r="AB270" s="1557"/>
      <c r="AC270" s="1557"/>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812" t="s">
        <v>2650</v>
      </c>
      <c r="M274" s="1812"/>
      <c r="N274" s="1812"/>
      <c r="O274" s="1812"/>
      <c r="P274" s="1812"/>
      <c r="Q274" s="1812"/>
      <c r="R274" s="1812"/>
      <c r="S274" s="1812"/>
      <c r="T274" s="1812"/>
      <c r="U274" s="1812"/>
      <c r="V274" s="1812"/>
      <c r="W274" s="1812"/>
      <c r="X274" s="1812"/>
      <c r="Y274" s="1812"/>
      <c r="Z274" s="1812"/>
      <c r="AA274" s="1812"/>
      <c r="AB274" s="1812"/>
      <c r="AC274" s="1812"/>
      <c r="AD274" s="1812"/>
      <c r="AE274" s="1812"/>
      <c r="AF274" s="1812"/>
      <c r="AG274" s="1812"/>
      <c r="AH274" s="1812"/>
      <c r="AI274" s="1812"/>
      <c r="AJ274" s="1812"/>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509" t="s">
        <v>2651</v>
      </c>
      <c r="M275" s="1497"/>
      <c r="N275" s="1497"/>
      <c r="O275" s="1497"/>
      <c r="P275" s="1497"/>
      <c r="Q275" s="1497"/>
      <c r="R275" s="1497"/>
      <c r="S275" s="1497"/>
      <c r="T275" s="1497"/>
      <c r="U275" s="1497"/>
      <c r="V275" s="1497"/>
      <c r="W275" s="1497"/>
      <c r="X275" s="1497"/>
      <c r="Y275" s="1497"/>
      <c r="Z275" s="1497"/>
      <c r="AA275" s="1497"/>
      <c r="AB275" s="1497"/>
      <c r="AC275" s="1497"/>
      <c r="AD275" s="1497"/>
      <c r="AK275" s="3"/>
      <c r="AL275" s="3"/>
      <c r="AM275" s="3"/>
      <c r="AN275" s="3"/>
      <c r="AO275" s="3"/>
      <c r="AP275" s="3"/>
      <c r="AQ275" s="3"/>
      <c r="AR275" s="3"/>
      <c r="AS275" s="3"/>
      <c r="AT275" s="3"/>
      <c r="AU275" s="3"/>
      <c r="AV275" s="3"/>
      <c r="AW275" s="3"/>
      <c r="AX275" s="3"/>
      <c r="AY275" s="3"/>
      <c r="BN275" s="34"/>
    </row>
    <row r="276" spans="1:66" ht="12.95" customHeight="1">
      <c r="D276" s="4" t="s">
        <v>589</v>
      </c>
      <c r="E276" s="4"/>
      <c r="L276" s="1509" t="s">
        <v>2652</v>
      </c>
      <c r="M276" s="1497"/>
      <c r="N276" s="1497"/>
      <c r="O276" s="1497"/>
      <c r="P276" s="1497"/>
      <c r="Q276" s="1497"/>
      <c r="R276" s="1497"/>
      <c r="S276" s="1497"/>
      <c r="U276" s="33" t="s">
        <v>86</v>
      </c>
      <c r="V276" s="1726" t="s">
        <v>2653</v>
      </c>
      <c r="W276" s="1517"/>
      <c r="X276" s="4" t="s">
        <v>592</v>
      </c>
      <c r="AB276" s="1497">
        <v>92655</v>
      </c>
      <c r="AC276" s="1497"/>
      <c r="AD276" s="1497"/>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509" t="s">
        <v>2654</v>
      </c>
      <c r="M277" s="1497"/>
      <c r="N277" s="1497"/>
      <c r="O277" s="1497"/>
      <c r="P277" s="1497"/>
      <c r="Q277" s="1497"/>
      <c r="R277" s="1497"/>
      <c r="S277" s="1497"/>
      <c r="T277" s="1497"/>
      <c r="U277" s="1497"/>
      <c r="V277" s="1497"/>
      <c r="W277" s="1497"/>
      <c r="X277" s="1497"/>
      <c r="Y277" s="1497"/>
      <c r="Z277" s="1497"/>
      <c r="AA277" s="1497"/>
      <c r="AB277" s="1497"/>
      <c r="AC277" s="1497"/>
      <c r="AD277" s="1497"/>
      <c r="AI277" s="4"/>
      <c r="AJ277" s="4"/>
      <c r="AK277" s="3"/>
      <c r="AL277" s="3"/>
      <c r="AM277" s="3"/>
      <c r="AN277" s="3"/>
      <c r="AO277" s="3"/>
      <c r="AP277" s="3"/>
      <c r="AQ277" s="3"/>
      <c r="AR277" s="3"/>
      <c r="AS277" s="3"/>
      <c r="AT277" s="3"/>
      <c r="BN277" s="34"/>
    </row>
    <row r="278" spans="1:66" ht="12.95" customHeight="1">
      <c r="D278" s="4" t="s">
        <v>88</v>
      </c>
      <c r="E278" s="4"/>
      <c r="F278" s="4"/>
      <c r="L278" s="1498" t="s">
        <v>2655</v>
      </c>
      <c r="M278" s="1498"/>
      <c r="N278" s="1498"/>
      <c r="O278" s="1498"/>
      <c r="P278" s="1498"/>
      <c r="Q278" s="1498"/>
      <c r="R278" s="4" t="s">
        <v>207</v>
      </c>
      <c r="S278" s="4"/>
      <c r="T278" s="1517"/>
      <c r="U278" s="1517"/>
      <c r="V278" s="1517"/>
      <c r="W278" s="4" t="s">
        <v>89</v>
      </c>
      <c r="Y278" s="1516" t="s">
        <v>2655</v>
      </c>
      <c r="Z278" s="1498"/>
      <c r="AA278" s="1498"/>
      <c r="AB278" s="1498"/>
      <c r="AC278" s="1498"/>
      <c r="AD278" s="1498"/>
      <c r="BN278" s="34"/>
    </row>
    <row r="279" spans="1:66" ht="12.95" customHeight="1">
      <c r="D279" s="4" t="s">
        <v>90</v>
      </c>
      <c r="E279" s="4"/>
      <c r="F279" s="4"/>
      <c r="L279" s="1808" t="s">
        <v>2656</v>
      </c>
      <c r="M279" s="1808"/>
      <c r="N279" s="1808"/>
      <c r="O279" s="1808"/>
      <c r="P279" s="1808"/>
      <c r="Q279" s="1808"/>
      <c r="R279" s="1808"/>
      <c r="S279" s="1808"/>
      <c r="T279" s="1808"/>
      <c r="U279" s="1808"/>
      <c r="V279" s="1808"/>
      <c r="W279" s="1808"/>
      <c r="X279" s="1808"/>
      <c r="Y279" s="1808"/>
      <c r="Z279" s="1808"/>
      <c r="AA279" s="1808"/>
      <c r="AB279" s="1808"/>
      <c r="AC279" s="1808"/>
      <c r="AD279" s="1808"/>
      <c r="AF279" s="4"/>
      <c r="AG279" s="4"/>
      <c r="AH279" s="4"/>
      <c r="AI279" s="4"/>
      <c r="AJ279" s="4"/>
      <c r="AU279" s="3"/>
      <c r="AV279" s="3"/>
      <c r="AW279" s="3"/>
      <c r="AX279" s="3"/>
      <c r="AY279" s="3"/>
      <c r="BN279" s="34"/>
    </row>
    <row r="280" spans="1:66" ht="12.95" customHeight="1">
      <c r="D280" s="3" t="s">
        <v>632</v>
      </c>
      <c r="E280" s="3"/>
      <c r="F280" s="3"/>
      <c r="G280" s="3"/>
      <c r="H280" s="3"/>
      <c r="I280" s="3"/>
      <c r="L280" s="1726" t="s">
        <v>2781</v>
      </c>
      <c r="M280" s="1726"/>
      <c r="N280" s="1726"/>
      <c r="O280" s="1726"/>
      <c r="P280" s="1726"/>
      <c r="Q280" s="1726"/>
      <c r="R280" s="1726"/>
      <c r="S280" s="1726"/>
      <c r="T280" s="1726"/>
      <c r="U280" s="1726"/>
      <c r="V280" s="1726"/>
      <c r="W280" s="1726"/>
      <c r="X280" s="1726"/>
      <c r="Y280" s="1726"/>
      <c r="Z280" s="1726"/>
      <c r="AA280" s="1726"/>
      <c r="AB280" s="1726"/>
      <c r="AC280" s="1726"/>
      <c r="AD280" s="1726"/>
      <c r="AK280" s="3"/>
      <c r="AL280" s="3"/>
      <c r="AM280" s="3"/>
      <c r="AN280" s="3"/>
      <c r="AO280" s="3"/>
      <c r="AP280" s="3"/>
      <c r="AQ280" s="3"/>
      <c r="AR280" s="3"/>
      <c r="AS280" s="3"/>
      <c r="AT280" s="3"/>
      <c r="BN280" s="34"/>
    </row>
    <row r="281" spans="1:66" ht="12.95" customHeight="1">
      <c r="L281" s="22" t="s">
        <v>633</v>
      </c>
      <c r="AU281" s="95"/>
      <c r="AV281" s="95"/>
      <c r="AW281" s="95"/>
      <c r="AX281" s="95"/>
      <c r="AY281" s="95"/>
      <c r="BN281" s="34"/>
    </row>
    <row r="282" spans="1:66" ht="12.95" customHeight="1">
      <c r="A282" s="1438" t="s">
        <v>550</v>
      </c>
      <c r="B282" s="1438"/>
      <c r="C282" s="1438"/>
      <c r="D282" s="1438"/>
      <c r="E282" s="1438"/>
      <c r="F282" s="1438"/>
      <c r="G282" s="1438"/>
      <c r="H282" s="1438"/>
      <c r="I282" s="1438"/>
      <c r="J282" s="1438"/>
      <c r="K282" s="1438"/>
      <c r="L282" s="1438"/>
      <c r="M282" s="1438"/>
      <c r="N282" s="1438"/>
      <c r="O282" s="1438"/>
      <c r="P282" s="1438"/>
      <c r="Q282" s="1438"/>
      <c r="R282" s="1438"/>
      <c r="S282" s="1438"/>
      <c r="T282" s="1438"/>
      <c r="U282" s="1438"/>
      <c r="V282" s="1438"/>
      <c r="W282" s="1438"/>
      <c r="X282" s="1438"/>
      <c r="Y282" s="1438"/>
      <c r="Z282" s="1438"/>
      <c r="AA282" s="1438"/>
      <c r="AB282" s="1438"/>
      <c r="AC282" s="1438"/>
      <c r="AD282" s="1438"/>
      <c r="AE282" s="1438"/>
      <c r="AF282" s="1438"/>
      <c r="AG282" s="1438"/>
      <c r="AH282" s="1438"/>
      <c r="AI282" s="1438"/>
      <c r="AJ282" s="1438"/>
      <c r="AK282" s="1438"/>
      <c r="AL282" s="1438"/>
      <c r="AM282" s="1438"/>
      <c r="AN282" s="1438"/>
      <c r="AO282" s="1438"/>
      <c r="AP282" s="1438"/>
      <c r="AQ282" s="1438"/>
      <c r="AR282" s="1438"/>
      <c r="AS282" s="1438"/>
      <c r="AT282" s="1438"/>
      <c r="AU282" s="95"/>
      <c r="AV282" s="95"/>
      <c r="AW282" s="95"/>
      <c r="AX282" s="95"/>
      <c r="AY282" s="95"/>
      <c r="BN282" s="34"/>
    </row>
    <row r="283" spans="1:66" ht="12.95" customHeight="1">
      <c r="A283" s="1438"/>
      <c r="B283" s="1438"/>
      <c r="C283" s="1438"/>
      <c r="D283" s="1438"/>
      <c r="E283" s="1438"/>
      <c r="F283" s="1438"/>
      <c r="G283" s="1438"/>
      <c r="H283" s="1438"/>
      <c r="I283" s="1438"/>
      <c r="J283" s="1438"/>
      <c r="K283" s="1438"/>
      <c r="L283" s="1438"/>
      <c r="M283" s="1438"/>
      <c r="N283" s="1438"/>
      <c r="O283" s="1438"/>
      <c r="P283" s="1438"/>
      <c r="Q283" s="1438"/>
      <c r="R283" s="1438"/>
      <c r="S283" s="1438"/>
      <c r="T283" s="1438"/>
      <c r="U283" s="1438"/>
      <c r="V283" s="1438"/>
      <c r="W283" s="1438"/>
      <c r="X283" s="1438"/>
      <c r="Y283" s="1438"/>
      <c r="Z283" s="1438"/>
      <c r="AA283" s="1438"/>
      <c r="AB283" s="1438"/>
      <c r="AC283" s="1438"/>
      <c r="AD283" s="1438"/>
      <c r="AE283" s="1438"/>
      <c r="AF283" s="1438"/>
      <c r="AG283" s="1438"/>
      <c r="AH283" s="1438"/>
      <c r="AI283" s="1438"/>
      <c r="AJ283" s="1438"/>
      <c r="AK283" s="1438"/>
      <c r="AL283" s="1438"/>
      <c r="AM283" s="1438"/>
      <c r="AN283" s="1438"/>
      <c r="AO283" s="1438"/>
      <c r="AP283" s="1438"/>
      <c r="AQ283" s="1438"/>
      <c r="AR283" s="1438"/>
      <c r="AS283" s="1438"/>
      <c r="AT283" s="1438"/>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635</v>
      </c>
      <c r="C287" s="3"/>
      <c r="D287" s="3"/>
      <c r="E287" s="3"/>
      <c r="F287" s="3"/>
      <c r="H287" s="1486" t="s">
        <v>2650</v>
      </c>
      <c r="I287" s="1486"/>
      <c r="J287" s="1486"/>
      <c r="K287" s="1486"/>
      <c r="L287" s="1486"/>
      <c r="M287" s="1486"/>
      <c r="N287" s="1486"/>
      <c r="O287" s="1486"/>
      <c r="P287" s="1486"/>
      <c r="Q287" s="1486"/>
      <c r="R287" s="1486"/>
      <c r="T287" s="3" t="s">
        <v>576</v>
      </c>
      <c r="V287" s="3"/>
      <c r="W287" s="3"/>
      <c r="X287" s="3"/>
      <c r="Y287" s="3"/>
      <c r="AA287" s="1486" t="s">
        <v>2692</v>
      </c>
      <c r="AB287" s="1486"/>
      <c r="AC287" s="1486"/>
      <c r="AD287" s="1486"/>
      <c r="AE287" s="1486"/>
      <c r="AF287" s="1486"/>
      <c r="AG287" s="1486"/>
      <c r="AH287" s="1486"/>
      <c r="AI287" s="1486"/>
      <c r="AJ287" s="1486"/>
      <c r="AK287" s="1486"/>
      <c r="BN287" s="34"/>
    </row>
    <row r="288" spans="1:66" ht="12.95" customHeight="1">
      <c r="B288" s="3" t="s">
        <v>480</v>
      </c>
      <c r="C288" s="3"/>
      <c r="D288" s="3"/>
      <c r="E288" s="3"/>
      <c r="F288" s="3"/>
      <c r="H288" s="1514" t="s">
        <v>2651</v>
      </c>
      <c r="I288" s="1514"/>
      <c r="J288" s="1514"/>
      <c r="K288" s="1514"/>
      <c r="L288" s="1514"/>
      <c r="M288" s="1514"/>
      <c r="N288" s="1514"/>
      <c r="O288" s="1514"/>
      <c r="P288" s="1514"/>
      <c r="Q288" s="1514"/>
      <c r="R288" s="1514"/>
      <c r="T288" s="3" t="s">
        <v>480</v>
      </c>
      <c r="V288" s="3"/>
      <c r="W288" s="3"/>
      <c r="X288" s="3"/>
      <c r="Y288" s="3"/>
      <c r="AA288" s="1514" t="s">
        <v>2693</v>
      </c>
      <c r="AB288" s="1514"/>
      <c r="AC288" s="1514"/>
      <c r="AD288" s="1514"/>
      <c r="AE288" s="1514"/>
      <c r="AF288" s="1514"/>
      <c r="AG288" s="1514"/>
      <c r="AH288" s="1514"/>
      <c r="AI288" s="1514"/>
      <c r="AJ288" s="1514"/>
      <c r="AK288" s="1514"/>
      <c r="BN288" s="34"/>
    </row>
    <row r="289" spans="2:66" ht="12.95" customHeight="1">
      <c r="B289" s="3" t="s">
        <v>481</v>
      </c>
      <c r="C289" s="3"/>
      <c r="D289" s="3"/>
      <c r="E289" s="3"/>
      <c r="F289" s="3"/>
      <c r="H289" s="1514" t="s">
        <v>2664</v>
      </c>
      <c r="I289" s="1514"/>
      <c r="J289" s="1514"/>
      <c r="K289" s="1514"/>
      <c r="L289" s="1514"/>
      <c r="M289" s="1514"/>
      <c r="N289" s="1514"/>
      <c r="O289" s="1514"/>
      <c r="P289" s="1514"/>
      <c r="Q289" s="1514"/>
      <c r="R289" s="1514"/>
      <c r="T289" s="3" t="s">
        <v>75</v>
      </c>
      <c r="V289" s="3"/>
      <c r="W289" s="3"/>
      <c r="X289" s="3"/>
      <c r="Y289" s="3"/>
      <c r="AA289" s="1514" t="s">
        <v>2694</v>
      </c>
      <c r="AB289" s="1514"/>
      <c r="AC289" s="1514"/>
      <c r="AD289" s="1514"/>
      <c r="AE289" s="1514"/>
      <c r="AF289" s="1514"/>
      <c r="AG289" s="1514"/>
      <c r="AH289" s="1514"/>
      <c r="AI289" s="1514"/>
      <c r="AJ289" s="1514"/>
      <c r="AK289" s="1514"/>
      <c r="BN289" s="34"/>
    </row>
    <row r="290" spans="2:66" ht="12.95" customHeight="1">
      <c r="B290" s="3" t="s">
        <v>87</v>
      </c>
      <c r="C290" s="3"/>
      <c r="D290" s="3"/>
      <c r="E290" s="3"/>
      <c r="F290" s="3"/>
      <c r="H290" s="1514" t="s">
        <v>2654</v>
      </c>
      <c r="I290" s="1514"/>
      <c r="J290" s="1514"/>
      <c r="K290" s="1514"/>
      <c r="L290" s="1514"/>
      <c r="M290" s="1514"/>
      <c r="N290" s="1514"/>
      <c r="O290" s="1514"/>
      <c r="P290" s="1514"/>
      <c r="Q290" s="1514"/>
      <c r="R290" s="1514"/>
      <c r="T290" s="3" t="s">
        <v>87</v>
      </c>
      <c r="V290" s="3"/>
      <c r="W290" s="3"/>
      <c r="X290" s="3"/>
      <c r="Y290" s="3"/>
      <c r="AA290" s="1514" t="s">
        <v>2695</v>
      </c>
      <c r="AB290" s="1514"/>
      <c r="AC290" s="1514"/>
      <c r="AD290" s="1514"/>
      <c r="AE290" s="1514"/>
      <c r="AF290" s="1514"/>
      <c r="AG290" s="1514"/>
      <c r="AH290" s="1514"/>
      <c r="AI290" s="1514"/>
      <c r="AJ290" s="1514"/>
      <c r="AK290" s="1514"/>
      <c r="BN290" s="34"/>
    </row>
    <row r="291" spans="2:66" ht="12.95" customHeight="1">
      <c r="B291" s="3" t="s">
        <v>88</v>
      </c>
      <c r="C291" s="3"/>
      <c r="D291" s="3"/>
      <c r="E291" s="3"/>
      <c r="F291" s="3"/>
      <c r="G291" s="3"/>
      <c r="H291" s="1722" t="s">
        <v>2655</v>
      </c>
      <c r="I291" s="1722"/>
      <c r="J291" s="1722"/>
      <c r="K291" s="1722"/>
      <c r="L291" s="1722"/>
      <c r="M291" s="1722"/>
      <c r="N291" s="4" t="s">
        <v>207</v>
      </c>
      <c r="O291" s="4"/>
      <c r="P291" s="1497"/>
      <c r="Q291" s="1497"/>
      <c r="R291" s="1497"/>
      <c r="S291" s="3"/>
      <c r="T291" s="3" t="s">
        <v>88</v>
      </c>
      <c r="V291" s="3"/>
      <c r="W291" s="3"/>
      <c r="X291" s="3"/>
      <c r="Y291" s="3"/>
      <c r="AA291" s="1722" t="s">
        <v>2696</v>
      </c>
      <c r="AB291" s="1722"/>
      <c r="AC291" s="1722"/>
      <c r="AD291" s="1722"/>
      <c r="AE291" s="1722"/>
      <c r="AF291" s="1722"/>
      <c r="AG291" s="4" t="s">
        <v>207</v>
      </c>
      <c r="AH291" s="4"/>
      <c r="AI291" s="1497"/>
      <c r="AJ291" s="1497"/>
      <c r="AK291" s="1497"/>
      <c r="BN291" s="34"/>
    </row>
    <row r="292" spans="2:66" ht="12.95" customHeight="1">
      <c r="B292" s="3" t="s">
        <v>89</v>
      </c>
      <c r="C292" s="3"/>
      <c r="D292" s="3"/>
      <c r="E292" s="3"/>
      <c r="F292" s="3"/>
      <c r="G292" s="3"/>
      <c r="H292" s="1498" t="s">
        <v>2665</v>
      </c>
      <c r="I292" s="1498"/>
      <c r="J292" s="1498"/>
      <c r="K292" s="1498"/>
      <c r="L292" s="1498"/>
      <c r="M292" s="1498"/>
      <c r="N292" s="4"/>
      <c r="O292" s="4"/>
      <c r="P292" s="35"/>
      <c r="Q292" s="35"/>
      <c r="R292" s="35"/>
      <c r="S292" s="3"/>
      <c r="T292" s="3" t="s">
        <v>89</v>
      </c>
      <c r="V292" s="3"/>
      <c r="W292" s="3"/>
      <c r="X292" s="3"/>
      <c r="Y292" s="3"/>
      <c r="AA292" s="1498" t="s">
        <v>2697</v>
      </c>
      <c r="AB292" s="1498"/>
      <c r="AC292" s="1498"/>
      <c r="AD292" s="1498"/>
      <c r="AE292" s="1498"/>
      <c r="AF292" s="1498"/>
      <c r="AG292" s="4"/>
      <c r="AH292" s="4"/>
      <c r="AI292" s="35"/>
      <c r="AJ292" s="35"/>
      <c r="AK292" s="35"/>
      <c r="BN292" s="34"/>
    </row>
    <row r="293" spans="2:66" ht="12.95" customHeight="1">
      <c r="B293" s="3" t="s">
        <v>76</v>
      </c>
      <c r="C293" s="3"/>
      <c r="D293" s="3"/>
      <c r="E293" s="3"/>
      <c r="F293" s="3"/>
      <c r="G293" s="3"/>
      <c r="H293" s="1514" t="s">
        <v>2656</v>
      </c>
      <c r="I293" s="1514"/>
      <c r="J293" s="1514"/>
      <c r="K293" s="1514"/>
      <c r="L293" s="1514"/>
      <c r="M293" s="1514"/>
      <c r="N293" s="1486"/>
      <c r="O293" s="1486"/>
      <c r="P293" s="1486"/>
      <c r="Q293" s="1486"/>
      <c r="R293" s="1486"/>
      <c r="S293" s="3"/>
      <c r="T293" s="3" t="s">
        <v>76</v>
      </c>
      <c r="V293" s="3"/>
      <c r="W293" s="3"/>
      <c r="X293" s="3"/>
      <c r="Y293" s="3"/>
      <c r="AA293" s="1514" t="s">
        <v>2698</v>
      </c>
      <c r="AB293" s="1514"/>
      <c r="AC293" s="1514"/>
      <c r="AD293" s="1514"/>
      <c r="AE293" s="1514"/>
      <c r="AF293" s="1514"/>
      <c r="AG293" s="1486"/>
      <c r="AH293" s="1486"/>
      <c r="AI293" s="1486"/>
      <c r="AJ293" s="1486"/>
      <c r="AK293" s="1486"/>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486" t="s">
        <v>2666</v>
      </c>
      <c r="I295" s="1486"/>
      <c r="J295" s="1486"/>
      <c r="K295" s="1486"/>
      <c r="L295" s="1486"/>
      <c r="M295" s="1486"/>
      <c r="N295" s="1486"/>
      <c r="O295" s="1486"/>
      <c r="P295" s="1486"/>
      <c r="Q295" s="1486"/>
      <c r="R295" s="1486"/>
      <c r="T295" s="3" t="s">
        <v>365</v>
      </c>
      <c r="V295" s="3"/>
      <c r="W295" s="3"/>
      <c r="X295" s="3"/>
      <c r="Y295" s="3"/>
      <c r="AA295" s="1486" t="s">
        <v>2699</v>
      </c>
      <c r="AB295" s="1486"/>
      <c r="AC295" s="1486"/>
      <c r="AD295" s="1486"/>
      <c r="AE295" s="1486"/>
      <c r="AF295" s="1486"/>
      <c r="AG295" s="1486"/>
      <c r="AH295" s="1486"/>
      <c r="AI295" s="1486"/>
      <c r="AJ295" s="1486"/>
      <c r="AK295" s="1486"/>
      <c r="BN295" s="34"/>
    </row>
    <row r="296" spans="2:66" ht="12.95" customHeight="1">
      <c r="B296" s="3" t="s">
        <v>480</v>
      </c>
      <c r="C296" s="3"/>
      <c r="D296" s="3"/>
      <c r="E296" s="3"/>
      <c r="F296" s="3"/>
      <c r="H296" s="1514" t="s">
        <v>2667</v>
      </c>
      <c r="I296" s="1514"/>
      <c r="J296" s="1514"/>
      <c r="K296" s="1514"/>
      <c r="L296" s="1514"/>
      <c r="M296" s="1514"/>
      <c r="N296" s="1514"/>
      <c r="O296" s="1514"/>
      <c r="P296" s="1514"/>
      <c r="Q296" s="1514"/>
      <c r="R296" s="1514"/>
      <c r="T296" s="3" t="s">
        <v>480</v>
      </c>
      <c r="V296" s="3"/>
      <c r="W296" s="3"/>
      <c r="X296" s="3"/>
      <c r="Y296" s="3"/>
      <c r="AA296" s="1514" t="s">
        <v>2700</v>
      </c>
      <c r="AB296" s="1514"/>
      <c r="AC296" s="1514"/>
      <c r="AD296" s="1514"/>
      <c r="AE296" s="1514"/>
      <c r="AF296" s="1514"/>
      <c r="AG296" s="1514"/>
      <c r="AH296" s="1514"/>
      <c r="AI296" s="1514"/>
      <c r="AJ296" s="1514"/>
      <c r="AK296" s="1514"/>
      <c r="BN296" s="34"/>
    </row>
    <row r="297" spans="2:66" ht="12.95" customHeight="1">
      <c r="B297" s="3" t="s">
        <v>481</v>
      </c>
      <c r="C297" s="3"/>
      <c r="D297" s="3"/>
      <c r="E297" s="3"/>
      <c r="F297" s="3"/>
      <c r="H297" s="1514" t="s">
        <v>2668</v>
      </c>
      <c r="I297" s="1514"/>
      <c r="J297" s="1514"/>
      <c r="K297" s="1514"/>
      <c r="L297" s="1514"/>
      <c r="M297" s="1514"/>
      <c r="N297" s="1514"/>
      <c r="O297" s="1514"/>
      <c r="P297" s="1514"/>
      <c r="Q297" s="1514"/>
      <c r="R297" s="1514"/>
      <c r="T297" s="3" t="s">
        <v>75</v>
      </c>
      <c r="V297" s="3"/>
      <c r="W297" s="3"/>
      <c r="X297" s="3"/>
      <c r="Y297" s="3"/>
      <c r="AA297" s="1514" t="s">
        <v>2701</v>
      </c>
      <c r="AB297" s="1514"/>
      <c r="AC297" s="1514"/>
      <c r="AD297" s="1514"/>
      <c r="AE297" s="1514"/>
      <c r="AF297" s="1514"/>
      <c r="AG297" s="1514"/>
      <c r="AH297" s="1514"/>
      <c r="AI297" s="1514"/>
      <c r="AJ297" s="1514"/>
      <c r="AK297" s="1514"/>
      <c r="BN297" s="34"/>
    </row>
    <row r="298" spans="2:66" ht="12.95" customHeight="1">
      <c r="B298" s="3" t="s">
        <v>87</v>
      </c>
      <c r="C298" s="3"/>
      <c r="D298" s="3"/>
      <c r="E298" s="3"/>
      <c r="F298" s="3"/>
      <c r="H298" s="1514" t="s">
        <v>2669</v>
      </c>
      <c r="I298" s="1514"/>
      <c r="J298" s="1514"/>
      <c r="K298" s="1514"/>
      <c r="L298" s="1514"/>
      <c r="M298" s="1514"/>
      <c r="N298" s="1514"/>
      <c r="O298" s="1514"/>
      <c r="P298" s="1514"/>
      <c r="Q298" s="1514"/>
      <c r="R298" s="1514"/>
      <c r="T298" s="3" t="s">
        <v>87</v>
      </c>
      <c r="V298" s="3"/>
      <c r="W298" s="3"/>
      <c r="X298" s="3"/>
      <c r="Y298" s="3"/>
      <c r="AA298" s="1514" t="s">
        <v>2702</v>
      </c>
      <c r="AB298" s="1514"/>
      <c r="AC298" s="1514"/>
      <c r="AD298" s="1514"/>
      <c r="AE298" s="1514"/>
      <c r="AF298" s="1514"/>
      <c r="AG298" s="1514"/>
      <c r="AH298" s="1514"/>
      <c r="AI298" s="1514"/>
      <c r="AJ298" s="1514"/>
      <c r="AK298" s="1514"/>
      <c r="BN298" s="34"/>
    </row>
    <row r="299" spans="2:66" ht="12.95" customHeight="1">
      <c r="B299" s="3" t="s">
        <v>88</v>
      </c>
      <c r="C299" s="3"/>
      <c r="D299" s="3"/>
      <c r="E299" s="3"/>
      <c r="F299" s="3"/>
      <c r="G299" s="3"/>
      <c r="H299" s="1722" t="s">
        <v>2670</v>
      </c>
      <c r="I299" s="1722"/>
      <c r="J299" s="1722"/>
      <c r="K299" s="1722"/>
      <c r="L299" s="1722"/>
      <c r="M299" s="1722"/>
      <c r="N299" s="4" t="s">
        <v>207</v>
      </c>
      <c r="O299" s="4"/>
      <c r="P299" s="1497"/>
      <c r="Q299" s="1497"/>
      <c r="R299" s="1497"/>
      <c r="S299" s="3"/>
      <c r="T299" s="3" t="s">
        <v>88</v>
      </c>
      <c r="V299" s="3"/>
      <c r="W299" s="3"/>
      <c r="X299" s="3"/>
      <c r="Y299" s="3"/>
      <c r="AA299" s="1722" t="s">
        <v>2703</v>
      </c>
      <c r="AB299" s="1722"/>
      <c r="AC299" s="1722"/>
      <c r="AD299" s="1722"/>
      <c r="AE299" s="1722"/>
      <c r="AF299" s="1722"/>
      <c r="AG299" s="4" t="s">
        <v>207</v>
      </c>
      <c r="AH299" s="4"/>
      <c r="AI299" s="1497"/>
      <c r="AJ299" s="1497"/>
      <c r="AK299" s="1497"/>
      <c r="BN299" s="34"/>
    </row>
    <row r="300" spans="2:66" ht="12.95" customHeight="1">
      <c r="B300" s="3" t="s">
        <v>89</v>
      </c>
      <c r="C300" s="3"/>
      <c r="D300" s="3"/>
      <c r="E300" s="3"/>
      <c r="F300" s="3"/>
      <c r="G300" s="3"/>
      <c r="H300" s="1498"/>
      <c r="I300" s="1498"/>
      <c r="J300" s="1498"/>
      <c r="K300" s="1498"/>
      <c r="L300" s="1498"/>
      <c r="M300" s="1498"/>
      <c r="N300" s="4"/>
      <c r="O300" s="4"/>
      <c r="P300" s="35"/>
      <c r="Q300" s="35"/>
      <c r="R300" s="35"/>
      <c r="S300" s="3"/>
      <c r="T300" s="3" t="s">
        <v>89</v>
      </c>
      <c r="V300" s="3"/>
      <c r="W300" s="3"/>
      <c r="X300" s="3"/>
      <c r="Y300" s="3"/>
      <c r="AA300" s="1498"/>
      <c r="AB300" s="1498"/>
      <c r="AC300" s="1498"/>
      <c r="AD300" s="1498"/>
      <c r="AE300" s="1498"/>
      <c r="AF300" s="1498"/>
      <c r="AG300" s="4"/>
      <c r="AH300" s="4"/>
      <c r="AI300" s="35"/>
      <c r="AJ300" s="35"/>
      <c r="AK300" s="35"/>
      <c r="BN300" s="34"/>
    </row>
    <row r="301" spans="2:66" ht="12.95" customHeight="1">
      <c r="B301" s="3" t="s">
        <v>76</v>
      </c>
      <c r="C301" s="3"/>
      <c r="D301" s="3"/>
      <c r="E301" s="3"/>
      <c r="F301" s="3"/>
      <c r="G301" s="3"/>
      <c r="H301" s="1514" t="s">
        <v>2671</v>
      </c>
      <c r="I301" s="1514"/>
      <c r="J301" s="1514"/>
      <c r="K301" s="1514"/>
      <c r="L301" s="1514"/>
      <c r="M301" s="1514"/>
      <c r="N301" s="1486"/>
      <c r="O301" s="1486"/>
      <c r="P301" s="1486"/>
      <c r="Q301" s="1486"/>
      <c r="R301" s="1486"/>
      <c r="S301" s="3"/>
      <c r="T301" s="3" t="s">
        <v>76</v>
      </c>
      <c r="V301" s="3"/>
      <c r="W301" s="3"/>
      <c r="X301" s="3"/>
      <c r="Y301" s="3"/>
      <c r="AA301" s="1514" t="s">
        <v>2704</v>
      </c>
      <c r="AB301" s="1514"/>
      <c r="AC301" s="1514"/>
      <c r="AD301" s="1514"/>
      <c r="AE301" s="1514"/>
      <c r="AF301" s="1514"/>
      <c r="AG301" s="1486"/>
      <c r="AH301" s="1486"/>
      <c r="AI301" s="1486"/>
      <c r="AJ301" s="1486"/>
      <c r="AK301" s="1486"/>
      <c r="BN301" s="34"/>
    </row>
    <row r="302" spans="2:66" ht="12.95" customHeight="1">
      <c r="BN302" s="34"/>
    </row>
    <row r="303" spans="2:66" ht="12.95" customHeight="1">
      <c r="B303" s="3" t="s">
        <v>77</v>
      </c>
      <c r="C303" s="3"/>
      <c r="D303" s="3"/>
      <c r="E303" s="3"/>
      <c r="F303" s="3"/>
      <c r="H303" s="1486" t="s">
        <v>2672</v>
      </c>
      <c r="I303" s="1486"/>
      <c r="J303" s="1486"/>
      <c r="K303" s="1486"/>
      <c r="L303" s="1486"/>
      <c r="M303" s="1486"/>
      <c r="N303" s="1486"/>
      <c r="O303" s="1486"/>
      <c r="P303" s="1486"/>
      <c r="Q303" s="1486"/>
      <c r="R303" s="1486"/>
      <c r="T303" s="4" t="s">
        <v>891</v>
      </c>
      <c r="V303" s="3"/>
      <c r="W303" s="3"/>
      <c r="X303" s="3"/>
      <c r="Y303" s="3"/>
      <c r="AA303" s="1486" t="s">
        <v>2705</v>
      </c>
      <c r="AB303" s="1486"/>
      <c r="AC303" s="1486"/>
      <c r="AD303" s="1486"/>
      <c r="AE303" s="1486"/>
      <c r="AF303" s="1486"/>
      <c r="AG303" s="1486"/>
      <c r="AH303" s="1486"/>
      <c r="AI303" s="1486"/>
      <c r="AJ303" s="1486"/>
      <c r="AK303" s="1486"/>
      <c r="BN303" s="34"/>
    </row>
    <row r="304" spans="2:66" ht="12.95" customHeight="1">
      <c r="B304" s="3" t="s">
        <v>480</v>
      </c>
      <c r="C304" s="3"/>
      <c r="D304" s="3"/>
      <c r="E304" s="3"/>
      <c r="F304" s="3"/>
      <c r="H304" s="1514" t="s">
        <v>2673</v>
      </c>
      <c r="I304" s="1514"/>
      <c r="J304" s="1514"/>
      <c r="K304" s="1514"/>
      <c r="L304" s="1514"/>
      <c r="M304" s="1514"/>
      <c r="N304" s="1514"/>
      <c r="O304" s="1514"/>
      <c r="P304" s="1514"/>
      <c r="Q304" s="1514"/>
      <c r="R304" s="1514"/>
      <c r="T304" s="3" t="s">
        <v>480</v>
      </c>
      <c r="V304" s="3"/>
      <c r="W304" s="3"/>
      <c r="X304" s="3"/>
      <c r="Y304" s="3"/>
      <c r="AA304" s="1514" t="s">
        <v>2706</v>
      </c>
      <c r="AB304" s="1514"/>
      <c r="AC304" s="1514"/>
      <c r="AD304" s="1514"/>
      <c r="AE304" s="1514"/>
      <c r="AF304" s="1514"/>
      <c r="AG304" s="1514"/>
      <c r="AH304" s="1514"/>
      <c r="AI304" s="1514"/>
      <c r="AJ304" s="1514"/>
      <c r="AK304" s="1514"/>
      <c r="BN304" s="34"/>
    </row>
    <row r="305" spans="2:66" ht="12.95" customHeight="1">
      <c r="B305" s="3" t="s">
        <v>481</v>
      </c>
      <c r="C305" s="3"/>
      <c r="D305" s="3"/>
      <c r="E305" s="3"/>
      <c r="F305" s="3"/>
      <c r="H305" s="1514" t="s">
        <v>2674</v>
      </c>
      <c r="I305" s="1514"/>
      <c r="J305" s="1514"/>
      <c r="K305" s="1514"/>
      <c r="L305" s="1514"/>
      <c r="M305" s="1514"/>
      <c r="N305" s="1514"/>
      <c r="O305" s="1514"/>
      <c r="P305" s="1514"/>
      <c r="Q305" s="1514"/>
      <c r="R305" s="1514"/>
      <c r="T305" s="3" t="s">
        <v>75</v>
      </c>
      <c r="V305" s="3"/>
      <c r="W305" s="3"/>
      <c r="X305" s="3"/>
      <c r="Y305" s="3"/>
      <c r="AA305" s="1514" t="s">
        <v>2707</v>
      </c>
      <c r="AB305" s="1514"/>
      <c r="AC305" s="1514"/>
      <c r="AD305" s="1514"/>
      <c r="AE305" s="1514"/>
      <c r="AF305" s="1514"/>
      <c r="AG305" s="1514"/>
      <c r="AH305" s="1514"/>
      <c r="AI305" s="1514"/>
      <c r="AJ305" s="1514"/>
      <c r="AK305" s="1514"/>
      <c r="BN305" s="34"/>
    </row>
    <row r="306" spans="2:66" ht="12.95" customHeight="1">
      <c r="B306" s="3" t="s">
        <v>87</v>
      </c>
      <c r="C306" s="3"/>
      <c r="D306" s="3"/>
      <c r="E306" s="3"/>
      <c r="F306" s="3"/>
      <c r="H306" s="1514" t="s">
        <v>2675</v>
      </c>
      <c r="I306" s="1514"/>
      <c r="J306" s="1514"/>
      <c r="K306" s="1514"/>
      <c r="L306" s="1514"/>
      <c r="M306" s="1514"/>
      <c r="N306" s="1514"/>
      <c r="O306" s="1514"/>
      <c r="P306" s="1514"/>
      <c r="Q306" s="1514"/>
      <c r="R306" s="1514"/>
      <c r="T306" s="3" t="s">
        <v>87</v>
      </c>
      <c r="V306" s="3"/>
      <c r="W306" s="3"/>
      <c r="X306" s="3"/>
      <c r="Y306" s="3"/>
      <c r="AA306" s="1514" t="s">
        <v>2708</v>
      </c>
      <c r="AB306" s="1514"/>
      <c r="AC306" s="1514"/>
      <c r="AD306" s="1514"/>
      <c r="AE306" s="1514"/>
      <c r="AF306" s="1514"/>
      <c r="AG306" s="1514"/>
      <c r="AH306" s="1514"/>
      <c r="AI306" s="1514"/>
      <c r="AJ306" s="1514"/>
      <c r="AK306" s="1514"/>
      <c r="BN306" s="34"/>
    </row>
    <row r="307" spans="2:66" ht="12.95" customHeight="1">
      <c r="B307" s="3" t="s">
        <v>88</v>
      </c>
      <c r="C307" s="3"/>
      <c r="D307" s="3"/>
      <c r="E307" s="3"/>
      <c r="F307" s="3"/>
      <c r="G307" s="3"/>
      <c r="H307" s="1722" t="s">
        <v>2676</v>
      </c>
      <c r="I307" s="1722"/>
      <c r="J307" s="1722"/>
      <c r="K307" s="1722"/>
      <c r="L307" s="1722"/>
      <c r="M307" s="1722"/>
      <c r="N307" s="4" t="s">
        <v>207</v>
      </c>
      <c r="O307" s="4"/>
      <c r="P307" s="1497"/>
      <c r="Q307" s="1497"/>
      <c r="R307" s="1497"/>
      <c r="S307" s="3"/>
      <c r="T307" s="3" t="s">
        <v>88</v>
      </c>
      <c r="V307" s="3"/>
      <c r="W307" s="3"/>
      <c r="X307" s="3"/>
      <c r="Y307" s="3"/>
      <c r="AA307" s="1722" t="s">
        <v>2709</v>
      </c>
      <c r="AB307" s="1722"/>
      <c r="AC307" s="1722"/>
      <c r="AD307" s="1722"/>
      <c r="AE307" s="1722"/>
      <c r="AF307" s="1722"/>
      <c r="AG307" s="4" t="s">
        <v>207</v>
      </c>
      <c r="AH307" s="4"/>
      <c r="AI307" s="1497"/>
      <c r="AJ307" s="1497"/>
      <c r="AK307" s="1497"/>
      <c r="BN307" s="34"/>
    </row>
    <row r="308" spans="2:66" ht="12.95" customHeight="1">
      <c r="B308" s="3" t="s">
        <v>89</v>
      </c>
      <c r="C308" s="3"/>
      <c r="D308" s="3"/>
      <c r="E308" s="3"/>
      <c r="F308" s="3"/>
      <c r="G308" s="3"/>
      <c r="H308" s="1498" t="s">
        <v>2677</v>
      </c>
      <c r="I308" s="1498"/>
      <c r="J308" s="1498"/>
      <c r="K308" s="1498"/>
      <c r="L308" s="1498"/>
      <c r="M308" s="1498"/>
      <c r="N308" s="4"/>
      <c r="O308" s="4"/>
      <c r="P308" s="35"/>
      <c r="Q308" s="35"/>
      <c r="R308" s="35"/>
      <c r="S308" s="3"/>
      <c r="T308" s="3" t="s">
        <v>89</v>
      </c>
      <c r="V308" s="3"/>
      <c r="W308" s="3"/>
      <c r="X308" s="3"/>
      <c r="Y308" s="3"/>
      <c r="AA308" s="1498"/>
      <c r="AB308" s="1498"/>
      <c r="AC308" s="1498"/>
      <c r="AD308" s="1498"/>
      <c r="AE308" s="1498"/>
      <c r="AF308" s="1498"/>
      <c r="AG308" s="4"/>
      <c r="AH308" s="4"/>
      <c r="AI308" s="35"/>
      <c r="AJ308" s="35"/>
      <c r="AK308" s="35"/>
      <c r="BN308" s="34"/>
    </row>
    <row r="309" spans="2:66" ht="12.95" customHeight="1">
      <c r="B309" s="3" t="s">
        <v>76</v>
      </c>
      <c r="C309" s="3"/>
      <c r="D309" s="3"/>
      <c r="E309" s="3"/>
      <c r="F309" s="3"/>
      <c r="G309" s="3"/>
      <c r="H309" s="1514" t="s">
        <v>2678</v>
      </c>
      <c r="I309" s="1514"/>
      <c r="J309" s="1514"/>
      <c r="K309" s="1514"/>
      <c r="L309" s="1514"/>
      <c r="M309" s="1514"/>
      <c r="N309" s="1486"/>
      <c r="O309" s="1486"/>
      <c r="P309" s="1486"/>
      <c r="Q309" s="1486"/>
      <c r="R309" s="1486"/>
      <c r="S309" s="3"/>
      <c r="T309" s="3" t="s">
        <v>76</v>
      </c>
      <c r="V309" s="3"/>
      <c r="W309" s="3"/>
      <c r="X309" s="3"/>
      <c r="Y309" s="3"/>
      <c r="AA309" s="1514" t="s">
        <v>2710</v>
      </c>
      <c r="AB309" s="1514"/>
      <c r="AC309" s="1514"/>
      <c r="AD309" s="1514"/>
      <c r="AE309" s="1514"/>
      <c r="AF309" s="1514"/>
      <c r="AG309" s="1486"/>
      <c r="AH309" s="1486"/>
      <c r="AI309" s="1486"/>
      <c r="AJ309" s="1486"/>
      <c r="AK309" s="1486"/>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923</v>
      </c>
      <c r="C311" s="3"/>
      <c r="D311" s="3"/>
      <c r="E311" s="3"/>
      <c r="F311" s="3"/>
      <c r="H311" s="1486" t="s">
        <v>2672</v>
      </c>
      <c r="I311" s="1486"/>
      <c r="J311" s="1486"/>
      <c r="K311" s="1486"/>
      <c r="L311" s="1486"/>
      <c r="M311" s="1486"/>
      <c r="N311" s="1486"/>
      <c r="O311" s="1486"/>
      <c r="P311" s="1486"/>
      <c r="Q311" s="1486"/>
      <c r="R311" s="1486"/>
      <c r="S311" s="3"/>
      <c r="T311" s="3" t="s">
        <v>366</v>
      </c>
      <c r="V311" s="3"/>
      <c r="W311" s="3"/>
      <c r="X311" s="3"/>
      <c r="Y311" s="3"/>
      <c r="AA311" s="1509" t="s">
        <v>2711</v>
      </c>
      <c r="AB311" s="1486"/>
      <c r="AC311" s="1486"/>
      <c r="AD311" s="1486"/>
      <c r="AE311" s="1486"/>
      <c r="AF311" s="1486"/>
      <c r="AG311" s="1486"/>
      <c r="AH311" s="1486"/>
      <c r="AI311" s="1486"/>
      <c r="AJ311" s="1486"/>
      <c r="AK311" s="1486"/>
      <c r="BN311" s="34"/>
    </row>
    <row r="312" spans="2:66" ht="12.95" customHeight="1">
      <c r="B312" s="3" t="s">
        <v>480</v>
      </c>
      <c r="C312" s="3"/>
      <c r="D312" s="3"/>
      <c r="E312" s="3"/>
      <c r="F312" s="3"/>
      <c r="H312" s="1514" t="s">
        <v>2673</v>
      </c>
      <c r="I312" s="1514"/>
      <c r="J312" s="1514"/>
      <c r="K312" s="1514"/>
      <c r="L312" s="1514"/>
      <c r="M312" s="1514"/>
      <c r="N312" s="1514"/>
      <c r="O312" s="1514"/>
      <c r="P312" s="1514"/>
      <c r="Q312" s="1514"/>
      <c r="R312" s="1514"/>
      <c r="S312" s="3"/>
      <c r="T312" s="3" t="s">
        <v>480</v>
      </c>
      <c r="V312" s="3"/>
      <c r="W312" s="3"/>
      <c r="X312" s="3"/>
      <c r="Y312" s="3"/>
      <c r="AA312" s="1726" t="s">
        <v>2712</v>
      </c>
      <c r="AB312" s="1514"/>
      <c r="AC312" s="1514"/>
      <c r="AD312" s="1514"/>
      <c r="AE312" s="1514"/>
      <c r="AF312" s="1514"/>
      <c r="AG312" s="1514"/>
      <c r="AH312" s="1514"/>
      <c r="AI312" s="1514"/>
      <c r="AJ312" s="1514"/>
      <c r="AK312" s="1514"/>
      <c r="BN312" s="34"/>
    </row>
    <row r="313" spans="2:66" ht="12.95" customHeight="1">
      <c r="B313" s="3" t="s">
        <v>481</v>
      </c>
      <c r="C313" s="3"/>
      <c r="D313" s="3"/>
      <c r="E313" s="3"/>
      <c r="F313" s="3"/>
      <c r="H313" s="1514" t="s">
        <v>2674</v>
      </c>
      <c r="I313" s="1514"/>
      <c r="J313" s="1514"/>
      <c r="K313" s="1514"/>
      <c r="L313" s="1514"/>
      <c r="M313" s="1514"/>
      <c r="N313" s="1514"/>
      <c r="O313" s="1514"/>
      <c r="P313" s="1514"/>
      <c r="Q313" s="1514"/>
      <c r="R313" s="1514"/>
      <c r="S313" s="3"/>
      <c r="T313" s="3" t="s">
        <v>75</v>
      </c>
      <c r="V313" s="3"/>
      <c r="W313" s="3"/>
      <c r="X313" s="3"/>
      <c r="Y313" s="3"/>
      <c r="AA313" s="1726" t="s">
        <v>2713</v>
      </c>
      <c r="AB313" s="1514"/>
      <c r="AC313" s="1514"/>
      <c r="AD313" s="1514"/>
      <c r="AE313" s="1514"/>
      <c r="AF313" s="1514"/>
      <c r="AG313" s="1514"/>
      <c r="AH313" s="1514"/>
      <c r="AI313" s="1514"/>
      <c r="AJ313" s="1514"/>
      <c r="AK313" s="1514"/>
      <c r="BN313" s="34"/>
    </row>
    <row r="314" spans="2:66" ht="12.95" customHeight="1">
      <c r="B314" s="3" t="s">
        <v>87</v>
      </c>
      <c r="C314" s="3"/>
      <c r="D314" s="3"/>
      <c r="E314" s="3"/>
      <c r="F314" s="3"/>
      <c r="H314" s="1514" t="s">
        <v>2675</v>
      </c>
      <c r="I314" s="1514"/>
      <c r="J314" s="1514"/>
      <c r="K314" s="1514"/>
      <c r="L314" s="1514"/>
      <c r="M314" s="1514"/>
      <c r="N314" s="1514"/>
      <c r="O314" s="1514"/>
      <c r="P314" s="1514"/>
      <c r="Q314" s="1514"/>
      <c r="R314" s="1514"/>
      <c r="S314" s="3"/>
      <c r="T314" s="3" t="s">
        <v>87</v>
      </c>
      <c r="V314" s="3"/>
      <c r="W314" s="3"/>
      <c r="X314" s="3"/>
      <c r="Y314" s="3"/>
      <c r="AA314" s="1726" t="s">
        <v>2714</v>
      </c>
      <c r="AB314" s="1514"/>
      <c r="AC314" s="1514"/>
      <c r="AD314" s="1514"/>
      <c r="AE314" s="1514"/>
      <c r="AF314" s="1514"/>
      <c r="AG314" s="1514"/>
      <c r="AH314" s="1514"/>
      <c r="AI314" s="1514"/>
      <c r="AJ314" s="1514"/>
      <c r="AK314" s="1514"/>
      <c r="BN314" s="34"/>
    </row>
    <row r="315" spans="2:66" ht="12.95" customHeight="1">
      <c r="B315" s="3" t="s">
        <v>88</v>
      </c>
      <c r="C315" s="3"/>
      <c r="D315" s="3"/>
      <c r="E315" s="3"/>
      <c r="F315" s="3"/>
      <c r="G315" s="3"/>
      <c r="H315" s="1722" t="s">
        <v>2676</v>
      </c>
      <c r="I315" s="1722"/>
      <c r="J315" s="1722"/>
      <c r="K315" s="1722"/>
      <c r="L315" s="1722"/>
      <c r="M315" s="1722"/>
      <c r="N315" s="4" t="s">
        <v>207</v>
      </c>
      <c r="O315" s="4"/>
      <c r="P315" s="1497"/>
      <c r="Q315" s="1497"/>
      <c r="R315" s="1497"/>
      <c r="S315" s="3"/>
      <c r="T315" s="3" t="s">
        <v>88</v>
      </c>
      <c r="V315" s="3"/>
      <c r="W315" s="3"/>
      <c r="X315" s="3"/>
      <c r="Y315" s="3"/>
      <c r="AA315" s="1818" t="s">
        <v>2715</v>
      </c>
      <c r="AB315" s="1722"/>
      <c r="AC315" s="1722"/>
      <c r="AD315" s="1722"/>
      <c r="AE315" s="1722"/>
      <c r="AF315" s="1722"/>
      <c r="AG315" s="4" t="s">
        <v>207</v>
      </c>
      <c r="AH315" s="4"/>
      <c r="AI315" s="1497"/>
      <c r="AJ315" s="1497"/>
      <c r="AK315" s="1497"/>
      <c r="BN315" s="34"/>
    </row>
    <row r="316" spans="2:66" ht="12.95" customHeight="1">
      <c r="B316" s="3" t="s">
        <v>89</v>
      </c>
      <c r="C316" s="3"/>
      <c r="D316" s="3"/>
      <c r="E316" s="3"/>
      <c r="F316" s="3"/>
      <c r="G316" s="3"/>
      <c r="H316" s="1498" t="s">
        <v>2677</v>
      </c>
      <c r="I316" s="1498"/>
      <c r="J316" s="1498"/>
      <c r="K316" s="1498"/>
      <c r="L316" s="1498"/>
      <c r="M316" s="1498"/>
      <c r="N316" s="4"/>
      <c r="O316" s="4"/>
      <c r="P316" s="35"/>
      <c r="Q316" s="35"/>
      <c r="R316" s="35"/>
      <c r="S316" s="3"/>
      <c r="T316" s="3" t="s">
        <v>89</v>
      </c>
      <c r="V316" s="3"/>
      <c r="W316" s="3"/>
      <c r="X316" s="3"/>
      <c r="Y316" s="3"/>
      <c r="AA316" s="1498"/>
      <c r="AB316" s="1498"/>
      <c r="AC316" s="1498"/>
      <c r="AD316" s="1498"/>
      <c r="AE316" s="1498"/>
      <c r="AF316" s="1498"/>
      <c r="AG316" s="4"/>
      <c r="AH316" s="4"/>
      <c r="AI316" s="35"/>
      <c r="AJ316" s="35"/>
      <c r="AK316" s="35"/>
      <c r="BN316" s="34"/>
    </row>
    <row r="317" spans="2:66" ht="12.95" customHeight="1">
      <c r="B317" s="3" t="s">
        <v>76</v>
      </c>
      <c r="C317" s="3"/>
      <c r="D317" s="3"/>
      <c r="E317" s="3"/>
      <c r="F317" s="3"/>
      <c r="G317" s="3"/>
      <c r="H317" s="1514" t="s">
        <v>2678</v>
      </c>
      <c r="I317" s="1514"/>
      <c r="J317" s="1514"/>
      <c r="K317" s="1514"/>
      <c r="L317" s="1514"/>
      <c r="M317" s="1514"/>
      <c r="N317" s="1486"/>
      <c r="O317" s="1486"/>
      <c r="P317" s="1486"/>
      <c r="Q317" s="1486"/>
      <c r="R317" s="1486"/>
      <c r="S317" s="3"/>
      <c r="T317" s="3" t="s">
        <v>76</v>
      </c>
      <c r="V317" s="3"/>
      <c r="W317" s="3"/>
      <c r="X317" s="3"/>
      <c r="Y317" s="3"/>
      <c r="AA317" s="1726" t="s">
        <v>2716</v>
      </c>
      <c r="AB317" s="1514"/>
      <c r="AC317" s="1514"/>
      <c r="AD317" s="1514"/>
      <c r="AE317" s="1514"/>
      <c r="AF317" s="1514"/>
      <c r="AG317" s="1486"/>
      <c r="AH317" s="1486"/>
      <c r="AI317" s="1486"/>
      <c r="AJ317" s="1486"/>
      <c r="AK317" s="1486"/>
      <c r="BN317" s="34"/>
    </row>
    <row r="318" spans="2:66" ht="12.95" customHeight="1">
      <c r="BN318" s="34"/>
    </row>
    <row r="319" spans="2:66" ht="12.95" customHeight="1">
      <c r="B319" s="4" t="s">
        <v>924</v>
      </c>
      <c r="C319" s="3"/>
      <c r="D319" s="3"/>
      <c r="E319" s="3"/>
      <c r="F319" s="3"/>
      <c r="H319" s="1486" t="s">
        <v>2679</v>
      </c>
      <c r="I319" s="1486"/>
      <c r="J319" s="1486"/>
      <c r="K319" s="1486"/>
      <c r="L319" s="1486"/>
      <c r="M319" s="1486"/>
      <c r="N319" s="1486"/>
      <c r="O319" s="1486"/>
      <c r="P319" s="1486"/>
      <c r="Q319" s="1486"/>
      <c r="R319" s="1486"/>
      <c r="T319" s="3" t="s">
        <v>367</v>
      </c>
      <c r="V319" s="3"/>
      <c r="W319" s="3"/>
      <c r="X319" s="3"/>
      <c r="Y319" s="3"/>
      <c r="AA319" s="1486" t="s">
        <v>2717</v>
      </c>
      <c r="AB319" s="1486"/>
      <c r="AC319" s="1486"/>
      <c r="AD319" s="1486"/>
      <c r="AE319" s="1486"/>
      <c r="AF319" s="1486"/>
      <c r="AG319" s="1486"/>
      <c r="AH319" s="1486"/>
      <c r="AI319" s="1486"/>
      <c r="AJ319" s="1486"/>
      <c r="AK319" s="1486"/>
      <c r="BN319" s="34"/>
    </row>
    <row r="320" spans="2:66" ht="12.95" customHeight="1">
      <c r="B320" s="3" t="s">
        <v>480</v>
      </c>
      <c r="C320" s="3"/>
      <c r="D320" s="3"/>
      <c r="E320" s="3"/>
      <c r="F320" s="3"/>
      <c r="H320" s="1514" t="s">
        <v>2793</v>
      </c>
      <c r="I320" s="1514"/>
      <c r="J320" s="1514"/>
      <c r="K320" s="1514"/>
      <c r="L320" s="1514"/>
      <c r="M320" s="1514"/>
      <c r="N320" s="1514"/>
      <c r="O320" s="1514"/>
      <c r="P320" s="1514"/>
      <c r="Q320" s="1514"/>
      <c r="R320" s="1514"/>
      <c r="T320" s="3" t="s">
        <v>480</v>
      </c>
      <c r="V320" s="3"/>
      <c r="W320" s="3"/>
      <c r="X320" s="3"/>
      <c r="Y320" s="3"/>
      <c r="AA320" s="1514" t="s">
        <v>2718</v>
      </c>
      <c r="AB320" s="1514"/>
      <c r="AC320" s="1514"/>
      <c r="AD320" s="1514"/>
      <c r="AE320" s="1514"/>
      <c r="AF320" s="1514"/>
      <c r="AG320" s="1514"/>
      <c r="AH320" s="1514"/>
      <c r="AI320" s="1514"/>
      <c r="AJ320" s="1514"/>
      <c r="AK320" s="1514"/>
      <c r="BN320" s="34"/>
    </row>
    <row r="321" spans="2:66" ht="12.95" customHeight="1">
      <c r="B321" s="3" t="s">
        <v>481</v>
      </c>
      <c r="C321" s="3"/>
      <c r="D321" s="3"/>
      <c r="E321" s="3"/>
      <c r="F321" s="3"/>
      <c r="H321" s="1514" t="s">
        <v>2796</v>
      </c>
      <c r="I321" s="1514"/>
      <c r="J321" s="1514"/>
      <c r="K321" s="1514"/>
      <c r="L321" s="1514"/>
      <c r="M321" s="1514"/>
      <c r="N321" s="1514"/>
      <c r="O321" s="1514"/>
      <c r="P321" s="1514"/>
      <c r="Q321" s="1514"/>
      <c r="R321" s="1514"/>
      <c r="T321" s="3" t="s">
        <v>75</v>
      </c>
      <c r="V321" s="3"/>
      <c r="W321" s="3"/>
      <c r="X321" s="3"/>
      <c r="Y321" s="3"/>
      <c r="AA321" s="1514" t="s">
        <v>2719</v>
      </c>
      <c r="AB321" s="1514"/>
      <c r="AC321" s="1514"/>
      <c r="AD321" s="1514"/>
      <c r="AE321" s="1514"/>
      <c r="AF321" s="1514"/>
      <c r="AG321" s="1514"/>
      <c r="AH321" s="1514"/>
      <c r="AI321" s="1514"/>
      <c r="AJ321" s="1514"/>
      <c r="AK321" s="1514"/>
      <c r="BN321" s="34"/>
    </row>
    <row r="322" spans="2:66" ht="12.95" customHeight="1">
      <c r="B322" s="3" t="s">
        <v>87</v>
      </c>
      <c r="C322" s="3"/>
      <c r="D322" s="3"/>
      <c r="E322" s="3"/>
      <c r="F322" s="3"/>
      <c r="H322" s="1514" t="s">
        <v>2660</v>
      </c>
      <c r="I322" s="1514"/>
      <c r="J322" s="1514"/>
      <c r="K322" s="1514"/>
      <c r="L322" s="1514"/>
      <c r="M322" s="1514"/>
      <c r="N322" s="1514"/>
      <c r="O322" s="1514"/>
      <c r="P322" s="1514"/>
      <c r="Q322" s="1514"/>
      <c r="R322" s="1514"/>
      <c r="T322" s="3" t="s">
        <v>87</v>
      </c>
      <c r="V322" s="3"/>
      <c r="W322" s="3"/>
      <c r="X322" s="3"/>
      <c r="Y322" s="3"/>
      <c r="AA322" s="1514" t="s">
        <v>2720</v>
      </c>
      <c r="AB322" s="1514"/>
      <c r="AC322" s="1514"/>
      <c r="AD322" s="1514"/>
      <c r="AE322" s="1514"/>
      <c r="AF322" s="1514"/>
      <c r="AG322" s="1514"/>
      <c r="AH322" s="1514"/>
      <c r="AI322" s="1514"/>
      <c r="AJ322" s="1514"/>
      <c r="AK322" s="1514"/>
      <c r="BN322" s="34"/>
    </row>
    <row r="323" spans="2:66" ht="12.95" customHeight="1">
      <c r="B323" s="3" t="s">
        <v>88</v>
      </c>
      <c r="C323" s="3"/>
      <c r="D323" s="3"/>
      <c r="E323" s="3"/>
      <c r="F323" s="3"/>
      <c r="G323" s="3"/>
      <c r="H323" s="1722" t="s">
        <v>2661</v>
      </c>
      <c r="I323" s="1722"/>
      <c r="J323" s="1722"/>
      <c r="K323" s="1722"/>
      <c r="L323" s="1722"/>
      <c r="M323" s="1722"/>
      <c r="N323" s="4" t="s">
        <v>207</v>
      </c>
      <c r="O323" s="4"/>
      <c r="P323" s="1497"/>
      <c r="Q323" s="1497"/>
      <c r="R323" s="1497"/>
      <c r="S323" s="3"/>
      <c r="T323" s="3" t="s">
        <v>88</v>
      </c>
      <c r="V323" s="3"/>
      <c r="W323" s="3"/>
      <c r="X323" s="3"/>
      <c r="Y323" s="3"/>
      <c r="AA323" s="1722" t="s">
        <v>2721</v>
      </c>
      <c r="AB323" s="1722"/>
      <c r="AC323" s="1722"/>
      <c r="AD323" s="1722"/>
      <c r="AE323" s="1722"/>
      <c r="AF323" s="1722"/>
      <c r="AG323" s="4" t="s">
        <v>207</v>
      </c>
      <c r="AH323" s="4"/>
      <c r="AI323" s="1497"/>
      <c r="AJ323" s="1497"/>
      <c r="AK323" s="1497"/>
    </row>
    <row r="324" spans="2:66" ht="12.95" customHeight="1">
      <c r="B324" s="3" t="s">
        <v>89</v>
      </c>
      <c r="C324" s="3"/>
      <c r="D324" s="3"/>
      <c r="E324" s="3"/>
      <c r="F324" s="3"/>
      <c r="G324" s="3"/>
      <c r="H324" s="1498"/>
      <c r="I324" s="1498"/>
      <c r="J324" s="1498"/>
      <c r="K324" s="1498"/>
      <c r="L324" s="1498"/>
      <c r="M324" s="1498"/>
      <c r="N324" s="4"/>
      <c r="O324" s="4"/>
      <c r="P324" s="35"/>
      <c r="Q324" s="35"/>
      <c r="R324" s="35"/>
      <c r="S324" s="3"/>
      <c r="T324" s="3" t="s">
        <v>89</v>
      </c>
      <c r="V324" s="3"/>
      <c r="W324" s="3"/>
      <c r="X324" s="3"/>
      <c r="Y324" s="3"/>
      <c r="AA324" s="1498" t="s">
        <v>2722</v>
      </c>
      <c r="AB324" s="1498"/>
      <c r="AC324" s="1498"/>
      <c r="AD324" s="1498"/>
      <c r="AE324" s="1498"/>
      <c r="AF324" s="1498"/>
      <c r="AG324" s="4"/>
      <c r="AH324" s="4"/>
      <c r="AI324" s="35"/>
      <c r="AJ324" s="35"/>
      <c r="AK324" s="35"/>
    </row>
    <row r="325" spans="2:66" ht="12.95" customHeight="1">
      <c r="B325" s="3" t="s">
        <v>76</v>
      </c>
      <c r="C325" s="3"/>
      <c r="D325" s="3"/>
      <c r="E325" s="3"/>
      <c r="F325" s="3"/>
      <c r="G325" s="3"/>
      <c r="H325" s="1514" t="s">
        <v>2662</v>
      </c>
      <c r="I325" s="1514"/>
      <c r="J325" s="1514"/>
      <c r="K325" s="1514"/>
      <c r="L325" s="1514"/>
      <c r="M325" s="1514"/>
      <c r="N325" s="1486"/>
      <c r="O325" s="1486"/>
      <c r="P325" s="1486"/>
      <c r="Q325" s="1486"/>
      <c r="R325" s="1486"/>
      <c r="S325" s="3"/>
      <c r="T325" s="3" t="s">
        <v>76</v>
      </c>
      <c r="V325" s="3"/>
      <c r="W325" s="3"/>
      <c r="X325" s="3"/>
      <c r="Y325" s="3"/>
      <c r="AA325" s="1514" t="s">
        <v>2723</v>
      </c>
      <c r="AB325" s="1514"/>
      <c r="AC325" s="1514"/>
      <c r="AD325" s="1514"/>
      <c r="AE325" s="1514"/>
      <c r="AF325" s="1514"/>
      <c r="AG325" s="1486"/>
      <c r="AH325" s="1486"/>
      <c r="AI325" s="1486"/>
      <c r="AJ325" s="1486"/>
      <c r="AK325" s="1486"/>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486" t="s">
        <v>2680</v>
      </c>
      <c r="I327" s="1486"/>
      <c r="J327" s="1486"/>
      <c r="K327" s="1486"/>
      <c r="L327" s="1486"/>
      <c r="M327" s="1486"/>
      <c r="N327" s="1486"/>
      <c r="O327" s="1486"/>
      <c r="P327" s="1486"/>
      <c r="Q327" s="1486"/>
      <c r="R327" s="1486"/>
      <c r="T327" s="3" t="s">
        <v>369</v>
      </c>
      <c r="V327" s="3"/>
      <c r="W327" s="3"/>
      <c r="X327" s="3"/>
      <c r="Y327" s="3"/>
      <c r="AA327" s="1509" t="s">
        <v>600</v>
      </c>
      <c r="AB327" s="1486"/>
      <c r="AC327" s="1486"/>
      <c r="AD327" s="1486"/>
      <c r="AE327" s="1486"/>
      <c r="AF327" s="1486"/>
      <c r="AG327" s="1486"/>
      <c r="AH327" s="1486"/>
      <c r="AI327" s="1486"/>
      <c r="AJ327" s="1486"/>
      <c r="AK327" s="1486"/>
    </row>
    <row r="328" spans="2:66" ht="12.95" customHeight="1">
      <c r="B328" s="3" t="s">
        <v>480</v>
      </c>
      <c r="C328" s="3"/>
      <c r="D328" s="3"/>
      <c r="E328" s="3"/>
      <c r="F328" s="3"/>
      <c r="H328" s="1514" t="s">
        <v>2681</v>
      </c>
      <c r="I328" s="1514"/>
      <c r="J328" s="1514"/>
      <c r="K328" s="1514"/>
      <c r="L328" s="1514"/>
      <c r="M328" s="1514"/>
      <c r="N328" s="1514"/>
      <c r="O328" s="1514"/>
      <c r="P328" s="1514"/>
      <c r="Q328" s="1514"/>
      <c r="R328" s="1514"/>
      <c r="T328" s="3" t="s">
        <v>480</v>
      </c>
      <c r="V328" s="3"/>
      <c r="W328" s="3"/>
      <c r="X328" s="3"/>
      <c r="Y328" s="3"/>
      <c r="AA328" s="1514"/>
      <c r="AB328" s="1514"/>
      <c r="AC328" s="1514"/>
      <c r="AD328" s="1514"/>
      <c r="AE328" s="1514"/>
      <c r="AF328" s="1514"/>
      <c r="AG328" s="1514"/>
      <c r="AH328" s="1514"/>
      <c r="AI328" s="1514"/>
      <c r="AJ328" s="1514"/>
      <c r="AK328" s="1514"/>
    </row>
    <row r="329" spans="2:66" ht="12.95" customHeight="1">
      <c r="B329" s="3" t="s">
        <v>481</v>
      </c>
      <c r="C329" s="3"/>
      <c r="D329" s="3"/>
      <c r="E329" s="3"/>
      <c r="F329" s="3"/>
      <c r="H329" s="1514" t="s">
        <v>2682</v>
      </c>
      <c r="I329" s="1514"/>
      <c r="J329" s="1514"/>
      <c r="K329" s="1514"/>
      <c r="L329" s="1514"/>
      <c r="M329" s="1514"/>
      <c r="N329" s="1514"/>
      <c r="O329" s="1514"/>
      <c r="P329" s="1514"/>
      <c r="Q329" s="1514"/>
      <c r="R329" s="1514"/>
      <c r="T329" s="3" t="s">
        <v>75</v>
      </c>
      <c r="V329" s="3"/>
      <c r="W329" s="3"/>
      <c r="X329" s="3"/>
      <c r="Y329" s="3"/>
      <c r="AA329" s="1514"/>
      <c r="AB329" s="1514"/>
      <c r="AC329" s="1514"/>
      <c r="AD329" s="1514"/>
      <c r="AE329" s="1514"/>
      <c r="AF329" s="1514"/>
      <c r="AG329" s="1514"/>
      <c r="AH329" s="1514"/>
      <c r="AI329" s="1514"/>
      <c r="AJ329" s="1514"/>
      <c r="AK329" s="1514"/>
    </row>
    <row r="330" spans="2:66" ht="12.95" customHeight="1">
      <c r="B330" s="3" t="s">
        <v>87</v>
      </c>
      <c r="C330" s="3"/>
      <c r="D330" s="3"/>
      <c r="E330" s="3"/>
      <c r="F330" s="3"/>
      <c r="H330" s="1514" t="s">
        <v>2683</v>
      </c>
      <c r="I330" s="1514"/>
      <c r="J330" s="1514"/>
      <c r="K330" s="1514"/>
      <c r="L330" s="1514"/>
      <c r="M330" s="1514"/>
      <c r="N330" s="1514"/>
      <c r="O330" s="1514"/>
      <c r="P330" s="1514"/>
      <c r="Q330" s="1514"/>
      <c r="R330" s="1514"/>
      <c r="T330" s="3" t="s">
        <v>87</v>
      </c>
      <c r="V330" s="3"/>
      <c r="W330" s="3"/>
      <c r="X330" s="3"/>
      <c r="Y330" s="3"/>
      <c r="AA330" s="1514"/>
      <c r="AB330" s="1514"/>
      <c r="AC330" s="1514"/>
      <c r="AD330" s="1514"/>
      <c r="AE330" s="1514"/>
      <c r="AF330" s="1514"/>
      <c r="AG330" s="1514"/>
      <c r="AH330" s="1514"/>
      <c r="AI330" s="1514"/>
      <c r="AJ330" s="1514"/>
      <c r="AK330" s="1514"/>
    </row>
    <row r="331" spans="2:66" ht="12.95" customHeight="1">
      <c r="B331" s="3" t="s">
        <v>88</v>
      </c>
      <c r="C331" s="3"/>
      <c r="D331" s="3"/>
      <c r="E331" s="3"/>
      <c r="F331" s="3"/>
      <c r="G331" s="3"/>
      <c r="H331" s="1722" t="s">
        <v>2684</v>
      </c>
      <c r="I331" s="1722"/>
      <c r="J331" s="1722"/>
      <c r="K331" s="1722"/>
      <c r="L331" s="1722"/>
      <c r="M331" s="1722"/>
      <c r="N331" s="4" t="s">
        <v>207</v>
      </c>
      <c r="O331" s="4"/>
      <c r="P331" s="1497"/>
      <c r="Q331" s="1497"/>
      <c r="R331" s="1497"/>
      <c r="S331" s="3"/>
      <c r="T331" s="3" t="s">
        <v>88</v>
      </c>
      <c r="V331" s="3"/>
      <c r="W331" s="3"/>
      <c r="X331" s="3"/>
      <c r="Y331" s="3"/>
      <c r="AA331" s="1722"/>
      <c r="AB331" s="1722"/>
      <c r="AC331" s="1722"/>
      <c r="AD331" s="1722"/>
      <c r="AE331" s="1722"/>
      <c r="AF331" s="1722"/>
      <c r="AG331" s="4" t="s">
        <v>207</v>
      </c>
      <c r="AH331" s="4"/>
      <c r="AI331" s="1497"/>
      <c r="AJ331" s="1497"/>
      <c r="AK331" s="1497"/>
    </row>
    <row r="332" spans="2:66" ht="12.95" customHeight="1">
      <c r="B332" s="3" t="s">
        <v>89</v>
      </c>
      <c r="C332" s="3"/>
      <c r="D332" s="3"/>
      <c r="E332" s="3"/>
      <c r="F332" s="3"/>
      <c r="G332" s="3"/>
      <c r="H332" s="1498"/>
      <c r="I332" s="1498"/>
      <c r="J332" s="1498"/>
      <c r="K332" s="1498"/>
      <c r="L332" s="1498"/>
      <c r="M332" s="1498"/>
      <c r="N332" s="4"/>
      <c r="O332" s="4"/>
      <c r="P332" s="35"/>
      <c r="Q332" s="35"/>
      <c r="R332" s="35"/>
      <c r="S332" s="3"/>
      <c r="T332" s="3" t="s">
        <v>89</v>
      </c>
      <c r="V332" s="3"/>
      <c r="W332" s="3"/>
      <c r="X332" s="3"/>
      <c r="Y332" s="3"/>
      <c r="AA332" s="1498"/>
      <c r="AB332" s="1498"/>
      <c r="AC332" s="1498"/>
      <c r="AD332" s="1498"/>
      <c r="AE332" s="1498"/>
      <c r="AF332" s="1498"/>
      <c r="AG332" s="4"/>
      <c r="AH332" s="4"/>
      <c r="AI332" s="35"/>
      <c r="AJ332" s="35"/>
      <c r="AK332" s="35"/>
    </row>
    <row r="333" spans="2:66" ht="12.95" customHeight="1">
      <c r="B333" s="3" t="s">
        <v>76</v>
      </c>
      <c r="C333" s="3"/>
      <c r="D333" s="3"/>
      <c r="E333" s="3"/>
      <c r="F333" s="3"/>
      <c r="G333" s="3"/>
      <c r="H333" s="1514" t="s">
        <v>2685</v>
      </c>
      <c r="I333" s="1514"/>
      <c r="J333" s="1514"/>
      <c r="K333" s="1514"/>
      <c r="L333" s="1514"/>
      <c r="M333" s="1514"/>
      <c r="N333" s="1486"/>
      <c r="O333" s="1486"/>
      <c r="P333" s="1486"/>
      <c r="Q333" s="1486"/>
      <c r="R333" s="1486"/>
      <c r="S333" s="3"/>
      <c r="T333" s="3" t="s">
        <v>76</v>
      </c>
      <c r="V333" s="3"/>
      <c r="W333" s="3"/>
      <c r="X333" s="3"/>
      <c r="Y333" s="3"/>
      <c r="AA333" s="1514"/>
      <c r="AB333" s="1514"/>
      <c r="AC333" s="1514"/>
      <c r="AD333" s="1514"/>
      <c r="AE333" s="1514"/>
      <c r="AF333" s="1514"/>
      <c r="AG333" s="1486"/>
      <c r="AH333" s="1486"/>
      <c r="AI333" s="1486"/>
      <c r="AJ333" s="1486"/>
      <c r="AK333" s="1486"/>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486" t="s">
        <v>2686</v>
      </c>
      <c r="I335" s="1486"/>
      <c r="J335" s="1486"/>
      <c r="K335" s="1486"/>
      <c r="L335" s="1486"/>
      <c r="M335" s="1486"/>
      <c r="N335" s="1486"/>
      <c r="O335" s="1486"/>
      <c r="P335" s="1486"/>
      <c r="Q335" s="1486"/>
      <c r="R335" s="1486"/>
      <c r="T335" s="218" t="s">
        <v>900</v>
      </c>
      <c r="V335" s="3"/>
      <c r="W335" s="3"/>
      <c r="X335" s="3"/>
      <c r="Y335" s="3"/>
      <c r="AA335" s="1486" t="s">
        <v>2724</v>
      </c>
      <c r="AB335" s="1486"/>
      <c r="AC335" s="1486"/>
      <c r="AD335" s="1486"/>
      <c r="AE335" s="1486"/>
      <c r="AF335" s="1486"/>
      <c r="AG335" s="1486"/>
      <c r="AH335" s="1486"/>
      <c r="AI335" s="1486"/>
      <c r="AJ335" s="1486"/>
      <c r="AK335" s="1486"/>
    </row>
    <row r="336" spans="2:66" ht="12.95" customHeight="1">
      <c r="B336" s="3" t="s">
        <v>480</v>
      </c>
      <c r="C336" s="3"/>
      <c r="D336" s="3"/>
      <c r="E336" s="3"/>
      <c r="F336" s="3"/>
      <c r="H336" s="1514" t="s">
        <v>2687</v>
      </c>
      <c r="I336" s="1514"/>
      <c r="J336" s="1514"/>
      <c r="K336" s="1514"/>
      <c r="L336" s="1514"/>
      <c r="M336" s="1514"/>
      <c r="N336" s="1514"/>
      <c r="O336" s="1514"/>
      <c r="P336" s="1514"/>
      <c r="Q336" s="1514"/>
      <c r="R336" s="1514"/>
      <c r="T336" s="3" t="s">
        <v>480</v>
      </c>
      <c r="V336" s="3"/>
      <c r="W336" s="3"/>
      <c r="X336" s="3"/>
      <c r="Y336" s="3"/>
      <c r="AA336" s="1514" t="s">
        <v>2725</v>
      </c>
      <c r="AB336" s="1514"/>
      <c r="AC336" s="1514"/>
      <c r="AD336" s="1514"/>
      <c r="AE336" s="1514"/>
      <c r="AF336" s="1514"/>
      <c r="AG336" s="1514"/>
      <c r="AH336" s="1514"/>
      <c r="AI336" s="1514"/>
      <c r="AJ336" s="1514"/>
      <c r="AK336" s="1514"/>
    </row>
    <row r="337" spans="1:66" ht="12.95" customHeight="1">
      <c r="B337" s="3" t="s">
        <v>75</v>
      </c>
      <c r="C337" s="3"/>
      <c r="D337" s="3"/>
      <c r="E337" s="3"/>
      <c r="F337" s="3"/>
      <c r="H337" s="1514" t="s">
        <v>2688</v>
      </c>
      <c r="I337" s="1514"/>
      <c r="J337" s="1514"/>
      <c r="K337" s="1514"/>
      <c r="L337" s="1514"/>
      <c r="M337" s="1514"/>
      <c r="N337" s="1514"/>
      <c r="O337" s="1514"/>
      <c r="P337" s="1514"/>
      <c r="Q337" s="1514"/>
      <c r="R337" s="1514"/>
      <c r="T337" s="3" t="s">
        <v>75</v>
      </c>
      <c r="V337" s="3"/>
      <c r="W337" s="3"/>
      <c r="X337" s="3"/>
      <c r="Y337" s="3"/>
      <c r="AA337" s="1514" t="s">
        <v>2726</v>
      </c>
      <c r="AB337" s="1514"/>
      <c r="AC337" s="1514"/>
      <c r="AD337" s="1514"/>
      <c r="AE337" s="1514"/>
      <c r="AF337" s="1514"/>
      <c r="AG337" s="1514"/>
      <c r="AH337" s="1514"/>
      <c r="AI337" s="1514"/>
      <c r="AJ337" s="1514"/>
      <c r="AK337" s="1514"/>
    </row>
    <row r="338" spans="1:66" ht="12.95" customHeight="1">
      <c r="B338" s="3" t="s">
        <v>87</v>
      </c>
      <c r="C338" s="3"/>
      <c r="D338" s="3"/>
      <c r="E338" s="3"/>
      <c r="F338" s="3"/>
      <c r="G338" s="3"/>
      <c r="H338" s="1514" t="s">
        <v>2689</v>
      </c>
      <c r="I338" s="1514"/>
      <c r="J338" s="1514"/>
      <c r="K338" s="1514"/>
      <c r="L338" s="1514"/>
      <c r="M338" s="1514"/>
      <c r="N338" s="1514"/>
      <c r="O338" s="1514"/>
      <c r="P338" s="1514"/>
      <c r="Q338" s="1514"/>
      <c r="R338" s="1514"/>
      <c r="T338" s="3" t="s">
        <v>87</v>
      </c>
      <c r="V338" s="3"/>
      <c r="W338" s="3"/>
      <c r="X338" s="3"/>
      <c r="Y338" s="3"/>
      <c r="AA338" s="1514" t="s">
        <v>2727</v>
      </c>
      <c r="AB338" s="1514"/>
      <c r="AC338" s="1514"/>
      <c r="AD338" s="1514"/>
      <c r="AE338" s="1514"/>
      <c r="AF338" s="1514"/>
      <c r="AG338" s="1514"/>
      <c r="AH338" s="1514"/>
      <c r="AI338" s="1514"/>
      <c r="AJ338" s="1514"/>
      <c r="AK338" s="1514"/>
    </row>
    <row r="339" spans="1:66" ht="12.95" customHeight="1">
      <c r="B339" s="3" t="s">
        <v>88</v>
      </c>
      <c r="C339" s="3"/>
      <c r="D339" s="3"/>
      <c r="E339" s="3"/>
      <c r="F339" s="3"/>
      <c r="G339" s="3"/>
      <c r="H339" s="1722" t="s">
        <v>2690</v>
      </c>
      <c r="I339" s="1722"/>
      <c r="J339" s="1722"/>
      <c r="K339" s="1722"/>
      <c r="L339" s="1722"/>
      <c r="M339" s="1722"/>
      <c r="N339" s="4" t="s">
        <v>207</v>
      </c>
      <c r="O339" s="4"/>
      <c r="P339" s="1497"/>
      <c r="Q339" s="1497"/>
      <c r="R339" s="1497"/>
      <c r="S339" s="3"/>
      <c r="T339" s="3" t="s">
        <v>88</v>
      </c>
      <c r="V339" s="3"/>
      <c r="W339" s="3"/>
      <c r="X339" s="3"/>
      <c r="Y339" s="3"/>
      <c r="AA339" s="1722" t="s">
        <v>2728</v>
      </c>
      <c r="AB339" s="1722"/>
      <c r="AC339" s="1722"/>
      <c r="AD339" s="1722"/>
      <c r="AE339" s="1722"/>
      <c r="AF339" s="1722"/>
      <c r="AG339" s="4" t="s">
        <v>207</v>
      </c>
      <c r="AH339" s="4"/>
      <c r="AI339" s="1497"/>
      <c r="AJ339" s="1497"/>
      <c r="AK339" s="1497"/>
    </row>
    <row r="340" spans="1:66" ht="12.95" customHeight="1">
      <c r="B340" s="3" t="s">
        <v>89</v>
      </c>
      <c r="C340" s="3"/>
      <c r="D340" s="3"/>
      <c r="E340" s="3"/>
      <c r="F340" s="3"/>
      <c r="G340" s="3"/>
      <c r="H340" s="1498"/>
      <c r="I340" s="1498"/>
      <c r="J340" s="1498"/>
      <c r="K340" s="1498"/>
      <c r="L340" s="1498"/>
      <c r="M340" s="1498"/>
      <c r="N340" s="4"/>
      <c r="O340" s="4"/>
      <c r="P340" s="35"/>
      <c r="Q340" s="35"/>
      <c r="R340" s="35"/>
      <c r="S340" s="3"/>
      <c r="T340" s="3" t="s">
        <v>89</v>
      </c>
      <c r="V340" s="3"/>
      <c r="W340" s="3"/>
      <c r="X340" s="3"/>
      <c r="Y340" s="3"/>
      <c r="AA340" s="1498" t="s">
        <v>2728</v>
      </c>
      <c r="AB340" s="1498"/>
      <c r="AC340" s="1498"/>
      <c r="AD340" s="1498"/>
      <c r="AE340" s="1498"/>
      <c r="AF340" s="1498"/>
      <c r="AG340" s="4"/>
      <c r="AH340" s="4"/>
      <c r="AI340" s="35"/>
      <c r="AJ340" s="35"/>
      <c r="AK340" s="35"/>
    </row>
    <row r="341" spans="1:66" ht="12.95" customHeight="1">
      <c r="B341" s="3" t="s">
        <v>76</v>
      </c>
      <c r="C341" s="3"/>
      <c r="D341" s="3"/>
      <c r="E341" s="3"/>
      <c r="F341" s="3"/>
      <c r="G341" s="3"/>
      <c r="H341" s="1726" t="s">
        <v>2691</v>
      </c>
      <c r="I341" s="1514"/>
      <c r="J341" s="1514"/>
      <c r="K341" s="1514"/>
      <c r="L341" s="1514"/>
      <c r="M341" s="1514"/>
      <c r="N341" s="1486"/>
      <c r="O341" s="1486"/>
      <c r="P341" s="1486"/>
      <c r="Q341" s="1486"/>
      <c r="R341" s="1486"/>
      <c r="S341" s="3"/>
      <c r="T341" s="3" t="s">
        <v>76</v>
      </c>
      <c r="V341" s="3"/>
      <c r="W341" s="3"/>
      <c r="X341" s="3"/>
      <c r="Y341" s="3"/>
      <c r="AA341" s="1726" t="s">
        <v>2729</v>
      </c>
      <c r="AB341" s="1514"/>
      <c r="AC341" s="1514"/>
      <c r="AD341" s="1514"/>
      <c r="AE341" s="1514"/>
      <c r="AF341" s="1514"/>
      <c r="AG341" s="1486"/>
      <c r="AH341" s="1486"/>
      <c r="AI341" s="1486"/>
      <c r="AJ341" s="1486"/>
      <c r="AK341" s="1486"/>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2.95" customHeight="1">
      <c r="B343" s="3"/>
      <c r="C343" s="4"/>
      <c r="D343" s="4"/>
      <c r="E343" s="4"/>
      <c r="F343" s="4"/>
      <c r="I343" s="218" t="s">
        <v>901</v>
      </c>
      <c r="P343" s="1509" t="s">
        <v>600</v>
      </c>
      <c r="Q343" s="1486"/>
      <c r="R343" s="1486"/>
      <c r="S343" s="1486"/>
      <c r="T343" s="1486"/>
      <c r="U343" s="1486"/>
      <c r="V343" s="1486"/>
      <c r="W343" s="1486"/>
      <c r="X343" s="1486"/>
      <c r="Y343" s="1486"/>
      <c r="Z343" s="1486"/>
      <c r="AA343" s="1486"/>
      <c r="AB343" s="1486"/>
      <c r="AC343" s="1486"/>
      <c r="AD343" s="1486"/>
      <c r="AE343" s="1486"/>
      <c r="BN343" t="s">
        <v>678</v>
      </c>
    </row>
    <row r="344" spans="1:66" ht="12.95" customHeight="1">
      <c r="B344" s="4"/>
      <c r="C344" s="4"/>
      <c r="D344" s="4"/>
      <c r="E344" s="4"/>
      <c r="F344" s="4"/>
      <c r="I344" s="4" t="s">
        <v>480</v>
      </c>
      <c r="P344" s="1514"/>
      <c r="Q344" s="1514"/>
      <c r="R344" s="1514"/>
      <c r="S344" s="1514"/>
      <c r="T344" s="1514"/>
      <c r="U344" s="1514"/>
      <c r="V344" s="1514"/>
      <c r="W344" s="1514"/>
      <c r="X344" s="1514"/>
      <c r="Y344" s="1514"/>
      <c r="Z344" s="1514"/>
      <c r="AA344" s="1514"/>
      <c r="AB344" s="1514"/>
      <c r="AC344" s="1514"/>
      <c r="AD344" s="1514"/>
      <c r="AE344" s="1514"/>
      <c r="BN344" t="s">
        <v>554</v>
      </c>
    </row>
    <row r="345" spans="1:66" ht="12.95" customHeight="1">
      <c r="B345" s="4"/>
      <c r="C345" s="4"/>
      <c r="D345" s="4"/>
      <c r="E345" s="4"/>
      <c r="F345" s="4"/>
      <c r="I345" s="4" t="s">
        <v>75</v>
      </c>
      <c r="P345" s="1514"/>
      <c r="Q345" s="1514"/>
      <c r="R345" s="1514"/>
      <c r="S345" s="1514"/>
      <c r="T345" s="1514"/>
      <c r="U345" s="1514"/>
      <c r="V345" s="1514"/>
      <c r="W345" s="1514"/>
      <c r="X345" s="1514"/>
      <c r="Y345" s="1514"/>
      <c r="Z345" s="1514"/>
      <c r="AA345" s="1514"/>
      <c r="AB345" s="1514"/>
      <c r="AC345" s="1514"/>
      <c r="AD345" s="1514"/>
      <c r="AE345" s="1514"/>
    </row>
    <row r="346" spans="1:66" ht="12.95" customHeight="1">
      <c r="B346" s="4"/>
      <c r="C346" s="4"/>
      <c r="D346" s="4"/>
      <c r="E346" s="4"/>
      <c r="F346" s="4"/>
      <c r="G346" s="4"/>
      <c r="I346" s="4" t="s">
        <v>87</v>
      </c>
      <c r="P346" s="1514"/>
      <c r="Q346" s="1514"/>
      <c r="R346" s="1514"/>
      <c r="S346" s="1514"/>
      <c r="T346" s="1514"/>
      <c r="U346" s="1514"/>
      <c r="V346" s="1514"/>
      <c r="W346" s="1514"/>
      <c r="X346" s="1514"/>
      <c r="Y346" s="1514"/>
      <c r="Z346" s="1514"/>
      <c r="AA346" s="1514"/>
      <c r="AB346" s="1514"/>
      <c r="AC346" s="1514"/>
      <c r="AD346" s="1514"/>
      <c r="AE346" s="1514"/>
    </row>
    <row r="347" spans="1:66" ht="12.95" customHeight="1">
      <c r="B347" s="4"/>
      <c r="C347" s="4"/>
      <c r="D347" s="4"/>
      <c r="E347" s="4"/>
      <c r="F347" s="4"/>
      <c r="G347" s="4"/>
      <c r="H347" s="324"/>
      <c r="I347" s="4" t="s">
        <v>88</v>
      </c>
      <c r="P347" s="1498"/>
      <c r="Q347" s="1498"/>
      <c r="R347" s="1498"/>
      <c r="S347" s="1498"/>
      <c r="T347" s="1498"/>
      <c r="U347" s="1498"/>
      <c r="V347" s="1498"/>
      <c r="W347" s="1498"/>
      <c r="X347" s="1498"/>
      <c r="Y347" s="1498"/>
      <c r="Z347" s="1498"/>
      <c r="AA347" s="4" t="s">
        <v>207</v>
      </c>
      <c r="AB347" s="4"/>
      <c r="AC347" s="1517"/>
      <c r="AD347" s="1517"/>
      <c r="AE347" s="1517"/>
      <c r="AF347" s="324"/>
      <c r="AG347" s="4"/>
      <c r="AH347" s="4"/>
      <c r="AI347" s="4"/>
      <c r="AJ347" s="4"/>
      <c r="AK347" s="4"/>
    </row>
    <row r="348" spans="1:66" ht="12.95" customHeight="1">
      <c r="B348" s="4"/>
      <c r="C348" s="4"/>
      <c r="D348" s="4"/>
      <c r="E348" s="4"/>
      <c r="F348" s="4"/>
      <c r="G348" s="4"/>
      <c r="H348" s="324"/>
      <c r="I348" s="4" t="s">
        <v>89</v>
      </c>
      <c r="P348" s="1498"/>
      <c r="Q348" s="1498"/>
      <c r="R348" s="1498"/>
      <c r="S348" s="1498"/>
      <c r="T348" s="1498"/>
      <c r="U348" s="1498"/>
      <c r="V348" s="1498"/>
      <c r="W348" s="1498"/>
      <c r="X348" s="1498"/>
      <c r="Y348" s="1498"/>
      <c r="Z348" s="1498"/>
      <c r="AF348" s="324"/>
      <c r="AG348" s="4"/>
      <c r="AH348" s="4"/>
      <c r="AI348" s="35"/>
      <c r="AJ348" s="35"/>
      <c r="AK348" s="35"/>
    </row>
    <row r="349" spans="1:66" ht="12.95" customHeight="1">
      <c r="B349" s="4"/>
      <c r="C349" s="4"/>
      <c r="D349" s="4"/>
      <c r="E349" s="4"/>
      <c r="F349" s="4"/>
      <c r="G349" s="4"/>
      <c r="I349" s="4" t="s">
        <v>76</v>
      </c>
      <c r="P349" s="1486"/>
      <c r="Q349" s="1486"/>
      <c r="R349" s="1486"/>
      <c r="S349" s="1486"/>
      <c r="T349" s="1486"/>
      <c r="U349" s="1486"/>
      <c r="V349" s="1486"/>
      <c r="W349" s="1486"/>
      <c r="X349" s="1486"/>
      <c r="Y349" s="1486"/>
      <c r="Z349" s="1486"/>
      <c r="AA349" s="1486"/>
      <c r="AB349" s="1486"/>
      <c r="AC349" s="1486"/>
      <c r="AD349" s="1486"/>
      <c r="AE349" s="1486"/>
    </row>
    <row r="350" spans="1:66" ht="12.95" customHeight="1">
      <c r="T350" s="8"/>
      <c r="U350" s="8"/>
      <c r="V350" s="8"/>
      <c r="W350" s="8"/>
      <c r="X350" s="8"/>
      <c r="Y350" s="8"/>
      <c r="Z350" s="8"/>
      <c r="AU350" s="95"/>
      <c r="AV350" s="95"/>
      <c r="AW350" s="95"/>
      <c r="AX350" s="95"/>
      <c r="AY350" s="95"/>
    </row>
    <row r="351" spans="1:66" ht="12.95" customHeight="1">
      <c r="A351" s="1438" t="s">
        <v>551</v>
      </c>
      <c r="B351" s="1438"/>
      <c r="C351" s="1438"/>
      <c r="D351" s="1438"/>
      <c r="E351" s="1438"/>
      <c r="F351" s="1438"/>
      <c r="G351" s="1438"/>
      <c r="H351" s="1438"/>
      <c r="I351" s="1438"/>
      <c r="J351" s="1438"/>
      <c r="K351" s="1438"/>
      <c r="L351" s="1438"/>
      <c r="M351" s="1438"/>
      <c r="N351" s="1438"/>
      <c r="O351" s="1438"/>
      <c r="P351" s="1438"/>
      <c r="Q351" s="1438"/>
      <c r="R351" s="1438"/>
      <c r="S351" s="1438"/>
      <c r="T351" s="1438"/>
      <c r="U351" s="1438"/>
      <c r="V351" s="1438"/>
      <c r="W351" s="1438"/>
      <c r="X351" s="1438"/>
      <c r="Y351" s="1438"/>
      <c r="Z351" s="1438"/>
      <c r="AA351" s="1438"/>
      <c r="AB351" s="1438"/>
      <c r="AC351" s="1438"/>
      <c r="AD351" s="1438"/>
      <c r="AE351" s="1438"/>
      <c r="AF351" s="1438"/>
      <c r="AG351" s="1438"/>
      <c r="AH351" s="1438"/>
      <c r="AI351" s="1438"/>
      <c r="AJ351" s="1438"/>
      <c r="AK351" s="1438"/>
      <c r="AL351" s="1438"/>
      <c r="AM351" s="1438"/>
      <c r="AN351" s="1438"/>
      <c r="AO351" s="1438"/>
      <c r="AP351" s="1438"/>
      <c r="AQ351" s="1438"/>
      <c r="AR351" s="1438"/>
      <c r="AS351" s="1438"/>
      <c r="AT351" s="1438"/>
      <c r="AU351" s="95"/>
      <c r="AV351" s="95"/>
      <c r="AW351" s="95"/>
      <c r="AX351" s="95"/>
      <c r="AY351" s="95"/>
    </row>
    <row r="352" spans="1:66" ht="12.95" customHeight="1">
      <c r="A352" s="1438"/>
      <c r="B352" s="1438"/>
      <c r="C352" s="1438"/>
      <c r="D352" s="1438"/>
      <c r="E352" s="1438"/>
      <c r="F352" s="1438"/>
      <c r="G352" s="1438"/>
      <c r="H352" s="1438"/>
      <c r="I352" s="1438"/>
      <c r="J352" s="1438"/>
      <c r="K352" s="1438"/>
      <c r="L352" s="1438"/>
      <c r="M352" s="1438"/>
      <c r="N352" s="1438"/>
      <c r="O352" s="1438"/>
      <c r="P352" s="1438"/>
      <c r="Q352" s="1438"/>
      <c r="R352" s="1438"/>
      <c r="S352" s="1438"/>
      <c r="T352" s="1438"/>
      <c r="U352" s="1438"/>
      <c r="V352" s="1438"/>
      <c r="W352" s="1438"/>
      <c r="X352" s="1438"/>
      <c r="Y352" s="1438"/>
      <c r="Z352" s="1438"/>
      <c r="AA352" s="1438"/>
      <c r="AB352" s="1438"/>
      <c r="AC352" s="1438"/>
      <c r="AD352" s="1438"/>
      <c r="AE352" s="1438"/>
      <c r="AF352" s="1438"/>
      <c r="AG352" s="1438"/>
      <c r="AH352" s="1438"/>
      <c r="AI352" s="1438"/>
      <c r="AJ352" s="1438"/>
      <c r="AK352" s="1438"/>
      <c r="AL352" s="1438"/>
      <c r="AM352" s="1438"/>
      <c r="AN352" s="1438"/>
      <c r="AO352" s="1438"/>
      <c r="AP352" s="1438"/>
      <c r="AQ352" s="1438"/>
      <c r="AR352" s="1438"/>
      <c r="AS352" s="1438"/>
      <c r="AT352" s="1438"/>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792</v>
      </c>
    </row>
    <row r="355" spans="1:46" ht="12.95" customHeight="1">
      <c r="D355" s="3" t="s">
        <v>2418</v>
      </c>
      <c r="M355" s="1484" t="s">
        <v>554</v>
      </c>
      <c r="N355" s="1484"/>
      <c r="P355" t="s">
        <v>1764</v>
      </c>
      <c r="AJ355" s="1484" t="s">
        <v>678</v>
      </c>
      <c r="AK355" s="1484"/>
    </row>
    <row r="356" spans="1:46" ht="12.95" customHeight="1">
      <c r="D356" s="3" t="s">
        <v>1753</v>
      </c>
      <c r="M356" s="1484" t="s">
        <v>600</v>
      </c>
      <c r="N356" s="1484"/>
      <c r="P356" s="3" t="s">
        <v>1910</v>
      </c>
      <c r="AJ356" s="1525">
        <v>0</v>
      </c>
      <c r="AK356" s="1525"/>
    </row>
    <row r="357" spans="1:46" ht="12.95" customHeight="1">
      <c r="D357" s="3" t="s">
        <v>714</v>
      </c>
      <c r="M357" s="1484" t="s">
        <v>600</v>
      </c>
      <c r="N357" s="1484"/>
      <c r="P357" t="s">
        <v>1763</v>
      </c>
      <c r="AJ357" s="1484" t="s">
        <v>600</v>
      </c>
      <c r="AK357" s="1484"/>
    </row>
    <row r="358" spans="1:46" ht="12.95" customHeight="1">
      <c r="D358" s="3" t="s">
        <v>715</v>
      </c>
      <c r="M358" s="1484" t="s">
        <v>600</v>
      </c>
      <c r="N358" s="1484"/>
      <c r="Q358" s="4"/>
    </row>
    <row r="359" spans="1:46" ht="12.95" customHeight="1">
      <c r="Q359" s="4"/>
    </row>
    <row r="360" spans="1:46" ht="12.95" customHeight="1">
      <c r="Q360" s="4"/>
    </row>
    <row r="361" spans="1:46" ht="12.95" customHeight="1">
      <c r="A361" s="2" t="s">
        <v>585</v>
      </c>
      <c r="B361" s="2"/>
      <c r="C361" s="2" t="s">
        <v>561</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84" t="s">
        <v>600</v>
      </c>
      <c r="O363" s="1484"/>
      <c r="P363" s="40"/>
      <c r="Q363" s="40"/>
      <c r="R363" s="40"/>
      <c r="S363" s="40"/>
      <c r="T363" s="40"/>
      <c r="U363" s="40"/>
      <c r="V363" s="40"/>
      <c r="W363" s="40"/>
      <c r="X363" s="40"/>
      <c r="Y363" s="40"/>
      <c r="Z363" s="40"/>
      <c r="AC363" s="40"/>
      <c r="AD363" s="40"/>
      <c r="AE363" s="40"/>
    </row>
    <row r="364" spans="1:46" ht="12.95" customHeight="1">
      <c r="E364" t="s">
        <v>371</v>
      </c>
      <c r="Y364" s="1484" t="s">
        <v>600</v>
      </c>
      <c r="Z364" s="1484"/>
    </row>
    <row r="365" spans="1:46" ht="12.95" customHeight="1">
      <c r="D365" s="4" t="s">
        <v>998</v>
      </c>
      <c r="Q365" s="1486" t="s">
        <v>600</v>
      </c>
      <c r="R365" s="1486"/>
      <c r="S365" s="1486"/>
      <c r="T365" s="1486"/>
      <c r="U365" s="1486"/>
      <c r="V365" s="1486"/>
      <c r="W365" s="1486"/>
      <c r="X365" s="1486"/>
      <c r="Y365" s="1486"/>
      <c r="Z365" s="1486"/>
      <c r="AA365" s="1486"/>
      <c r="AB365" s="1486"/>
      <c r="AC365" s="1486"/>
      <c r="AD365" s="1486"/>
      <c r="AE365" s="1486"/>
      <c r="AF365" s="1486"/>
      <c r="AG365" s="1486"/>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484" t="s">
        <v>600</v>
      </c>
      <c r="K367" s="1484"/>
      <c r="L367" s="40"/>
      <c r="M367" s="40"/>
      <c r="N367" s="40"/>
      <c r="O367" s="40"/>
      <c r="P367" s="40"/>
      <c r="Q367" s="40"/>
      <c r="R367" s="40"/>
      <c r="S367" s="40"/>
      <c r="T367" s="40"/>
      <c r="U367" s="40"/>
      <c r="V367" s="40"/>
      <c r="W367" s="40"/>
      <c r="X367" s="40"/>
      <c r="Y367" s="40"/>
      <c r="Z367" s="40"/>
      <c r="AC367" s="40"/>
      <c r="AD367" s="40"/>
      <c r="AE367" s="40"/>
    </row>
    <row r="368" spans="1:46" ht="12.95" customHeight="1">
      <c r="E368" s="1508" t="s">
        <v>716</v>
      </c>
      <c r="F368" s="1508"/>
      <c r="G368" s="1508"/>
      <c r="H368" s="1508"/>
      <c r="I368" s="1508"/>
      <c r="J368" s="1508"/>
      <c r="K368" s="1508"/>
      <c r="L368" s="1508"/>
      <c r="M368" s="1508"/>
      <c r="N368" s="1508"/>
      <c r="O368" s="1508"/>
      <c r="P368" s="1508"/>
      <c r="Q368" s="1508"/>
      <c r="R368" s="1508"/>
      <c r="S368" s="1508"/>
      <c r="T368" s="1508"/>
      <c r="U368" s="1508"/>
      <c r="V368" s="1508"/>
      <c r="W368" s="1508"/>
      <c r="X368" s="1508"/>
      <c r="Y368" s="1508"/>
      <c r="Z368" s="1508"/>
      <c r="AA368" s="1508"/>
      <c r="AB368" s="1508"/>
      <c r="AC368" s="1508"/>
      <c r="AD368" s="1508"/>
      <c r="AE368" s="1508"/>
      <c r="AF368" s="1508"/>
      <c r="AG368" s="1508"/>
      <c r="AH368" s="1508"/>
    </row>
    <row r="369" spans="1:34" ht="12.95" customHeight="1">
      <c r="E369" s="1508"/>
      <c r="F369" s="1508"/>
      <c r="G369" s="1508"/>
      <c r="H369" s="1508"/>
      <c r="I369" s="1508"/>
      <c r="J369" s="1508"/>
      <c r="K369" s="1508"/>
      <c r="L369" s="1508"/>
      <c r="M369" s="1508"/>
      <c r="N369" s="1508"/>
      <c r="O369" s="1508"/>
      <c r="P369" s="1508"/>
      <c r="Q369" s="1508"/>
      <c r="R369" s="1508"/>
      <c r="S369" s="1508"/>
      <c r="T369" s="1508"/>
      <c r="U369" s="1508"/>
      <c r="V369" s="1508"/>
      <c r="W369" s="1508"/>
      <c r="X369" s="1508"/>
      <c r="Y369" s="1508"/>
      <c r="Z369" s="1508"/>
      <c r="AA369" s="1508"/>
      <c r="AB369" s="1508"/>
      <c r="AC369" s="1508"/>
      <c r="AD369" s="1508"/>
      <c r="AE369" s="1508"/>
      <c r="AF369" s="1508"/>
      <c r="AG369" s="1508"/>
      <c r="AH369" s="1508"/>
    </row>
    <row r="370" spans="1:34" ht="12.95" customHeight="1">
      <c r="E370" s="4" t="s">
        <v>457</v>
      </c>
      <c r="F370" s="4"/>
      <c r="G370" s="4"/>
      <c r="H370" s="4"/>
      <c r="I370" s="4"/>
      <c r="J370" s="4"/>
      <c r="K370" s="4"/>
      <c r="L370" s="4"/>
      <c r="N370" s="1702"/>
      <c r="O370" s="1702"/>
      <c r="P370" s="1702"/>
      <c r="Q370" s="1702"/>
      <c r="R370" s="4"/>
      <c r="U370" s="4" t="s">
        <v>458</v>
      </c>
      <c r="V370" s="4"/>
      <c r="W370" s="4"/>
      <c r="X370" s="4"/>
      <c r="Y370" s="4"/>
      <c r="Z370" s="4"/>
      <c r="AA370" s="4"/>
      <c r="AB370" s="4"/>
      <c r="AC370" s="1702"/>
      <c r="AD370" s="1702"/>
      <c r="AE370" s="1702"/>
      <c r="AF370" s="1702"/>
    </row>
    <row r="371" spans="1:34" ht="12.95" customHeight="1">
      <c r="E371" s="4" t="s">
        <v>459</v>
      </c>
      <c r="F371" s="4"/>
      <c r="G371" s="4"/>
      <c r="H371" s="4"/>
      <c r="I371" s="4"/>
      <c r="J371" s="4"/>
      <c r="K371" s="4"/>
      <c r="L371" s="4"/>
      <c r="N371" s="1702"/>
      <c r="O371" s="1702"/>
      <c r="P371" s="1702"/>
      <c r="Q371" s="1702"/>
      <c r="R371" s="4"/>
      <c r="U371" s="4" t="s">
        <v>0</v>
      </c>
      <c r="V371" s="4"/>
      <c r="W371" s="4"/>
      <c r="X371" s="4"/>
      <c r="Y371" s="4"/>
      <c r="Z371" s="4"/>
      <c r="AA371" s="4"/>
      <c r="AB371" s="4"/>
      <c r="AC371" s="1702"/>
      <c r="AD371" s="1702"/>
      <c r="AE371" s="1702"/>
      <c r="AF371" s="1702"/>
    </row>
    <row r="372" spans="1:34" ht="12.95" customHeight="1">
      <c r="E372" s="4" t="s">
        <v>1</v>
      </c>
      <c r="F372" s="4"/>
      <c r="G372" s="4"/>
      <c r="H372" s="4"/>
      <c r="I372" s="4"/>
      <c r="J372" s="4"/>
      <c r="K372" s="4"/>
      <c r="L372" s="4"/>
      <c r="N372" s="1702"/>
      <c r="O372" s="1702"/>
      <c r="P372" s="1702"/>
      <c r="Q372" s="1702"/>
      <c r="R372" s="4"/>
      <c r="V372" s="4"/>
      <c r="W372" s="4"/>
      <c r="X372" s="4"/>
      <c r="Y372" s="4"/>
      <c r="Z372" s="4"/>
      <c r="AA372" s="4"/>
      <c r="AB372" s="4"/>
    </row>
    <row r="373" spans="1:34" ht="12.95" customHeight="1">
      <c r="E373" s="4" t="s">
        <v>2</v>
      </c>
      <c r="F373" s="4"/>
      <c r="G373" s="4"/>
      <c r="H373" s="4"/>
      <c r="I373" s="4"/>
      <c r="J373" s="4"/>
      <c r="K373" s="4"/>
      <c r="L373" s="4"/>
      <c r="N373" s="1857"/>
      <c r="O373" s="1857"/>
      <c r="P373" s="1857"/>
      <c r="Q373" s="1857"/>
      <c r="R373" s="1857"/>
      <c r="S373" s="1857"/>
      <c r="T373" s="1857"/>
      <c r="U373" s="1857"/>
      <c r="V373" s="1857"/>
      <c r="W373" s="1857"/>
      <c r="X373" s="1857"/>
      <c r="Y373" s="1857"/>
      <c r="Z373" s="1857"/>
      <c r="AA373" s="1857"/>
      <c r="AB373" s="1857"/>
      <c r="AC373" s="1857"/>
      <c r="AD373" s="1857"/>
      <c r="AE373" s="1857"/>
      <c r="AF373" s="1857"/>
    </row>
    <row r="374" spans="1:34" ht="12.95" customHeight="1">
      <c r="E374" s="4"/>
      <c r="F374" s="4"/>
      <c r="G374" s="4"/>
      <c r="H374" s="4"/>
      <c r="I374" s="4"/>
      <c r="J374" s="4"/>
      <c r="K374" s="4"/>
      <c r="L374" s="4"/>
      <c r="N374" s="1369"/>
      <c r="O374" s="1369"/>
      <c r="P374" s="1369"/>
      <c r="Q374" s="1369"/>
      <c r="R374" s="1369"/>
      <c r="S374" s="1369"/>
      <c r="T374" s="1369"/>
      <c r="U374" s="1369"/>
      <c r="V374" s="1369"/>
      <c r="W374" s="1369"/>
      <c r="X374" s="1369"/>
      <c r="Y374" s="1369"/>
      <c r="Z374" s="1369"/>
      <c r="AA374" s="1369"/>
      <c r="AB374" s="1369"/>
      <c r="AC374" s="1369"/>
      <c r="AD374" s="1369"/>
      <c r="AE374" s="1369"/>
      <c r="AF374" s="1369"/>
    </row>
    <row r="375" spans="1:34" ht="12.95" customHeight="1">
      <c r="C375" s="546"/>
      <c r="E375" s="4"/>
      <c r="F375" s="4"/>
      <c r="G375" s="4"/>
      <c r="H375" s="4"/>
      <c r="I375" s="4"/>
      <c r="J375" s="4"/>
      <c r="K375" s="4"/>
      <c r="L375" s="4"/>
    </row>
    <row r="376" spans="1:34" ht="12.95" customHeight="1">
      <c r="D376" s="2" t="s">
        <v>995</v>
      </c>
      <c r="E376" s="2"/>
      <c r="F376" s="4"/>
      <c r="G376" s="4"/>
      <c r="H376" s="4"/>
      <c r="I376" s="4"/>
      <c r="J376" s="4"/>
      <c r="K376" s="4"/>
      <c r="L376" s="4"/>
    </row>
    <row r="377" spans="1:34" ht="12.95" customHeight="1">
      <c r="E377" s="4" t="s">
        <v>2402</v>
      </c>
      <c r="F377" s="4"/>
      <c r="G377" s="4"/>
      <c r="H377" s="4"/>
      <c r="I377" s="4"/>
      <c r="J377" s="4"/>
      <c r="K377" s="4"/>
      <c r="L377" s="4"/>
      <c r="N377" t="s">
        <v>2397</v>
      </c>
      <c r="R377" s="27" t="s">
        <v>306</v>
      </c>
      <c r="S377" s="1717"/>
      <c r="T377" s="1717"/>
      <c r="U377" s="1" t="s">
        <v>307</v>
      </c>
      <c r="V377" s="1717"/>
      <c r="W377" s="1717"/>
      <c r="Y377" t="s">
        <v>2397</v>
      </c>
      <c r="AC377" s="27" t="s">
        <v>306</v>
      </c>
      <c r="AD377" s="1717"/>
      <c r="AE377" s="1717"/>
      <c r="AF377" s="1" t="s">
        <v>307</v>
      </c>
      <c r="AG377" s="1717"/>
      <c r="AH377" s="1717"/>
    </row>
    <row r="378" spans="1:34" ht="12.95" customHeight="1">
      <c r="E378" s="4" t="s">
        <v>1012</v>
      </c>
      <c r="F378" s="4"/>
      <c r="G378" s="4"/>
      <c r="H378" s="4"/>
      <c r="I378" s="4"/>
      <c r="J378" s="4"/>
      <c r="K378" s="4"/>
      <c r="L378" s="4"/>
      <c r="N378" s="1717"/>
      <c r="O378" s="1717"/>
      <c r="P378" s="1717"/>
    </row>
    <row r="379" spans="1:34" ht="12.95" customHeight="1">
      <c r="E379" s="218" t="s">
        <v>2403</v>
      </c>
      <c r="F379" s="4"/>
      <c r="G379" s="4"/>
      <c r="H379" s="4"/>
      <c r="I379" s="4"/>
      <c r="J379" s="4"/>
      <c r="K379" s="4"/>
      <c r="L379" s="4"/>
      <c r="AG379" s="1485" t="s">
        <v>600</v>
      </c>
      <c r="AH379" s="1485"/>
    </row>
    <row r="380" spans="1:34" ht="12.95" customHeight="1">
      <c r="E380" s="4"/>
      <c r="F380" s="4"/>
      <c r="G380" s="4" t="s">
        <v>2404</v>
      </c>
      <c r="H380" s="4"/>
      <c r="I380" s="4"/>
      <c r="J380" s="4"/>
      <c r="K380" s="4"/>
      <c r="L380" s="4"/>
      <c r="AG380" s="1485" t="s">
        <v>600</v>
      </c>
      <c r="AH380" s="1485"/>
    </row>
    <row r="381" spans="1:34" ht="12.95" customHeight="1">
      <c r="E381" s="4"/>
      <c r="F381" s="4"/>
      <c r="G381" s="348" t="s">
        <v>1013</v>
      </c>
      <c r="H381" s="4"/>
      <c r="I381" s="4"/>
      <c r="J381" s="4"/>
      <c r="K381" s="4"/>
      <c r="L381" s="4"/>
      <c r="V381" s="1484" t="s">
        <v>600</v>
      </c>
      <c r="W381" s="1484"/>
      <c r="Y381" s="22" t="s">
        <v>1000</v>
      </c>
    </row>
    <row r="382" spans="1:34" ht="12.95" customHeight="1">
      <c r="E382" s="4" t="s">
        <v>1001</v>
      </c>
      <c r="F382" s="4"/>
      <c r="G382" s="4"/>
      <c r="H382" s="4"/>
      <c r="I382" s="4"/>
      <c r="J382" s="4"/>
      <c r="K382" s="4"/>
      <c r="L382" s="4"/>
      <c r="V382" s="1484" t="s">
        <v>600</v>
      </c>
      <c r="W382" s="1484"/>
      <c r="Y382" s="4" t="s">
        <v>1002</v>
      </c>
    </row>
    <row r="383" spans="1:34" ht="12.95" customHeight="1"/>
    <row r="384" spans="1:34" ht="12.95" customHeight="1">
      <c r="A384" s="2" t="s">
        <v>78</v>
      </c>
      <c r="B384" s="2"/>
    </row>
    <row r="385" spans="4:36" ht="12.95" customHeight="1">
      <c r="D385" t="s">
        <v>429</v>
      </c>
      <c r="J385" s="1486" t="s">
        <v>2641</v>
      </c>
      <c r="K385" s="1486"/>
      <c r="L385" s="1486"/>
      <c r="M385" s="1486"/>
      <c r="N385" s="1486"/>
      <c r="O385" s="1486"/>
      <c r="P385" s="1486"/>
      <c r="Q385" s="1486"/>
      <c r="R385" s="1486"/>
      <c r="S385" s="1486"/>
      <c r="T385" s="1486"/>
      <c r="U385" s="1486"/>
      <c r="V385" s="8" t="s">
        <v>83</v>
      </c>
      <c r="W385" s="8"/>
      <c r="X385" s="8"/>
      <c r="Y385" s="8"/>
      <c r="Z385" s="8"/>
      <c r="AA385" s="8"/>
      <c r="AB385" s="8"/>
      <c r="AC385" s="1486" t="s">
        <v>2642</v>
      </c>
      <c r="AD385" s="1486"/>
      <c r="AE385" s="1486"/>
      <c r="AF385" s="1486"/>
      <c r="AG385" s="1486"/>
      <c r="AH385" s="1486"/>
      <c r="AI385" s="1486"/>
      <c r="AJ385" s="1486"/>
    </row>
    <row r="386" spans="4:36" ht="12.95" customHeight="1">
      <c r="D386" s="3" t="s">
        <v>1289</v>
      </c>
      <c r="J386" s="1514" t="s">
        <v>600</v>
      </c>
      <c r="K386" s="1514"/>
      <c r="L386" s="1514"/>
      <c r="M386" s="1514"/>
      <c r="N386" s="1514"/>
      <c r="O386" s="1514"/>
      <c r="P386" s="1514"/>
      <c r="Q386" s="1514"/>
      <c r="R386" s="1514"/>
      <c r="S386" s="1514"/>
      <c r="T386" s="1514"/>
      <c r="U386" s="1514"/>
      <c r="V386" s="3" t="s">
        <v>1289</v>
      </c>
      <c r="W386" s="8"/>
      <c r="X386" s="8"/>
      <c r="Y386" s="8"/>
      <c r="Z386" s="8"/>
      <c r="AA386" s="8"/>
      <c r="AB386" s="8"/>
      <c r="AC386" s="1486" t="s">
        <v>600</v>
      </c>
      <c r="AD386" s="1486"/>
      <c r="AE386" s="1486"/>
      <c r="AF386" s="1486"/>
      <c r="AG386" s="1486"/>
      <c r="AH386" s="1486"/>
      <c r="AI386" s="1486"/>
      <c r="AJ386" s="1486"/>
    </row>
    <row r="387" spans="4:36" ht="12.95" customHeight="1">
      <c r="D387" s="3" t="s">
        <v>444</v>
      </c>
      <c r="J387" s="1514" t="s">
        <v>600</v>
      </c>
      <c r="K387" s="1514"/>
      <c r="L387" s="1514"/>
      <c r="M387" s="1514"/>
      <c r="N387" s="1514"/>
      <c r="O387" s="1514"/>
      <c r="P387" s="1514"/>
      <c r="Q387" s="1514"/>
      <c r="R387" s="1514"/>
      <c r="S387" s="1514"/>
      <c r="T387" s="1514"/>
      <c r="U387" s="1514"/>
      <c r="V387" s="3" t="s">
        <v>444</v>
      </c>
      <c r="W387" s="8"/>
      <c r="X387" s="8"/>
      <c r="Y387" s="8"/>
      <c r="Z387" s="8"/>
      <c r="AA387" s="8"/>
      <c r="AB387" s="8"/>
      <c r="AC387" s="1486" t="s">
        <v>443</v>
      </c>
      <c r="AD387" s="1486"/>
      <c r="AE387" s="1486"/>
      <c r="AF387" s="1486"/>
      <c r="AG387" s="1486"/>
      <c r="AH387" s="1486"/>
      <c r="AI387" s="1486"/>
      <c r="AJ387" s="1486"/>
    </row>
    <row r="388" spans="4:36" ht="12.95" customHeight="1">
      <c r="D388" t="s">
        <v>1285</v>
      </c>
      <c r="J388" s="1432" t="s">
        <v>2730</v>
      </c>
      <c r="K388" s="1432"/>
      <c r="L388" s="1432"/>
      <c r="M388" s="1432"/>
      <c r="N388" s="1432"/>
      <c r="O388" s="1432"/>
      <c r="P388" s="1432"/>
      <c r="Q388" s="1432"/>
      <c r="R388" s="1432"/>
      <c r="S388" s="1432"/>
      <c r="T388" s="1432"/>
      <c r="U388" s="1432"/>
      <c r="V388" s="1486"/>
      <c r="W388" s="1486"/>
      <c r="X388" s="1486"/>
      <c r="Y388" s="1486"/>
      <c r="Z388" s="1486"/>
      <c r="AA388" s="1486"/>
      <c r="AB388" s="1486"/>
      <c r="AC388" s="1486"/>
      <c r="AD388" s="1486"/>
      <c r="AE388" s="1486"/>
      <c r="AF388" s="1486"/>
      <c r="AG388" s="1486"/>
      <c r="AH388" s="1486"/>
      <c r="AI388" s="1486"/>
      <c r="AJ388" s="1486"/>
    </row>
    <row r="389" spans="4:36" ht="12.95" customHeight="1">
      <c r="D389" t="s">
        <v>4</v>
      </c>
      <c r="Q389" s="1721">
        <v>44144</v>
      </c>
      <c r="R389" s="1721"/>
      <c r="S389" s="1721"/>
      <c r="T389" s="1721"/>
      <c r="U389" s="1721"/>
      <c r="V389" t="s">
        <v>310</v>
      </c>
      <c r="AI389" s="1484" t="s">
        <v>678</v>
      </c>
      <c r="AJ389" s="1484"/>
    </row>
    <row r="390" spans="4:36" ht="12.95" customHeight="1">
      <c r="D390" t="s">
        <v>5</v>
      </c>
      <c r="Q390" s="1443">
        <v>45626</v>
      </c>
      <c r="R390" s="1718"/>
      <c r="S390" s="1718"/>
      <c r="T390" s="1718"/>
      <c r="U390" s="1718"/>
      <c r="W390" s="21" t="s">
        <v>74</v>
      </c>
      <c r="AG390" s="1715"/>
      <c r="AH390" s="1715"/>
      <c r="AI390" s="1715"/>
      <c r="AJ390" s="1715"/>
    </row>
    <row r="391" spans="4:36" ht="12.95" customHeight="1">
      <c r="D391" t="s">
        <v>428</v>
      </c>
      <c r="Q391" s="1716">
        <v>1830000</v>
      </c>
      <c r="R391" s="1716"/>
      <c r="S391" s="1716"/>
      <c r="T391" s="1716"/>
      <c r="U391" s="1716"/>
      <c r="V391" s="3" t="s">
        <v>1288</v>
      </c>
      <c r="AG391" s="1856">
        <v>45626</v>
      </c>
      <c r="AH391" s="1856"/>
      <c r="AI391" s="1856"/>
      <c r="AJ391" s="1856"/>
    </row>
    <row r="392" spans="4:36" ht="12.95" customHeight="1">
      <c r="D392" t="s">
        <v>88</v>
      </c>
      <c r="I392" s="1722" t="s">
        <v>2645</v>
      </c>
      <c r="J392" s="1722"/>
      <c r="K392" s="1722"/>
      <c r="L392" s="1722"/>
      <c r="M392" s="1722"/>
      <c r="N392" s="1722"/>
      <c r="Q392" s="4" t="s">
        <v>207</v>
      </c>
      <c r="S392" s="1720"/>
      <c r="T392" s="1720"/>
      <c r="U392" s="1720"/>
      <c r="V392" t="s">
        <v>73</v>
      </c>
      <c r="AI392" s="1484" t="s">
        <v>678</v>
      </c>
      <c r="AJ392" s="1484"/>
    </row>
    <row r="393" spans="4:36" ht="12.95" customHeight="1">
      <c r="D393" t="s">
        <v>311</v>
      </c>
      <c r="Q393" s="1435"/>
      <c r="R393" s="1435"/>
      <c r="S393" s="1435"/>
      <c r="T393" s="1435"/>
      <c r="U393" s="1435"/>
      <c r="V393" t="s">
        <v>312</v>
      </c>
      <c r="AG393" s="1715">
        <v>0</v>
      </c>
      <c r="AH393" s="1715"/>
      <c r="AI393" s="1715"/>
      <c r="AJ393" s="1715"/>
    </row>
    <row r="394" spans="4:36" ht="12.95" customHeight="1">
      <c r="D394" t="s">
        <v>313</v>
      </c>
      <c r="Q394" s="1802"/>
      <c r="R394" s="1802"/>
      <c r="S394" s="1802"/>
      <c r="T394" s="1802"/>
      <c r="U394" s="1802"/>
      <c r="V394" t="s">
        <v>1269</v>
      </c>
      <c r="AG394" s="1715">
        <v>0</v>
      </c>
      <c r="AH394" s="1715"/>
      <c r="AI394" s="1715"/>
      <c r="AJ394" s="1715"/>
    </row>
    <row r="395" spans="4:36" ht="12.95" customHeight="1">
      <c r="D395" t="s">
        <v>1268</v>
      </c>
      <c r="AG395" s="1715">
        <v>0</v>
      </c>
      <c r="AH395" s="1715"/>
      <c r="AI395" s="1715"/>
      <c r="AJ395" s="1715"/>
    </row>
    <row r="396" spans="4:36" ht="12.95" customHeight="1">
      <c r="AG396" s="490"/>
      <c r="AH396" s="490"/>
      <c r="AI396" s="490"/>
      <c r="AJ396" s="490"/>
    </row>
    <row r="397" spans="4:36" ht="12.95" customHeight="1">
      <c r="D397" s="3" t="s">
        <v>2503</v>
      </c>
      <c r="AG397" s="490"/>
      <c r="AH397" s="490"/>
      <c r="AI397" s="1484" t="s">
        <v>678</v>
      </c>
      <c r="AJ397" s="1484"/>
    </row>
    <row r="398" spans="4:36" ht="12.95" customHeight="1">
      <c r="D398" s="3" t="s">
        <v>1782</v>
      </c>
      <c r="T398" s="1806" t="s">
        <v>600</v>
      </c>
      <c r="U398" s="1807"/>
      <c r="V398" s="1807"/>
      <c r="W398" s="1807"/>
      <c r="X398" s="1807"/>
      <c r="Y398" s="1807"/>
      <c r="Z398" s="1807"/>
      <c r="AA398" s="1807"/>
      <c r="AB398" s="1807"/>
      <c r="AC398" s="1807"/>
      <c r="AD398" s="1807"/>
      <c r="AE398" s="1807"/>
      <c r="AF398" s="1807"/>
      <c r="AG398" s="1807"/>
      <c r="AH398" s="1807"/>
      <c r="AI398" s="1807"/>
      <c r="AJ398" s="1807"/>
    </row>
    <row r="399" spans="4:36" ht="12.95" customHeight="1">
      <c r="D399" s="3" t="s">
        <v>1781</v>
      </c>
      <c r="T399" s="1806" t="s">
        <v>600</v>
      </c>
      <c r="U399" s="1807"/>
      <c r="V399" s="1807"/>
      <c r="W399" s="1807"/>
      <c r="X399" s="1807"/>
      <c r="Y399" s="1807"/>
      <c r="Z399" s="1807"/>
      <c r="AA399" s="1807"/>
      <c r="AB399" s="1807"/>
      <c r="AC399" s="1807"/>
      <c r="AD399" s="1807"/>
      <c r="AE399" s="1807"/>
      <c r="AF399" s="1807"/>
      <c r="AG399" s="1807"/>
      <c r="AH399" s="1807"/>
      <c r="AI399" s="1807"/>
      <c r="AJ399" s="1807"/>
    </row>
    <row r="400" spans="4:36" ht="12.95" customHeight="1">
      <c r="AG400" s="490"/>
      <c r="AH400" s="490"/>
      <c r="AI400" s="490"/>
      <c r="AJ400" s="490"/>
    </row>
    <row r="401" spans="1:36" ht="12.95" customHeight="1">
      <c r="D401" s="3" t="s">
        <v>1775</v>
      </c>
      <c r="S401" s="1807" t="s">
        <v>678</v>
      </c>
      <c r="T401" s="1807"/>
      <c r="U401" s="1807"/>
      <c r="V401" t="s">
        <v>1776</v>
      </c>
      <c r="AG401" s="1855"/>
      <c r="AH401" s="1855"/>
      <c r="AI401" s="1855"/>
      <c r="AJ401" s="1855"/>
    </row>
    <row r="402" spans="1:36" ht="12.95" customHeight="1">
      <c r="D402" s="3" t="s">
        <v>1773</v>
      </c>
      <c r="S402" s="1807" t="s">
        <v>600</v>
      </c>
      <c r="T402" s="1807"/>
      <c r="U402" s="1807"/>
      <c r="V402" t="s">
        <v>1778</v>
      </c>
      <c r="AE402" s="1850"/>
      <c r="AF402" s="1850"/>
      <c r="AG402" s="1850"/>
      <c r="AH402" s="1850"/>
      <c r="AI402" s="1850"/>
      <c r="AJ402" s="1850"/>
    </row>
    <row r="403" spans="1:36" ht="12.95" customHeight="1">
      <c r="D403" s="3" t="s">
        <v>1774</v>
      </c>
      <c r="K403" s="1848"/>
      <c r="L403" s="1848"/>
      <c r="M403" s="1848"/>
      <c r="N403" s="1848"/>
      <c r="O403" s="1848"/>
      <c r="P403" s="1848"/>
      <c r="Q403" s="1848"/>
      <c r="R403" s="1848"/>
      <c r="S403" s="1848"/>
      <c r="T403" s="1848"/>
      <c r="U403" s="1848"/>
      <c r="V403" s="1848"/>
      <c r="W403" s="1848"/>
      <c r="X403" s="1848"/>
      <c r="Y403" s="1848"/>
      <c r="Z403" s="1848"/>
      <c r="AA403" s="1848"/>
      <c r="AB403" s="1848"/>
      <c r="AC403" s="1848"/>
      <c r="AD403" s="1848"/>
      <c r="AE403" s="1848"/>
      <c r="AF403" s="1848"/>
      <c r="AG403" s="1848"/>
      <c r="AH403" s="1848"/>
      <c r="AI403" s="1848"/>
      <c r="AJ403" s="1848"/>
    </row>
    <row r="404" spans="1:36" ht="12.95" customHeight="1">
      <c r="D404" s="3" t="s">
        <v>1777</v>
      </c>
      <c r="K404" s="1848"/>
      <c r="L404" s="1848"/>
      <c r="M404" s="1848"/>
      <c r="N404" s="1848"/>
      <c r="O404" s="1848"/>
      <c r="P404" s="1848"/>
      <c r="Q404" s="1848"/>
      <c r="R404" s="1848"/>
      <c r="S404" s="1848"/>
      <c r="T404" s="1848"/>
      <c r="U404" s="1848"/>
      <c r="V404" s="1848"/>
      <c r="W404" s="1848"/>
      <c r="X404" s="1848"/>
      <c r="Y404" s="1848"/>
      <c r="Z404" s="1848"/>
      <c r="AA404" s="1848"/>
      <c r="AB404" s="1848"/>
      <c r="AC404" s="1848"/>
      <c r="AD404" s="1848"/>
      <c r="AE404" s="1848"/>
      <c r="AF404" s="1848"/>
      <c r="AG404" s="1848"/>
      <c r="AH404" s="1848"/>
      <c r="AI404" s="1848"/>
      <c r="AJ404" s="1848"/>
    </row>
    <row r="405" spans="1:36" ht="12.95" customHeight="1">
      <c r="D405" s="3" t="s">
        <v>1780</v>
      </c>
      <c r="E405" s="511"/>
      <c r="F405" s="511"/>
      <c r="G405" s="511"/>
      <c r="H405" s="511"/>
      <c r="I405" s="511"/>
      <c r="J405" s="511"/>
      <c r="K405" s="511"/>
      <c r="L405" s="511"/>
      <c r="M405" s="511"/>
      <c r="N405" s="511"/>
      <c r="O405" s="511"/>
      <c r="P405" s="511"/>
      <c r="Q405" s="511"/>
      <c r="R405" s="511"/>
      <c r="S405" s="1730" t="s">
        <v>2731</v>
      </c>
      <c r="T405" s="1730"/>
      <c r="U405" s="1730"/>
      <c r="V405" s="1730"/>
      <c r="W405" s="1730"/>
      <c r="X405" s="1730"/>
      <c r="Y405" s="1730"/>
      <c r="Z405" s="1730"/>
      <c r="AA405" s="1730"/>
      <c r="AB405" s="1730"/>
      <c r="AC405" s="1730"/>
      <c r="AD405" s="1730"/>
      <c r="AE405" s="1730"/>
      <c r="AF405" s="1730"/>
      <c r="AG405" s="1730"/>
      <c r="AH405" s="1730"/>
      <c r="AI405" s="1730"/>
      <c r="AJ405" s="1730"/>
    </row>
    <row r="406" spans="1:36" ht="12.95" customHeight="1">
      <c r="D406" s="1279" t="s">
        <v>1779</v>
      </c>
      <c r="E406" s="1279"/>
      <c r="F406" s="1279"/>
      <c r="G406" s="1279"/>
      <c r="H406" s="1279"/>
      <c r="I406" s="1279"/>
      <c r="J406" s="1279"/>
      <c r="K406" s="1279"/>
      <c r="L406" s="1279"/>
      <c r="M406" s="1279"/>
      <c r="N406" s="1279"/>
      <c r="O406" s="1279"/>
      <c r="P406" s="1279"/>
      <c r="Q406" s="1279"/>
      <c r="R406" s="1279"/>
      <c r="S406" s="1279"/>
      <c r="T406" s="1279"/>
      <c r="U406" s="1279"/>
      <c r="V406" s="1279"/>
      <c r="W406" s="1279"/>
      <c r="X406" s="1279"/>
      <c r="Y406" s="1279"/>
      <c r="Z406" s="1279"/>
      <c r="AA406" s="1279"/>
      <c r="AB406" s="1279"/>
      <c r="AC406" s="1279"/>
      <c r="AD406" s="1279"/>
      <c r="AE406" s="1279"/>
      <c r="AF406" s="1279"/>
      <c r="AG406" s="1279"/>
      <c r="AH406" s="1279"/>
      <c r="AI406" s="1279"/>
      <c r="AJ406" s="1279"/>
    </row>
    <row r="407" spans="1:36" ht="12.95" customHeight="1">
      <c r="D407" s="1279"/>
      <c r="E407" s="1279"/>
      <c r="F407" s="1279"/>
      <c r="G407" s="1279"/>
      <c r="H407" s="1279"/>
      <c r="I407" s="1279"/>
      <c r="J407" s="1279"/>
      <c r="K407" s="1279"/>
      <c r="L407" s="1279"/>
      <c r="M407" s="1279"/>
      <c r="N407" s="1279"/>
      <c r="O407" s="1279"/>
      <c r="P407" s="1279"/>
      <c r="Q407" s="1279"/>
      <c r="R407" s="1279"/>
      <c r="S407" s="1279"/>
      <c r="T407" s="1279"/>
      <c r="U407" s="1279"/>
      <c r="V407" s="1279"/>
      <c r="W407" s="1279"/>
      <c r="X407" s="1279"/>
      <c r="Y407" s="1279"/>
      <c r="Z407" s="1279"/>
      <c r="AA407" s="1279"/>
      <c r="AB407" s="1279"/>
      <c r="AC407" s="1279"/>
      <c r="AD407" s="1279"/>
      <c r="AE407" s="1279"/>
      <c r="AF407" s="1279"/>
      <c r="AG407" s="1279"/>
      <c r="AH407" s="1279"/>
      <c r="AI407" s="1279"/>
      <c r="AJ407" s="1279"/>
    </row>
    <row r="408" spans="1:36" ht="12.95" customHeight="1">
      <c r="AG408" s="490"/>
      <c r="AH408" s="490"/>
      <c r="AI408" s="490"/>
      <c r="AJ408" s="490"/>
    </row>
    <row r="409" spans="1:36" ht="12.95" customHeight="1">
      <c r="A409" s="2" t="s">
        <v>598</v>
      </c>
      <c r="B409" s="2"/>
      <c r="C409" s="2" t="s">
        <v>111</v>
      </c>
    </row>
    <row r="410" spans="1:36" ht="12.95" customHeight="1">
      <c r="B410" s="2"/>
      <c r="C410" s="2"/>
      <c r="D410" s="2" t="s">
        <v>1311</v>
      </c>
      <c r="I410" s="1509" t="s">
        <v>2732</v>
      </c>
      <c r="J410" s="1509"/>
      <c r="K410" s="1509"/>
      <c r="L410" s="1509"/>
      <c r="M410" s="1509"/>
      <c r="N410" s="1509"/>
      <c r="O410" s="1509"/>
      <c r="P410" s="1509"/>
      <c r="Q410" s="1509"/>
      <c r="R410" s="1509"/>
      <c r="S410" s="1509"/>
      <c r="T410" s="1509"/>
      <c r="U410" s="1509"/>
      <c r="V410" s="1509"/>
      <c r="W410" s="1509"/>
      <c r="X410" s="1509"/>
      <c r="Y410" s="1509"/>
      <c r="Z410" s="1509"/>
      <c r="AA410" s="1509"/>
      <c r="AB410" s="1509"/>
      <c r="AC410" s="1509"/>
      <c r="AD410" s="1509"/>
      <c r="AE410" s="1509"/>
    </row>
    <row r="411" spans="1:36" ht="12.95" customHeight="1">
      <c r="E411" t="s">
        <v>106</v>
      </c>
      <c r="R411" s="1484" t="s">
        <v>554</v>
      </c>
      <c r="S411" s="1484"/>
      <c r="AC411" s="27" t="s">
        <v>579</v>
      </c>
      <c r="AD411" s="1702">
        <v>7</v>
      </c>
      <c r="AE411" s="1702"/>
    </row>
    <row r="412" spans="1:36" ht="12.95" customHeight="1">
      <c r="E412" t="s">
        <v>107</v>
      </c>
      <c r="R412" s="1484" t="s">
        <v>600</v>
      </c>
      <c r="S412" s="1484"/>
      <c r="AC412" s="27" t="s">
        <v>579</v>
      </c>
      <c r="AD412" s="1702"/>
      <c r="AE412" s="1702"/>
    </row>
    <row r="413" spans="1:36" ht="12.95" customHeight="1">
      <c r="E413" t="s">
        <v>108</v>
      </c>
      <c r="S413" s="1484" t="s">
        <v>600</v>
      </c>
      <c r="T413" s="1484"/>
    </row>
    <row r="414" spans="1:36" ht="12.95" customHeight="1">
      <c r="E414" t="s">
        <v>170</v>
      </c>
      <c r="H414" s="1733" t="s">
        <v>2733</v>
      </c>
      <c r="I414" s="1733"/>
      <c r="J414" s="1733"/>
      <c r="K414" s="1733"/>
      <c r="L414" s="1733"/>
      <c r="M414" s="1733"/>
      <c r="N414" s="1733"/>
      <c r="O414" s="1733"/>
      <c r="P414" s="1733"/>
      <c r="Q414" s="1733"/>
      <c r="R414" s="1733"/>
      <c r="S414" s="1733"/>
      <c r="T414" s="1733"/>
      <c r="U414" s="1733"/>
      <c r="V414" s="1733"/>
      <c r="W414" s="1733"/>
      <c r="X414" s="1733"/>
      <c r="Y414" s="1733"/>
      <c r="Z414" s="1733"/>
      <c r="AA414" s="1733"/>
      <c r="AB414" s="1733"/>
      <c r="AC414" s="1733"/>
      <c r="AD414" s="1733"/>
      <c r="AE414" s="1733"/>
    </row>
    <row r="415" spans="1:36" ht="12.95" customHeight="1">
      <c r="H415" s="1734"/>
      <c r="I415" s="1734"/>
      <c r="J415" s="1734"/>
      <c r="K415" s="1734"/>
      <c r="L415" s="1734"/>
      <c r="M415" s="1734"/>
      <c r="N415" s="1734"/>
      <c r="O415" s="1734"/>
      <c r="P415" s="1734"/>
      <c r="Q415" s="1734"/>
      <c r="R415" s="1734"/>
      <c r="S415" s="1734"/>
      <c r="T415" s="1734"/>
      <c r="U415" s="1734"/>
      <c r="V415" s="1734"/>
      <c r="W415" s="1734"/>
      <c r="X415" s="1734"/>
      <c r="Y415" s="1734"/>
      <c r="Z415" s="1734"/>
      <c r="AA415" s="1734"/>
      <c r="AB415" s="1734"/>
      <c r="AC415" s="1734"/>
      <c r="AD415" s="1734"/>
      <c r="AE415" s="1734"/>
    </row>
    <row r="416" spans="1:36" ht="12.95" customHeight="1"/>
    <row r="417" spans="1:39" ht="12.95" customHeight="1">
      <c r="A417" s="2" t="s">
        <v>599</v>
      </c>
      <c r="B417" s="2"/>
      <c r="C417" s="2"/>
      <c r="D417" s="2" t="s">
        <v>114</v>
      </c>
      <c r="AF417" s="2" t="s">
        <v>977</v>
      </c>
    </row>
    <row r="418" spans="1:39" ht="12.95" customHeight="1">
      <c r="E418" s="1717"/>
      <c r="F418" s="1717"/>
      <c r="G418" s="1717"/>
      <c r="H418" s="13" t="s">
        <v>115</v>
      </c>
      <c r="I418" s="1717"/>
      <c r="J418" s="1717"/>
      <c r="K418" s="1717"/>
      <c r="L418" t="s">
        <v>116</v>
      </c>
      <c r="N418" s="27" t="s">
        <v>584</v>
      </c>
      <c r="P418" s="1719">
        <v>0.42</v>
      </c>
      <c r="Q418" s="1719"/>
      <c r="R418" s="1719"/>
      <c r="S418" t="s">
        <v>117</v>
      </c>
      <c r="W418" s="1880">
        <f>IF(E418&gt;0,(E418*I418),(P418*43560))</f>
        <v>18295.2</v>
      </c>
      <c r="X418" s="1880"/>
      <c r="Y418" s="1880"/>
      <c r="Z418" t="s">
        <v>118</v>
      </c>
      <c r="AF418" s="1496">
        <f>IFERROR(IF(P418&gt;0,(AG437/P418),(AG437/(W418/43560))),0)</f>
        <v>119.04761904761905</v>
      </c>
      <c r="AG418" s="1496"/>
      <c r="AH418" s="1496"/>
      <c r="AM418" s="3"/>
    </row>
    <row r="419" spans="1:39" ht="12.95" customHeight="1">
      <c r="E419" t="s">
        <v>51</v>
      </c>
    </row>
    <row r="420" spans="1:39" ht="12.95" customHeight="1">
      <c r="E420" s="1878"/>
      <c r="F420" s="1878"/>
      <c r="G420" s="1878"/>
      <c r="H420" s="1878"/>
      <c r="I420" s="1878"/>
      <c r="J420" s="1878"/>
      <c r="K420" s="1878"/>
      <c r="L420" s="1878"/>
      <c r="M420" s="1878"/>
      <c r="N420" s="1878"/>
      <c r="O420" s="1878"/>
      <c r="P420" s="1878"/>
      <c r="Q420" s="1878"/>
      <c r="R420" s="1878"/>
      <c r="S420" s="1878"/>
      <c r="T420" s="1878"/>
      <c r="U420" s="1878"/>
      <c r="V420" s="1878"/>
      <c r="W420" s="1878"/>
      <c r="X420" s="1878"/>
      <c r="Y420" s="1878"/>
      <c r="Z420" s="1878"/>
      <c r="AA420" s="1878"/>
      <c r="AB420" s="1878"/>
      <c r="AC420" s="1878"/>
      <c r="AD420" s="1878"/>
      <c r="AE420" s="1878"/>
      <c r="AF420" s="1878"/>
      <c r="AG420" s="1878"/>
      <c r="AH420" s="1878"/>
      <c r="AI420" s="1878"/>
      <c r="AJ420" s="1878"/>
    </row>
    <row r="421" spans="1:39" ht="12.95" customHeight="1">
      <c r="E421" s="118" t="s">
        <v>1927</v>
      </c>
      <c r="F421" s="1048"/>
      <c r="G421" s="1048"/>
      <c r="H421" s="1048"/>
      <c r="I421" s="1728">
        <v>0.42</v>
      </c>
      <c r="J421" s="1728"/>
      <c r="K421" s="1728"/>
      <c r="L421" s="1048"/>
      <c r="M421" s="118"/>
      <c r="N421" s="1048"/>
      <c r="O421" s="1048"/>
      <c r="P421" s="1686">
        <f>(CS634+CS642+CS658)/I421</f>
        <v>166.66666666666669</v>
      </c>
      <c r="Q421" s="1686"/>
      <c r="R421" s="1686"/>
      <c r="S421" s="118" t="s">
        <v>1928</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601</v>
      </c>
      <c r="B423" s="2"/>
      <c r="C423" s="2"/>
      <c r="D423" s="2" t="s">
        <v>120</v>
      </c>
    </row>
    <row r="424" spans="1:39" ht="12.95" customHeight="1">
      <c r="E424" t="s">
        <v>121</v>
      </c>
      <c r="P424" s="1484">
        <v>1</v>
      </c>
      <c r="Q424" s="1484"/>
      <c r="S424" t="s">
        <v>190</v>
      </c>
      <c r="AE424" s="1484">
        <v>1</v>
      </c>
      <c r="AF424" s="1484"/>
    </row>
    <row r="425" spans="1:39" ht="12.95" customHeight="1">
      <c r="E425" t="s">
        <v>191</v>
      </c>
      <c r="P425" s="1484">
        <v>0</v>
      </c>
      <c r="Q425" s="1484"/>
      <c r="S425" t="s">
        <v>131</v>
      </c>
      <c r="AE425" s="1484" t="s">
        <v>554</v>
      </c>
      <c r="AF425" s="1484"/>
    </row>
    <row r="426" spans="1:39" ht="12.95" customHeight="1">
      <c r="F426" s="28" t="s">
        <v>132</v>
      </c>
    </row>
    <row r="427" spans="1:39" ht="12.95" customHeight="1">
      <c r="F427" s="1835" t="s">
        <v>2782</v>
      </c>
      <c r="G427" s="1835"/>
      <c r="H427" s="1835"/>
      <c r="I427" s="1835"/>
      <c r="J427" s="1835"/>
      <c r="K427" s="1835"/>
      <c r="L427" s="1835"/>
      <c r="M427" s="1835"/>
      <c r="N427" s="1835"/>
      <c r="O427" s="1835"/>
      <c r="P427" s="1835"/>
      <c r="Q427" s="1835"/>
      <c r="R427" s="1835"/>
      <c r="S427" s="1835"/>
      <c r="T427" s="1835"/>
      <c r="U427" s="1835"/>
      <c r="V427" s="1835"/>
      <c r="W427" s="1835"/>
      <c r="X427" s="1835"/>
      <c r="Y427" s="1835"/>
      <c r="Z427" s="1835"/>
      <c r="AA427" s="1835"/>
      <c r="AB427" s="1835"/>
      <c r="AC427" s="1835"/>
      <c r="AD427" s="1835"/>
      <c r="AE427" s="1835"/>
      <c r="AF427" s="1835"/>
      <c r="AG427" s="1835"/>
      <c r="AH427" s="1835"/>
    </row>
    <row r="428" spans="1:39" ht="12.95" customHeight="1">
      <c r="F428" s="1743"/>
      <c r="G428" s="1743"/>
      <c r="H428" s="1743"/>
      <c r="I428" s="1743"/>
      <c r="J428" s="1743"/>
      <c r="K428" s="1743"/>
      <c r="L428" s="1743"/>
      <c r="M428" s="1743"/>
      <c r="N428" s="1743"/>
      <c r="O428" s="1743"/>
      <c r="P428" s="1743"/>
      <c r="Q428" s="1743"/>
      <c r="R428" s="1743"/>
      <c r="S428" s="1743"/>
      <c r="T428" s="1743"/>
      <c r="U428" s="1743"/>
      <c r="V428" s="1743"/>
      <c r="W428" s="1743"/>
      <c r="X428" s="1743"/>
      <c r="Y428" s="1743"/>
      <c r="Z428" s="1743"/>
      <c r="AA428" s="1743"/>
      <c r="AB428" s="1743"/>
      <c r="AC428" s="1743"/>
      <c r="AD428" s="1743"/>
      <c r="AE428" s="1743"/>
      <c r="AF428" s="1743"/>
      <c r="AG428" s="1743"/>
      <c r="AH428" s="1743"/>
    </row>
    <row r="429" spans="1:39" ht="12.95" customHeight="1">
      <c r="E429" t="s">
        <v>617</v>
      </c>
      <c r="P429" s="1"/>
      <c r="Q429" s="1484" t="s">
        <v>554</v>
      </c>
      <c r="R429" s="1484"/>
    </row>
    <row r="430" spans="1:39" ht="12.95" customHeight="1">
      <c r="F430" t="s">
        <v>618</v>
      </c>
      <c r="P430" s="1"/>
      <c r="Q430" s="1"/>
      <c r="AF430" s="1484" t="s">
        <v>600</v>
      </c>
      <c r="AG430" s="1879"/>
    </row>
    <row r="431" spans="1:39" ht="12.95" customHeight="1"/>
    <row r="432" spans="1:39" ht="12.95" customHeight="1">
      <c r="A432" s="2"/>
      <c r="B432" s="2"/>
      <c r="C432" s="2"/>
      <c r="E432" s="4" t="s">
        <v>309</v>
      </c>
      <c r="Z432" s="1484" t="s">
        <v>678</v>
      </c>
      <c r="AA432" s="1484"/>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717</v>
      </c>
      <c r="G434" s="40"/>
      <c r="I434" s="40"/>
      <c r="J434" s="40"/>
      <c r="K434" s="40"/>
      <c r="L434" s="40"/>
      <c r="M434" s="40"/>
      <c r="N434" s="40"/>
      <c r="O434" s="28"/>
      <c r="P434" s="40"/>
      <c r="Q434" s="40"/>
      <c r="R434" s="40"/>
      <c r="S434" s="40"/>
      <c r="T434" s="40"/>
      <c r="U434" s="40"/>
      <c r="V434" s="40"/>
      <c r="W434" s="40"/>
      <c r="Z434" s="1484" t="s">
        <v>600</v>
      </c>
      <c r="AA434" s="1484"/>
    </row>
    <row r="435" spans="1:110" ht="12.95" customHeight="1"/>
    <row r="436" spans="1:110" ht="12.95" customHeight="1">
      <c r="A436" s="2" t="s">
        <v>476</v>
      </c>
      <c r="B436" s="2"/>
      <c r="C436" s="2"/>
      <c r="D436" s="2" t="s">
        <v>774</v>
      </c>
      <c r="AF436" s="48"/>
    </row>
    <row r="437" spans="1:110" ht="12.95" customHeight="1">
      <c r="D437" s="1674" t="s">
        <v>43</v>
      </c>
      <c r="E437" s="1675"/>
      <c r="F437" s="1675"/>
      <c r="G437" s="1675"/>
      <c r="H437" s="1675"/>
      <c r="I437" s="1675"/>
      <c r="J437" s="1675"/>
      <c r="K437" s="1675"/>
      <c r="L437" s="1675"/>
      <c r="M437" s="1675"/>
      <c r="N437" s="1675"/>
      <c r="O437" s="1675"/>
      <c r="P437" s="1675"/>
      <c r="Q437" s="1675"/>
      <c r="R437" s="1675"/>
      <c r="S437" s="1675"/>
      <c r="T437" s="1675"/>
      <c r="U437" s="1675"/>
      <c r="V437" s="1675"/>
      <c r="W437" s="1675"/>
      <c r="X437" s="1675"/>
      <c r="Y437" s="1675"/>
      <c r="Z437" s="1675"/>
      <c r="AA437" s="1675"/>
      <c r="AB437" s="1675"/>
      <c r="AC437" s="1675"/>
      <c r="AD437" s="1675"/>
      <c r="AE437" s="1675"/>
      <c r="AF437" s="1801"/>
      <c r="AG437" s="1858">
        <v>50</v>
      </c>
      <c r="AH437" s="1858"/>
      <c r="AI437" s="1858"/>
      <c r="AJ437" s="1858"/>
    </row>
    <row r="438" spans="1:110" ht="12.95" customHeight="1">
      <c r="D438" s="1723" t="s">
        <v>1330</v>
      </c>
      <c r="E438" s="1724"/>
      <c r="F438" s="1724"/>
      <c r="G438" s="1724"/>
      <c r="H438" s="1724"/>
      <c r="I438" s="1724"/>
      <c r="J438" s="1724"/>
      <c r="K438" s="1724"/>
      <c r="L438" s="1724"/>
      <c r="M438" s="1724"/>
      <c r="N438" s="1724"/>
      <c r="O438" s="1724"/>
      <c r="P438" s="1724"/>
      <c r="Q438" s="1724"/>
      <c r="R438" s="1724"/>
      <c r="S438" s="1724"/>
      <c r="T438" s="1724"/>
      <c r="U438" s="1724"/>
      <c r="V438" s="1724"/>
      <c r="W438" s="1724"/>
      <c r="X438" s="1724"/>
      <c r="Y438" s="1724"/>
      <c r="Z438" s="1724"/>
      <c r="AA438" s="1724"/>
      <c r="AB438" s="1724"/>
      <c r="AC438" s="1724"/>
      <c r="AD438" s="1724"/>
      <c r="AE438" s="1724"/>
      <c r="AF438" s="1725"/>
      <c r="AG438" s="1881">
        <v>0</v>
      </c>
      <c r="AH438" s="1659"/>
      <c r="AI438" s="1659"/>
      <c r="AJ438" s="1659"/>
    </row>
    <row r="439" spans="1:110" ht="12.95" customHeight="1">
      <c r="D439" s="1723" t="s">
        <v>1056</v>
      </c>
      <c r="E439" s="1724"/>
      <c r="F439" s="1724"/>
      <c r="G439" s="1724"/>
      <c r="H439" s="1724"/>
      <c r="I439" s="1724"/>
      <c r="J439" s="1724"/>
      <c r="K439" s="1724"/>
      <c r="L439" s="1724"/>
      <c r="M439" s="1724"/>
      <c r="N439" s="1724"/>
      <c r="O439" s="1724"/>
      <c r="P439" s="1724"/>
      <c r="Q439" s="1724"/>
      <c r="R439" s="1724"/>
      <c r="S439" s="1724"/>
      <c r="T439" s="1724"/>
      <c r="U439" s="1724"/>
      <c r="V439" s="1724"/>
      <c r="W439" s="1724"/>
      <c r="X439" s="1724"/>
      <c r="Y439" s="1724"/>
      <c r="Z439" s="1724"/>
      <c r="AA439" s="1724"/>
      <c r="AB439" s="1724"/>
      <c r="AC439" s="1724"/>
      <c r="AD439" s="1724"/>
      <c r="AE439" s="1724"/>
      <c r="AF439" s="1725"/>
      <c r="AG439" s="1858">
        <v>49</v>
      </c>
      <c r="AH439" s="1858"/>
      <c r="AI439" s="1858"/>
      <c r="AJ439" s="1858"/>
    </row>
    <row r="440" spans="1:110" ht="12.95" customHeight="1">
      <c r="D440" s="1723" t="s">
        <v>1057</v>
      </c>
      <c r="E440" s="1724"/>
      <c r="F440" s="1724"/>
      <c r="G440" s="1724"/>
      <c r="H440" s="1724"/>
      <c r="I440" s="1724"/>
      <c r="J440" s="1724"/>
      <c r="K440" s="1724"/>
      <c r="L440" s="1724"/>
      <c r="M440" s="1724"/>
      <c r="N440" s="1724"/>
      <c r="O440" s="1724"/>
      <c r="P440" s="1724"/>
      <c r="Q440" s="1724"/>
      <c r="R440" s="1724"/>
      <c r="S440" s="1724"/>
      <c r="T440" s="1724"/>
      <c r="U440" s="1724"/>
      <c r="V440" s="1724"/>
      <c r="W440" s="1724"/>
      <c r="X440" s="1724"/>
      <c r="Y440" s="1724"/>
      <c r="Z440" s="1724"/>
      <c r="AA440" s="1724"/>
      <c r="AB440" s="1724"/>
      <c r="AC440" s="1724"/>
      <c r="AD440" s="1724"/>
      <c r="AE440" s="1724"/>
      <c r="AF440" s="1725"/>
      <c r="AG440" s="1858">
        <v>49</v>
      </c>
      <c r="AH440" s="1858"/>
      <c r="AI440" s="1858"/>
      <c r="AJ440" s="1858"/>
    </row>
    <row r="441" spans="1:110" ht="12.95" customHeight="1">
      <c r="D441" s="1723" t="s">
        <v>1059</v>
      </c>
      <c r="E441" s="1724"/>
      <c r="F441" s="1724"/>
      <c r="G441" s="1724"/>
      <c r="H441" s="1724"/>
      <c r="I441" s="1724"/>
      <c r="J441" s="1724"/>
      <c r="K441" s="1724"/>
      <c r="L441" s="1724"/>
      <c r="M441" s="1724"/>
      <c r="N441" s="1724"/>
      <c r="O441" s="1724"/>
      <c r="P441" s="1724"/>
      <c r="Q441" s="1724"/>
      <c r="R441" s="1724"/>
      <c r="S441" s="1724"/>
      <c r="T441" s="1724"/>
      <c r="U441" s="1724"/>
      <c r="V441" s="1724"/>
      <c r="W441" s="1724"/>
      <c r="X441" s="1724"/>
      <c r="Y441" s="1724"/>
      <c r="Z441" s="1724"/>
      <c r="AA441" s="1724"/>
      <c r="AB441" s="1724"/>
      <c r="AC441" s="1724"/>
      <c r="AD441" s="1724"/>
      <c r="AE441" s="1724"/>
      <c r="AF441" s="1725"/>
      <c r="AG441" s="1854">
        <f>IF(ISERROR(AG440/AG439),"",AG440/AG439)</f>
        <v>1</v>
      </c>
      <c r="AH441" s="1854"/>
      <c r="AI441" s="1854"/>
      <c r="AJ441" s="1854"/>
    </row>
    <row r="442" spans="1:110" ht="12.95" customHeight="1">
      <c r="D442" s="1723" t="s">
        <v>1058</v>
      </c>
      <c r="E442" s="1724"/>
      <c r="F442" s="1724"/>
      <c r="G442" s="1724"/>
      <c r="H442" s="1724"/>
      <c r="I442" s="1724"/>
      <c r="J442" s="1724"/>
      <c r="K442" s="1724"/>
      <c r="L442" s="1724"/>
      <c r="M442" s="1724"/>
      <c r="N442" s="1724"/>
      <c r="O442" s="1724"/>
      <c r="P442" s="1724"/>
      <c r="Q442" s="1724"/>
      <c r="R442" s="1724"/>
      <c r="S442" s="1724"/>
      <c r="T442" s="1724"/>
      <c r="U442" s="1724"/>
      <c r="V442" s="1724"/>
      <c r="W442" s="1724"/>
      <c r="X442" s="1724"/>
      <c r="Y442" s="1724"/>
      <c r="Z442" s="1724"/>
      <c r="AA442" s="1724"/>
      <c r="AB442" s="1724"/>
      <c r="AC442" s="1724"/>
      <c r="AD442" s="1724"/>
      <c r="AE442" s="1724"/>
      <c r="AF442" s="1725"/>
      <c r="AG442" s="1849">
        <v>32555</v>
      </c>
      <c r="AH442" s="1849"/>
      <c r="AI442" s="1849"/>
      <c r="AJ442" s="1849"/>
    </row>
    <row r="443" spans="1:110" ht="12.95" customHeight="1">
      <c r="D443" s="1723" t="s">
        <v>1060</v>
      </c>
      <c r="E443" s="1724"/>
      <c r="F443" s="1724"/>
      <c r="G443" s="1724"/>
      <c r="H443" s="1724"/>
      <c r="I443" s="1724"/>
      <c r="J443" s="1724"/>
      <c r="K443" s="1724"/>
      <c r="L443" s="1724"/>
      <c r="M443" s="1724"/>
      <c r="N443" s="1724"/>
      <c r="O443" s="1724"/>
      <c r="P443" s="1724"/>
      <c r="Q443" s="1724"/>
      <c r="R443" s="1724"/>
      <c r="S443" s="1724"/>
      <c r="T443" s="1724"/>
      <c r="U443" s="1724"/>
      <c r="V443" s="1724"/>
      <c r="W443" s="1724"/>
      <c r="X443" s="1724"/>
      <c r="Y443" s="1724"/>
      <c r="Z443" s="1724"/>
      <c r="AA443" s="1724"/>
      <c r="AB443" s="1724"/>
      <c r="AC443" s="1724"/>
      <c r="AD443" s="1724"/>
      <c r="AE443" s="1724"/>
      <c r="AF443" s="1725"/>
      <c r="AG443" s="1849">
        <f>AG442</f>
        <v>32555</v>
      </c>
      <c r="AH443" s="1849"/>
      <c r="AI443" s="1849"/>
      <c r="AJ443" s="1849"/>
    </row>
    <row r="444" spans="1:110" ht="12.95" customHeight="1">
      <c r="D444" s="1723" t="s">
        <v>1061</v>
      </c>
      <c r="E444" s="1724"/>
      <c r="F444" s="1724"/>
      <c r="G444" s="1724"/>
      <c r="H444" s="1724"/>
      <c r="I444" s="1724"/>
      <c r="J444" s="1724"/>
      <c r="K444" s="1724"/>
      <c r="L444" s="1724"/>
      <c r="M444" s="1724"/>
      <c r="N444" s="1724"/>
      <c r="O444" s="1724"/>
      <c r="P444" s="1724"/>
      <c r="Q444" s="1724"/>
      <c r="R444" s="1724"/>
      <c r="S444" s="1724"/>
      <c r="T444" s="1724"/>
      <c r="U444" s="1724"/>
      <c r="V444" s="1724"/>
      <c r="W444" s="1724"/>
      <c r="X444" s="1724"/>
      <c r="Y444" s="1724"/>
      <c r="Z444" s="1724"/>
      <c r="AA444" s="1724"/>
      <c r="AB444" s="1724"/>
      <c r="AC444" s="1724"/>
      <c r="AD444" s="1724"/>
      <c r="AE444" s="1724"/>
      <c r="AF444" s="1725"/>
      <c r="AG444" s="1854">
        <f>IF(ISERROR(AG443/AG442),"",AG443/AG442)</f>
        <v>1</v>
      </c>
      <c r="AH444" s="1854"/>
      <c r="AI444" s="1854"/>
      <c r="AJ444" s="1854"/>
    </row>
    <row r="445" spans="1:110" ht="12.95" customHeight="1">
      <c r="D445" s="1723" t="s">
        <v>1062</v>
      </c>
      <c r="E445" s="1724"/>
      <c r="F445" s="1724"/>
      <c r="G445" s="1724"/>
      <c r="H445" s="1724"/>
      <c r="I445" s="1724"/>
      <c r="J445" s="1724"/>
      <c r="K445" s="1724"/>
      <c r="L445" s="1724"/>
      <c r="M445" s="1724"/>
      <c r="N445" s="1724"/>
      <c r="O445" s="1724"/>
      <c r="P445" s="1724"/>
      <c r="Q445" s="1724"/>
      <c r="R445" s="1724"/>
      <c r="S445" s="1724"/>
      <c r="T445" s="1724"/>
      <c r="U445" s="1724"/>
      <c r="V445" s="1724"/>
      <c r="W445" s="1724"/>
      <c r="X445" s="1724"/>
      <c r="Y445" s="1724"/>
      <c r="Z445" s="1724"/>
      <c r="AA445" s="1724"/>
      <c r="AB445" s="1724"/>
      <c r="AC445" s="1724"/>
      <c r="AD445" s="1724"/>
      <c r="AE445" s="1724"/>
      <c r="AF445" s="1725"/>
      <c r="AG445" s="1854">
        <f>MIN(IF(AG441&gt;AG444,AG444,AG441),1)</f>
        <v>1</v>
      </c>
      <c r="AH445" s="1854"/>
      <c r="AI445" s="1854"/>
      <c r="AJ445" s="1854"/>
    </row>
    <row r="446" spans="1:110" ht="12.95" customHeight="1">
      <c r="D446" s="1723" t="s">
        <v>2405</v>
      </c>
      <c r="E446" s="1675"/>
      <c r="F446" s="1675"/>
      <c r="G446" s="1675"/>
      <c r="H446" s="1675"/>
      <c r="I446" s="1675"/>
      <c r="J446" s="1675"/>
      <c r="K446" s="1675"/>
      <c r="L446" s="1675"/>
      <c r="M446" s="1675"/>
      <c r="N446" s="1675"/>
      <c r="O446" s="1675"/>
      <c r="P446" s="1675"/>
      <c r="Q446" s="1675"/>
      <c r="R446" s="1675"/>
      <c r="S446" s="1675"/>
      <c r="T446" s="1675"/>
      <c r="U446" s="1675"/>
      <c r="V446" s="1675"/>
      <c r="W446" s="1675"/>
      <c r="X446" s="1675"/>
      <c r="Y446" s="1675"/>
      <c r="Z446" s="1675"/>
      <c r="AA446" s="1675"/>
      <c r="AB446" s="1675"/>
      <c r="AC446" s="1675"/>
      <c r="AD446" s="1675"/>
      <c r="AE446" s="1675"/>
      <c r="AF446" s="1801"/>
      <c r="AG446" s="1849">
        <v>7320</v>
      </c>
      <c r="AH446" s="1849"/>
      <c r="AI446" s="1849"/>
      <c r="AJ446" s="1849"/>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674" t="s">
        <v>578</v>
      </c>
      <c r="E447" s="1675"/>
      <c r="F447" s="1675"/>
      <c r="G447" s="1675"/>
      <c r="H447" s="1675"/>
      <c r="I447" s="1675"/>
      <c r="J447" s="1675"/>
      <c r="K447" s="1675"/>
      <c r="L447" s="1675"/>
      <c r="M447" s="1675"/>
      <c r="N447" s="1675"/>
      <c r="O447" s="1675"/>
      <c r="P447" s="1675"/>
      <c r="Q447" s="1675"/>
      <c r="R447" s="1675"/>
      <c r="S447" s="1675"/>
      <c r="T447" s="1675"/>
      <c r="U447" s="1675"/>
      <c r="V447" s="1675"/>
      <c r="W447" s="1675"/>
      <c r="X447" s="1675"/>
      <c r="Y447" s="1675"/>
      <c r="Z447" s="1675"/>
      <c r="AA447" s="1675"/>
      <c r="AB447" s="1675"/>
      <c r="AC447" s="1675"/>
      <c r="AD447" s="1675"/>
      <c r="AE447" s="1675"/>
      <c r="AF447" s="1801"/>
      <c r="AG447" s="1849">
        <v>800</v>
      </c>
      <c r="AH447" s="1849"/>
      <c r="AI447" s="1849"/>
      <c r="AJ447" s="1849"/>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723" t="s">
        <v>1312</v>
      </c>
      <c r="E448" s="1675"/>
      <c r="F448" s="1675"/>
      <c r="G448" s="1675"/>
      <c r="H448" s="1675"/>
      <c r="I448" s="1675"/>
      <c r="J448" s="1675"/>
      <c r="K448" s="1675"/>
      <c r="L448" s="1675"/>
      <c r="M448" s="1675"/>
      <c r="N448" s="1675"/>
      <c r="O448" s="1675"/>
      <c r="P448" s="1675"/>
      <c r="Q448" s="1675"/>
      <c r="R448" s="1675"/>
      <c r="S448" s="1675"/>
      <c r="T448" s="1675"/>
      <c r="U448" s="1675"/>
      <c r="V448" s="1675"/>
      <c r="W448" s="1675"/>
      <c r="X448" s="1675"/>
      <c r="Y448" s="1675"/>
      <c r="Z448" s="1675"/>
      <c r="AA448" s="1675"/>
      <c r="AB448" s="1675"/>
      <c r="AC448" s="1675"/>
      <c r="AD448" s="1675"/>
      <c r="AE448" s="1675"/>
      <c r="AF448" s="1801"/>
      <c r="AG448" s="1849">
        <f>53877-AG446-AG443</f>
        <v>14002</v>
      </c>
      <c r="AH448" s="1849"/>
      <c r="AI448" s="1849"/>
      <c r="AJ448" s="1849"/>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723" t="s">
        <v>1063</v>
      </c>
      <c r="E449" s="1675"/>
      <c r="F449" s="1675"/>
      <c r="G449" s="1675"/>
      <c r="H449" s="1675"/>
      <c r="I449" s="1675"/>
      <c r="J449" s="1675"/>
      <c r="K449" s="1675"/>
      <c r="L449" s="1675"/>
      <c r="M449" s="1675"/>
      <c r="N449" s="1675"/>
      <c r="O449" s="1675"/>
      <c r="P449" s="1675"/>
      <c r="Q449" s="1675"/>
      <c r="R449" s="1675"/>
      <c r="S449" s="1675"/>
      <c r="T449" s="1675"/>
      <c r="U449" s="1675"/>
      <c r="V449" s="1675"/>
      <c r="W449" s="1675"/>
      <c r="X449" s="1675"/>
      <c r="Y449" s="1675"/>
      <c r="Z449" s="1675"/>
      <c r="AA449" s="1675"/>
      <c r="AB449" s="1675"/>
      <c r="AC449" s="1675"/>
      <c r="AD449" s="1675"/>
      <c r="AE449" s="1675"/>
      <c r="AF449" s="1801"/>
      <c r="AG449" s="1849">
        <v>21297</v>
      </c>
      <c r="AH449" s="1849"/>
      <c r="AI449" s="1849"/>
      <c r="AJ449" s="1849"/>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843" t="s">
        <v>1064</v>
      </c>
      <c r="E450" s="1844"/>
      <c r="F450" s="1844"/>
      <c r="G450" s="1844"/>
      <c r="H450" s="1844"/>
      <c r="I450" s="1844"/>
      <c r="J450" s="1844"/>
      <c r="K450" s="1844"/>
      <c r="L450" s="1844"/>
      <c r="M450" s="1844"/>
      <c r="N450" s="1844"/>
      <c r="O450" s="1844"/>
      <c r="P450" s="1844"/>
      <c r="Q450" s="1844"/>
      <c r="R450" s="1844"/>
      <c r="S450" s="1844"/>
      <c r="T450" s="1844"/>
      <c r="U450" s="1844"/>
      <c r="V450" s="1844"/>
      <c r="W450" s="1844"/>
      <c r="X450" s="1844"/>
      <c r="Y450" s="1844"/>
      <c r="Z450" s="1844"/>
      <c r="AA450" s="1844"/>
      <c r="AB450" s="1844"/>
      <c r="AC450" s="1844"/>
      <c r="AD450" s="1844"/>
      <c r="AE450" s="1844"/>
      <c r="AF450" s="1845"/>
      <c r="AG450" s="1882">
        <f>AG442+AG446+AG448+AG449</f>
        <v>75174</v>
      </c>
      <c r="AH450" s="1882"/>
      <c r="AI450" s="1882"/>
      <c r="AJ450" s="1882"/>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846" t="s">
        <v>1313</v>
      </c>
      <c r="E451" s="1846"/>
      <c r="F451" s="1846"/>
      <c r="G451" s="1846"/>
      <c r="H451" s="1846"/>
      <c r="I451" s="1846"/>
      <c r="J451" s="1846"/>
      <c r="K451" s="1846"/>
      <c r="L451" s="1846"/>
      <c r="M451" s="1846"/>
      <c r="N451" s="1846"/>
      <c r="O451" s="1846"/>
      <c r="P451" s="1846"/>
      <c r="Q451" s="1846"/>
      <c r="R451" s="1846"/>
      <c r="S451" s="1846"/>
      <c r="T451" s="1846"/>
      <c r="U451" s="1846"/>
      <c r="V451" s="1846"/>
      <c r="W451" s="1846"/>
      <c r="X451" s="1846"/>
      <c r="Y451" s="1846"/>
      <c r="Z451" s="1846"/>
      <c r="AA451" s="1846"/>
      <c r="AB451" s="1846"/>
      <c r="AC451" s="1846"/>
      <c r="AD451" s="1846"/>
      <c r="AE451" s="1846"/>
      <c r="AF451" s="1846"/>
      <c r="AG451" s="1846"/>
      <c r="AH451" s="1846"/>
      <c r="AI451" s="1846"/>
      <c r="AJ451" s="1846"/>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847"/>
      <c r="E452" s="1847"/>
      <c r="F452" s="1847"/>
      <c r="G452" s="1847"/>
      <c r="H452" s="1847"/>
      <c r="I452" s="1847"/>
      <c r="J452" s="1847"/>
      <c r="K452" s="1847"/>
      <c r="L452" s="1847"/>
      <c r="M452" s="1847"/>
      <c r="N452" s="1847"/>
      <c r="O452" s="1847"/>
      <c r="P452" s="1847"/>
      <c r="Q452" s="1847"/>
      <c r="R452" s="1847"/>
      <c r="S452" s="1847"/>
      <c r="T452" s="1847"/>
      <c r="U452" s="1847"/>
      <c r="V452" s="1847"/>
      <c r="W452" s="1847"/>
      <c r="X452" s="1847"/>
      <c r="Y452" s="1847"/>
      <c r="Z452" s="1847"/>
      <c r="AA452" s="1847"/>
      <c r="AB452" s="1847"/>
      <c r="AC452" s="1847"/>
      <c r="AD452" s="1847"/>
      <c r="AE452" s="1847"/>
      <c r="AF452" s="1847"/>
      <c r="AG452" s="1847"/>
      <c r="AH452" s="1847"/>
      <c r="AI452" s="1847"/>
      <c r="AJ452" s="1847"/>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729">
        <f>IF(AG437=0,"",'Sources and Uses Budget'!B105/Application!AG437)</f>
        <v>867417.64</v>
      </c>
      <c r="AD454" s="1729"/>
      <c r="AE454" s="1729"/>
      <c r="AF454" s="1729"/>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729">
        <f>IF(AG437=0,"",'Sources and Uses Budget'!C105/Application!AG437)</f>
        <v>811139.48</v>
      </c>
      <c r="AD455" s="1729"/>
      <c r="AE455" s="1729"/>
      <c r="AF455" s="1729"/>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729">
        <f>IF(AG437=0,"",('Sources and Uses Budget'!$S$107+'Sources and Uses Budget'!$T$107)/Application!AG437)</f>
        <v>714202.14</v>
      </c>
      <c r="AD456" s="1729"/>
      <c r="AE456" s="1729"/>
      <c r="AF456" s="1729"/>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72"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72"/>
      <c r="H457" s="1472"/>
      <c r="I457" s="1472"/>
      <c r="J457" s="1472"/>
      <c r="K457" s="1472"/>
      <c r="L457" s="1472"/>
      <c r="M457" s="1472"/>
      <c r="N457" s="1472"/>
      <c r="O457" s="1472"/>
      <c r="P457" s="1472"/>
      <c r="Q457" s="1472"/>
      <c r="R457" s="1472"/>
      <c r="S457" s="1472"/>
      <c r="T457" s="1472"/>
      <c r="U457" s="1472"/>
      <c r="V457" s="1472"/>
      <c r="W457" s="1472"/>
      <c r="X457" s="1472"/>
      <c r="Y457" s="1472"/>
      <c r="Z457" s="1472"/>
      <c r="AA457" s="1472"/>
      <c r="AB457" s="1472"/>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72"/>
      <c r="G458" s="1472"/>
      <c r="H458" s="1472"/>
      <c r="I458" s="1472"/>
      <c r="J458" s="1472"/>
      <c r="K458" s="1472"/>
      <c r="L458" s="1472"/>
      <c r="M458" s="1472"/>
      <c r="N458" s="1472"/>
      <c r="O458" s="1472"/>
      <c r="P458" s="1472"/>
      <c r="Q458" s="1472"/>
      <c r="R458" s="1472"/>
      <c r="S458" s="1472"/>
      <c r="T458" s="1472"/>
      <c r="U458" s="1472"/>
      <c r="V458" s="1472"/>
      <c r="W458" s="1472"/>
      <c r="X458" s="1472"/>
      <c r="Y458" s="1472"/>
      <c r="Z458" s="1472"/>
      <c r="AA458" s="1472"/>
      <c r="AB458" s="1472"/>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2068</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2069</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2070</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863" t="s">
        <v>2419</v>
      </c>
      <c r="E465" s="1736"/>
      <c r="F465" s="1736"/>
      <c r="G465" s="1736"/>
      <c r="H465" s="1736"/>
      <c r="I465" s="1736"/>
      <c r="J465" s="1736"/>
      <c r="K465" s="1736"/>
      <c r="L465" s="1736"/>
      <c r="M465" s="1736"/>
      <c r="N465" s="1736"/>
      <c r="O465" s="1736"/>
      <c r="P465" s="1736"/>
      <c r="Q465" s="1736"/>
      <c r="R465" s="1736"/>
      <c r="S465" s="1736"/>
      <c r="T465" s="1736"/>
      <c r="U465" s="1736"/>
      <c r="V465" s="1737"/>
      <c r="W465" s="1481">
        <v>35</v>
      </c>
      <c r="X465" s="1482"/>
      <c r="Y465" s="1483"/>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35" t="s">
        <v>703</v>
      </c>
      <c r="E466" s="1736"/>
      <c r="F466" s="1736"/>
      <c r="G466" s="1736"/>
      <c r="H466" s="1736"/>
      <c r="I466" s="1736"/>
      <c r="J466" s="1736"/>
      <c r="K466" s="1736"/>
      <c r="L466" s="1736"/>
      <c r="M466" s="1736"/>
      <c r="N466" s="1736"/>
      <c r="O466" s="1736"/>
      <c r="P466" s="1736"/>
      <c r="Q466" s="1736"/>
      <c r="R466" s="1736"/>
      <c r="S466" s="1736"/>
      <c r="T466" s="1736"/>
      <c r="U466" s="1736"/>
      <c r="V466" s="1737"/>
      <c r="W466" s="1481">
        <v>0</v>
      </c>
      <c r="X466" s="1482"/>
      <c r="Y466" s="1483"/>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35" t="s">
        <v>704</v>
      </c>
      <c r="E467" s="1736"/>
      <c r="F467" s="1736"/>
      <c r="G467" s="1736"/>
      <c r="H467" s="1736"/>
      <c r="I467" s="1736"/>
      <c r="J467" s="1736"/>
      <c r="K467" s="1736"/>
      <c r="L467" s="1736"/>
      <c r="M467" s="1736"/>
      <c r="N467" s="1736"/>
      <c r="O467" s="1736"/>
      <c r="P467" s="1736"/>
      <c r="Q467" s="1736"/>
      <c r="R467" s="1736"/>
      <c r="S467" s="1736"/>
      <c r="T467" s="1736"/>
      <c r="U467" s="1736"/>
      <c r="V467" s="1737"/>
      <c r="W467" s="1481">
        <v>0</v>
      </c>
      <c r="X467" s="1482"/>
      <c r="Y467" s="1483"/>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35" t="s">
        <v>705</v>
      </c>
      <c r="E468" s="1736"/>
      <c r="F468" s="1736"/>
      <c r="G468" s="1736"/>
      <c r="H468" s="1736"/>
      <c r="I468" s="1736"/>
      <c r="J468" s="1736"/>
      <c r="K468" s="1736"/>
      <c r="L468" s="1736"/>
      <c r="M468" s="1736"/>
      <c r="N468" s="1736"/>
      <c r="O468" s="1736"/>
      <c r="P468" s="1736"/>
      <c r="Q468" s="1736"/>
      <c r="R468" s="1736"/>
      <c r="S468" s="1736"/>
      <c r="T468" s="1736"/>
      <c r="U468" s="1736"/>
      <c r="V468" s="1737"/>
      <c r="W468" s="1481">
        <v>0</v>
      </c>
      <c r="X468" s="1482"/>
      <c r="Y468" s="1483"/>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35" t="s">
        <v>894</v>
      </c>
      <c r="E469" s="1736"/>
      <c r="F469" s="1736"/>
      <c r="G469" s="1736"/>
      <c r="H469" s="1736"/>
      <c r="I469" s="1736"/>
      <c r="J469" s="1736"/>
      <c r="K469" s="1736"/>
      <c r="L469" s="1736"/>
      <c r="M469" s="1736"/>
      <c r="N469" s="1736"/>
      <c r="O469" s="1736"/>
      <c r="P469" s="1736"/>
      <c r="Q469" s="1736"/>
      <c r="R469" s="1736"/>
      <c r="S469" s="1736"/>
      <c r="T469" s="1736"/>
      <c r="U469" s="1736"/>
      <c r="V469" s="1737"/>
      <c r="W469" s="1481">
        <v>0</v>
      </c>
      <c r="X469" s="1482"/>
      <c r="Y469" s="1483"/>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35" t="s">
        <v>706</v>
      </c>
      <c r="E470" s="1736"/>
      <c r="F470" s="1736"/>
      <c r="G470" s="1736"/>
      <c r="H470" s="1736"/>
      <c r="I470" s="1736"/>
      <c r="J470" s="1736"/>
      <c r="K470" s="1736"/>
      <c r="L470" s="1736"/>
      <c r="M470" s="1736"/>
      <c r="N470" s="1736"/>
      <c r="O470" s="1736"/>
      <c r="P470" s="1736"/>
      <c r="Q470" s="1736"/>
      <c r="R470" s="1736"/>
      <c r="S470" s="1736"/>
      <c r="T470" s="1736"/>
      <c r="U470" s="1736"/>
      <c r="V470" s="1737"/>
      <c r="W470" s="1481">
        <v>0</v>
      </c>
      <c r="X470" s="1482"/>
      <c r="Y470" s="1483"/>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735" t="s">
        <v>1037</v>
      </c>
      <c r="E471" s="1736"/>
      <c r="F471" s="1736"/>
      <c r="G471" s="1736"/>
      <c r="H471" s="1736"/>
      <c r="I471" s="1736"/>
      <c r="J471" s="1736"/>
      <c r="K471" s="1736"/>
      <c r="L471" s="1736"/>
      <c r="M471" s="1736"/>
      <c r="N471" s="1736"/>
      <c r="O471" s="1736"/>
      <c r="P471" s="1736"/>
      <c r="Q471" s="1736"/>
      <c r="R471" s="1736"/>
      <c r="S471" s="1736"/>
      <c r="T471" s="1736"/>
      <c r="U471" s="1736"/>
      <c r="V471" s="1737"/>
      <c r="W471" s="1481">
        <v>0</v>
      </c>
      <c r="X471" s="1482"/>
      <c r="Y471" s="1483"/>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863" t="s">
        <v>2556</v>
      </c>
      <c r="E472" s="1891"/>
      <c r="F472" s="1891"/>
      <c r="G472" s="1891"/>
      <c r="H472" s="1891"/>
      <c r="I472" s="1891"/>
      <c r="J472" s="1891"/>
      <c r="K472" s="1891"/>
      <c r="L472" s="1891"/>
      <c r="M472" s="1891"/>
      <c r="N472" s="1891"/>
      <c r="O472" s="1891"/>
      <c r="P472" s="1891"/>
      <c r="Q472" s="1891"/>
      <c r="R472" s="1891"/>
      <c r="S472" s="1891"/>
      <c r="T472" s="1891"/>
      <c r="U472" s="1891"/>
      <c r="V472" s="1892"/>
      <c r="W472" s="1481">
        <v>0</v>
      </c>
      <c r="X472" s="1482"/>
      <c r="Y472" s="1483"/>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863" t="s">
        <v>1768</v>
      </c>
      <c r="E473" s="1736"/>
      <c r="F473" s="1736"/>
      <c r="G473" s="1736"/>
      <c r="H473" s="1736"/>
      <c r="I473" s="1736"/>
      <c r="J473" s="1736"/>
      <c r="K473" s="1736"/>
      <c r="L473" s="1736"/>
      <c r="M473" s="1736"/>
      <c r="N473" s="1736"/>
      <c r="O473" s="1736"/>
      <c r="P473" s="1736"/>
      <c r="Q473" s="1736"/>
      <c r="R473" s="1736"/>
      <c r="S473" s="1736"/>
      <c r="T473" s="1736"/>
      <c r="U473" s="1736"/>
      <c r="V473" s="1737"/>
      <c r="W473" s="1481">
        <v>3</v>
      </c>
      <c r="X473" s="1482"/>
      <c r="Y473" s="1483"/>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860"/>
      <c r="H474" s="1861"/>
      <c r="I474" s="1861"/>
      <c r="J474" s="1861"/>
      <c r="K474" s="1861"/>
      <c r="L474" s="1861"/>
      <c r="M474" s="1861"/>
      <c r="N474" s="1861"/>
      <c r="O474" s="1861"/>
      <c r="P474" s="1861"/>
      <c r="Q474" s="1861"/>
      <c r="R474" s="1861"/>
      <c r="S474" s="1861"/>
      <c r="T474" s="1861"/>
      <c r="U474" s="1861"/>
      <c r="V474" s="1862"/>
      <c r="W474" s="1481">
        <v>0</v>
      </c>
      <c r="X474" s="1482"/>
      <c r="Y474" s="1483"/>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895</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t="s">
        <v>2734</v>
      </c>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t="s">
        <v>2735</v>
      </c>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438" t="s">
        <v>820</v>
      </c>
      <c r="B480" s="1438"/>
      <c r="C480" s="1438"/>
      <c r="D480" s="1438"/>
      <c r="E480" s="1438"/>
      <c r="F480" s="1438"/>
      <c r="G480" s="1438"/>
      <c r="H480" s="1438"/>
      <c r="I480" s="1438"/>
      <c r="J480" s="1438"/>
      <c r="K480" s="1438"/>
      <c r="L480" s="1438"/>
      <c r="M480" s="1438"/>
      <c r="N480" s="1438"/>
      <c r="O480" s="1438"/>
      <c r="P480" s="1438"/>
      <c r="Q480" s="1438"/>
      <c r="R480" s="1438"/>
      <c r="S480" s="1438"/>
      <c r="T480" s="1438"/>
      <c r="U480" s="1438"/>
      <c r="V480" s="1438"/>
      <c r="W480" s="1438"/>
      <c r="X480" s="1438"/>
      <c r="Y480" s="1438"/>
      <c r="Z480" s="1438"/>
      <c r="AA480" s="1438"/>
      <c r="AB480" s="1438"/>
      <c r="AC480" s="1438"/>
      <c r="AD480" s="1438"/>
      <c r="AE480" s="1438"/>
      <c r="AF480" s="1438"/>
      <c r="AG480" s="1438"/>
      <c r="AH480" s="1438"/>
      <c r="AI480" s="1438"/>
      <c r="AJ480" s="1438"/>
      <c r="AK480" s="1438"/>
      <c r="AL480" s="1438"/>
      <c r="AM480" s="1438"/>
      <c r="AN480" s="1438"/>
      <c r="AO480" s="1438"/>
      <c r="AP480" s="1438"/>
      <c r="AQ480" s="1438"/>
      <c r="AR480" s="1438"/>
      <c r="AS480" s="1438"/>
      <c r="AT480" s="1438"/>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438"/>
      <c r="B481" s="1438"/>
      <c r="C481" s="1438"/>
      <c r="D481" s="1438"/>
      <c r="E481" s="1438"/>
      <c r="F481" s="1438"/>
      <c r="G481" s="1438"/>
      <c r="H481" s="1438"/>
      <c r="I481" s="1438"/>
      <c r="J481" s="1438"/>
      <c r="K481" s="1438"/>
      <c r="L481" s="1438"/>
      <c r="M481" s="1438"/>
      <c r="N481" s="1438"/>
      <c r="O481" s="1438"/>
      <c r="P481" s="1438"/>
      <c r="Q481" s="1438"/>
      <c r="R481" s="1438"/>
      <c r="S481" s="1438"/>
      <c r="T481" s="1438"/>
      <c r="U481" s="1438"/>
      <c r="V481" s="1438"/>
      <c r="W481" s="1438"/>
      <c r="X481" s="1438"/>
      <c r="Y481" s="1438"/>
      <c r="Z481" s="1438"/>
      <c r="AA481" s="1438"/>
      <c r="AB481" s="1438"/>
      <c r="AC481" s="1438"/>
      <c r="AD481" s="1438"/>
      <c r="AE481" s="1438"/>
      <c r="AF481" s="1438"/>
      <c r="AG481" s="1438"/>
      <c r="AH481" s="1438"/>
      <c r="AI481" s="1438"/>
      <c r="AJ481" s="1438"/>
      <c r="AK481" s="1438"/>
      <c r="AL481" s="1438"/>
      <c r="AM481" s="1438"/>
      <c r="AN481" s="1438"/>
      <c r="AO481" s="1438"/>
      <c r="AP481" s="1438"/>
      <c r="AQ481" s="1438"/>
      <c r="AR481" s="1438"/>
      <c r="AS481" s="1438"/>
      <c r="AT481" s="1438"/>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851" t="s">
        <v>394</v>
      </c>
      <c r="R485" s="1852"/>
      <c r="S485" s="1852"/>
      <c r="T485" s="1852"/>
      <c r="U485" s="1852"/>
      <c r="V485" s="1852"/>
      <c r="W485" s="1852"/>
      <c r="X485" s="1852"/>
      <c r="Y485" s="1852"/>
      <c r="Z485" s="1852"/>
      <c r="AA485" s="1852"/>
      <c r="AB485" s="1852"/>
      <c r="AC485" s="1852"/>
      <c r="AD485" s="1852"/>
      <c r="AE485" s="1852"/>
      <c r="AF485" s="1852"/>
      <c r="AG485" s="1852"/>
      <c r="AH485" s="1852"/>
      <c r="AI485" s="1852"/>
      <c r="AJ485" s="1852"/>
      <c r="AK485" s="1853"/>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731" t="s">
        <v>2736</v>
      </c>
      <c r="R486" s="1514"/>
      <c r="S486" s="1514"/>
      <c r="T486" s="1514"/>
      <c r="U486" s="1514"/>
      <c r="V486" s="1514"/>
      <c r="W486" s="1514"/>
      <c r="X486" s="1514"/>
      <c r="Y486" s="1514"/>
      <c r="Z486" s="1514"/>
      <c r="AA486" s="1514"/>
      <c r="AB486" s="1514"/>
      <c r="AC486" s="1514"/>
      <c r="AD486" s="1514"/>
      <c r="AE486" s="1514"/>
      <c r="AF486" s="1514"/>
      <c r="AG486" s="1514"/>
      <c r="AH486" s="1514"/>
      <c r="AI486" s="1514"/>
      <c r="AJ486" s="1514"/>
      <c r="AK486" s="1732"/>
      <c r="AZ486" s="3"/>
      <c r="BB486" s="3"/>
      <c r="BC486" s="3"/>
      <c r="BD486" s="3"/>
      <c r="BE486" s="3"/>
      <c r="BF486" s="3"/>
      <c r="BG486" s="3"/>
      <c r="BH486" s="3"/>
      <c r="BI486" s="3"/>
      <c r="BJ486" s="3"/>
      <c r="BK486" s="3"/>
      <c r="BL486" s="3"/>
      <c r="BM486" s="3"/>
      <c r="BN486" s="3"/>
      <c r="BO486" s="3"/>
      <c r="BP486" s="3"/>
      <c r="BQ486" s="3"/>
      <c r="BR486" s="3"/>
      <c r="BS486" s="3"/>
      <c r="BT486" s="3"/>
      <c r="BU486" s="3"/>
      <c r="BV486" s="207" t="s">
        <v>2509</v>
      </c>
      <c r="BW486" s="208"/>
      <c r="BX486" s="208"/>
      <c r="BY486" s="208"/>
      <c r="BZ486" s="208"/>
      <c r="CA486" s="208"/>
      <c r="CB486" s="208"/>
      <c r="CC486" s="3"/>
      <c r="CD486" s="207" t="s">
        <v>2508</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731" t="s">
        <v>2737</v>
      </c>
      <c r="R487" s="1514"/>
      <c r="S487" s="1514"/>
      <c r="T487" s="1514"/>
      <c r="U487" s="1514"/>
      <c r="V487" s="1514"/>
      <c r="W487" s="1514"/>
      <c r="X487" s="1514"/>
      <c r="Y487" s="1514"/>
      <c r="Z487" s="1514"/>
      <c r="AA487" s="1514"/>
      <c r="AB487" s="1514"/>
      <c r="AC487" s="1514"/>
      <c r="AD487" s="1514"/>
      <c r="AE487" s="1514"/>
      <c r="AF487" s="1514"/>
      <c r="AG487" s="1514"/>
      <c r="AH487" s="1514"/>
      <c r="AI487" s="1514"/>
      <c r="AJ487" s="1514"/>
      <c r="AK487" s="1732"/>
      <c r="AZ487" s="3"/>
      <c r="BB487" s="3"/>
      <c r="BC487" s="3"/>
      <c r="BD487" s="3"/>
      <c r="BE487" s="3"/>
      <c r="BF487" s="3"/>
      <c r="BG487" s="3"/>
      <c r="BH487" s="3"/>
      <c r="BI487" s="3"/>
      <c r="BJ487" s="3"/>
      <c r="BK487" s="3"/>
      <c r="BL487" s="3"/>
      <c r="BM487" s="3"/>
      <c r="BN487" s="3"/>
      <c r="BO487" s="3"/>
      <c r="BP487" s="3"/>
      <c r="BQ487" s="3"/>
      <c r="BR487" s="3"/>
      <c r="BS487" s="3"/>
      <c r="BT487" s="3"/>
      <c r="BU487" s="3"/>
      <c r="BV487" s="308" t="s">
        <v>656</v>
      </c>
      <c r="BW487" s="208"/>
      <c r="BX487" s="208"/>
      <c r="BY487" s="208"/>
      <c r="BZ487" s="208"/>
      <c r="CA487" s="208"/>
      <c r="CB487" s="208"/>
      <c r="CC487" s="3"/>
      <c r="CD487" s="308" t="s">
        <v>2234</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731" t="s">
        <v>2738</v>
      </c>
      <c r="R488" s="1514"/>
      <c r="S488" s="1514"/>
      <c r="T488" s="1514"/>
      <c r="U488" s="1514"/>
      <c r="V488" s="1514"/>
      <c r="W488" s="1514"/>
      <c r="X488" s="1514"/>
      <c r="Y488" s="1514"/>
      <c r="Z488" s="1514"/>
      <c r="AA488" s="1514"/>
      <c r="AB488" s="1514"/>
      <c r="AC488" s="1514"/>
      <c r="AD488" s="1514"/>
      <c r="AE488" s="1514"/>
      <c r="AF488" s="1514"/>
      <c r="AG488" s="1514"/>
      <c r="AH488" s="1514"/>
      <c r="AI488" s="1514"/>
      <c r="AJ488" s="1514"/>
      <c r="AK488" s="1732"/>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866" t="s">
        <v>398</v>
      </c>
      <c r="C489" s="1867"/>
      <c r="D489" s="1867"/>
      <c r="E489" s="1867"/>
      <c r="F489" s="1867"/>
      <c r="G489" s="1867"/>
      <c r="H489" s="1867"/>
      <c r="I489" s="1867"/>
      <c r="J489" s="1867"/>
      <c r="K489" s="1867"/>
      <c r="L489" s="1867"/>
      <c r="M489" s="1867"/>
      <c r="N489" s="1867"/>
      <c r="O489" s="1867"/>
      <c r="P489" s="1868"/>
      <c r="Q489" s="1872" t="s">
        <v>678</v>
      </c>
      <c r="R489" s="1873"/>
      <c r="S489" s="1739" t="s">
        <v>166</v>
      </c>
      <c r="T489" s="1740"/>
      <c r="U489" s="1740"/>
      <c r="V489" s="1740"/>
      <c r="W489" s="1740"/>
      <c r="X489" s="1740"/>
      <c r="Y489" s="1740"/>
      <c r="Z489" s="1740"/>
      <c r="AA489" s="1740"/>
      <c r="AB489" s="1740"/>
      <c r="AC489" s="1740"/>
      <c r="AD489" s="1740"/>
      <c r="AE489" s="1740"/>
      <c r="AF489" s="1740"/>
      <c r="AG489" s="1740"/>
      <c r="AH489" s="1740"/>
      <c r="AI489" s="1740"/>
      <c r="AJ489" s="1740"/>
      <c r="AK489" s="1741"/>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657</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869"/>
      <c r="C490" s="1870"/>
      <c r="D490" s="1870"/>
      <c r="E490" s="1870"/>
      <c r="F490" s="1870"/>
      <c r="G490" s="1870"/>
      <c r="H490" s="1870"/>
      <c r="I490" s="1870"/>
      <c r="J490" s="1870"/>
      <c r="K490" s="1870"/>
      <c r="L490" s="1870"/>
      <c r="M490" s="1870"/>
      <c r="N490" s="1870"/>
      <c r="O490" s="1870"/>
      <c r="P490" s="1871"/>
      <c r="Q490" s="1874"/>
      <c r="R490" s="1875"/>
      <c r="S490" s="1742"/>
      <c r="T490" s="1743"/>
      <c r="U490" s="1743"/>
      <c r="V490" s="1743"/>
      <c r="W490" s="1743"/>
      <c r="X490" s="1743"/>
      <c r="Y490" s="1743"/>
      <c r="Z490" s="1743"/>
      <c r="AA490" s="1743"/>
      <c r="AB490" s="1743"/>
      <c r="AC490" s="1743"/>
      <c r="AD490" s="1743"/>
      <c r="AE490" s="1743"/>
      <c r="AF490" s="1743"/>
      <c r="AG490" s="1743"/>
      <c r="AH490" s="1743"/>
      <c r="AI490" s="1743"/>
      <c r="AJ490" s="1743"/>
      <c r="AK490" s="1744"/>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485</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1786</v>
      </c>
      <c r="C491" s="907"/>
      <c r="D491" s="907"/>
      <c r="E491" s="907"/>
      <c r="F491" s="907"/>
      <c r="G491" s="907"/>
      <c r="H491" s="907"/>
      <c r="I491" s="907"/>
      <c r="J491" s="907"/>
      <c r="K491" s="907"/>
      <c r="L491" s="907"/>
      <c r="M491" s="907"/>
      <c r="N491" s="907"/>
      <c r="O491" s="907"/>
      <c r="P491" s="907"/>
      <c r="Q491" s="1883" t="s">
        <v>678</v>
      </c>
      <c r="R491" s="1884"/>
      <c r="S491" s="1884"/>
      <c r="T491" s="1884"/>
      <c r="U491" s="1884"/>
      <c r="V491" s="1884"/>
      <c r="W491" s="1884"/>
      <c r="X491" s="1884"/>
      <c r="Y491" s="1884"/>
      <c r="Z491" s="1884"/>
      <c r="AA491" s="1884"/>
      <c r="AB491" s="1884"/>
      <c r="AC491" s="1884"/>
      <c r="AD491" s="1884"/>
      <c r="AE491" s="1884"/>
      <c r="AF491" s="1884"/>
      <c r="AG491" s="1884"/>
      <c r="AH491" s="1884"/>
      <c r="AI491" s="1884"/>
      <c r="AJ491" s="1884"/>
      <c r="AK491" s="1885"/>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486</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731" t="s">
        <v>600</v>
      </c>
      <c r="R492" s="1514"/>
      <c r="S492" s="1514"/>
      <c r="T492" s="1514"/>
      <c r="U492" s="1514"/>
      <c r="V492" s="1514"/>
      <c r="W492" s="1514"/>
      <c r="X492" s="1514"/>
      <c r="Y492" s="1514"/>
      <c r="Z492" s="1514"/>
      <c r="AA492" s="1514"/>
      <c r="AB492" s="1514"/>
      <c r="AC492" s="1514"/>
      <c r="AD492" s="1514"/>
      <c r="AE492" s="1514"/>
      <c r="AF492" s="1514"/>
      <c r="AG492" s="1514"/>
      <c r="AH492" s="1514"/>
      <c r="AI492" s="1514"/>
      <c r="AJ492" s="1514"/>
      <c r="AK492" s="1732"/>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487</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731" t="s">
        <v>600</v>
      </c>
      <c r="R493" s="1514"/>
      <c r="S493" s="1514"/>
      <c r="T493" s="1514"/>
      <c r="U493" s="1514"/>
      <c r="V493" s="1514"/>
      <c r="W493" s="1514"/>
      <c r="X493" s="1514"/>
      <c r="Y493" s="1514"/>
      <c r="Z493" s="1514"/>
      <c r="AA493" s="1514"/>
      <c r="AB493" s="1514"/>
      <c r="AC493" s="1514"/>
      <c r="AD493" s="1514"/>
      <c r="AE493" s="1514"/>
      <c r="AF493" s="1514"/>
      <c r="AG493" s="1514"/>
      <c r="AH493" s="1514"/>
      <c r="AI493" s="1514"/>
      <c r="AJ493" s="1514"/>
      <c r="AK493" s="1732"/>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488</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1783</v>
      </c>
      <c r="C494" s="5"/>
      <c r="D494" s="5"/>
      <c r="E494" s="5"/>
      <c r="F494" s="5"/>
      <c r="G494" s="5"/>
      <c r="H494" s="5"/>
      <c r="I494" s="5"/>
      <c r="J494" s="5"/>
      <c r="K494" s="5"/>
      <c r="L494" s="5"/>
      <c r="M494" s="5"/>
      <c r="N494" s="5"/>
      <c r="O494" s="5"/>
      <c r="P494" s="5"/>
      <c r="Q494" s="1731">
        <v>52</v>
      </c>
      <c r="R494" s="1514"/>
      <c r="S494" s="1514"/>
      <c r="T494" s="1514"/>
      <c r="U494" s="1514"/>
      <c r="V494" s="1514"/>
      <c r="W494" s="1514"/>
      <c r="X494" s="1514"/>
      <c r="Y494" s="1514"/>
      <c r="Z494" s="1514"/>
      <c r="AA494" s="1514"/>
      <c r="AB494" s="1514"/>
      <c r="AC494" s="1514"/>
      <c r="AD494" s="1514"/>
      <c r="AE494" s="1514"/>
      <c r="AF494" s="1514"/>
      <c r="AG494" s="1514"/>
      <c r="AH494" s="1514"/>
      <c r="AI494" s="1514"/>
      <c r="AJ494" s="1514"/>
      <c r="AK494" s="1732"/>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489</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1784</v>
      </c>
      <c r="C495" s="5"/>
      <c r="D495" s="5"/>
      <c r="E495" s="5"/>
      <c r="F495" s="5"/>
      <c r="G495" s="5"/>
      <c r="H495" s="5"/>
      <c r="I495" s="5"/>
      <c r="J495" s="5"/>
      <c r="K495" s="5"/>
      <c r="L495" s="5"/>
      <c r="M495" s="1524">
        <v>52</v>
      </c>
      <c r="N495" s="1525"/>
      <c r="O495" s="1525"/>
      <c r="P495" s="1526"/>
      <c r="Q495" s="121" t="s">
        <v>1785</v>
      </c>
      <c r="R495" s="5"/>
      <c r="S495" s="5"/>
      <c r="T495" s="5"/>
      <c r="U495" s="5"/>
      <c r="V495" s="5"/>
      <c r="W495" s="5"/>
      <c r="X495" s="5"/>
      <c r="Y495" s="5"/>
      <c r="Z495" s="5"/>
      <c r="AA495" s="5"/>
      <c r="AB495" s="5"/>
      <c r="AC495" s="5"/>
      <c r="AD495" s="5"/>
      <c r="AE495" s="5"/>
      <c r="AF495" s="5"/>
      <c r="AG495" s="5"/>
      <c r="AH495" s="1524">
        <v>0</v>
      </c>
      <c r="AI495" s="1525"/>
      <c r="AJ495" s="1525"/>
      <c r="AK495" s="1526"/>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490</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491</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492</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493</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851" t="s">
        <v>402</v>
      </c>
      <c r="AD499" s="1852"/>
      <c r="AE499" s="1852"/>
      <c r="AF499" s="1852"/>
      <c r="AG499" s="1852"/>
      <c r="AH499" s="1852"/>
      <c r="AI499" s="1852"/>
      <c r="AJ499" s="1852"/>
      <c r="AK499" s="1853"/>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494</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851" t="s">
        <v>403</v>
      </c>
      <c r="AD500" s="1852"/>
      <c r="AE500" s="1852"/>
      <c r="AF500" s="1852"/>
      <c r="AG500" s="50" t="s">
        <v>404</v>
      </c>
      <c r="AH500" s="1852" t="s">
        <v>405</v>
      </c>
      <c r="AI500" s="1852"/>
      <c r="AJ500" s="1852"/>
      <c r="AK500" s="1853"/>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495</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798" t="s">
        <v>406</v>
      </c>
      <c r="C501" s="1530"/>
      <c r="D501" s="1530"/>
      <c r="E501" s="1530"/>
      <c r="F501" s="1530"/>
      <c r="G501" s="1530"/>
      <c r="H501" s="1531"/>
      <c r="I501" s="42" t="s">
        <v>407</v>
      </c>
      <c r="J501" s="42"/>
      <c r="K501" s="42"/>
      <c r="L501" s="42"/>
      <c r="M501" s="42"/>
      <c r="N501" s="42"/>
      <c r="O501" s="42"/>
      <c r="P501" s="42"/>
      <c r="Q501" s="42"/>
      <c r="R501" s="42"/>
      <c r="S501" s="42"/>
      <c r="T501" s="42"/>
      <c r="U501" s="42"/>
      <c r="V501" s="42"/>
      <c r="W501" s="42"/>
      <c r="AC501" s="1738">
        <v>4</v>
      </c>
      <c r="AD501" s="1702"/>
      <c r="AE501" s="1702"/>
      <c r="AF501" s="1702"/>
      <c r="AG501" s="13" t="s">
        <v>404</v>
      </c>
      <c r="AH501" s="1432">
        <v>2024</v>
      </c>
      <c r="AI501" s="1432"/>
      <c r="AJ501" s="1432"/>
      <c r="AK501" s="1433"/>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496</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799"/>
      <c r="C502" s="1532"/>
      <c r="D502" s="1532"/>
      <c r="E502" s="1532"/>
      <c r="F502" s="1532"/>
      <c r="G502" s="1532"/>
      <c r="H502" s="1533"/>
      <c r="I502" s="48" t="s">
        <v>408</v>
      </c>
      <c r="J502" s="48"/>
      <c r="K502" s="48"/>
      <c r="L502" s="48"/>
      <c r="M502" s="48"/>
      <c r="N502" s="48"/>
      <c r="O502" s="48"/>
      <c r="P502" s="48"/>
      <c r="Q502" s="48"/>
      <c r="R502" s="48"/>
      <c r="S502" s="48"/>
      <c r="T502" s="48"/>
      <c r="U502" s="48"/>
      <c r="V502" s="48"/>
      <c r="W502" s="48"/>
      <c r="X502" s="48"/>
      <c r="Y502" s="48"/>
      <c r="Z502" s="48"/>
      <c r="AA502" s="48"/>
      <c r="AB502" s="48"/>
      <c r="AC502" s="1738">
        <v>11</v>
      </c>
      <c r="AD502" s="1702"/>
      <c r="AE502" s="1702"/>
      <c r="AF502" s="1702"/>
      <c r="AG502" s="38" t="s">
        <v>404</v>
      </c>
      <c r="AH502" s="1432">
        <v>2024</v>
      </c>
      <c r="AI502" s="1432"/>
      <c r="AJ502" s="1432"/>
      <c r="AK502" s="1433"/>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497</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798" t="s">
        <v>409</v>
      </c>
      <c r="C503" s="1530"/>
      <c r="D503" s="1530"/>
      <c r="E503" s="1530"/>
      <c r="F503" s="1530"/>
      <c r="G503" s="1530"/>
      <c r="H503" s="1531"/>
      <c r="I503" s="42" t="s">
        <v>410</v>
      </c>
      <c r="J503" s="42"/>
      <c r="K503" s="42"/>
      <c r="L503" s="42"/>
      <c r="M503" s="42"/>
      <c r="N503" s="42"/>
      <c r="O503" s="42"/>
      <c r="P503" s="42"/>
      <c r="Q503" s="42"/>
      <c r="R503" s="42"/>
      <c r="S503" s="42"/>
      <c r="T503" s="42"/>
      <c r="U503" s="42"/>
      <c r="V503" s="42"/>
      <c r="W503" s="42"/>
      <c r="AC503" s="1738" t="s">
        <v>600</v>
      </c>
      <c r="AD503" s="1702"/>
      <c r="AE503" s="1702"/>
      <c r="AF503" s="1702"/>
      <c r="AG503" s="13" t="s">
        <v>404</v>
      </c>
      <c r="AH503" s="1432"/>
      <c r="AI503" s="1432"/>
      <c r="AJ503" s="1432"/>
      <c r="AK503" s="1433"/>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498</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799"/>
      <c r="C504" s="1532"/>
      <c r="D504" s="1532"/>
      <c r="E504" s="1532"/>
      <c r="F504" s="1532"/>
      <c r="G504" s="1532"/>
      <c r="H504" s="1533"/>
      <c r="I504" t="s">
        <v>411</v>
      </c>
      <c r="AC504" s="1738" t="s">
        <v>600</v>
      </c>
      <c r="AD504" s="1702"/>
      <c r="AE504" s="1702"/>
      <c r="AF504" s="1702"/>
      <c r="AG504" s="13" t="s">
        <v>404</v>
      </c>
      <c r="AH504" s="1432"/>
      <c r="AI504" s="1432"/>
      <c r="AJ504" s="1432"/>
      <c r="AK504" s="1433"/>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499</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799"/>
      <c r="C505" s="1532"/>
      <c r="D505" s="1532"/>
      <c r="E505" s="1532"/>
      <c r="F505" s="1532"/>
      <c r="G505" s="1532"/>
      <c r="H505" s="1533"/>
      <c r="I505" t="s">
        <v>412</v>
      </c>
      <c r="AC505" s="1738">
        <v>5</v>
      </c>
      <c r="AD505" s="1702"/>
      <c r="AE505" s="1702"/>
      <c r="AF505" s="1702"/>
      <c r="AG505" s="13" t="s">
        <v>404</v>
      </c>
      <c r="AH505" s="1432">
        <v>2021</v>
      </c>
      <c r="AI505" s="1432"/>
      <c r="AJ505" s="1432"/>
      <c r="AK505" s="1433"/>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500</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799"/>
      <c r="C506" s="1532"/>
      <c r="D506" s="1532"/>
      <c r="E506" s="1532"/>
      <c r="F506" s="1532"/>
      <c r="G506" s="1532"/>
      <c r="H506" s="1533"/>
      <c r="I506" t="s">
        <v>413</v>
      </c>
      <c r="AC506" s="1738">
        <v>10</v>
      </c>
      <c r="AD506" s="1702"/>
      <c r="AE506" s="1702"/>
      <c r="AF506" s="1702"/>
      <c r="AG506" s="13" t="s">
        <v>404</v>
      </c>
      <c r="AH506" s="1432">
        <v>2024</v>
      </c>
      <c r="AI506" s="1432"/>
      <c r="AJ506" s="1432"/>
      <c r="AK506" s="1433"/>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501</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799"/>
      <c r="C507" s="1532"/>
      <c r="D507" s="1532"/>
      <c r="E507" s="1532"/>
      <c r="F507" s="1532"/>
      <c r="G507" s="1532"/>
      <c r="H507" s="1533"/>
      <c r="I507" s="3" t="s">
        <v>414</v>
      </c>
      <c r="AC507" s="1390">
        <v>10</v>
      </c>
      <c r="AD507" s="1391"/>
      <c r="AE507" s="1391"/>
      <c r="AF507" s="1391"/>
      <c r="AG507" s="13" t="s">
        <v>404</v>
      </c>
      <c r="AH507" s="1432">
        <v>2024</v>
      </c>
      <c r="AI507" s="1432"/>
      <c r="AJ507" s="1432"/>
      <c r="AK507" s="1433"/>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502</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2.95" customHeight="1">
      <c r="B508" s="1799"/>
      <c r="C508" s="1532"/>
      <c r="D508" s="1532"/>
      <c r="E508" s="1532"/>
      <c r="F508" s="1532"/>
      <c r="G508" s="1532"/>
      <c r="H508" s="1533"/>
      <c r="I508" s="931" t="s">
        <v>170</v>
      </c>
      <c r="J508" s="48"/>
      <c r="K508" s="48"/>
      <c r="L508" s="1806" t="s">
        <v>335</v>
      </c>
      <c r="M508" s="1807"/>
      <c r="N508" s="1807"/>
      <c r="O508" s="1807"/>
      <c r="P508" s="1807"/>
      <c r="Q508" s="1807"/>
      <c r="R508" s="1807"/>
      <c r="S508" s="1807"/>
      <c r="T508" s="1807"/>
      <c r="U508" s="1807"/>
      <c r="V508" s="1807"/>
      <c r="W508" s="1807"/>
      <c r="X508" s="1807"/>
      <c r="Y508" s="1807"/>
      <c r="Z508" s="1807"/>
      <c r="AA508" s="1807"/>
      <c r="AB508" s="1864"/>
      <c r="AC508" s="1738" t="s">
        <v>600</v>
      </c>
      <c r="AD508" s="1702"/>
      <c r="AE508" s="1702"/>
      <c r="AF508" s="1702"/>
      <c r="AG508" s="38" t="s">
        <v>404</v>
      </c>
      <c r="AH508" s="1432"/>
      <c r="AI508" s="1432"/>
      <c r="AJ508" s="1432"/>
      <c r="AK508" s="1433"/>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503</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1790</v>
      </c>
      <c r="AC509" s="1858" t="s">
        <v>554</v>
      </c>
      <c r="AD509" s="1858"/>
      <c r="AE509" s="1858"/>
      <c r="AF509" s="1858"/>
      <c r="AG509" s="13"/>
      <c r="AH509" s="1310"/>
      <c r="AI509" s="1310"/>
      <c r="AJ509" s="1310"/>
      <c r="AK509" s="1865"/>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504</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1787</v>
      </c>
      <c r="AC510" s="1390">
        <v>1</v>
      </c>
      <c r="AD510" s="1391"/>
      <c r="AE510" s="1391"/>
      <c r="AF510" s="1392"/>
      <c r="AG510" s="13"/>
      <c r="AH510" s="1310"/>
      <c r="AI510" s="1310"/>
      <c r="AJ510" s="1310"/>
      <c r="AK510" s="1865"/>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505</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1788</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1789</v>
      </c>
      <c r="J512" s="48"/>
      <c r="K512" s="48"/>
      <c r="L512" s="48"/>
      <c r="M512" s="48"/>
      <c r="N512" s="48"/>
      <c r="O512" s="48"/>
      <c r="P512" s="48"/>
      <c r="Q512" s="48"/>
      <c r="R512" s="48"/>
      <c r="S512" s="48"/>
      <c r="T512" s="48"/>
      <c r="U512" s="48"/>
      <c r="V512" s="48"/>
      <c r="W512" s="48"/>
      <c r="X512" s="48"/>
      <c r="Y512" s="48"/>
      <c r="Z512" s="48"/>
      <c r="AA512" s="48"/>
      <c r="AB512" s="48"/>
      <c r="AC512" s="1886">
        <v>0.7</v>
      </c>
      <c r="AD512" s="1887"/>
      <c r="AE512" s="1887"/>
      <c r="AF512" s="1888"/>
      <c r="AG512" s="38"/>
      <c r="AH512" s="1889"/>
      <c r="AI512" s="1889"/>
      <c r="AJ512" s="1889"/>
      <c r="AK512" s="1890"/>
      <c r="AZ512" s="3"/>
      <c r="BA512" s="3"/>
      <c r="BB512" s="3"/>
      <c r="BC512" s="3"/>
      <c r="BD512" s="3"/>
      <c r="BE512" s="3"/>
      <c r="BF512" s="3"/>
      <c r="BG512" s="3"/>
      <c r="BH512" s="3"/>
      <c r="BI512" s="3"/>
      <c r="BJ512" s="3"/>
      <c r="BK512" s="3"/>
      <c r="BL512" s="3"/>
      <c r="BM512" s="3"/>
      <c r="BN512" s="3" t="s">
        <v>1291</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876" t="s">
        <v>403</v>
      </c>
      <c r="AD513" s="1437"/>
      <c r="AE513" s="1437"/>
      <c r="AF513" s="1437"/>
      <c r="AG513" s="38" t="s">
        <v>404</v>
      </c>
      <c r="AH513" s="1437" t="s">
        <v>405</v>
      </c>
      <c r="AI513" s="1437"/>
      <c r="AJ513" s="1437"/>
      <c r="AK513" s="1877"/>
      <c r="AZ513" s="3"/>
      <c r="BA513" s="3"/>
      <c r="BB513" s="3"/>
      <c r="BC513" s="3"/>
      <c r="BD513" s="3"/>
      <c r="BE513" s="3"/>
      <c r="BF513" s="3"/>
      <c r="BG513" s="3"/>
      <c r="BH513" s="3"/>
      <c r="BI513" s="3"/>
      <c r="BJ513" s="3"/>
      <c r="BK513" s="3"/>
      <c r="BL513" s="3"/>
      <c r="BM513" s="3"/>
      <c r="BN513" s="3" t="s">
        <v>2425</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2.95" customHeight="1">
      <c r="B514" s="1798" t="s">
        <v>415</v>
      </c>
      <c r="C514" s="1530"/>
      <c r="D514" s="1530"/>
      <c r="E514" s="1530"/>
      <c r="F514" s="1530"/>
      <c r="G514" s="1530"/>
      <c r="H514" s="1531"/>
      <c r="I514" s="42" t="s">
        <v>416</v>
      </c>
      <c r="J514" s="42"/>
      <c r="K514" s="42"/>
      <c r="L514" s="42"/>
      <c r="M514" s="42"/>
      <c r="N514" s="42"/>
      <c r="O514" s="42"/>
      <c r="P514" s="42"/>
      <c r="Q514" s="42"/>
      <c r="R514" s="42"/>
      <c r="S514" s="42"/>
      <c r="T514" s="42"/>
      <c r="U514" s="42"/>
      <c r="V514" s="42"/>
      <c r="W514" s="42"/>
      <c r="AC514" s="1738">
        <v>3</v>
      </c>
      <c r="AD514" s="1702"/>
      <c r="AE514" s="1702"/>
      <c r="AF514" s="1702"/>
      <c r="AG514" s="13" t="s">
        <v>404</v>
      </c>
      <c r="AH514" s="1432">
        <v>2024</v>
      </c>
      <c r="AI514" s="1432"/>
      <c r="AJ514" s="1432"/>
      <c r="AK514" s="1433"/>
      <c r="AZ514" s="3"/>
      <c r="BA514" s="3"/>
      <c r="BB514" s="3"/>
      <c r="BC514" s="3"/>
      <c r="BD514" s="3"/>
      <c r="BE514" s="3"/>
      <c r="BF514" s="3"/>
      <c r="BG514" s="3"/>
      <c r="BH514" s="3"/>
      <c r="BI514" s="3"/>
      <c r="BJ514" s="3"/>
      <c r="BK514" s="3"/>
      <c r="BL514" s="3"/>
      <c r="BM514" s="3"/>
      <c r="BN514" s="3" t="s">
        <v>2426</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2.95" customHeight="1">
      <c r="B515" s="1799"/>
      <c r="C515" s="1532"/>
      <c r="D515" s="1532"/>
      <c r="E515" s="1532"/>
      <c r="F515" s="1532"/>
      <c r="G515" s="1532"/>
      <c r="H515" s="1533"/>
      <c r="I515" t="s">
        <v>417</v>
      </c>
      <c r="AC515" s="1738">
        <v>4</v>
      </c>
      <c r="AD515" s="1702"/>
      <c r="AE515" s="1702"/>
      <c r="AF515" s="1702"/>
      <c r="AG515" s="13" t="s">
        <v>404</v>
      </c>
      <c r="AH515" s="1432">
        <v>2024</v>
      </c>
      <c r="AI515" s="1432"/>
      <c r="AJ515" s="1432"/>
      <c r="AK515" s="1433"/>
      <c r="AZ515" s="3"/>
      <c r="BA515" s="3"/>
      <c r="BB515" s="3"/>
      <c r="BC515" s="3"/>
      <c r="BD515" s="3"/>
      <c r="BE515" s="3"/>
      <c r="BF515" s="3"/>
      <c r="BG515" s="3"/>
      <c r="BH515" s="3"/>
      <c r="BI515" s="3"/>
      <c r="BJ515" s="3"/>
      <c r="BK515" s="3"/>
      <c r="BL515" s="3"/>
      <c r="BM515" s="3"/>
      <c r="BN515" s="3" t="s">
        <v>2427</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2.95" customHeight="1">
      <c r="B516" s="1799"/>
      <c r="C516" s="1532"/>
      <c r="D516" s="1532"/>
      <c r="E516" s="1532"/>
      <c r="F516" s="1532"/>
      <c r="G516" s="1532"/>
      <c r="H516" s="1533"/>
      <c r="I516" s="48" t="s">
        <v>418</v>
      </c>
      <c r="J516" s="48"/>
      <c r="K516" s="48"/>
      <c r="L516" s="48"/>
      <c r="M516" s="48"/>
      <c r="N516" s="48"/>
      <c r="O516" s="48"/>
      <c r="P516" s="48"/>
      <c r="Q516" s="48"/>
      <c r="R516" s="48"/>
      <c r="S516" s="48"/>
      <c r="T516" s="48"/>
      <c r="U516" s="48"/>
      <c r="V516" s="48"/>
      <c r="W516" s="48"/>
      <c r="X516" s="48"/>
      <c r="Y516" s="48"/>
      <c r="Z516" s="48"/>
      <c r="AA516" s="48"/>
      <c r="AB516" s="48"/>
      <c r="AC516" s="1738">
        <v>11</v>
      </c>
      <c r="AD516" s="1702"/>
      <c r="AE516" s="1702"/>
      <c r="AF516" s="1702"/>
      <c r="AG516" s="38" t="s">
        <v>404</v>
      </c>
      <c r="AH516" s="1432">
        <v>2024</v>
      </c>
      <c r="AI516" s="1432"/>
      <c r="AJ516" s="1432"/>
      <c r="AK516" s="1433"/>
      <c r="AZ516" s="3"/>
      <c r="BA516" s="3"/>
      <c r="BB516" s="3"/>
      <c r="BC516" s="3"/>
      <c r="BD516" s="3"/>
      <c r="BE516" s="3"/>
      <c r="BF516" s="3"/>
      <c r="BG516" s="3"/>
      <c r="BH516" s="3"/>
      <c r="BI516" s="3"/>
      <c r="BJ516" s="3"/>
      <c r="BK516" s="3"/>
      <c r="BL516" s="3"/>
      <c r="BM516" s="3"/>
      <c r="BN516" s="3" t="s">
        <v>2428</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2.95" customHeight="1">
      <c r="B517" s="1798" t="s">
        <v>419</v>
      </c>
      <c r="C517" s="1530"/>
      <c r="D517" s="1530"/>
      <c r="E517" s="1530"/>
      <c r="F517" s="1530"/>
      <c r="G517" s="1530"/>
      <c r="H517" s="1531"/>
      <c r="I517" s="42" t="s">
        <v>416</v>
      </c>
      <c r="J517" s="42"/>
      <c r="K517" s="42"/>
      <c r="L517" s="42"/>
      <c r="M517" s="42"/>
      <c r="N517" s="42"/>
      <c r="O517" s="42"/>
      <c r="P517" s="42"/>
      <c r="Q517" s="42"/>
      <c r="R517" s="42"/>
      <c r="S517" s="42"/>
      <c r="T517" s="42"/>
      <c r="U517" s="42"/>
      <c r="V517" s="42"/>
      <c r="W517" s="42"/>
      <c r="X517" s="42"/>
      <c r="Y517" s="42"/>
      <c r="Z517" s="42"/>
      <c r="AA517" s="42"/>
      <c r="AB517" s="42"/>
      <c r="AC517" s="1390">
        <v>3</v>
      </c>
      <c r="AD517" s="1391"/>
      <c r="AE517" s="1391"/>
      <c r="AF517" s="1391"/>
      <c r="AG517" s="129" t="s">
        <v>404</v>
      </c>
      <c r="AH517" s="1432">
        <v>2024</v>
      </c>
      <c r="AI517" s="1432"/>
      <c r="AJ517" s="1432"/>
      <c r="AK517" s="1433"/>
      <c r="AZ517" s="3"/>
      <c r="BB517" s="3"/>
      <c r="BC517" s="3"/>
      <c r="BD517" s="3"/>
      <c r="BE517" s="3"/>
      <c r="BF517" s="3"/>
      <c r="BG517" s="3"/>
      <c r="BH517" s="3"/>
      <c r="BI517" s="3"/>
      <c r="BJ517" s="3"/>
      <c r="BK517" s="3"/>
      <c r="BL517" s="3"/>
      <c r="BM517" s="3"/>
      <c r="BN517" s="3" t="s">
        <v>2429</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2.95" customHeight="1">
      <c r="B518" s="1799"/>
      <c r="C518" s="1532"/>
      <c r="D518" s="1532"/>
      <c r="E518" s="1532"/>
      <c r="F518" s="1532"/>
      <c r="G518" s="1532"/>
      <c r="H518" s="1533"/>
      <c r="I518" t="s">
        <v>417</v>
      </c>
      <c r="AC518" s="1738">
        <v>4</v>
      </c>
      <c r="AD518" s="1702"/>
      <c r="AE518" s="1702"/>
      <c r="AF518" s="1702"/>
      <c r="AG518" s="13" t="s">
        <v>404</v>
      </c>
      <c r="AH518" s="1432">
        <v>2024</v>
      </c>
      <c r="AI518" s="1432"/>
      <c r="AJ518" s="1432"/>
      <c r="AK518" s="1433"/>
      <c r="BB518" s="3"/>
      <c r="BC518" s="3"/>
      <c r="BD518" s="3"/>
      <c r="BE518" s="3"/>
      <c r="BF518" s="3"/>
      <c r="BG518" s="3"/>
      <c r="BH518" s="3"/>
      <c r="BI518" s="3"/>
      <c r="BJ518" s="3"/>
      <c r="BK518" s="3"/>
      <c r="BL518" s="3"/>
      <c r="BM518" s="3"/>
      <c r="BN518" s="3" t="s">
        <v>2430</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2.95" customHeight="1">
      <c r="B519" s="1800"/>
      <c r="C519" s="1534"/>
      <c r="D519" s="1534"/>
      <c r="E519" s="1534"/>
      <c r="F519" s="1534"/>
      <c r="G519" s="1534"/>
      <c r="H519" s="1535"/>
      <c r="I519" s="48" t="s">
        <v>418</v>
      </c>
      <c r="J519" s="48"/>
      <c r="K519" s="48"/>
      <c r="L519" s="48"/>
      <c r="M519" s="48"/>
      <c r="N519" s="48"/>
      <c r="O519" s="48"/>
      <c r="P519" s="48"/>
      <c r="Q519" s="48"/>
      <c r="R519" s="48"/>
      <c r="S519" s="48"/>
      <c r="T519" s="48"/>
      <c r="U519" s="48"/>
      <c r="V519" s="48"/>
      <c r="W519" s="48"/>
      <c r="X519" s="48"/>
      <c r="Y519" s="48"/>
      <c r="Z519" s="48"/>
      <c r="AA519" s="48"/>
      <c r="AB519" s="48"/>
      <c r="AC519" s="1738">
        <v>11</v>
      </c>
      <c r="AD519" s="1702"/>
      <c r="AE519" s="1702"/>
      <c r="AF519" s="1702"/>
      <c r="AG519" s="38" t="s">
        <v>404</v>
      </c>
      <c r="AH519" s="1432">
        <v>2024</v>
      </c>
      <c r="AI519" s="1432"/>
      <c r="AJ519" s="1432"/>
      <c r="AK519" s="1433"/>
      <c r="BB519" s="3"/>
      <c r="BC519" s="3"/>
      <c r="BD519" s="3"/>
      <c r="BE519" s="3"/>
      <c r="BF519" s="3"/>
      <c r="BG519" s="3"/>
      <c r="BH519" s="3"/>
      <c r="BI519" s="3"/>
      <c r="BJ519" s="3"/>
      <c r="BK519" s="3"/>
      <c r="BL519" s="3"/>
      <c r="BM519" s="3"/>
      <c r="BN519" s="3" t="s">
        <v>2431</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2.95" customHeight="1">
      <c r="B520" s="1798" t="s">
        <v>420</v>
      </c>
      <c r="C520" s="1530"/>
      <c r="D520" s="1530"/>
      <c r="E520" s="1530"/>
      <c r="F520" s="1530"/>
      <c r="G520" s="1530"/>
      <c r="H520" s="1531"/>
      <c r="I520" s="41" t="s">
        <v>421</v>
      </c>
      <c r="J520" s="42"/>
      <c r="K520" s="42"/>
      <c r="L520" s="42"/>
      <c r="M520" s="42"/>
      <c r="N520" s="42"/>
      <c r="O520" s="1806" t="s">
        <v>2739</v>
      </c>
      <c r="P520" s="1807"/>
      <c r="Q520" s="1807"/>
      <c r="R520" s="1807"/>
      <c r="S520" s="1807"/>
      <c r="T520" s="1807"/>
      <c r="U520" s="1807"/>
      <c r="V520" s="1807"/>
      <c r="W520" s="1807"/>
      <c r="X520" s="1807"/>
      <c r="Y520" s="1807"/>
      <c r="Z520" s="1807"/>
      <c r="AA520" s="1807"/>
      <c r="AB520" s="58"/>
      <c r="AC520" s="1390" t="s">
        <v>600</v>
      </c>
      <c r="AD520" s="1391"/>
      <c r="AE520" s="1391"/>
      <c r="AF520" s="1391"/>
      <c r="AG520" s="129" t="s">
        <v>404</v>
      </c>
      <c r="AH520" s="1432"/>
      <c r="AI520" s="1432"/>
      <c r="AJ520" s="1432"/>
      <c r="AK520" s="1433"/>
      <c r="AZ520" s="3"/>
      <c r="BB520" s="3"/>
      <c r="BC520" s="3"/>
      <c r="BD520" s="3"/>
      <c r="BE520" s="3"/>
      <c r="BF520" s="3"/>
      <c r="BG520" s="3"/>
      <c r="BH520" s="3"/>
      <c r="BI520" s="3"/>
      <c r="BJ520" s="3"/>
      <c r="BK520" s="3"/>
      <c r="BL520" s="3"/>
      <c r="BM520" s="3"/>
      <c r="BN520" s="3" t="s">
        <v>2432</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2.95" customHeight="1">
      <c r="B521" s="1799"/>
      <c r="C521" s="1532"/>
      <c r="D521" s="1532"/>
      <c r="E521" s="1532"/>
      <c r="F521" s="1532"/>
      <c r="G521" s="1532"/>
      <c r="H521" s="1533"/>
      <c r="I521" s="114" t="s">
        <v>422</v>
      </c>
      <c r="AB521" s="65"/>
      <c r="AC521" s="1738">
        <v>11</v>
      </c>
      <c r="AD521" s="1702"/>
      <c r="AE521" s="1702"/>
      <c r="AF521" s="1702"/>
      <c r="AG521" s="13" t="s">
        <v>404</v>
      </c>
      <c r="AH521" s="1432">
        <v>2020</v>
      </c>
      <c r="AI521" s="1432"/>
      <c r="AJ521" s="1432"/>
      <c r="AK521" s="1433"/>
      <c r="AZ521" s="3"/>
      <c r="BB521" s="3"/>
      <c r="BC521" s="3"/>
      <c r="BD521" s="3"/>
      <c r="BE521" s="3"/>
      <c r="BF521" s="3"/>
      <c r="BG521" s="3"/>
      <c r="BH521" s="3"/>
      <c r="BI521" s="3"/>
      <c r="BJ521" s="3"/>
      <c r="BK521" s="3"/>
      <c r="BL521" s="3"/>
      <c r="BM521" s="3"/>
      <c r="BN521" s="3" t="s">
        <v>2433</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2.95" customHeight="1">
      <c r="B522" s="1799"/>
      <c r="C522" s="1532"/>
      <c r="D522" s="1532"/>
      <c r="E522" s="1532"/>
      <c r="F522" s="1532"/>
      <c r="G522" s="1532"/>
      <c r="H522" s="1533"/>
      <c r="I522" s="47" t="s">
        <v>423</v>
      </c>
      <c r="J522" s="48"/>
      <c r="K522" s="48"/>
      <c r="L522" s="48"/>
      <c r="M522" s="48"/>
      <c r="N522" s="48"/>
      <c r="O522" s="48"/>
      <c r="P522" s="48"/>
      <c r="Q522" s="48"/>
      <c r="R522" s="48"/>
      <c r="S522" s="48"/>
      <c r="T522" s="48"/>
      <c r="U522" s="48"/>
      <c r="V522" s="48"/>
      <c r="W522" s="48"/>
      <c r="X522" s="48"/>
      <c r="Y522" s="48"/>
      <c r="Z522" s="48"/>
      <c r="AA522" s="48"/>
      <c r="AB522" s="49"/>
      <c r="AC522" s="1738">
        <v>11</v>
      </c>
      <c r="AD522" s="1702"/>
      <c r="AE522" s="1702"/>
      <c r="AF522" s="1702"/>
      <c r="AG522" s="38" t="s">
        <v>404</v>
      </c>
      <c r="AH522" s="1432">
        <v>2020</v>
      </c>
      <c r="AI522" s="1432"/>
      <c r="AJ522" s="1432"/>
      <c r="AK522" s="1433"/>
      <c r="AZ522" s="3"/>
      <c r="BA522" s="3"/>
      <c r="BB522" s="3"/>
      <c r="BC522" s="3"/>
      <c r="BD522" s="3"/>
      <c r="BE522" s="3"/>
      <c r="BF522" s="3"/>
      <c r="BG522" s="3"/>
      <c r="BH522" s="3"/>
      <c r="BI522" s="3"/>
      <c r="BJ522" s="3"/>
      <c r="BK522" s="3"/>
      <c r="BL522" s="3"/>
      <c r="BM522" s="3"/>
      <c r="BN522" s="3" t="s">
        <v>2434</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2.95" customHeight="1">
      <c r="B523" s="1799"/>
      <c r="C523" s="1532"/>
      <c r="D523" s="1532"/>
      <c r="E523" s="1532"/>
      <c r="F523" s="1532"/>
      <c r="G523" s="1532"/>
      <c r="H523" s="1533"/>
      <c r="I523" s="42" t="s">
        <v>424</v>
      </c>
      <c r="J523" s="42"/>
      <c r="K523" s="42"/>
      <c r="L523" s="42"/>
      <c r="M523" s="42"/>
      <c r="N523" s="42"/>
      <c r="O523" s="1806" t="s">
        <v>2740</v>
      </c>
      <c r="P523" s="1807"/>
      <c r="Q523" s="1807"/>
      <c r="R523" s="1807"/>
      <c r="S523" s="1807"/>
      <c r="T523" s="1807"/>
      <c r="U523" s="1807"/>
      <c r="V523" s="1807"/>
      <c r="W523" s="1807"/>
      <c r="X523" s="1807"/>
      <c r="Y523" s="1807"/>
      <c r="Z523" s="1807"/>
      <c r="AA523" s="1807"/>
      <c r="AC523" s="1738" t="s">
        <v>600</v>
      </c>
      <c r="AD523" s="1702"/>
      <c r="AE523" s="1702"/>
      <c r="AF523" s="1702"/>
      <c r="AG523" s="13" t="s">
        <v>404</v>
      </c>
      <c r="AH523" s="1432"/>
      <c r="AI523" s="1432"/>
      <c r="AJ523" s="1432"/>
      <c r="AK523" s="1433"/>
      <c r="AZ523" s="3"/>
      <c r="BA523" s="3"/>
      <c r="BB523" s="3"/>
      <c r="BC523" s="3"/>
      <c r="BD523" s="3"/>
      <c r="BE523" s="3"/>
      <c r="BF523" s="3"/>
      <c r="BG523" s="3"/>
      <c r="BH523" s="3"/>
      <c r="BI523" s="3"/>
      <c r="BJ523" s="3"/>
      <c r="BK523" s="3"/>
      <c r="BL523" s="3"/>
      <c r="BM523" s="3"/>
      <c r="BN523" s="3" t="s">
        <v>2435</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2.95" customHeight="1">
      <c r="B524" s="1799"/>
      <c r="C524" s="1532"/>
      <c r="D524" s="1532"/>
      <c r="E524" s="1532"/>
      <c r="F524" s="1532"/>
      <c r="G524" s="1532"/>
      <c r="H524" s="1533"/>
      <c r="I524" t="s">
        <v>422</v>
      </c>
      <c r="AC524" s="1738">
        <v>1</v>
      </c>
      <c r="AD524" s="1702"/>
      <c r="AE524" s="1702"/>
      <c r="AF524" s="1702"/>
      <c r="AG524" s="13" t="s">
        <v>404</v>
      </c>
      <c r="AH524" s="1432">
        <v>2024</v>
      </c>
      <c r="AI524" s="1432"/>
      <c r="AJ524" s="1432"/>
      <c r="AK524" s="1433"/>
      <c r="AZ524" s="3"/>
      <c r="BA524" s="3"/>
      <c r="BB524" s="3"/>
      <c r="BC524" s="3"/>
      <c r="BD524" s="3"/>
      <c r="BE524" s="3"/>
      <c r="BF524" s="3"/>
      <c r="BG524" s="3"/>
      <c r="BH524" s="3"/>
      <c r="BI524" s="3"/>
      <c r="BJ524" s="3"/>
      <c r="BK524" s="3"/>
      <c r="BL524" s="3"/>
      <c r="BM524" s="3"/>
      <c r="BN524" s="3" t="s">
        <v>2436</v>
      </c>
      <c r="BO524" s="3"/>
      <c r="BP524" s="3"/>
      <c r="BQ524" s="3"/>
      <c r="BR524" s="3"/>
      <c r="BS524" s="3"/>
      <c r="BT524" s="3"/>
      <c r="BU524" s="3"/>
      <c r="BV524" s="378" t="s">
        <v>737</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2.95" customHeight="1">
      <c r="B525" s="1799"/>
      <c r="C525" s="1532"/>
      <c r="D525" s="1532"/>
      <c r="E525" s="1532"/>
      <c r="F525" s="1532"/>
      <c r="G525" s="1532"/>
      <c r="H525" s="1533"/>
      <c r="I525" s="48" t="s">
        <v>423</v>
      </c>
      <c r="J525" s="48"/>
      <c r="K525" s="48"/>
      <c r="L525" s="48"/>
      <c r="M525" s="48"/>
      <c r="N525" s="48"/>
      <c r="O525" s="48"/>
      <c r="P525" s="48"/>
      <c r="Q525" s="48"/>
      <c r="R525" s="48"/>
      <c r="S525" s="48"/>
      <c r="T525" s="48"/>
      <c r="U525" s="48"/>
      <c r="V525" s="48"/>
      <c r="W525" s="48"/>
      <c r="X525" s="48"/>
      <c r="Y525" s="48"/>
      <c r="Z525" s="48"/>
      <c r="AA525" s="48"/>
      <c r="AB525" s="48"/>
      <c r="AC525" s="1738">
        <v>4</v>
      </c>
      <c r="AD525" s="1702"/>
      <c r="AE525" s="1702"/>
      <c r="AF525" s="1702"/>
      <c r="AG525" s="38" t="s">
        <v>404</v>
      </c>
      <c r="AH525" s="1432">
        <v>2024</v>
      </c>
      <c r="AI525" s="1432"/>
      <c r="AJ525" s="1432"/>
      <c r="AK525" s="1433"/>
      <c r="AZ525" s="3"/>
      <c r="BA525" s="3"/>
      <c r="BB525" s="3"/>
      <c r="BC525" s="3"/>
      <c r="BD525" s="3"/>
      <c r="BE525" s="3"/>
      <c r="BF525" s="3"/>
      <c r="BG525" s="3"/>
      <c r="BH525" s="3"/>
      <c r="BI525" s="3"/>
      <c r="BJ525" s="3"/>
      <c r="BK525" s="3"/>
      <c r="BL525" s="3"/>
      <c r="BM525" s="3"/>
      <c r="BN525" s="3" t="s">
        <v>2437</v>
      </c>
      <c r="BO525" s="3"/>
      <c r="BP525" s="3"/>
      <c r="BQ525" s="3"/>
      <c r="BR525" s="3"/>
      <c r="BS525" s="3"/>
      <c r="BT525" s="3"/>
      <c r="BU525" s="3"/>
      <c r="BV525" s="378" t="s">
        <v>738</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799"/>
      <c r="C526" s="1532"/>
      <c r="D526" s="1532"/>
      <c r="E526" s="1532"/>
      <c r="F526" s="1532"/>
      <c r="G526" s="1532"/>
      <c r="H526" s="1533"/>
      <c r="I526" s="42" t="s">
        <v>424</v>
      </c>
      <c r="J526" s="42"/>
      <c r="K526" s="42"/>
      <c r="L526" s="42"/>
      <c r="M526" s="42"/>
      <c r="N526" s="42"/>
      <c r="O526" s="1806" t="s">
        <v>2741</v>
      </c>
      <c r="P526" s="1807"/>
      <c r="Q526" s="1807"/>
      <c r="R526" s="1807"/>
      <c r="S526" s="1807"/>
      <c r="T526" s="1807"/>
      <c r="U526" s="1807"/>
      <c r="V526" s="1807"/>
      <c r="W526" s="1807"/>
      <c r="X526" s="1807"/>
      <c r="Y526" s="1807"/>
      <c r="Z526" s="1807"/>
      <c r="AA526" s="1807"/>
      <c r="AC526" s="1738" t="s">
        <v>600</v>
      </c>
      <c r="AD526" s="1702"/>
      <c r="AE526" s="1702"/>
      <c r="AF526" s="1702"/>
      <c r="AG526" s="13" t="s">
        <v>404</v>
      </c>
      <c r="AH526" s="1432"/>
      <c r="AI526" s="1432"/>
      <c r="AJ526" s="1432"/>
      <c r="AK526" s="1433"/>
      <c r="AZ526" s="3"/>
      <c r="BA526" s="3"/>
      <c r="BB526" s="3"/>
      <c r="BC526" s="3"/>
      <c r="BD526" s="3"/>
      <c r="BE526" s="3"/>
      <c r="BF526" s="3"/>
      <c r="BG526" s="3"/>
      <c r="BH526" s="3"/>
      <c r="BI526" s="3"/>
      <c r="BJ526" s="3"/>
      <c r="BK526" s="3"/>
      <c r="BL526" s="3"/>
      <c r="BM526" s="3"/>
      <c r="BN526" s="3" t="s">
        <v>2438</v>
      </c>
      <c r="BO526" s="3"/>
      <c r="BP526" s="3"/>
      <c r="BQ526" s="3"/>
      <c r="BR526" s="3"/>
      <c r="BS526" s="3"/>
      <c r="BT526" s="3"/>
      <c r="BU526" s="3"/>
      <c r="BV526" s="378" t="s">
        <v>739</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799"/>
      <c r="C527" s="1532"/>
      <c r="D527" s="1532"/>
      <c r="E527" s="1532"/>
      <c r="F527" s="1532"/>
      <c r="G527" s="1532"/>
      <c r="H527" s="1533"/>
      <c r="I527" t="s">
        <v>422</v>
      </c>
      <c r="AC527" s="1738">
        <v>1</v>
      </c>
      <c r="AD527" s="1702"/>
      <c r="AE527" s="1702"/>
      <c r="AF527" s="1702"/>
      <c r="AG527" s="13" t="s">
        <v>404</v>
      </c>
      <c r="AH527" s="1432">
        <v>2024</v>
      </c>
      <c r="AI527" s="1432"/>
      <c r="AJ527" s="1432"/>
      <c r="AK527" s="1433"/>
      <c r="AZ527" s="3"/>
      <c r="BA527" s="3"/>
      <c r="BB527" s="3"/>
      <c r="BC527" s="3"/>
      <c r="BD527" s="3"/>
      <c r="BE527" s="3"/>
      <c r="BF527" s="3"/>
      <c r="BG527" s="3"/>
      <c r="BH527" s="3"/>
      <c r="BI527" s="3"/>
      <c r="BJ527" s="3"/>
      <c r="BK527" s="3"/>
      <c r="BL527" s="3"/>
      <c r="BM527" s="3"/>
      <c r="BN527" s="3" t="s">
        <v>2439</v>
      </c>
      <c r="BO527" s="3"/>
      <c r="BP527" s="3"/>
      <c r="BQ527" s="3"/>
      <c r="BR527" s="3"/>
      <c r="BS527" s="3"/>
      <c r="BT527" s="3"/>
      <c r="BU527" s="3"/>
      <c r="BV527" s="378" t="s">
        <v>740</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799"/>
      <c r="C528" s="1532"/>
      <c r="D528" s="1532"/>
      <c r="E528" s="1532"/>
      <c r="F528" s="1532"/>
      <c r="G528" s="1532"/>
      <c r="H528" s="1533"/>
      <c r="I528" s="48" t="s">
        <v>423</v>
      </c>
      <c r="J528" s="48"/>
      <c r="K528" s="48"/>
      <c r="L528" s="48"/>
      <c r="M528" s="48"/>
      <c r="N528" s="48"/>
      <c r="O528" s="48"/>
      <c r="P528" s="48"/>
      <c r="Q528" s="48"/>
      <c r="R528" s="48"/>
      <c r="S528" s="48"/>
      <c r="T528" s="48"/>
      <c r="U528" s="48"/>
      <c r="V528" s="48"/>
      <c r="W528" s="48"/>
      <c r="X528" s="48"/>
      <c r="Y528" s="48"/>
      <c r="Z528" s="48"/>
      <c r="AA528" s="48"/>
      <c r="AB528" s="48"/>
      <c r="AC528" s="1738">
        <v>4</v>
      </c>
      <c r="AD528" s="1702"/>
      <c r="AE528" s="1702"/>
      <c r="AF528" s="1702"/>
      <c r="AG528" s="38" t="s">
        <v>404</v>
      </c>
      <c r="AH528" s="1432">
        <v>2024</v>
      </c>
      <c r="AI528" s="1432"/>
      <c r="AJ528" s="1432"/>
      <c r="AK528" s="1433"/>
      <c r="AZ528" s="3"/>
      <c r="BA528" s="3"/>
      <c r="BB528" s="3"/>
      <c r="BC528" s="3"/>
      <c r="BD528" s="3"/>
      <c r="BE528" s="3"/>
      <c r="BF528" s="3"/>
      <c r="BG528" s="3"/>
      <c r="BH528" s="3"/>
      <c r="BI528" s="3"/>
      <c r="BJ528" s="3"/>
      <c r="BK528" s="3"/>
      <c r="BL528" s="3"/>
      <c r="BM528" s="3"/>
      <c r="BN528" s="3" t="s">
        <v>2440</v>
      </c>
      <c r="BO528" s="3"/>
      <c r="BP528" s="3"/>
      <c r="BQ528" s="3"/>
      <c r="BR528" s="3"/>
      <c r="BS528" s="3"/>
      <c r="BT528" s="3"/>
      <c r="BU528" s="3"/>
      <c r="BV528" s="378" t="s">
        <v>741</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799"/>
      <c r="C529" s="1532"/>
      <c r="D529" s="1532"/>
      <c r="E529" s="1532"/>
      <c r="F529" s="1532"/>
      <c r="G529" s="1532"/>
      <c r="H529" s="1533"/>
      <c r="I529" s="42" t="s">
        <v>424</v>
      </c>
      <c r="J529" s="42"/>
      <c r="K529" s="42"/>
      <c r="L529" s="42"/>
      <c r="M529" s="42"/>
      <c r="N529" s="42"/>
      <c r="O529" s="1806" t="s">
        <v>2742</v>
      </c>
      <c r="P529" s="1807"/>
      <c r="Q529" s="1807"/>
      <c r="R529" s="1807"/>
      <c r="S529" s="1807"/>
      <c r="T529" s="1807"/>
      <c r="U529" s="1807"/>
      <c r="V529" s="1807"/>
      <c r="W529" s="1807"/>
      <c r="X529" s="1807"/>
      <c r="Y529" s="1807"/>
      <c r="Z529" s="1807"/>
      <c r="AA529" s="1807"/>
      <c r="AC529" s="1738" t="s">
        <v>600</v>
      </c>
      <c r="AD529" s="1702"/>
      <c r="AE529" s="1702"/>
      <c r="AF529" s="1702"/>
      <c r="AG529" s="13" t="s">
        <v>404</v>
      </c>
      <c r="AH529" s="1432"/>
      <c r="AI529" s="1432"/>
      <c r="AJ529" s="1432"/>
      <c r="AK529" s="1433"/>
      <c r="AZ529" s="3"/>
      <c r="BA529" s="3"/>
      <c r="BB529" s="3"/>
      <c r="BC529" s="3"/>
      <c r="BD529" s="3"/>
      <c r="BE529" s="3"/>
      <c r="BF529" s="3"/>
      <c r="BG529" s="3"/>
      <c r="BH529" s="3"/>
      <c r="BI529" s="3"/>
      <c r="BJ529" s="3"/>
      <c r="BK529" s="3"/>
      <c r="BL529" s="3"/>
      <c r="BM529" s="3"/>
      <c r="BN529" s="3" t="s">
        <v>2441</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799"/>
      <c r="C530" s="1532"/>
      <c r="D530" s="1532"/>
      <c r="E530" s="1532"/>
      <c r="F530" s="1532"/>
      <c r="G530" s="1532"/>
      <c r="H530" s="1533"/>
      <c r="I530" t="s">
        <v>422</v>
      </c>
      <c r="AC530" s="1738" t="s">
        <v>600</v>
      </c>
      <c r="AD530" s="1702"/>
      <c r="AE530" s="1702"/>
      <c r="AF530" s="1702"/>
      <c r="AG530" s="13" t="s">
        <v>404</v>
      </c>
      <c r="AH530" s="1432"/>
      <c r="AI530" s="1432"/>
      <c r="AJ530" s="1432"/>
      <c r="AK530" s="1433"/>
      <c r="AZ530" s="3"/>
      <c r="BA530" s="3"/>
      <c r="BB530" s="3"/>
      <c r="BC530" s="3"/>
      <c r="BD530" s="3"/>
      <c r="BE530" s="3"/>
      <c r="BF530" s="3"/>
      <c r="BG530" s="3"/>
      <c r="BH530" s="3"/>
      <c r="BI530" s="3"/>
      <c r="BJ530" s="3"/>
      <c r="BK530" s="3"/>
      <c r="BL530" s="3"/>
      <c r="BM530" s="3"/>
      <c r="BN530" s="3" t="s">
        <v>2442</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799"/>
      <c r="C531" s="1532"/>
      <c r="D531" s="1532"/>
      <c r="E531" s="1532"/>
      <c r="F531" s="1532"/>
      <c r="G531" s="1532"/>
      <c r="H531" s="1533"/>
      <c r="I531" s="48" t="s">
        <v>423</v>
      </c>
      <c r="J531" s="48"/>
      <c r="K531" s="48"/>
      <c r="L531" s="48"/>
      <c r="M531" s="48"/>
      <c r="N531" s="48"/>
      <c r="O531" s="48"/>
      <c r="P531" s="48"/>
      <c r="Q531" s="48"/>
      <c r="R531" s="48"/>
      <c r="S531" s="48"/>
      <c r="T531" s="48"/>
      <c r="U531" s="48"/>
      <c r="V531" s="48"/>
      <c r="W531" s="48"/>
      <c r="X531" s="48"/>
      <c r="Y531" s="48"/>
      <c r="Z531" s="48"/>
      <c r="AA531" s="48"/>
      <c r="AB531" s="48"/>
      <c r="AC531" s="1738">
        <v>2</v>
      </c>
      <c r="AD531" s="1702"/>
      <c r="AE531" s="1702"/>
      <c r="AF531" s="1702"/>
      <c r="AG531" s="38" t="s">
        <v>404</v>
      </c>
      <c r="AH531" s="1432">
        <v>2024</v>
      </c>
      <c r="AI531" s="1432"/>
      <c r="AJ531" s="1432"/>
      <c r="AK531" s="1433"/>
      <c r="AZ531" s="3"/>
      <c r="BA531" s="3"/>
      <c r="BB531" s="3"/>
      <c r="BC531" s="3"/>
      <c r="BD531" s="3"/>
      <c r="BE531" s="3"/>
      <c r="BF531" s="3"/>
      <c r="BG531" s="3"/>
      <c r="BH531" s="3"/>
      <c r="BI531" s="3"/>
      <c r="BJ531" s="3"/>
      <c r="BK531" s="3"/>
      <c r="BL531" s="3"/>
      <c r="BM531" s="3"/>
      <c r="BN531" s="3" t="s">
        <v>2443</v>
      </c>
      <c r="BO531" s="3"/>
      <c r="BP531" s="3"/>
      <c r="BQ531" s="3"/>
      <c r="BR531" s="3"/>
      <c r="BS531" s="3"/>
      <c r="BT531" s="3"/>
      <c r="BU531" s="3"/>
      <c r="BV531" s="378" t="s">
        <v>192</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799"/>
      <c r="C532" s="1532"/>
      <c r="D532" s="1532"/>
      <c r="E532" s="1532"/>
      <c r="F532" s="1532"/>
      <c r="G532" s="1532"/>
      <c r="H532" s="1533"/>
      <c r="I532" s="42" t="s">
        <v>424</v>
      </c>
      <c r="J532" s="42"/>
      <c r="K532" s="42"/>
      <c r="L532" s="42"/>
      <c r="M532" s="42"/>
      <c r="N532" s="42"/>
      <c r="O532" s="1806" t="s">
        <v>335</v>
      </c>
      <c r="P532" s="1807"/>
      <c r="Q532" s="1807"/>
      <c r="R532" s="1807"/>
      <c r="S532" s="1807"/>
      <c r="T532" s="1807"/>
      <c r="U532" s="1807"/>
      <c r="V532" s="1807"/>
      <c r="W532" s="1807"/>
      <c r="X532" s="1807"/>
      <c r="Y532" s="1807"/>
      <c r="Z532" s="1807"/>
      <c r="AA532" s="1807"/>
      <c r="AC532" s="1738" t="s">
        <v>600</v>
      </c>
      <c r="AD532" s="1702"/>
      <c r="AE532" s="1702"/>
      <c r="AF532" s="1702"/>
      <c r="AG532" s="13" t="s">
        <v>404</v>
      </c>
      <c r="AH532" s="1432"/>
      <c r="AI532" s="1432"/>
      <c r="AJ532" s="1432"/>
      <c r="AK532" s="1433"/>
      <c r="AZ532" s="3"/>
      <c r="BA532" s="3"/>
      <c r="BB532" s="3"/>
      <c r="BC532" s="3"/>
      <c r="BD532" s="3"/>
      <c r="BE532" s="3"/>
      <c r="BF532" s="3"/>
      <c r="BG532" s="3"/>
      <c r="BH532" s="3"/>
      <c r="BI532" s="3"/>
      <c r="BJ532" s="3"/>
      <c r="BK532" s="3"/>
      <c r="BL532" s="3"/>
      <c r="BM532" s="3"/>
      <c r="BN532" s="3" t="s">
        <v>2444</v>
      </c>
      <c r="BO532" s="3"/>
      <c r="BP532" s="3"/>
      <c r="BQ532" s="3"/>
      <c r="BR532" s="3"/>
      <c r="BS532" s="3"/>
      <c r="BT532" s="3"/>
      <c r="BU532" s="3"/>
      <c r="BV532" s="378" t="s">
        <v>193</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799"/>
      <c r="C533" s="1532"/>
      <c r="D533" s="1532"/>
      <c r="E533" s="1532"/>
      <c r="F533" s="1532"/>
      <c r="G533" s="1532"/>
      <c r="H533" s="1533"/>
      <c r="I533" t="s">
        <v>422</v>
      </c>
      <c r="AC533" s="1738" t="s">
        <v>600</v>
      </c>
      <c r="AD533" s="1702"/>
      <c r="AE533" s="1702"/>
      <c r="AF533" s="1702"/>
      <c r="AG533" s="38" t="s">
        <v>404</v>
      </c>
      <c r="AH533" s="1432"/>
      <c r="AI533" s="1432"/>
      <c r="AJ533" s="1432"/>
      <c r="AK533" s="1433"/>
      <c r="AZ533" s="3"/>
      <c r="BA533" s="3"/>
      <c r="BB533" s="3"/>
      <c r="BC533" s="3"/>
      <c r="BD533" s="3"/>
      <c r="BE533" s="3"/>
      <c r="BF533" s="3"/>
      <c r="BG533" s="3"/>
      <c r="BH533" s="3"/>
      <c r="BI533" s="3"/>
      <c r="BJ533" s="3"/>
      <c r="BK533" s="3"/>
      <c r="BL533" s="3"/>
      <c r="BM533" s="3"/>
      <c r="BN533" s="3" t="s">
        <v>2445</v>
      </c>
      <c r="BO533" s="3"/>
      <c r="BP533" s="3"/>
      <c r="BQ533" s="3"/>
      <c r="BR533" s="3"/>
      <c r="BS533" s="3"/>
      <c r="BT533" s="3"/>
      <c r="BU533" s="3"/>
      <c r="BV533" s="378" t="s">
        <v>194</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799"/>
      <c r="C534" s="1532"/>
      <c r="D534" s="1532"/>
      <c r="E534" s="1532"/>
      <c r="F534" s="1532"/>
      <c r="G534" s="1532"/>
      <c r="H534" s="1533"/>
      <c r="I534" s="48" t="s">
        <v>423</v>
      </c>
      <c r="J534" s="48"/>
      <c r="K534" s="48"/>
      <c r="L534" s="48"/>
      <c r="M534" s="48"/>
      <c r="N534" s="48"/>
      <c r="O534" s="48"/>
      <c r="P534" s="48"/>
      <c r="Q534" s="48"/>
      <c r="R534" s="48"/>
      <c r="S534" s="48"/>
      <c r="T534" s="48"/>
      <c r="U534" s="48"/>
      <c r="V534" s="48"/>
      <c r="W534" s="48"/>
      <c r="X534" s="48"/>
      <c r="Y534" s="48"/>
      <c r="Z534" s="48"/>
      <c r="AA534" s="48"/>
      <c r="AB534" s="48"/>
      <c r="AC534" s="1738" t="s">
        <v>600</v>
      </c>
      <c r="AD534" s="1702"/>
      <c r="AE534" s="1702"/>
      <c r="AF534" s="1702"/>
      <c r="AG534" s="13" t="s">
        <v>404</v>
      </c>
      <c r="AH534" s="1432"/>
      <c r="AI534" s="1432"/>
      <c r="AJ534" s="1432"/>
      <c r="AK534" s="1433"/>
      <c r="AZ534" s="3"/>
      <c r="BA534" s="3"/>
      <c r="BB534" s="3"/>
      <c r="BC534" s="3"/>
      <c r="BD534" s="3"/>
      <c r="BE534" s="3"/>
      <c r="BF534" s="3"/>
      <c r="BG534" s="3"/>
      <c r="BH534" s="3"/>
      <c r="BI534" s="3"/>
      <c r="BJ534" s="3"/>
      <c r="BK534" s="3"/>
      <c r="BL534" s="3"/>
      <c r="BM534" s="3"/>
      <c r="BN534" s="3" t="s">
        <v>2446</v>
      </c>
      <c r="BO534" s="3"/>
      <c r="BP534" s="3"/>
      <c r="BQ534" s="3"/>
      <c r="BR534" s="3"/>
      <c r="BS534" s="3"/>
      <c r="BT534" s="3"/>
      <c r="BU534" s="3"/>
      <c r="BV534" s="378" t="s">
        <v>195</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799"/>
      <c r="C535" s="1532"/>
      <c r="D535" s="1532"/>
      <c r="E535" s="1532"/>
      <c r="F535" s="1532"/>
      <c r="G535" s="1532"/>
      <c r="H535" s="1533"/>
      <c r="I535" s="42" t="s">
        <v>424</v>
      </c>
      <c r="J535" s="42"/>
      <c r="K535" s="42"/>
      <c r="L535" s="42"/>
      <c r="M535" s="42"/>
      <c r="N535" s="42"/>
      <c r="O535" s="1806" t="s">
        <v>335</v>
      </c>
      <c r="P535" s="1807"/>
      <c r="Q535" s="1807"/>
      <c r="R535" s="1807"/>
      <c r="S535" s="1807"/>
      <c r="T535" s="1807"/>
      <c r="U535" s="1807"/>
      <c r="V535" s="1807"/>
      <c r="W535" s="1807"/>
      <c r="X535" s="1807"/>
      <c r="Y535" s="1807"/>
      <c r="Z535" s="1807"/>
      <c r="AA535" s="1807"/>
      <c r="AC535" s="1738" t="s">
        <v>600</v>
      </c>
      <c r="AD535" s="1702"/>
      <c r="AE535" s="1702"/>
      <c r="AF535" s="1702"/>
      <c r="AG535" s="38" t="s">
        <v>404</v>
      </c>
      <c r="AH535" s="1432"/>
      <c r="AI535" s="1432"/>
      <c r="AJ535" s="1432"/>
      <c r="AK535" s="1433"/>
      <c r="AZ535" s="3"/>
      <c r="BA535" s="3"/>
      <c r="BB535" s="3"/>
      <c r="BC535" s="3"/>
      <c r="BD535" s="3"/>
      <c r="BE535" s="3"/>
      <c r="BF535" s="3"/>
      <c r="BG535" s="3"/>
      <c r="BH535" s="3"/>
      <c r="BI535" s="3"/>
      <c r="BJ535" s="3"/>
      <c r="BK535" s="3"/>
      <c r="BL535" s="3"/>
      <c r="BM535" s="3"/>
      <c r="BN535" s="3" t="s">
        <v>2447</v>
      </c>
      <c r="BO535" s="3"/>
      <c r="BP535" s="3"/>
      <c r="BQ535" s="3"/>
      <c r="BR535" s="3"/>
      <c r="BS535" s="3"/>
      <c r="BT535" s="3"/>
      <c r="BU535" s="3"/>
      <c r="BV535" s="378" t="s">
        <v>196</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799"/>
      <c r="C536" s="1532"/>
      <c r="D536" s="1532"/>
      <c r="E536" s="1532"/>
      <c r="F536" s="1532"/>
      <c r="G536" s="1532"/>
      <c r="H536" s="1533"/>
      <c r="I536" t="s">
        <v>422</v>
      </c>
      <c r="AC536" s="1738" t="s">
        <v>600</v>
      </c>
      <c r="AD536" s="1702"/>
      <c r="AE536" s="1702"/>
      <c r="AF536" s="1702"/>
      <c r="AG536" s="13" t="s">
        <v>404</v>
      </c>
      <c r="AH536" s="1432"/>
      <c r="AI536" s="1432"/>
      <c r="AJ536" s="1432"/>
      <c r="AK536" s="1433"/>
      <c r="AZ536" s="3"/>
      <c r="BA536" s="3"/>
      <c r="BB536" s="3"/>
      <c r="BC536" s="3"/>
      <c r="BD536" s="3"/>
      <c r="BE536" s="3"/>
      <c r="BF536" s="3"/>
      <c r="BG536" s="3"/>
      <c r="BH536" s="3"/>
      <c r="BI536" s="3"/>
      <c r="BJ536" s="3"/>
      <c r="BK536" s="3"/>
      <c r="BL536" s="3"/>
      <c r="BM536" s="3"/>
      <c r="BN536" s="3" t="s">
        <v>2448</v>
      </c>
      <c r="BO536" s="3"/>
      <c r="BP536" s="3"/>
      <c r="BQ536" s="3"/>
      <c r="BR536" s="3"/>
      <c r="BS536" s="3"/>
      <c r="BT536" s="3"/>
      <c r="BU536" s="3"/>
      <c r="BV536" s="378" t="s">
        <v>197</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799"/>
      <c r="C537" s="1532"/>
      <c r="D537" s="1532"/>
      <c r="E537" s="1532"/>
      <c r="F537" s="1532"/>
      <c r="G537" s="1532"/>
      <c r="H537" s="1533"/>
      <c r="I537" s="48" t="s">
        <v>423</v>
      </c>
      <c r="J537" s="48"/>
      <c r="K537" s="48"/>
      <c r="L537" s="48"/>
      <c r="M537" s="48"/>
      <c r="N537" s="48"/>
      <c r="O537" s="48"/>
      <c r="P537" s="48"/>
      <c r="Q537" s="48"/>
      <c r="R537" s="48"/>
      <c r="S537" s="48"/>
      <c r="T537" s="48"/>
      <c r="U537" s="48"/>
      <c r="V537" s="48"/>
      <c r="W537" s="48"/>
      <c r="X537" s="48"/>
      <c r="Y537" s="48"/>
      <c r="Z537" s="48"/>
      <c r="AA537" s="48"/>
      <c r="AB537" s="48"/>
      <c r="AC537" s="1738" t="s">
        <v>600</v>
      </c>
      <c r="AD537" s="1702"/>
      <c r="AE537" s="1702"/>
      <c r="AF537" s="1702"/>
      <c r="AG537" s="38" t="s">
        <v>404</v>
      </c>
      <c r="AH537" s="1432"/>
      <c r="AI537" s="1432"/>
      <c r="AJ537" s="1432"/>
      <c r="AK537" s="1433"/>
      <c r="AZ537" s="3"/>
      <c r="BA537" s="3"/>
      <c r="BB537" s="3"/>
      <c r="BC537" s="3"/>
      <c r="BD537" s="3"/>
      <c r="BE537" s="3"/>
      <c r="BF537" s="3"/>
      <c r="BG537" s="3"/>
      <c r="BH537" s="3"/>
      <c r="BI537" s="3"/>
      <c r="BJ537" s="3"/>
      <c r="BK537" s="3"/>
      <c r="BL537" s="3"/>
      <c r="BM537" s="3"/>
      <c r="BN537" s="3" t="s">
        <v>2449</v>
      </c>
      <c r="BO537" s="3"/>
      <c r="BP537" s="3"/>
      <c r="BQ537" s="3"/>
      <c r="BR537" s="3"/>
      <c r="BS537" s="3"/>
      <c r="BT537" s="3"/>
      <c r="BU537" s="3"/>
      <c r="BV537" s="378" t="s">
        <v>198</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799"/>
      <c r="C538" s="1532"/>
      <c r="D538" s="1532"/>
      <c r="E538" s="1532"/>
      <c r="F538" s="1532"/>
      <c r="G538" s="1532"/>
      <c r="H538" s="1533"/>
      <c r="I538" s="42" t="s">
        <v>571</v>
      </c>
      <c r="J538" s="42"/>
      <c r="K538" s="42"/>
      <c r="L538" s="42"/>
      <c r="M538" s="42"/>
      <c r="N538" s="42"/>
      <c r="O538" s="42"/>
      <c r="P538" s="42"/>
      <c r="Q538" s="42"/>
      <c r="R538" s="42"/>
      <c r="S538" s="42"/>
      <c r="T538" s="42"/>
      <c r="U538" s="42"/>
      <c r="V538" s="42"/>
      <c r="W538" s="42"/>
      <c r="AC538" s="1738" t="s">
        <v>600</v>
      </c>
      <c r="AD538" s="1702"/>
      <c r="AE538" s="1702"/>
      <c r="AF538" s="1702"/>
      <c r="AG538" s="38" t="s">
        <v>404</v>
      </c>
      <c r="AH538" s="1432"/>
      <c r="AI538" s="1432"/>
      <c r="AJ538" s="1432"/>
      <c r="AK538" s="1433"/>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799"/>
      <c r="C539" s="1532"/>
      <c r="D539" s="1532"/>
      <c r="E539" s="1532"/>
      <c r="F539" s="1532"/>
      <c r="G539" s="1532"/>
      <c r="H539" s="1533"/>
      <c r="I539" t="s">
        <v>572</v>
      </c>
      <c r="AC539" s="1738">
        <v>1</v>
      </c>
      <c r="AD539" s="1702"/>
      <c r="AE539" s="1702"/>
      <c r="AF539" s="1702"/>
      <c r="AG539" s="13" t="s">
        <v>404</v>
      </c>
      <c r="AH539" s="1432">
        <v>2025</v>
      </c>
      <c r="AI539" s="1432"/>
      <c r="AJ539" s="1432"/>
      <c r="AK539" s="1433"/>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799"/>
      <c r="C540" s="1532"/>
      <c r="D540" s="1532"/>
      <c r="E540" s="1532"/>
      <c r="F540" s="1532"/>
      <c r="G540" s="1532"/>
      <c r="H540" s="1533"/>
      <c r="I540" t="s">
        <v>573</v>
      </c>
      <c r="AC540" s="1738">
        <v>8</v>
      </c>
      <c r="AD540" s="1702"/>
      <c r="AE540" s="1702"/>
      <c r="AF540" s="1702"/>
      <c r="AG540" s="38" t="s">
        <v>404</v>
      </c>
      <c r="AH540" s="1432">
        <v>2026</v>
      </c>
      <c r="AI540" s="1432"/>
      <c r="AJ540" s="1432"/>
      <c r="AK540" s="1433"/>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799"/>
      <c r="C541" s="1532"/>
      <c r="D541" s="1532"/>
      <c r="E541" s="1532"/>
      <c r="F541" s="1532"/>
      <c r="G541" s="1532"/>
      <c r="H541" s="1533"/>
      <c r="I541" t="s">
        <v>574</v>
      </c>
      <c r="AC541" s="1738">
        <v>9</v>
      </c>
      <c r="AD541" s="1702"/>
      <c r="AE541" s="1702"/>
      <c r="AF541" s="1702"/>
      <c r="AG541" s="38" t="s">
        <v>404</v>
      </c>
      <c r="AH541" s="1432">
        <v>2026</v>
      </c>
      <c r="AI541" s="1432"/>
      <c r="AJ541" s="1432"/>
      <c r="AK541" s="1433"/>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800"/>
      <c r="C542" s="1534"/>
      <c r="D542" s="1534"/>
      <c r="E542" s="1534"/>
      <c r="F542" s="1534"/>
      <c r="G542" s="1534"/>
      <c r="H542" s="1535"/>
      <c r="I542" s="48" t="s">
        <v>460</v>
      </c>
      <c r="J542" s="48"/>
      <c r="K542" s="48"/>
      <c r="L542" s="48"/>
      <c r="M542" s="48"/>
      <c r="N542" s="48"/>
      <c r="O542" s="48"/>
      <c r="P542" s="48"/>
      <c r="Q542" s="48"/>
      <c r="R542" s="48"/>
      <c r="S542" s="48"/>
      <c r="T542" s="48"/>
      <c r="U542" s="48"/>
      <c r="V542" s="48"/>
      <c r="W542" s="48"/>
      <c r="X542" s="48"/>
      <c r="Y542" s="48"/>
      <c r="Z542" s="48"/>
      <c r="AA542" s="48"/>
      <c r="AB542" s="48"/>
      <c r="AC542" s="1738">
        <v>12</v>
      </c>
      <c r="AD542" s="1702"/>
      <c r="AE542" s="1702"/>
      <c r="AF542" s="1702"/>
      <c r="AG542" s="38" t="s">
        <v>404</v>
      </c>
      <c r="AH542" s="1432">
        <v>2026</v>
      </c>
      <c r="AI542" s="1432"/>
      <c r="AJ542" s="1432"/>
      <c r="AK542" s="1433"/>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3" t="s">
        <v>552</v>
      </c>
      <c r="B544" s="1273"/>
      <c r="C544" s="1273"/>
      <c r="D544" s="1273"/>
      <c r="E544" s="1273"/>
      <c r="F544" s="1273"/>
      <c r="G544" s="1273"/>
      <c r="H544" s="1273"/>
      <c r="I544" s="1273"/>
      <c r="J544" s="1273"/>
      <c r="K544" s="1273"/>
      <c r="L544" s="1273"/>
      <c r="M544" s="1273"/>
      <c r="N544" s="1273"/>
      <c r="O544" s="1273"/>
      <c r="P544" s="1273"/>
      <c r="Q544" s="1273"/>
      <c r="R544" s="1273"/>
      <c r="S544" s="1273"/>
      <c r="T544" s="1273"/>
      <c r="U544" s="1273"/>
      <c r="V544" s="1273"/>
      <c r="W544" s="1273"/>
      <c r="X544" s="1273"/>
      <c r="Y544" s="1273"/>
      <c r="Z544" s="1273"/>
      <c r="AA544" s="1273"/>
      <c r="AB544" s="1273"/>
      <c r="AC544" s="1273"/>
      <c r="AD544" s="1273"/>
      <c r="AE544" s="1273"/>
      <c r="AF544" s="1273"/>
      <c r="AG544" s="1273"/>
      <c r="AH544" s="1273"/>
      <c r="AI544" s="1273"/>
      <c r="AJ544" s="1273"/>
      <c r="AK544" s="1273"/>
      <c r="AL544" s="1273"/>
      <c r="AM544" s="1273"/>
      <c r="AN544" s="1273"/>
      <c r="AO544" s="1273"/>
      <c r="AP544" s="1273"/>
      <c r="AQ544" s="1273"/>
      <c r="AR544" s="1273"/>
      <c r="AS544" s="1273"/>
      <c r="AT544" s="1273"/>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3"/>
      <c r="B545" s="1273"/>
      <c r="C545" s="1273"/>
      <c r="D545" s="1273"/>
      <c r="E545" s="1273"/>
      <c r="F545" s="1273"/>
      <c r="G545" s="1273"/>
      <c r="H545" s="1273"/>
      <c r="I545" s="1273"/>
      <c r="J545" s="1273"/>
      <c r="K545" s="1273"/>
      <c r="L545" s="1273"/>
      <c r="M545" s="1273"/>
      <c r="N545" s="1273"/>
      <c r="O545" s="1273"/>
      <c r="P545" s="1273"/>
      <c r="Q545" s="1273"/>
      <c r="R545" s="1273"/>
      <c r="S545" s="1273"/>
      <c r="T545" s="1273"/>
      <c r="U545" s="1273"/>
      <c r="V545" s="1273"/>
      <c r="W545" s="1273"/>
      <c r="X545" s="1273"/>
      <c r="Y545" s="1273"/>
      <c r="Z545" s="1273"/>
      <c r="AA545" s="1273"/>
      <c r="AB545" s="1273"/>
      <c r="AC545" s="1273"/>
      <c r="AD545" s="1273"/>
      <c r="AE545" s="1273"/>
      <c r="AF545" s="1273"/>
      <c r="AG545" s="1273"/>
      <c r="AH545" s="1273"/>
      <c r="AI545" s="1273"/>
      <c r="AJ545" s="1273"/>
      <c r="AK545" s="1273"/>
      <c r="AL545" s="1273"/>
      <c r="AM545" s="1273"/>
      <c r="AN545" s="1273"/>
      <c r="AO545" s="1273"/>
      <c r="AP545" s="1273"/>
      <c r="AQ545" s="1273"/>
      <c r="AR545" s="1273"/>
      <c r="AS545" s="1273"/>
      <c r="AT545" s="1273"/>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2421</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798" t="s">
        <v>2423</v>
      </c>
      <c r="C551" s="1530"/>
      <c r="D551" s="1530"/>
      <c r="E551" s="1530"/>
      <c r="F551" s="1530"/>
      <c r="G551" s="1530"/>
      <c r="H551" s="1530"/>
      <c r="I551" s="1530"/>
      <c r="J551" s="1530"/>
      <c r="K551" s="1530"/>
      <c r="L551" s="1531"/>
      <c r="M551" s="1798" t="s">
        <v>2424</v>
      </c>
      <c r="N551" s="1530"/>
      <c r="O551" s="1530"/>
      <c r="P551" s="1531"/>
      <c r="Q551" s="1798" t="s">
        <v>2450</v>
      </c>
      <c r="R551" s="1530"/>
      <c r="S551" s="1531"/>
      <c r="T551" s="1798" t="s">
        <v>2451</v>
      </c>
      <c r="U551" s="1530"/>
      <c r="V551" s="1531"/>
      <c r="W551" s="1798" t="s">
        <v>462</v>
      </c>
      <c r="X551" s="1530"/>
      <c r="Y551" s="1531"/>
      <c r="Z551" s="1798" t="s">
        <v>2044</v>
      </c>
      <c r="AA551" s="1530"/>
      <c r="AB551" s="1530"/>
      <c r="AC551" s="1530"/>
      <c r="AD551" s="1531"/>
      <c r="AE551" s="1798" t="s">
        <v>1866</v>
      </c>
      <c r="AF551" s="1530"/>
      <c r="AG551" s="1530"/>
      <c r="AH551" s="1531"/>
      <c r="AI551" s="1798" t="s">
        <v>1867</v>
      </c>
      <c r="AJ551" s="1530"/>
      <c r="AK551" s="1530"/>
      <c r="AL551" s="1531"/>
      <c r="AM551" s="1798" t="s">
        <v>463</v>
      </c>
      <c r="AN551" s="1530"/>
      <c r="AO551" s="1530"/>
      <c r="AP551" s="1530"/>
      <c r="AQ551" s="1530"/>
      <c r="AR551" s="1530"/>
      <c r="AS551" s="1531"/>
      <c r="BB551" s="3"/>
      <c r="BC551" s="3"/>
      <c r="BD551" s="3"/>
      <c r="BE551" s="3"/>
      <c r="BF551" s="3"/>
      <c r="BG551" s="3"/>
      <c r="BH551" s="3" t="s">
        <v>590</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799"/>
      <c r="C552" s="1532"/>
      <c r="D552" s="1532"/>
      <c r="E552" s="1532"/>
      <c r="F552" s="1532"/>
      <c r="G552" s="1532"/>
      <c r="H552" s="1532"/>
      <c r="I552" s="1532"/>
      <c r="J552" s="1532"/>
      <c r="K552" s="1532"/>
      <c r="L552" s="1533"/>
      <c r="M552" s="1799"/>
      <c r="N552" s="1532"/>
      <c r="O552" s="1532"/>
      <c r="P552" s="1533"/>
      <c r="Q552" s="1799"/>
      <c r="R552" s="1532"/>
      <c r="S552" s="1533"/>
      <c r="T552" s="1799"/>
      <c r="U552" s="1532"/>
      <c r="V552" s="1533"/>
      <c r="W552" s="1799"/>
      <c r="X552" s="1532"/>
      <c r="Y552" s="1533"/>
      <c r="Z552" s="1799"/>
      <c r="AA552" s="1532"/>
      <c r="AB552" s="1532"/>
      <c r="AC552" s="1532"/>
      <c r="AD552" s="1533"/>
      <c r="AE552" s="1799"/>
      <c r="AF552" s="1532"/>
      <c r="AG552" s="1532"/>
      <c r="AH552" s="1533"/>
      <c r="AI552" s="1799"/>
      <c r="AJ552" s="1532"/>
      <c r="AK552" s="1532"/>
      <c r="AL552" s="1533"/>
      <c r="AM552" s="1799"/>
      <c r="AN552" s="1532"/>
      <c r="AO552" s="1532"/>
      <c r="AP552" s="1532"/>
      <c r="AQ552" s="1532"/>
      <c r="AR552" s="1532"/>
      <c r="AS552" s="1533"/>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800"/>
      <c r="C553" s="1534"/>
      <c r="D553" s="1534"/>
      <c r="E553" s="1534"/>
      <c r="F553" s="1534"/>
      <c r="G553" s="1534"/>
      <c r="H553" s="1534"/>
      <c r="I553" s="1534"/>
      <c r="J553" s="1534"/>
      <c r="K553" s="1534"/>
      <c r="L553" s="1535"/>
      <c r="M553" s="1800"/>
      <c r="N553" s="1534"/>
      <c r="O553" s="1534"/>
      <c r="P553" s="1535"/>
      <c r="Q553" s="1800"/>
      <c r="R553" s="1534"/>
      <c r="S553" s="1535"/>
      <c r="T553" s="1800"/>
      <c r="U553" s="1534"/>
      <c r="V553" s="1535"/>
      <c r="W553" s="1800"/>
      <c r="X553" s="1534"/>
      <c r="Y553" s="1535"/>
      <c r="Z553" s="1800"/>
      <c r="AA553" s="1534"/>
      <c r="AB553" s="1534"/>
      <c r="AC553" s="1534"/>
      <c r="AD553" s="1535"/>
      <c r="AE553" s="1800"/>
      <c r="AF553" s="1534"/>
      <c r="AG553" s="1534"/>
      <c r="AH553" s="1535"/>
      <c r="AI553" s="1800"/>
      <c r="AJ553" s="1534"/>
      <c r="AK553" s="1534"/>
      <c r="AL553" s="1535"/>
      <c r="AM553" s="1800"/>
      <c r="AN553" s="1534"/>
      <c r="AO553" s="1534"/>
      <c r="AP553" s="1534"/>
      <c r="AQ553" s="1534"/>
      <c r="AR553" s="1534"/>
      <c r="AS553" s="1535"/>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473" t="s">
        <v>2743</v>
      </c>
      <c r="D554" s="1473"/>
      <c r="E554" s="1473"/>
      <c r="F554" s="1473"/>
      <c r="G554" s="1473"/>
      <c r="H554" s="1473"/>
      <c r="I554" s="1473"/>
      <c r="J554" s="1473"/>
      <c r="K554" s="1473"/>
      <c r="L554" s="1473"/>
      <c r="M554" s="1473" t="s">
        <v>2440</v>
      </c>
      <c r="N554" s="1473"/>
      <c r="O554" s="1473"/>
      <c r="P554" s="1473"/>
      <c r="Q554" s="1512">
        <v>24</v>
      </c>
      <c r="R554" s="1512"/>
      <c r="S554" s="1513"/>
      <c r="T554" s="1511"/>
      <c r="U554" s="1512"/>
      <c r="V554" s="1513"/>
      <c r="W554" s="1687">
        <v>0.08</v>
      </c>
      <c r="X554" s="1688"/>
      <c r="Y554" s="1689"/>
      <c r="Z554" s="1515" t="s">
        <v>2747</v>
      </c>
      <c r="AA554" s="1515"/>
      <c r="AB554" s="1515"/>
      <c r="AC554" s="1515"/>
      <c r="AD554" s="1515"/>
      <c r="AE554" s="1500">
        <v>1</v>
      </c>
      <c r="AF554" s="1501"/>
      <c r="AG554" s="1501"/>
      <c r="AH554" s="1502"/>
      <c r="AI554" s="1749"/>
      <c r="AJ554" s="1750"/>
      <c r="AK554" s="1750"/>
      <c r="AL554" s="1751"/>
      <c r="AM554" s="1745">
        <v>22300000</v>
      </c>
      <c r="AN554" s="1746"/>
      <c r="AO554" s="1746"/>
      <c r="AP554" s="1746"/>
      <c r="AQ554" s="1746"/>
      <c r="AR554" s="1746"/>
      <c r="AS554" s="1747"/>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727" t="s">
        <v>2641</v>
      </c>
      <c r="D555" s="1727"/>
      <c r="E555" s="1727"/>
      <c r="F555" s="1727"/>
      <c r="G555" s="1727"/>
      <c r="H555" s="1727"/>
      <c r="I555" s="1727"/>
      <c r="J555" s="1727"/>
      <c r="K555" s="1727"/>
      <c r="L555" s="1727"/>
      <c r="M555" s="1473" t="s">
        <v>2436</v>
      </c>
      <c r="N555" s="1473"/>
      <c r="O555" s="1473"/>
      <c r="P555" s="1473"/>
      <c r="Q555" s="1511">
        <f>55*12</f>
        <v>660</v>
      </c>
      <c r="R555" s="1512"/>
      <c r="S555" s="1513"/>
      <c r="T555" s="1511"/>
      <c r="U555" s="1512"/>
      <c r="V555" s="1513"/>
      <c r="W555" s="1687">
        <v>0.03</v>
      </c>
      <c r="X555" s="1688"/>
      <c r="Y555" s="1689"/>
      <c r="Z555" s="1515" t="s">
        <v>2747</v>
      </c>
      <c r="AA555" s="1515"/>
      <c r="AB555" s="1515"/>
      <c r="AC555" s="1515"/>
      <c r="AD555" s="1515"/>
      <c r="AE555" s="1500">
        <v>2</v>
      </c>
      <c r="AF555" s="1501"/>
      <c r="AG555" s="1501"/>
      <c r="AH555" s="1502"/>
      <c r="AI555" s="1749"/>
      <c r="AJ555" s="1750"/>
      <c r="AK555" s="1750"/>
      <c r="AL555" s="1751"/>
      <c r="AM555" s="1745">
        <v>5830000</v>
      </c>
      <c r="AN555" s="1746"/>
      <c r="AO555" s="1746"/>
      <c r="AP555" s="1746"/>
      <c r="AQ555" s="1746"/>
      <c r="AR555" s="1746"/>
      <c r="AS555" s="1747"/>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727" t="s">
        <v>2745</v>
      </c>
      <c r="D556" s="1727"/>
      <c r="E556" s="1727"/>
      <c r="F556" s="1727"/>
      <c r="G556" s="1727"/>
      <c r="H556" s="1727"/>
      <c r="I556" s="1727"/>
      <c r="J556" s="1727"/>
      <c r="K556" s="1727"/>
      <c r="L556" s="1727"/>
      <c r="M556" s="1473" t="s">
        <v>2436</v>
      </c>
      <c r="N556" s="1473"/>
      <c r="O556" s="1473"/>
      <c r="P556" s="1473"/>
      <c r="Q556" s="1511">
        <f>55*12</f>
        <v>660</v>
      </c>
      <c r="R556" s="1512"/>
      <c r="S556" s="1513"/>
      <c r="T556" s="1511"/>
      <c r="U556" s="1512"/>
      <c r="V556" s="1513"/>
      <c r="W556" s="1687">
        <v>0.03</v>
      </c>
      <c r="X556" s="1688"/>
      <c r="Y556" s="1689"/>
      <c r="Z556" s="1515" t="s">
        <v>2747</v>
      </c>
      <c r="AA556" s="1515"/>
      <c r="AB556" s="1515"/>
      <c r="AC556" s="1515"/>
      <c r="AD556" s="1515"/>
      <c r="AE556" s="1500">
        <v>3</v>
      </c>
      <c r="AF556" s="1501"/>
      <c r="AG556" s="1501"/>
      <c r="AH556" s="1502"/>
      <c r="AI556" s="1749"/>
      <c r="AJ556" s="1750"/>
      <c r="AK556" s="1750"/>
      <c r="AL556" s="1751"/>
      <c r="AM556" s="1745">
        <v>5350000</v>
      </c>
      <c r="AN556" s="1746"/>
      <c r="AO556" s="1746"/>
      <c r="AP556" s="1746"/>
      <c r="AQ556" s="1746"/>
      <c r="AR556" s="1746"/>
      <c r="AS556" s="1747"/>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590</v>
      </c>
      <c r="C557" s="1727" t="s">
        <v>2744</v>
      </c>
      <c r="D557" s="1727"/>
      <c r="E557" s="1727"/>
      <c r="F557" s="1727"/>
      <c r="G557" s="1727"/>
      <c r="H557" s="1727"/>
      <c r="I557" s="1727"/>
      <c r="J557" s="1727"/>
      <c r="K557" s="1727"/>
      <c r="L557" s="1727"/>
      <c r="M557" s="1473" t="s">
        <v>2434</v>
      </c>
      <c r="N557" s="1473"/>
      <c r="O557" s="1473"/>
      <c r="P557" s="1473"/>
      <c r="Q557" s="1511">
        <v>24</v>
      </c>
      <c r="R557" s="1512"/>
      <c r="S557" s="1513"/>
      <c r="T557" s="1511"/>
      <c r="U557" s="1512"/>
      <c r="V557" s="1513"/>
      <c r="W557" s="1687">
        <v>0.03</v>
      </c>
      <c r="X557" s="1688"/>
      <c r="Y557" s="1689"/>
      <c r="Z557" s="1515" t="s">
        <v>2747</v>
      </c>
      <c r="AA557" s="1515"/>
      <c r="AB557" s="1515"/>
      <c r="AC557" s="1515"/>
      <c r="AD557" s="1515"/>
      <c r="AE557" s="1500">
        <v>4</v>
      </c>
      <c r="AF557" s="1501"/>
      <c r="AG557" s="1501"/>
      <c r="AH557" s="1502"/>
      <c r="AI557" s="1749"/>
      <c r="AJ557" s="1750"/>
      <c r="AK557" s="1750"/>
      <c r="AL557" s="1751"/>
      <c r="AM557" s="1745">
        <v>2392510</v>
      </c>
      <c r="AN557" s="1746"/>
      <c r="AO557" s="1746"/>
      <c r="AP557" s="1746"/>
      <c r="AQ557" s="1746"/>
      <c r="AR557" s="1746"/>
      <c r="AS557" s="1747"/>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773</v>
      </c>
      <c r="C558" s="1727" t="s">
        <v>2744</v>
      </c>
      <c r="D558" s="1727"/>
      <c r="E558" s="1727"/>
      <c r="F558" s="1727"/>
      <c r="G558" s="1727"/>
      <c r="H558" s="1727"/>
      <c r="I558" s="1727"/>
      <c r="J558" s="1727"/>
      <c r="K558" s="1727"/>
      <c r="L558" s="1727"/>
      <c r="M558" s="1473" t="s">
        <v>2436</v>
      </c>
      <c r="N558" s="1473"/>
      <c r="O558" s="1473"/>
      <c r="P558" s="1473"/>
      <c r="Q558" s="1511">
        <f>55*12</f>
        <v>660</v>
      </c>
      <c r="R558" s="1512"/>
      <c r="S558" s="1513"/>
      <c r="T558" s="1511"/>
      <c r="U558" s="1512"/>
      <c r="V558" s="1513"/>
      <c r="W558" s="1687">
        <v>0.03</v>
      </c>
      <c r="X558" s="1688"/>
      <c r="Y558" s="1689"/>
      <c r="Z558" s="1515" t="s">
        <v>2747</v>
      </c>
      <c r="AA558" s="1515"/>
      <c r="AB558" s="1515"/>
      <c r="AC558" s="1515"/>
      <c r="AD558" s="1515"/>
      <c r="AE558" s="1500">
        <v>4</v>
      </c>
      <c r="AF558" s="1501"/>
      <c r="AG558" s="1501"/>
      <c r="AH558" s="1502"/>
      <c r="AI558" s="1749"/>
      <c r="AJ558" s="1750"/>
      <c r="AK558" s="1750"/>
      <c r="AL558" s="1751"/>
      <c r="AM558" s="1745">
        <v>1000000</v>
      </c>
      <c r="AN558" s="1746"/>
      <c r="AO558" s="1746"/>
      <c r="AP558" s="1746"/>
      <c r="AQ558" s="1746"/>
      <c r="AR558" s="1746"/>
      <c r="AS558" s="1747"/>
      <c r="AT558" s="1192" t="str">
        <f t="shared" ref="AT558:AT565" si="0">IF(AND(NOT(C557=""),C558="",NOT(C559="")),"!","")</f>
        <v/>
      </c>
      <c r="AU558" s="1191"/>
      <c r="BB558" s="3"/>
      <c r="BC558" s="3"/>
      <c r="BD558" s="3"/>
      <c r="BE558" s="3"/>
      <c r="BF558" s="3"/>
      <c r="BG558" s="3"/>
      <c r="BH558" s="3" t="s">
        <v>773</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593</v>
      </c>
      <c r="C559" s="1727" t="s">
        <v>2746</v>
      </c>
      <c r="D559" s="1727"/>
      <c r="E559" s="1727"/>
      <c r="F559" s="1727"/>
      <c r="G559" s="1727"/>
      <c r="H559" s="1727"/>
      <c r="I559" s="1727"/>
      <c r="J559" s="1727"/>
      <c r="K559" s="1727"/>
      <c r="L559" s="1727"/>
      <c r="M559" s="1473" t="s">
        <v>2431</v>
      </c>
      <c r="N559" s="1473"/>
      <c r="O559" s="1473"/>
      <c r="P559" s="1473"/>
      <c r="Q559" s="1511"/>
      <c r="R559" s="1512"/>
      <c r="S559" s="1513"/>
      <c r="T559" s="1511"/>
      <c r="U559" s="1512"/>
      <c r="V559" s="1513"/>
      <c r="W559" s="1687"/>
      <c r="X559" s="1688"/>
      <c r="Y559" s="1689"/>
      <c r="Z559" s="1515" t="s">
        <v>1291</v>
      </c>
      <c r="AA559" s="1515"/>
      <c r="AB559" s="1515"/>
      <c r="AC559" s="1515"/>
      <c r="AD559" s="1515"/>
      <c r="AE559" s="1500"/>
      <c r="AF559" s="1501"/>
      <c r="AG559" s="1501"/>
      <c r="AH559" s="1502"/>
      <c r="AI559" s="1749"/>
      <c r="AJ559" s="1750"/>
      <c r="AK559" s="1750"/>
      <c r="AL559" s="1751"/>
      <c r="AM559" s="1745">
        <v>4277860</v>
      </c>
      <c r="AN559" s="1746"/>
      <c r="AO559" s="1746"/>
      <c r="AP559" s="1746"/>
      <c r="AQ559" s="1746"/>
      <c r="AR559" s="1746"/>
      <c r="AS559" s="1747"/>
      <c r="AT559" s="1192" t="str">
        <f t="shared" si="0"/>
        <v/>
      </c>
      <c r="AU559" s="1191"/>
      <c r="BB559" s="3"/>
      <c r="BC559" s="3"/>
      <c r="BD559" s="3"/>
      <c r="BE559" s="3"/>
      <c r="BF559" s="3"/>
      <c r="BG559" s="3"/>
      <c r="BH559" s="3" t="s">
        <v>593</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464</v>
      </c>
      <c r="C560" s="1727" t="s">
        <v>1852</v>
      </c>
      <c r="D560" s="1727"/>
      <c r="E560" s="1727"/>
      <c r="F560" s="1727"/>
      <c r="G560" s="1727"/>
      <c r="H560" s="1727"/>
      <c r="I560" s="1727"/>
      <c r="J560" s="1727"/>
      <c r="K560" s="1727"/>
      <c r="L560" s="1727"/>
      <c r="M560" s="1473" t="s">
        <v>2427</v>
      </c>
      <c r="N560" s="1473"/>
      <c r="O560" s="1473"/>
      <c r="P560" s="1473"/>
      <c r="Q560" s="1511"/>
      <c r="R560" s="1512"/>
      <c r="S560" s="1513"/>
      <c r="T560" s="1511"/>
      <c r="U560" s="1512"/>
      <c r="V560" s="1513"/>
      <c r="W560" s="1687"/>
      <c r="X560" s="1688"/>
      <c r="Y560" s="1689"/>
      <c r="Z560" s="1515" t="s">
        <v>1291</v>
      </c>
      <c r="AA560" s="1515"/>
      <c r="AB560" s="1515"/>
      <c r="AC560" s="1515"/>
      <c r="AD560" s="1515"/>
      <c r="AE560" s="1500"/>
      <c r="AF560" s="1501"/>
      <c r="AG560" s="1501"/>
      <c r="AH560" s="1502"/>
      <c r="AI560" s="1749"/>
      <c r="AJ560" s="1750"/>
      <c r="AK560" s="1750"/>
      <c r="AL560" s="1751"/>
      <c r="AM560" s="1745">
        <v>1650022</v>
      </c>
      <c r="AN560" s="1746"/>
      <c r="AO560" s="1746"/>
      <c r="AP560" s="1746"/>
      <c r="AQ560" s="1746"/>
      <c r="AR560" s="1746"/>
      <c r="AS560" s="1747"/>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465</v>
      </c>
      <c r="C561" s="1727" t="s">
        <v>2779</v>
      </c>
      <c r="D561" s="1727"/>
      <c r="E561" s="1727"/>
      <c r="F561" s="1727"/>
      <c r="G561" s="1727"/>
      <c r="H561" s="1727"/>
      <c r="I561" s="1727"/>
      <c r="J561" s="1727"/>
      <c r="K561" s="1727"/>
      <c r="L561" s="1727"/>
      <c r="M561" s="1473" t="s">
        <v>2426</v>
      </c>
      <c r="N561" s="1473"/>
      <c r="O561" s="1473"/>
      <c r="P561" s="1473"/>
      <c r="Q561" s="1511"/>
      <c r="R561" s="1512"/>
      <c r="S561" s="1513"/>
      <c r="T561" s="1511"/>
      <c r="U561" s="1512"/>
      <c r="V561" s="1513"/>
      <c r="W561" s="1687"/>
      <c r="X561" s="1688"/>
      <c r="Y561" s="1689"/>
      <c r="Z561" s="1515" t="s">
        <v>1291</v>
      </c>
      <c r="AA561" s="1515"/>
      <c r="AB561" s="1515"/>
      <c r="AC561" s="1515"/>
      <c r="AD561" s="1515"/>
      <c r="AE561" s="1500"/>
      <c r="AF561" s="1501"/>
      <c r="AG561" s="1501"/>
      <c r="AH561" s="1502"/>
      <c r="AI561" s="1749"/>
      <c r="AJ561" s="1750"/>
      <c r="AK561" s="1750"/>
      <c r="AL561" s="1751"/>
      <c r="AM561" s="1745">
        <f>43370882-41800392-1000000</f>
        <v>570490</v>
      </c>
      <c r="AN561" s="1746"/>
      <c r="AO561" s="1746"/>
      <c r="AP561" s="1746"/>
      <c r="AQ561" s="1746"/>
      <c r="AR561" s="1746"/>
      <c r="AS561" s="1747"/>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470</v>
      </c>
      <c r="C562" s="1727"/>
      <c r="D562" s="1727"/>
      <c r="E562" s="1727"/>
      <c r="F562" s="1727"/>
      <c r="G562" s="1727"/>
      <c r="H562" s="1727"/>
      <c r="I562" s="1727"/>
      <c r="J562" s="1727"/>
      <c r="K562" s="1727"/>
      <c r="L562" s="1727"/>
      <c r="M562" s="1473" t="s">
        <v>1291</v>
      </c>
      <c r="N562" s="1473"/>
      <c r="O562" s="1473"/>
      <c r="P562" s="1473"/>
      <c r="Q562" s="1511"/>
      <c r="R562" s="1512"/>
      <c r="S562" s="1513"/>
      <c r="T562" s="1511"/>
      <c r="U562" s="1512"/>
      <c r="V562" s="1513"/>
      <c r="W562" s="1687"/>
      <c r="X562" s="1688"/>
      <c r="Y562" s="1689"/>
      <c r="Z562" s="1515" t="s">
        <v>1291</v>
      </c>
      <c r="AA562" s="1515"/>
      <c r="AB562" s="1515"/>
      <c r="AC562" s="1515"/>
      <c r="AD562" s="1515"/>
      <c r="AE562" s="1500"/>
      <c r="AF562" s="1501"/>
      <c r="AG562" s="1501"/>
      <c r="AH562" s="1502"/>
      <c r="AI562" s="1749"/>
      <c r="AJ562" s="1750"/>
      <c r="AK562" s="1750"/>
      <c r="AL562" s="1751"/>
      <c r="AM562" s="1745"/>
      <c r="AN562" s="1746"/>
      <c r="AO562" s="1746"/>
      <c r="AP562" s="1746"/>
      <c r="AQ562" s="1746"/>
      <c r="AR562" s="1746"/>
      <c r="AS562" s="1747"/>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655</v>
      </c>
      <c r="C563" s="1727"/>
      <c r="D563" s="1727"/>
      <c r="E563" s="1727"/>
      <c r="F563" s="1727"/>
      <c r="G563" s="1727"/>
      <c r="H563" s="1727"/>
      <c r="I563" s="1727"/>
      <c r="J563" s="1727"/>
      <c r="K563" s="1727"/>
      <c r="L563" s="1727"/>
      <c r="M563" s="1473" t="s">
        <v>1291</v>
      </c>
      <c r="N563" s="1473"/>
      <c r="O563" s="1473"/>
      <c r="P563" s="1473"/>
      <c r="Q563" s="1511"/>
      <c r="R563" s="1512"/>
      <c r="S563" s="1513"/>
      <c r="T563" s="1511"/>
      <c r="U563" s="1512"/>
      <c r="V563" s="1513"/>
      <c r="W563" s="1687"/>
      <c r="X563" s="1688"/>
      <c r="Y563" s="1689"/>
      <c r="Z563" s="1515" t="s">
        <v>1291</v>
      </c>
      <c r="AA563" s="1515"/>
      <c r="AB563" s="1515"/>
      <c r="AC563" s="1515"/>
      <c r="AD563" s="1515"/>
      <c r="AE563" s="1500"/>
      <c r="AF563" s="1501"/>
      <c r="AG563" s="1501"/>
      <c r="AH563" s="1502"/>
      <c r="AI563" s="1749"/>
      <c r="AJ563" s="1750"/>
      <c r="AK563" s="1750"/>
      <c r="AL563" s="1751"/>
      <c r="AM563" s="1745"/>
      <c r="AN563" s="1746"/>
      <c r="AO563" s="1746"/>
      <c r="AP563" s="1746"/>
      <c r="AQ563" s="1746"/>
      <c r="AR563" s="1746"/>
      <c r="AS563" s="1747"/>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727"/>
      <c r="D564" s="1727"/>
      <c r="E564" s="1727"/>
      <c r="F564" s="1727"/>
      <c r="G564" s="1727"/>
      <c r="H564" s="1727"/>
      <c r="I564" s="1727"/>
      <c r="J564" s="1727"/>
      <c r="K564" s="1727"/>
      <c r="L564" s="1727"/>
      <c r="M564" s="1473" t="s">
        <v>1291</v>
      </c>
      <c r="N564" s="1473"/>
      <c r="O564" s="1473"/>
      <c r="P564" s="1473"/>
      <c r="Q564" s="1511"/>
      <c r="R564" s="1512"/>
      <c r="S564" s="1513"/>
      <c r="T564" s="1511"/>
      <c r="U564" s="1512"/>
      <c r="V564" s="1513"/>
      <c r="W564" s="1687"/>
      <c r="X564" s="1688"/>
      <c r="Y564" s="1689"/>
      <c r="Z564" s="1515" t="s">
        <v>1291</v>
      </c>
      <c r="AA564" s="1515"/>
      <c r="AB564" s="1515"/>
      <c r="AC564" s="1515"/>
      <c r="AD564" s="1515"/>
      <c r="AE564" s="1500"/>
      <c r="AF564" s="1501"/>
      <c r="AG564" s="1501"/>
      <c r="AH564" s="1502"/>
      <c r="AI564" s="1749"/>
      <c r="AJ564" s="1750"/>
      <c r="AK564" s="1750"/>
      <c r="AL564" s="1751"/>
      <c r="AM564" s="1745"/>
      <c r="AN564" s="1746"/>
      <c r="AO564" s="1746"/>
      <c r="AP564" s="1746"/>
      <c r="AQ564" s="1746"/>
      <c r="AR564" s="1746"/>
      <c r="AS564" s="1747"/>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727"/>
      <c r="D565" s="1727"/>
      <c r="E565" s="1727"/>
      <c r="F565" s="1727"/>
      <c r="G565" s="1727"/>
      <c r="H565" s="1727"/>
      <c r="I565" s="1727"/>
      <c r="J565" s="1727"/>
      <c r="K565" s="1727"/>
      <c r="L565" s="1727"/>
      <c r="M565" s="1473" t="s">
        <v>1291</v>
      </c>
      <c r="N565" s="1473"/>
      <c r="O565" s="1473"/>
      <c r="P565" s="1473"/>
      <c r="Q565" s="1511"/>
      <c r="R565" s="1512"/>
      <c r="S565" s="1513"/>
      <c r="T565" s="1511"/>
      <c r="U565" s="1512"/>
      <c r="V565" s="1513"/>
      <c r="W565" s="1687"/>
      <c r="X565" s="1688"/>
      <c r="Y565" s="1689"/>
      <c r="Z565" s="1515" t="s">
        <v>1291</v>
      </c>
      <c r="AA565" s="1515"/>
      <c r="AB565" s="1515"/>
      <c r="AC565" s="1515"/>
      <c r="AD565" s="1515"/>
      <c r="AE565" s="1500"/>
      <c r="AF565" s="1501"/>
      <c r="AG565" s="1501"/>
      <c r="AH565" s="1502"/>
      <c r="AI565" s="1749"/>
      <c r="AJ565" s="1750"/>
      <c r="AK565" s="1750"/>
      <c r="AL565" s="1751"/>
      <c r="AM565" s="1745"/>
      <c r="AN565" s="1746"/>
      <c r="AO565" s="1746"/>
      <c r="AP565" s="1746"/>
      <c r="AQ565" s="1746"/>
      <c r="AR565" s="1746"/>
      <c r="AS565" s="1747"/>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664" t="s">
        <v>127</v>
      </c>
      <c r="C566" s="1665"/>
      <c r="D566" s="1665"/>
      <c r="E566" s="1665"/>
      <c r="F566" s="1665"/>
      <c r="G566" s="1665"/>
      <c r="H566" s="1665"/>
      <c r="I566" s="1665"/>
      <c r="J566" s="1665"/>
      <c r="K566" s="1665"/>
      <c r="L566" s="1665"/>
      <c r="M566" s="1665"/>
      <c r="N566" s="1665"/>
      <c r="O566" s="1665"/>
      <c r="P566" s="1665"/>
      <c r="Q566" s="1665"/>
      <c r="R566" s="1665"/>
      <c r="S566" s="1665"/>
      <c r="T566" s="1665"/>
      <c r="U566" s="1748"/>
      <c r="V566" s="1665"/>
      <c r="W566" s="1665"/>
      <c r="X566" s="1665"/>
      <c r="Y566" s="1665"/>
      <c r="Z566" s="1665"/>
      <c r="AA566" s="1665"/>
      <c r="AB566" s="1665"/>
      <c r="AC566" s="1665"/>
      <c r="AD566" s="1665"/>
      <c r="AE566" s="1665"/>
      <c r="AF566" s="1665"/>
      <c r="AG566" s="1665"/>
      <c r="AH566" s="1665"/>
      <c r="AI566" s="1665"/>
      <c r="AJ566" s="1665"/>
      <c r="AK566" s="1665"/>
      <c r="AL566" s="1666"/>
      <c r="AM566" s="1574">
        <f>SUM(AM554:AS565)</f>
        <v>43370882</v>
      </c>
      <c r="AN566" s="1575"/>
      <c r="AO566" s="1575"/>
      <c r="AP566" s="1575"/>
      <c r="AQ566" s="1575"/>
      <c r="AR566" s="1575"/>
      <c r="AS566" s="1576"/>
      <c r="BB566" s="3"/>
      <c r="BC566" s="3"/>
      <c r="BD566" s="3"/>
      <c r="BE566" s="3"/>
      <c r="BF566" s="3"/>
      <c r="BG566" s="3"/>
      <c r="BH566" s="3" t="s">
        <v>464</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472</v>
      </c>
      <c r="G568" s="1499" t="str">
        <f>C554</f>
        <v>Citibank</v>
      </c>
      <c r="H568" s="1499"/>
      <c r="I568" s="1499"/>
      <c r="J568" s="1499"/>
      <c r="K568" s="1499"/>
      <c r="L568" s="1499"/>
      <c r="M568" s="1499"/>
      <c r="N568" s="1499"/>
      <c r="O568" s="1499"/>
      <c r="P568" s="1499"/>
      <c r="Q568" s="1499"/>
      <c r="R568" s="1499"/>
      <c r="S568" s="8"/>
      <c r="T568" s="55" t="s">
        <v>113</v>
      </c>
      <c r="U568" t="s">
        <v>472</v>
      </c>
      <c r="Z568" s="1499" t="str">
        <f>C555</f>
        <v>City of Alhambra</v>
      </c>
      <c r="AA568" s="1499"/>
      <c r="AB568" s="1499"/>
      <c r="AC568" s="1499"/>
      <c r="AD568" s="1499"/>
      <c r="AE568" s="1499"/>
      <c r="AF568" s="1499"/>
      <c r="AG568" s="1499"/>
      <c r="AH568" s="1499"/>
      <c r="AI568" s="1499"/>
      <c r="AJ568" s="1499"/>
      <c r="AK568" s="1499"/>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486" t="s">
        <v>2748</v>
      </c>
      <c r="H569" s="1486"/>
      <c r="I569" s="1486"/>
      <c r="J569" s="1486"/>
      <c r="K569" s="1486"/>
      <c r="L569" s="1486"/>
      <c r="M569" s="1486"/>
      <c r="N569" s="1486"/>
      <c r="O569" s="1486"/>
      <c r="P569" s="1486"/>
      <c r="Q569" s="1486"/>
      <c r="R569" s="1486"/>
      <c r="S569" s="8"/>
      <c r="T569" s="22"/>
      <c r="U569" t="s">
        <v>85</v>
      </c>
      <c r="Z569" s="1486" t="s">
        <v>2751</v>
      </c>
      <c r="AA569" s="1486"/>
      <c r="AB569" s="1486"/>
      <c r="AC569" s="1486"/>
      <c r="AD569" s="1486"/>
      <c r="AE569" s="1486"/>
      <c r="AF569" s="1486"/>
      <c r="AG569" s="1486"/>
      <c r="AH569" s="1486"/>
      <c r="AI569" s="1486"/>
      <c r="AJ569" s="1486"/>
      <c r="AK569" s="1486"/>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589</v>
      </c>
      <c r="G570" s="1486" t="s">
        <v>503</v>
      </c>
      <c r="H570" s="1486"/>
      <c r="I570" s="1486"/>
      <c r="J570" s="1486"/>
      <c r="K570" s="1486"/>
      <c r="L570" s="1486"/>
      <c r="M570" s="1486"/>
      <c r="N570" s="1486"/>
      <c r="O570" s="1486"/>
      <c r="P570" s="1486"/>
      <c r="Q570" s="1486"/>
      <c r="R570" s="1486"/>
      <c r="T570" s="22"/>
      <c r="U570" t="s">
        <v>589</v>
      </c>
      <c r="Z570" s="1514" t="s">
        <v>2644</v>
      </c>
      <c r="AA570" s="1514"/>
      <c r="AB570" s="1514"/>
      <c r="AC570" s="1514"/>
      <c r="AD570" s="1514"/>
      <c r="AE570" s="1514"/>
      <c r="AF570" s="1514"/>
      <c r="AG570" s="1514"/>
      <c r="AH570" s="1514"/>
      <c r="AI570" s="1514"/>
      <c r="AJ570" s="1514"/>
      <c r="AK570" s="1514"/>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486" t="s">
        <v>2749</v>
      </c>
      <c r="H571" s="1486"/>
      <c r="I571" s="1486"/>
      <c r="J571" s="1486"/>
      <c r="K571" s="1486"/>
      <c r="L571" s="1486"/>
      <c r="M571" s="1486"/>
      <c r="N571" s="1486"/>
      <c r="O571" s="1486"/>
      <c r="P571" s="1486"/>
      <c r="Q571" s="1486"/>
      <c r="R571" s="1486"/>
      <c r="S571" s="8"/>
      <c r="T571" s="22"/>
      <c r="U571" t="s">
        <v>17</v>
      </c>
      <c r="Z571" s="1514" t="s">
        <v>2752</v>
      </c>
      <c r="AA571" s="1514"/>
      <c r="AB571" s="1514"/>
      <c r="AC571" s="1514"/>
      <c r="AD571" s="1514"/>
      <c r="AE571" s="1514"/>
      <c r="AF571" s="1514"/>
      <c r="AG571" s="1514"/>
      <c r="AH571" s="1514"/>
      <c r="AI571" s="1514"/>
      <c r="AJ571" s="1514"/>
      <c r="AK571" s="1514"/>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516" t="s">
        <v>2750</v>
      </c>
      <c r="H572" s="1498"/>
      <c r="I572" s="1498"/>
      <c r="J572" s="1498"/>
      <c r="K572" s="1498"/>
      <c r="L572" s="1498"/>
      <c r="O572" s="33" t="s">
        <v>207</v>
      </c>
      <c r="P572" s="1517"/>
      <c r="Q572" s="1517"/>
      <c r="R572" s="1517"/>
      <c r="S572" s="10"/>
      <c r="T572" s="22"/>
      <c r="U572" t="s">
        <v>317</v>
      </c>
      <c r="Z572" s="1516" t="s">
        <v>2753</v>
      </c>
      <c r="AA572" s="1498"/>
      <c r="AB572" s="1498"/>
      <c r="AC572" s="1498"/>
      <c r="AD572" s="1498"/>
      <c r="AE572" s="1498"/>
      <c r="AH572" s="33" t="s">
        <v>207</v>
      </c>
      <c r="AI572" s="1517"/>
      <c r="AJ572" s="1517"/>
      <c r="AK572" s="1517"/>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509" t="s">
        <v>2786</v>
      </c>
      <c r="I573" s="1486"/>
      <c r="J573" s="1486"/>
      <c r="K573" s="1486"/>
      <c r="L573" s="1486"/>
      <c r="M573" s="1486"/>
      <c r="N573" s="1486"/>
      <c r="O573" s="1486"/>
      <c r="P573" s="1486"/>
      <c r="Q573" s="1486"/>
      <c r="R573" s="1486"/>
      <c r="S573" s="8"/>
      <c r="T573" s="22"/>
      <c r="U573" t="s">
        <v>18</v>
      </c>
      <c r="AA573" s="1509" t="s">
        <v>2787</v>
      </c>
      <c r="AB573" s="1486"/>
      <c r="AC573" s="1486"/>
      <c r="AD573" s="1486"/>
      <c r="AE573" s="1486"/>
      <c r="AF573" s="1486"/>
      <c r="AG573" s="1486"/>
      <c r="AH573" s="1486"/>
      <c r="AI573" s="1486"/>
      <c r="AJ573" s="1486"/>
      <c r="AK573" s="1486"/>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1292</v>
      </c>
      <c r="H574" s="8"/>
      <c r="I574" s="8"/>
      <c r="J574" s="8"/>
      <c r="K574" s="8"/>
      <c r="L574" s="8"/>
      <c r="M574" s="1805" t="s">
        <v>2797</v>
      </c>
      <c r="N574" s="1771"/>
      <c r="O574" s="1771"/>
      <c r="P574" s="1771"/>
      <c r="Q574" s="1771"/>
      <c r="R574" s="1771"/>
      <c r="S574" s="8"/>
      <c r="T574" s="22"/>
      <c r="U574" s="348" t="s">
        <v>1292</v>
      </c>
      <c r="AA574" s="8"/>
      <c r="AB574" s="8"/>
      <c r="AC574" s="8"/>
      <c r="AD574" s="8"/>
      <c r="AE574" s="8"/>
      <c r="AF574" s="1805" t="s">
        <v>600</v>
      </c>
      <c r="AG574" s="1771"/>
      <c r="AH574" s="1771"/>
      <c r="AI574" s="1771"/>
      <c r="AJ574" s="1771"/>
      <c r="AK574" s="1771"/>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484" t="s">
        <v>554</v>
      </c>
      <c r="O575" s="1484"/>
      <c r="T575" s="22"/>
      <c r="U575" t="s">
        <v>20</v>
      </c>
      <c r="AG575" s="1484" t="s">
        <v>554</v>
      </c>
      <c r="AH575" s="1484"/>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472</v>
      </c>
      <c r="G577" s="1499" t="str">
        <f>C556</f>
        <v>LACDA - AHTF</v>
      </c>
      <c r="H577" s="1499"/>
      <c r="I577" s="1499"/>
      <c r="J577" s="1499"/>
      <c r="K577" s="1499"/>
      <c r="L577" s="1499"/>
      <c r="M577" s="1499"/>
      <c r="N577" s="1499"/>
      <c r="O577" s="1499"/>
      <c r="P577" s="1499"/>
      <c r="Q577" s="1499"/>
      <c r="R577" s="1499"/>
      <c r="T577" s="55" t="s">
        <v>590</v>
      </c>
      <c r="U577" t="s">
        <v>472</v>
      </c>
      <c r="Z577" s="1499" t="str">
        <f>C557</f>
        <v>San Gabriel Valley Regional Housing Trust</v>
      </c>
      <c r="AA577" s="1499"/>
      <c r="AB577" s="1499"/>
      <c r="AC577" s="1499"/>
      <c r="AD577" s="1499"/>
      <c r="AE577" s="1499"/>
      <c r="AF577" s="1499"/>
      <c r="AG577" s="1499"/>
      <c r="AH577" s="1499"/>
      <c r="AI577" s="1499"/>
      <c r="AJ577" s="1499"/>
      <c r="AK577" s="1499"/>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486" t="s">
        <v>2687</v>
      </c>
      <c r="H578" s="1486"/>
      <c r="I578" s="1486"/>
      <c r="J578" s="1486"/>
      <c r="K578" s="1486"/>
      <c r="L578" s="1486"/>
      <c r="M578" s="1486"/>
      <c r="N578" s="1486"/>
      <c r="O578" s="1486"/>
      <c r="P578" s="1486"/>
      <c r="Q578" s="1486"/>
      <c r="R578" s="1486"/>
      <c r="T578" s="22"/>
      <c r="U578" t="s">
        <v>85</v>
      </c>
      <c r="Z578" s="1486" t="s">
        <v>2754</v>
      </c>
      <c r="AA578" s="1486"/>
      <c r="AB578" s="1486"/>
      <c r="AC578" s="1486"/>
      <c r="AD578" s="1486"/>
      <c r="AE578" s="1486"/>
      <c r="AF578" s="1486"/>
      <c r="AG578" s="1486"/>
      <c r="AH578" s="1486"/>
      <c r="AI578" s="1486"/>
      <c r="AJ578" s="1486"/>
      <c r="AK578" s="1486"/>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589</v>
      </c>
      <c r="G579" s="1514" t="s">
        <v>2644</v>
      </c>
      <c r="H579" s="1514"/>
      <c r="I579" s="1514"/>
      <c r="J579" s="1514"/>
      <c r="K579" s="1514"/>
      <c r="L579" s="1514"/>
      <c r="M579" s="1514"/>
      <c r="N579" s="1514"/>
      <c r="O579" s="1514"/>
      <c r="P579" s="1514"/>
      <c r="Q579" s="1514"/>
      <c r="R579" s="1514"/>
      <c r="T579" s="22"/>
      <c r="U579" t="s">
        <v>589</v>
      </c>
      <c r="Z579" s="1514" t="s">
        <v>2755</v>
      </c>
      <c r="AA579" s="1514"/>
      <c r="AB579" s="1514"/>
      <c r="AC579" s="1514"/>
      <c r="AD579" s="1514"/>
      <c r="AE579" s="1514"/>
      <c r="AF579" s="1514"/>
      <c r="AG579" s="1514"/>
      <c r="AH579" s="1514"/>
      <c r="AI579" s="1514"/>
      <c r="AJ579" s="1514"/>
      <c r="AK579" s="1514"/>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514" t="s">
        <v>2689</v>
      </c>
      <c r="H580" s="1514"/>
      <c r="I580" s="1514"/>
      <c r="J580" s="1514"/>
      <c r="K580" s="1514"/>
      <c r="L580" s="1514"/>
      <c r="M580" s="1514"/>
      <c r="N580" s="1514"/>
      <c r="O580" s="1514"/>
      <c r="P580" s="1514"/>
      <c r="Q580" s="1514"/>
      <c r="R580" s="1514"/>
      <c r="T580" s="22"/>
      <c r="U580" t="s">
        <v>17</v>
      </c>
      <c r="Z580" s="1514" t="s">
        <v>2756</v>
      </c>
      <c r="AA580" s="1514"/>
      <c r="AB580" s="1514"/>
      <c r="AC580" s="1514"/>
      <c r="AD580" s="1514"/>
      <c r="AE580" s="1514"/>
      <c r="AF580" s="1514"/>
      <c r="AG580" s="1514"/>
      <c r="AH580" s="1514"/>
      <c r="AI580" s="1514"/>
      <c r="AJ580" s="1514"/>
      <c r="AK580" s="1514"/>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516" t="s">
        <v>2690</v>
      </c>
      <c r="H581" s="1498"/>
      <c r="I581" s="1498"/>
      <c r="J581" s="1498"/>
      <c r="K581" s="1498"/>
      <c r="L581" s="1498"/>
      <c r="O581" s="33" t="s">
        <v>207</v>
      </c>
      <c r="P581" s="1517"/>
      <c r="Q581" s="1517"/>
      <c r="R581" s="1517"/>
      <c r="T581" s="22"/>
      <c r="U581" t="s">
        <v>317</v>
      </c>
      <c r="Z581" s="1516" t="s">
        <v>2757</v>
      </c>
      <c r="AA581" s="1498"/>
      <c r="AB581" s="1498"/>
      <c r="AC581" s="1498"/>
      <c r="AD581" s="1498"/>
      <c r="AE581" s="1498"/>
      <c r="AH581" s="33" t="s">
        <v>207</v>
      </c>
      <c r="AI581" s="1517"/>
      <c r="AJ581" s="1517"/>
      <c r="AK581" s="1517"/>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509" t="s">
        <v>2787</v>
      </c>
      <c r="I582" s="1486"/>
      <c r="J582" s="1486"/>
      <c r="K582" s="1486"/>
      <c r="L582" s="1486"/>
      <c r="M582" s="1486"/>
      <c r="N582" s="1486"/>
      <c r="O582" s="1486"/>
      <c r="P582" s="1486"/>
      <c r="Q582" s="1486"/>
      <c r="R582" s="1486"/>
      <c r="T582" s="22"/>
      <c r="U582" t="s">
        <v>18</v>
      </c>
      <c r="AA582" s="1486" t="s">
        <v>2787</v>
      </c>
      <c r="AB582" s="1486"/>
      <c r="AC582" s="1486"/>
      <c r="AD582" s="1486"/>
      <c r="AE582" s="1486"/>
      <c r="AF582" s="1486"/>
      <c r="AG582" s="1486"/>
      <c r="AH582" s="1486"/>
      <c r="AI582" s="1486"/>
      <c r="AJ582" s="1486"/>
      <c r="AK582" s="1486"/>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484" t="s">
        <v>554</v>
      </c>
      <c r="O583" s="1484"/>
      <c r="T583" s="22"/>
      <c r="U583" t="s">
        <v>20</v>
      </c>
      <c r="AG583" s="1484" t="s">
        <v>554</v>
      </c>
      <c r="AH583" s="1484"/>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773</v>
      </c>
      <c r="B585" t="s">
        <v>472</v>
      </c>
      <c r="G585" s="1499" t="str">
        <f>C558</f>
        <v>San Gabriel Valley Regional Housing Trust</v>
      </c>
      <c r="H585" s="1499"/>
      <c r="I585" s="1499"/>
      <c r="J585" s="1499"/>
      <c r="K585" s="1499"/>
      <c r="L585" s="1499"/>
      <c r="M585" s="1499"/>
      <c r="N585" s="1499"/>
      <c r="O585" s="1499"/>
      <c r="P585" s="1499"/>
      <c r="Q585" s="1499"/>
      <c r="R585" s="1499"/>
      <c r="T585" s="55" t="s">
        <v>593</v>
      </c>
      <c r="U585" t="s">
        <v>472</v>
      </c>
      <c r="Z585" s="1499" t="str">
        <f>C559</f>
        <v>Tax Credit Equity</v>
      </c>
      <c r="AA585" s="1499"/>
      <c r="AB585" s="1499"/>
      <c r="AC585" s="1499"/>
      <c r="AD585" s="1499"/>
      <c r="AE585" s="1499"/>
      <c r="AF585" s="1499"/>
      <c r="AG585" s="1499"/>
      <c r="AH585" s="1499"/>
      <c r="AI585" s="1499"/>
      <c r="AJ585" s="1499"/>
      <c r="AK585" s="1499"/>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486" t="s">
        <v>2754</v>
      </c>
      <c r="H586" s="1486"/>
      <c r="I586" s="1486"/>
      <c r="J586" s="1486"/>
      <c r="K586" s="1486"/>
      <c r="L586" s="1486"/>
      <c r="M586" s="1486"/>
      <c r="N586" s="1486"/>
      <c r="O586" s="1486"/>
      <c r="P586" s="1486"/>
      <c r="Q586" s="1486"/>
      <c r="R586" s="1486"/>
      <c r="T586" s="22"/>
      <c r="U586" t="s">
        <v>85</v>
      </c>
      <c r="Z586" s="1486" t="s">
        <v>2712</v>
      </c>
      <c r="AA586" s="1486"/>
      <c r="AB586" s="1486"/>
      <c r="AC586" s="1486"/>
      <c r="AD586" s="1486"/>
      <c r="AE586" s="1486"/>
      <c r="AF586" s="1486"/>
      <c r="AG586" s="1486"/>
      <c r="AH586" s="1486"/>
      <c r="AI586" s="1486"/>
      <c r="AJ586" s="1486"/>
      <c r="AK586" s="1486"/>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589</v>
      </c>
      <c r="G587" s="1486" t="s">
        <v>2755</v>
      </c>
      <c r="H587" s="1486"/>
      <c r="I587" s="1486"/>
      <c r="J587" s="1486"/>
      <c r="K587" s="1486"/>
      <c r="L587" s="1486"/>
      <c r="M587" s="1486"/>
      <c r="N587" s="1486"/>
      <c r="O587" s="1486"/>
      <c r="P587" s="1486"/>
      <c r="Q587" s="1486"/>
      <c r="R587" s="1486"/>
      <c r="T587" s="22"/>
      <c r="U587" t="s">
        <v>589</v>
      </c>
      <c r="Z587" s="1514" t="s">
        <v>2759</v>
      </c>
      <c r="AA587" s="1514"/>
      <c r="AB587" s="1514"/>
      <c r="AC587" s="1514"/>
      <c r="AD587" s="1514"/>
      <c r="AE587" s="1514"/>
      <c r="AF587" s="1514"/>
      <c r="AG587" s="1514"/>
      <c r="AH587" s="1514"/>
      <c r="AI587" s="1514"/>
      <c r="AJ587" s="1514"/>
      <c r="AK587" s="1514"/>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486" t="s">
        <v>2756</v>
      </c>
      <c r="H588" s="1486"/>
      <c r="I588" s="1486"/>
      <c r="J588" s="1486"/>
      <c r="K588" s="1486"/>
      <c r="L588" s="1486"/>
      <c r="M588" s="1486"/>
      <c r="N588" s="1486"/>
      <c r="O588" s="1486"/>
      <c r="P588" s="1486"/>
      <c r="Q588" s="1486"/>
      <c r="R588" s="1486"/>
      <c r="T588" s="22"/>
      <c r="U588" t="s">
        <v>17</v>
      </c>
      <c r="Z588" s="1514" t="s">
        <v>2714</v>
      </c>
      <c r="AA588" s="1514"/>
      <c r="AB588" s="1514"/>
      <c r="AC588" s="1514"/>
      <c r="AD588" s="1514"/>
      <c r="AE588" s="1514"/>
      <c r="AF588" s="1514"/>
      <c r="AG588" s="1514"/>
      <c r="AH588" s="1514"/>
      <c r="AI588" s="1514"/>
      <c r="AJ588" s="1514"/>
      <c r="AK588" s="1514"/>
    </row>
    <row r="589" spans="1:110" ht="12.95" customHeight="1">
      <c r="A589" s="22"/>
      <c r="B589" t="s">
        <v>317</v>
      </c>
      <c r="G589" s="1516" t="s">
        <v>2757</v>
      </c>
      <c r="H589" s="1498"/>
      <c r="I589" s="1498"/>
      <c r="J589" s="1498"/>
      <c r="K589" s="1498"/>
      <c r="L589" s="1498"/>
      <c r="O589" s="33" t="s">
        <v>207</v>
      </c>
      <c r="P589" s="1517"/>
      <c r="Q589" s="1517"/>
      <c r="R589" s="1517"/>
      <c r="T589" s="22"/>
      <c r="U589" t="s">
        <v>317</v>
      </c>
      <c r="Z589" s="1516" t="s">
        <v>2760</v>
      </c>
      <c r="AA589" s="1498"/>
      <c r="AB589" s="1498"/>
      <c r="AC589" s="1498"/>
      <c r="AD589" s="1498"/>
      <c r="AE589" s="1498"/>
      <c r="AH589" s="33" t="s">
        <v>207</v>
      </c>
      <c r="AI589" s="1517"/>
      <c r="AJ589" s="1517"/>
      <c r="AK589" s="1517"/>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509" t="s">
        <v>2787</v>
      </c>
      <c r="I590" s="1486"/>
      <c r="J590" s="1486"/>
      <c r="K590" s="1486"/>
      <c r="L590" s="1486"/>
      <c r="M590" s="1486"/>
      <c r="N590" s="1486"/>
      <c r="O590" s="1486"/>
      <c r="P590" s="1486"/>
      <c r="Q590" s="1486"/>
      <c r="R590" s="1486"/>
      <c r="T590" s="22"/>
      <c r="U590" t="s">
        <v>18</v>
      </c>
      <c r="AA590" s="1509" t="s">
        <v>2746</v>
      </c>
      <c r="AB590" s="1486"/>
      <c r="AC590" s="1486"/>
      <c r="AD590" s="1486"/>
      <c r="AE590" s="1486"/>
      <c r="AF590" s="1486"/>
      <c r="AG590" s="1486"/>
      <c r="AH590" s="1486"/>
      <c r="AI590" s="1486"/>
      <c r="AJ590" s="1486"/>
      <c r="AK590" s="1486"/>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484" t="s">
        <v>554</v>
      </c>
      <c r="O591" s="1484"/>
      <c r="T591" s="22"/>
      <c r="U591" t="s">
        <v>20</v>
      </c>
      <c r="AG591" s="1484" t="s">
        <v>554</v>
      </c>
      <c r="AH591" s="1484"/>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464</v>
      </c>
      <c r="B593" t="s">
        <v>472</v>
      </c>
      <c r="G593" s="1499" t="str">
        <f>C560</f>
        <v>Deferred Developer Fee</v>
      </c>
      <c r="H593" s="1499"/>
      <c r="I593" s="1499"/>
      <c r="J593" s="1499"/>
      <c r="K593" s="1499"/>
      <c r="L593" s="1499"/>
      <c r="M593" s="1499"/>
      <c r="N593" s="1499"/>
      <c r="O593" s="1499"/>
      <c r="P593" s="1499"/>
      <c r="Q593" s="1499"/>
      <c r="R593" s="1499"/>
      <c r="T593" s="55" t="s">
        <v>465</v>
      </c>
      <c r="U593" t="s">
        <v>472</v>
      </c>
      <c r="Z593" s="1499" t="str">
        <f>C561</f>
        <v>Costs Deferred Until Conversion</v>
      </c>
      <c r="AA593" s="1499"/>
      <c r="AB593" s="1499"/>
      <c r="AC593" s="1499"/>
      <c r="AD593" s="1499"/>
      <c r="AE593" s="1499"/>
      <c r="AF593" s="1499"/>
      <c r="AG593" s="1499"/>
      <c r="AH593" s="1499"/>
      <c r="AI593" s="1499"/>
      <c r="AJ593" s="1499"/>
      <c r="AK593" s="1499"/>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486" t="s">
        <v>2651</v>
      </c>
      <c r="H594" s="1486"/>
      <c r="I594" s="1486"/>
      <c r="J594" s="1486"/>
      <c r="K594" s="1486"/>
      <c r="L594" s="1486"/>
      <c r="M594" s="1486"/>
      <c r="N594" s="1486"/>
      <c r="O594" s="1486"/>
      <c r="P594" s="1486"/>
      <c r="Q594" s="1486"/>
      <c r="R594" s="1486"/>
      <c r="S594"/>
      <c r="T594" s="22"/>
      <c r="U594" t="s">
        <v>85</v>
      </c>
      <c r="V594"/>
      <c r="W594"/>
      <c r="X594"/>
      <c r="Y594"/>
      <c r="Z594" s="1509"/>
      <c r="AA594" s="1486"/>
      <c r="AB594" s="1486"/>
      <c r="AC594" s="1486"/>
      <c r="AD594" s="1486"/>
      <c r="AE594" s="1486"/>
      <c r="AF594" s="1486"/>
      <c r="AG594" s="1486"/>
      <c r="AH594" s="1486"/>
      <c r="AI594" s="1486"/>
      <c r="AJ594" s="1486"/>
      <c r="AK594" s="1486"/>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589</v>
      </c>
      <c r="C595"/>
      <c r="D595"/>
      <c r="E595"/>
      <c r="F595"/>
      <c r="G595" s="1486" t="s">
        <v>2652</v>
      </c>
      <c r="H595" s="1486"/>
      <c r="I595" s="1486"/>
      <c r="J595" s="1486"/>
      <c r="K595" s="1486"/>
      <c r="L595" s="1486"/>
      <c r="M595" s="1486"/>
      <c r="N595" s="1486"/>
      <c r="O595" s="1486"/>
      <c r="P595" s="1486"/>
      <c r="Q595" s="1486"/>
      <c r="R595" s="1486"/>
      <c r="S595"/>
      <c r="T595" s="22"/>
      <c r="U595" t="s">
        <v>589</v>
      </c>
      <c r="V595"/>
      <c r="W595"/>
      <c r="X595"/>
      <c r="Y595"/>
      <c r="Z595" s="1726"/>
      <c r="AA595" s="1514"/>
      <c r="AB595" s="1514"/>
      <c r="AC595" s="1514"/>
      <c r="AD595" s="1514"/>
      <c r="AE595" s="1514"/>
      <c r="AF595" s="1514"/>
      <c r="AG595" s="1514"/>
      <c r="AH595" s="1514"/>
      <c r="AI595" s="1514"/>
      <c r="AJ595" s="1514"/>
      <c r="AK595" s="1514"/>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2035</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486" t="s">
        <v>2654</v>
      </c>
      <c r="H596" s="1486"/>
      <c r="I596" s="1486"/>
      <c r="J596" s="1486"/>
      <c r="K596" s="1486"/>
      <c r="L596" s="1486"/>
      <c r="M596" s="1486"/>
      <c r="N596" s="1486"/>
      <c r="O596" s="1486"/>
      <c r="P596" s="1486"/>
      <c r="Q596" s="1486"/>
      <c r="R596" s="1486"/>
      <c r="S596"/>
      <c r="T596" s="22"/>
      <c r="U596" t="s">
        <v>17</v>
      </c>
      <c r="V596"/>
      <c r="W596"/>
      <c r="X596"/>
      <c r="Y596"/>
      <c r="Z596" s="1726"/>
      <c r="AA596" s="1514"/>
      <c r="AB596" s="1514"/>
      <c r="AC596" s="1514"/>
      <c r="AD596" s="1514"/>
      <c r="AE596" s="1514"/>
      <c r="AF596" s="1514"/>
      <c r="AG596" s="1514"/>
      <c r="AH596" s="1514"/>
      <c r="AI596" s="1514"/>
      <c r="AJ596" s="1514"/>
      <c r="AK596" s="1514"/>
      <c r="AL596"/>
      <c r="AM596"/>
      <c r="AN596"/>
      <c r="AO596"/>
      <c r="AP596"/>
      <c r="AQ596"/>
      <c r="AR596"/>
      <c r="AS596"/>
      <c r="AT596"/>
      <c r="AU596"/>
      <c r="AV596"/>
      <c r="AW596"/>
      <c r="AX596"/>
      <c r="AY596"/>
      <c r="BA596" s="4" t="s">
        <v>325</v>
      </c>
      <c r="BB596" s="3"/>
      <c r="BC596" s="3"/>
      <c r="BD596" s="3"/>
      <c r="BE596" s="121" t="s">
        <v>483</v>
      </c>
      <c r="BF596" s="122"/>
      <c r="BG596" s="1572"/>
      <c r="BH596" s="1573"/>
      <c r="BI596" s="121" t="s">
        <v>484</v>
      </c>
      <c r="BJ596" s="122"/>
      <c r="BK596" s="1572"/>
      <c r="BL596" s="1573"/>
      <c r="BM596" s="3"/>
      <c r="BN596" s="1414" t="s">
        <v>642</v>
      </c>
      <c r="BO596" s="1415"/>
      <c r="BP596" s="1415"/>
      <c r="BQ596" s="1415"/>
      <c r="BR596" s="1416"/>
      <c r="BS596" s="1577" t="s">
        <v>326</v>
      </c>
      <c r="BT596" s="1577"/>
      <c r="BU596" s="1577"/>
      <c r="BV596" s="1577"/>
      <c r="BW596" s="1577"/>
      <c r="BX596" s="1577" t="s">
        <v>163</v>
      </c>
      <c r="BY596" s="1577"/>
      <c r="BZ596" s="1577"/>
      <c r="CA596" s="1577"/>
      <c r="CB596" s="1577"/>
      <c r="CC596" s="1577" t="s">
        <v>164</v>
      </c>
      <c r="CD596" s="1577"/>
      <c r="CE596" s="1577"/>
      <c r="CF596" s="1577"/>
      <c r="CG596" s="1577"/>
      <c r="CH596" s="1577" t="s">
        <v>469</v>
      </c>
      <c r="CI596" s="1577"/>
      <c r="CJ596" s="1577"/>
      <c r="CK596" s="1577"/>
      <c r="CL596" s="1577"/>
      <c r="CM596" s="1577" t="s">
        <v>30</v>
      </c>
      <c r="CN596" s="1577"/>
      <c r="CO596" s="1577"/>
      <c r="CP596" s="1577"/>
      <c r="CQ596" s="1577"/>
      <c r="CR596" s="89"/>
      <c r="CS596" s="1577" t="s">
        <v>642</v>
      </c>
      <c r="CT596" s="1577"/>
      <c r="CU596" s="1577"/>
      <c r="CV596" s="1577"/>
      <c r="CW596" s="1577"/>
      <c r="CX596" s="1577" t="s">
        <v>326</v>
      </c>
      <c r="CY596" s="1577"/>
      <c r="CZ596" s="1577"/>
      <c r="DA596" s="1577"/>
      <c r="DB596" s="1577"/>
      <c r="DC596" s="1577" t="s">
        <v>163</v>
      </c>
      <c r="DD596" s="1577"/>
      <c r="DE596" s="1577"/>
      <c r="DF596" s="1577"/>
      <c r="DG596" s="1577"/>
      <c r="DH596" s="1577" t="s">
        <v>164</v>
      </c>
      <c r="DI596" s="1577"/>
      <c r="DJ596" s="1577"/>
      <c r="DK596" s="1577"/>
      <c r="DL596" s="1577"/>
      <c r="DM596" s="1577" t="s">
        <v>469</v>
      </c>
      <c r="DN596" s="1577"/>
      <c r="DO596" s="1577"/>
      <c r="DP596" s="1577"/>
      <c r="DQ596" s="1577"/>
      <c r="DR596" s="1577" t="s">
        <v>30</v>
      </c>
      <c r="DS596" s="1577"/>
      <c r="DT596" s="1577"/>
      <c r="DU596" s="1577"/>
      <c r="DV596" s="1577"/>
      <c r="DX596" s="1577" t="s">
        <v>642</v>
      </c>
      <c r="DY596" s="1577"/>
      <c r="DZ596" s="1577"/>
      <c r="EA596" s="1577"/>
      <c r="EB596" s="1577"/>
      <c r="EC596" s="1577" t="s">
        <v>326</v>
      </c>
      <c r="ED596" s="1577"/>
      <c r="EE596" s="1577"/>
      <c r="EF596" s="1577"/>
      <c r="EG596" s="1577"/>
      <c r="EH596" s="1577" t="s">
        <v>163</v>
      </c>
      <c r="EI596" s="1577"/>
      <c r="EJ596" s="1577"/>
      <c r="EK596" s="1577"/>
      <c r="EL596" s="1577"/>
      <c r="EM596" s="1577" t="s">
        <v>164</v>
      </c>
      <c r="EN596" s="1577"/>
      <c r="EO596" s="1577"/>
      <c r="EP596" s="1577"/>
      <c r="EQ596" s="1577"/>
      <c r="ER596" s="1577" t="s">
        <v>469</v>
      </c>
      <c r="ES596" s="1577"/>
      <c r="ET596" s="1577"/>
      <c r="EU596" s="1577"/>
      <c r="EV596" s="1577"/>
      <c r="EW596" s="1577" t="s">
        <v>30</v>
      </c>
      <c r="EX596" s="1577"/>
      <c r="EY596" s="1577"/>
      <c r="EZ596" s="1577"/>
      <c r="FA596" s="1577"/>
    </row>
    <row r="597" spans="1:157" s="4" customFormat="1" ht="12.95" customHeight="1">
      <c r="A597" s="22"/>
      <c r="B597" t="s">
        <v>317</v>
      </c>
      <c r="C597"/>
      <c r="D597"/>
      <c r="E597"/>
      <c r="F597"/>
      <c r="G597" s="1516" t="s">
        <v>2655</v>
      </c>
      <c r="H597" s="1498"/>
      <c r="I597" s="1498"/>
      <c r="J597" s="1498"/>
      <c r="K597" s="1498"/>
      <c r="L597" s="1498"/>
      <c r="M597"/>
      <c r="N597"/>
      <c r="O597" s="33" t="s">
        <v>207</v>
      </c>
      <c r="P597" s="1517"/>
      <c r="Q597" s="1517"/>
      <c r="R597" s="1517"/>
      <c r="S597"/>
      <c r="T597" s="22"/>
      <c r="U597" t="s">
        <v>317</v>
      </c>
      <c r="V597"/>
      <c r="W597"/>
      <c r="X597"/>
      <c r="Y597"/>
      <c r="Z597" s="1516"/>
      <c r="AA597" s="1498"/>
      <c r="AB597" s="1498"/>
      <c r="AC597" s="1498"/>
      <c r="AD597" s="1498"/>
      <c r="AE597" s="1498"/>
      <c r="AF597"/>
      <c r="AG597"/>
      <c r="AH597" s="33" t="s">
        <v>207</v>
      </c>
      <c r="AI597" s="1517"/>
      <c r="AJ597" s="1517"/>
      <c r="AK597" s="1517"/>
      <c r="AL597"/>
      <c r="AM597"/>
      <c r="AN597"/>
      <c r="AO597"/>
      <c r="AP597"/>
      <c r="AQ597"/>
      <c r="AR597"/>
      <c r="AS597"/>
      <c r="AT597"/>
      <c r="AU597"/>
      <c r="AV597"/>
      <c r="AW597"/>
      <c r="AX597"/>
      <c r="AY597"/>
      <c r="BA597" s="4" t="s">
        <v>326</v>
      </c>
      <c r="BB597" s="3"/>
      <c r="BC597" s="3"/>
      <c r="BD597" s="3"/>
      <c r="BE597" s="1561">
        <f t="shared" ref="BE597:BE631" si="1">IF(AND(AC718&lt;=0.5,AC718&gt;=0.36),1,0)</f>
        <v>0</v>
      </c>
      <c r="BF597" s="1563"/>
      <c r="BG597" s="1572">
        <f t="shared" ref="BG597:BG631" si="2">IF(BE597=1,G718,0)</f>
        <v>0</v>
      </c>
      <c r="BH597" s="1573"/>
      <c r="BI597" s="1561">
        <f t="shared" ref="BI597:BI631" si="3">IF(AND(AC718&lt;=0.35,AC718&gt;0),1,0)</f>
        <v>1</v>
      </c>
      <c r="BJ597" s="1563"/>
      <c r="BK597" s="1572">
        <f t="shared" ref="BK597:BK631" si="4">IF(BI597=1,G718,0)</f>
        <v>20</v>
      </c>
      <c r="BL597" s="1573"/>
      <c r="BM597" s="3"/>
      <c r="BN597" s="1558">
        <f t="shared" ref="BN597:BN631" si="5">IF(B718="SRO/Studio",G718,0)</f>
        <v>0</v>
      </c>
      <c r="BO597" s="1559"/>
      <c r="BP597" s="1559"/>
      <c r="BQ597" s="1559"/>
      <c r="BR597" s="1560"/>
      <c r="BS597" s="1564">
        <f t="shared" ref="BS597:BS631" si="6">IF(B718="1 Bedroom",G718,0)</f>
        <v>20</v>
      </c>
      <c r="BT597" s="1564"/>
      <c r="BU597" s="1564"/>
      <c r="BV597" s="1564"/>
      <c r="BW597" s="1564"/>
      <c r="BX597" s="1564">
        <f t="shared" ref="BX597:BX631" si="7">IF(B718="2 Bedrooms",G718,0)</f>
        <v>0</v>
      </c>
      <c r="BY597" s="1564"/>
      <c r="BZ597" s="1564"/>
      <c r="CA597" s="1564"/>
      <c r="CB597" s="1564"/>
      <c r="CC597" s="1564">
        <f t="shared" ref="CC597:CC631" si="8">IF(B718="3 Bedrooms",G718,0)</f>
        <v>0</v>
      </c>
      <c r="CD597" s="1564"/>
      <c r="CE597" s="1564"/>
      <c r="CF597" s="1564"/>
      <c r="CG597" s="1564"/>
      <c r="CH597" s="1564">
        <f t="shared" ref="CH597:CH631" si="9">IF(B718="4 Bedrooms",G718,0)</f>
        <v>0</v>
      </c>
      <c r="CI597" s="1564"/>
      <c r="CJ597" s="1564"/>
      <c r="CK597" s="1564"/>
      <c r="CL597" s="1564"/>
      <c r="CM597" s="1564">
        <f t="shared" ref="CM597:CM631" si="10">IF(B718="5 Bedrooms",G718,0)</f>
        <v>0</v>
      </c>
      <c r="CN597" s="1564"/>
      <c r="CO597" s="1564"/>
      <c r="CP597" s="1564"/>
      <c r="CQ597" s="1564"/>
      <c r="CR597" s="6"/>
      <c r="CS597" s="1566">
        <f t="shared" ref="CS597:CS631" si="11">IF(AND(B718="SRO/Studio",AC718&lt;=0.3),G718,0)</f>
        <v>0</v>
      </c>
      <c r="CT597" s="1566"/>
      <c r="CU597" s="1566"/>
      <c r="CV597" s="1566"/>
      <c r="CW597" s="1566"/>
      <c r="CX597" s="1566">
        <f t="shared" ref="CX597:CX631" si="12">IF(AND(B718="1 Bedroom",AC718&lt;=0.3),G718,0)</f>
        <v>20</v>
      </c>
      <c r="CY597" s="1566"/>
      <c r="CZ597" s="1566"/>
      <c r="DA597" s="1566"/>
      <c r="DB597" s="1566"/>
      <c r="DC597" s="1566">
        <f t="shared" ref="DC597:DC631" si="13">IF(AND(B718="2 Bedrooms",AC718&lt;=0.3),G718,0)</f>
        <v>0</v>
      </c>
      <c r="DD597" s="1566"/>
      <c r="DE597" s="1566"/>
      <c r="DF597" s="1566"/>
      <c r="DG597" s="1566"/>
      <c r="DH597" s="1566">
        <f t="shared" ref="DH597:DH631" si="14">IF(AND(B718="3 Bedrooms",AC718&lt;=0.3),G718,0)</f>
        <v>0</v>
      </c>
      <c r="DI597" s="1566"/>
      <c r="DJ597" s="1566"/>
      <c r="DK597" s="1566"/>
      <c r="DL597" s="1566"/>
      <c r="DM597" s="1566">
        <f t="shared" ref="DM597:DM631" si="15">IF(AND(B718="4 Bedrooms",AC718&lt;=0.3),G718,0)</f>
        <v>0</v>
      </c>
      <c r="DN597" s="1566"/>
      <c r="DO597" s="1566"/>
      <c r="DP597" s="1566"/>
      <c r="DQ597" s="1566"/>
      <c r="DR597" s="1566">
        <f t="shared" ref="DR597:DR631" si="16">IF(AND(B718="5 Bedrooms",AC718&lt;=0.3),G718,0)</f>
        <v>0</v>
      </c>
      <c r="DS597" s="1566"/>
      <c r="DT597" s="1566"/>
      <c r="DU597" s="1566"/>
      <c r="DV597" s="1566"/>
      <c r="DX597" s="1561" t="str">
        <f t="shared" ref="DX597:DX631" si="17">IF(BN597&gt;0,O718,"")</f>
        <v/>
      </c>
      <c r="DY597" s="1562"/>
      <c r="DZ597" s="1562"/>
      <c r="EA597" s="1562"/>
      <c r="EB597" s="1563"/>
      <c r="EC597" s="1561">
        <f t="shared" ref="EC597:EC631" si="18">IF(BS597&gt;0,O718,"")</f>
        <v>628</v>
      </c>
      <c r="ED597" s="1562"/>
      <c r="EE597" s="1562"/>
      <c r="EF597" s="1562"/>
      <c r="EG597" s="1563"/>
      <c r="EH597" s="1561" t="str">
        <f t="shared" ref="EH597:EH631" si="19">IF(BX597&gt;0,O718,"")</f>
        <v/>
      </c>
      <c r="EI597" s="1562"/>
      <c r="EJ597" s="1562"/>
      <c r="EK597" s="1562"/>
      <c r="EL597" s="1563"/>
      <c r="EM597" s="1561" t="str">
        <f t="shared" ref="EM597:EM631" si="20">IF(CC597&gt;0,O718,"")</f>
        <v/>
      </c>
      <c r="EN597" s="1562"/>
      <c r="EO597" s="1562"/>
      <c r="EP597" s="1562"/>
      <c r="EQ597" s="1563"/>
      <c r="ER597" s="1561" t="str">
        <f t="shared" ref="ER597:ER631" si="21">IF(CH597&gt;0,O718,"")</f>
        <v/>
      </c>
      <c r="ES597" s="1562"/>
      <c r="ET597" s="1562"/>
      <c r="EU597" s="1562"/>
      <c r="EV597" s="1563"/>
      <c r="EW597" s="1561" t="str">
        <f t="shared" ref="EW597:EW631" si="22">IF(CM597&gt;0,O718,"")</f>
        <v/>
      </c>
      <c r="EX597" s="1562"/>
      <c r="EY597" s="1562"/>
      <c r="EZ597" s="1562"/>
      <c r="FA597" s="1563"/>
    </row>
    <row r="598" spans="1:157" s="4" customFormat="1" ht="12.95" customHeight="1">
      <c r="A598" s="22"/>
      <c r="B598" t="s">
        <v>18</v>
      </c>
      <c r="C598"/>
      <c r="D598"/>
      <c r="E598"/>
      <c r="F598"/>
      <c r="G598"/>
      <c r="H598" s="1509" t="s">
        <v>2758</v>
      </c>
      <c r="I598" s="1486"/>
      <c r="J598" s="1486"/>
      <c r="K598" s="1486"/>
      <c r="L598" s="1486"/>
      <c r="M598" s="1486"/>
      <c r="N598" s="1486"/>
      <c r="O598" s="1486"/>
      <c r="P598" s="1486"/>
      <c r="Q598" s="1486"/>
      <c r="R598" s="1486"/>
      <c r="S598"/>
      <c r="T598" s="22"/>
      <c r="U598" t="s">
        <v>18</v>
      </c>
      <c r="V598"/>
      <c r="W598"/>
      <c r="X598"/>
      <c r="Y598"/>
      <c r="Z598"/>
      <c r="AA598" s="1509"/>
      <c r="AB598" s="1486"/>
      <c r="AC598" s="1486"/>
      <c r="AD598" s="1486"/>
      <c r="AE598" s="1486"/>
      <c r="AF598" s="1486"/>
      <c r="AG598" s="1486"/>
      <c r="AH598" s="1486"/>
      <c r="AI598" s="1486"/>
      <c r="AJ598" s="1486"/>
      <c r="AK598" s="1486"/>
      <c r="AL598"/>
      <c r="AM598"/>
      <c r="AN598"/>
      <c r="AO598"/>
      <c r="AP598"/>
      <c r="AQ598"/>
      <c r="AR598"/>
      <c r="AS598"/>
      <c r="AT598"/>
      <c r="AU598"/>
      <c r="AV598"/>
      <c r="AW598"/>
      <c r="AX598"/>
      <c r="AY598"/>
      <c r="BA598" s="4" t="s">
        <v>163</v>
      </c>
      <c r="BB598" s="3"/>
      <c r="BC598" s="3"/>
      <c r="BD598" s="3"/>
      <c r="BE598" s="1561">
        <f t="shared" si="1"/>
        <v>0</v>
      </c>
      <c r="BF598" s="1563"/>
      <c r="BG598" s="1572">
        <f t="shared" si="2"/>
        <v>0</v>
      </c>
      <c r="BH598" s="1573"/>
      <c r="BI598" s="1561">
        <f t="shared" si="3"/>
        <v>1</v>
      </c>
      <c r="BJ598" s="1563"/>
      <c r="BK598" s="1572">
        <f t="shared" si="4"/>
        <v>15</v>
      </c>
      <c r="BL598" s="1573"/>
      <c r="BM598" s="3"/>
      <c r="BN598" s="1558">
        <f t="shared" si="5"/>
        <v>0</v>
      </c>
      <c r="BO598" s="1559"/>
      <c r="BP598" s="1559"/>
      <c r="BQ598" s="1559"/>
      <c r="BR598" s="1560"/>
      <c r="BS598" s="1564">
        <f t="shared" si="6"/>
        <v>0</v>
      </c>
      <c r="BT598" s="1564"/>
      <c r="BU598" s="1564"/>
      <c r="BV598" s="1564"/>
      <c r="BW598" s="1564"/>
      <c r="BX598" s="1564">
        <f t="shared" si="7"/>
        <v>15</v>
      </c>
      <c r="BY598" s="1564"/>
      <c r="BZ598" s="1564"/>
      <c r="CA598" s="1564"/>
      <c r="CB598" s="1564"/>
      <c r="CC598" s="1564">
        <f t="shared" si="8"/>
        <v>0</v>
      </c>
      <c r="CD598" s="1564"/>
      <c r="CE598" s="1564"/>
      <c r="CF598" s="1564"/>
      <c r="CG598" s="1564"/>
      <c r="CH598" s="1564">
        <f t="shared" si="9"/>
        <v>0</v>
      </c>
      <c r="CI598" s="1564"/>
      <c r="CJ598" s="1564"/>
      <c r="CK598" s="1564"/>
      <c r="CL598" s="1564"/>
      <c r="CM598" s="1564">
        <f t="shared" si="10"/>
        <v>0</v>
      </c>
      <c r="CN598" s="1564"/>
      <c r="CO598" s="1564"/>
      <c r="CP598" s="1564"/>
      <c r="CQ598" s="1564"/>
      <c r="CR598" s="6"/>
      <c r="CS598" s="1566">
        <f t="shared" si="11"/>
        <v>0</v>
      </c>
      <c r="CT598" s="1566"/>
      <c r="CU598" s="1566"/>
      <c r="CV598" s="1566"/>
      <c r="CW598" s="1566"/>
      <c r="CX598" s="1566">
        <f t="shared" si="12"/>
        <v>0</v>
      </c>
      <c r="CY598" s="1566"/>
      <c r="CZ598" s="1566"/>
      <c r="DA598" s="1566"/>
      <c r="DB598" s="1566"/>
      <c r="DC598" s="1566">
        <f t="shared" si="13"/>
        <v>15</v>
      </c>
      <c r="DD598" s="1566"/>
      <c r="DE598" s="1566"/>
      <c r="DF598" s="1566"/>
      <c r="DG598" s="1566"/>
      <c r="DH598" s="1566">
        <f t="shared" si="14"/>
        <v>0</v>
      </c>
      <c r="DI598" s="1566"/>
      <c r="DJ598" s="1566"/>
      <c r="DK598" s="1566"/>
      <c r="DL598" s="1566"/>
      <c r="DM598" s="1566">
        <f t="shared" si="15"/>
        <v>0</v>
      </c>
      <c r="DN598" s="1566"/>
      <c r="DO598" s="1566"/>
      <c r="DP598" s="1566"/>
      <c r="DQ598" s="1566"/>
      <c r="DR598" s="1566">
        <f t="shared" si="16"/>
        <v>0</v>
      </c>
      <c r="DS598" s="1566"/>
      <c r="DT598" s="1566"/>
      <c r="DU598" s="1566"/>
      <c r="DV598" s="1566"/>
      <c r="DX598" s="1561" t="str">
        <f t="shared" si="17"/>
        <v/>
      </c>
      <c r="DY598" s="1562"/>
      <c r="DZ598" s="1562"/>
      <c r="EA598" s="1562"/>
      <c r="EB598" s="1563"/>
      <c r="EC598" s="1561" t="str">
        <f t="shared" si="18"/>
        <v/>
      </c>
      <c r="ED598" s="1562"/>
      <c r="EE598" s="1562"/>
      <c r="EF598" s="1562"/>
      <c r="EG598" s="1563"/>
      <c r="EH598" s="1561">
        <f t="shared" si="19"/>
        <v>748</v>
      </c>
      <c r="EI598" s="1562"/>
      <c r="EJ598" s="1562"/>
      <c r="EK598" s="1562"/>
      <c r="EL598" s="1563"/>
      <c r="EM598" s="1561" t="str">
        <f t="shared" si="20"/>
        <v/>
      </c>
      <c r="EN598" s="1562"/>
      <c r="EO598" s="1562"/>
      <c r="EP598" s="1562"/>
      <c r="EQ598" s="1563"/>
      <c r="ER598" s="1561" t="str">
        <f t="shared" si="21"/>
        <v/>
      </c>
      <c r="ES598" s="1562"/>
      <c r="ET598" s="1562"/>
      <c r="EU598" s="1562"/>
      <c r="EV598" s="1563"/>
      <c r="EW598" s="1561" t="str">
        <f t="shared" si="22"/>
        <v/>
      </c>
      <c r="EX598" s="1562"/>
      <c r="EY598" s="1562"/>
      <c r="EZ598" s="1562"/>
      <c r="FA598" s="1563"/>
    </row>
    <row r="599" spans="1:157" ht="12.95" customHeight="1">
      <c r="A599" s="22"/>
      <c r="B599" t="s">
        <v>20</v>
      </c>
      <c r="N599" s="1484" t="s">
        <v>554</v>
      </c>
      <c r="O599" s="1484"/>
      <c r="T599" s="22"/>
      <c r="U599" t="s">
        <v>20</v>
      </c>
      <c r="AG599" s="1484" t="s">
        <v>678</v>
      </c>
      <c r="AH599" s="1484"/>
      <c r="BA599" s="4" t="s">
        <v>164</v>
      </c>
      <c r="BB599" s="3"/>
      <c r="BC599" s="3"/>
      <c r="BD599" s="3"/>
      <c r="BE599" s="1561">
        <f t="shared" si="1"/>
        <v>1</v>
      </c>
      <c r="BF599" s="1563"/>
      <c r="BG599" s="1572">
        <f t="shared" si="2"/>
        <v>10</v>
      </c>
      <c r="BH599" s="1573"/>
      <c r="BI599" s="1561">
        <f t="shared" si="3"/>
        <v>0</v>
      </c>
      <c r="BJ599" s="1563"/>
      <c r="BK599" s="1572">
        <f t="shared" si="4"/>
        <v>0</v>
      </c>
      <c r="BL599" s="1573"/>
      <c r="BM599" s="3"/>
      <c r="BN599" s="1558">
        <f t="shared" si="5"/>
        <v>0</v>
      </c>
      <c r="BO599" s="1559"/>
      <c r="BP599" s="1559"/>
      <c r="BQ599" s="1559"/>
      <c r="BR599" s="1560"/>
      <c r="BS599" s="1564">
        <f t="shared" si="6"/>
        <v>10</v>
      </c>
      <c r="BT599" s="1564"/>
      <c r="BU599" s="1564"/>
      <c r="BV599" s="1564"/>
      <c r="BW599" s="1564"/>
      <c r="BX599" s="1564">
        <f t="shared" si="7"/>
        <v>0</v>
      </c>
      <c r="BY599" s="1564"/>
      <c r="BZ599" s="1564"/>
      <c r="CA599" s="1564"/>
      <c r="CB599" s="1564"/>
      <c r="CC599" s="1564">
        <f t="shared" si="8"/>
        <v>0</v>
      </c>
      <c r="CD599" s="1564"/>
      <c r="CE599" s="1564"/>
      <c r="CF599" s="1564"/>
      <c r="CG599" s="1564"/>
      <c r="CH599" s="1564">
        <f t="shared" si="9"/>
        <v>0</v>
      </c>
      <c r="CI599" s="1564"/>
      <c r="CJ599" s="1564"/>
      <c r="CK599" s="1564"/>
      <c r="CL599" s="1564"/>
      <c r="CM599" s="1564">
        <f t="shared" si="10"/>
        <v>0</v>
      </c>
      <c r="CN599" s="1564"/>
      <c r="CO599" s="1564"/>
      <c r="CP599" s="1564"/>
      <c r="CQ599" s="1564"/>
      <c r="CR599" s="6"/>
      <c r="CS599" s="1566">
        <f t="shared" si="11"/>
        <v>0</v>
      </c>
      <c r="CT599" s="1566"/>
      <c r="CU599" s="1566"/>
      <c r="CV599" s="1566"/>
      <c r="CW599" s="1566"/>
      <c r="CX599" s="1566">
        <f t="shared" si="12"/>
        <v>0</v>
      </c>
      <c r="CY599" s="1566"/>
      <c r="CZ599" s="1566"/>
      <c r="DA599" s="1566"/>
      <c r="DB599" s="1566"/>
      <c r="DC599" s="1566">
        <f t="shared" si="13"/>
        <v>0</v>
      </c>
      <c r="DD599" s="1566"/>
      <c r="DE599" s="1566"/>
      <c r="DF599" s="1566"/>
      <c r="DG599" s="1566"/>
      <c r="DH599" s="1566">
        <f t="shared" si="14"/>
        <v>0</v>
      </c>
      <c r="DI599" s="1566"/>
      <c r="DJ599" s="1566"/>
      <c r="DK599" s="1566"/>
      <c r="DL599" s="1566"/>
      <c r="DM599" s="1566">
        <f t="shared" si="15"/>
        <v>0</v>
      </c>
      <c r="DN599" s="1566"/>
      <c r="DO599" s="1566"/>
      <c r="DP599" s="1566"/>
      <c r="DQ599" s="1566"/>
      <c r="DR599" s="1566">
        <f t="shared" si="16"/>
        <v>0</v>
      </c>
      <c r="DS599" s="1566"/>
      <c r="DT599" s="1566"/>
      <c r="DU599" s="1566"/>
      <c r="DV599" s="1566"/>
      <c r="DX599" s="1561" t="str">
        <f t="shared" si="17"/>
        <v/>
      </c>
      <c r="DY599" s="1562"/>
      <c r="DZ599" s="1562"/>
      <c r="EA599" s="1562"/>
      <c r="EB599" s="1563"/>
      <c r="EC599" s="1561">
        <f t="shared" si="18"/>
        <v>1101</v>
      </c>
      <c r="ED599" s="1562"/>
      <c r="EE599" s="1562"/>
      <c r="EF599" s="1562"/>
      <c r="EG599" s="1563"/>
      <c r="EH599" s="1561" t="str">
        <f t="shared" si="19"/>
        <v/>
      </c>
      <c r="EI599" s="1562"/>
      <c r="EJ599" s="1562"/>
      <c r="EK599" s="1562"/>
      <c r="EL599" s="1563"/>
      <c r="EM599" s="1561" t="str">
        <f t="shared" si="20"/>
        <v/>
      </c>
      <c r="EN599" s="1562"/>
      <c r="EO599" s="1562"/>
      <c r="EP599" s="1562"/>
      <c r="EQ599" s="1563"/>
      <c r="ER599" s="1561" t="str">
        <f t="shared" si="21"/>
        <v/>
      </c>
      <c r="ES599" s="1562"/>
      <c r="ET599" s="1562"/>
      <c r="EU599" s="1562"/>
      <c r="EV599" s="1563"/>
      <c r="EW599" s="1561" t="str">
        <f t="shared" si="22"/>
        <v/>
      </c>
      <c r="EX599" s="1562"/>
      <c r="EY599" s="1562"/>
      <c r="EZ599" s="1562"/>
      <c r="FA599" s="1563"/>
    </row>
    <row r="600" spans="1:157" ht="12.95" customHeight="1">
      <c r="A600" s="22"/>
      <c r="T600" s="22"/>
      <c r="BA600" s="4" t="s">
        <v>165</v>
      </c>
      <c r="BB600" s="3"/>
      <c r="BC600" s="3"/>
      <c r="BD600" s="3"/>
      <c r="BE600" s="1561">
        <f t="shared" si="1"/>
        <v>1</v>
      </c>
      <c r="BF600" s="1563"/>
      <c r="BG600" s="1572">
        <f t="shared" si="2"/>
        <v>4</v>
      </c>
      <c r="BH600" s="1573"/>
      <c r="BI600" s="1561">
        <f t="shared" si="3"/>
        <v>0</v>
      </c>
      <c r="BJ600" s="1563"/>
      <c r="BK600" s="1572">
        <f t="shared" si="4"/>
        <v>0</v>
      </c>
      <c r="BL600" s="1573"/>
      <c r="BM600" s="3"/>
      <c r="BN600" s="1558">
        <f t="shared" si="5"/>
        <v>0</v>
      </c>
      <c r="BO600" s="1559"/>
      <c r="BP600" s="1559"/>
      <c r="BQ600" s="1559"/>
      <c r="BR600" s="1560"/>
      <c r="BS600" s="1564">
        <f t="shared" si="6"/>
        <v>0</v>
      </c>
      <c r="BT600" s="1564"/>
      <c r="BU600" s="1564"/>
      <c r="BV600" s="1564"/>
      <c r="BW600" s="1564"/>
      <c r="BX600" s="1564">
        <f t="shared" si="7"/>
        <v>4</v>
      </c>
      <c r="BY600" s="1564"/>
      <c r="BZ600" s="1564"/>
      <c r="CA600" s="1564"/>
      <c r="CB600" s="1564"/>
      <c r="CC600" s="1564">
        <f t="shared" si="8"/>
        <v>0</v>
      </c>
      <c r="CD600" s="1564"/>
      <c r="CE600" s="1564"/>
      <c r="CF600" s="1564"/>
      <c r="CG600" s="1564"/>
      <c r="CH600" s="1564">
        <f t="shared" si="9"/>
        <v>0</v>
      </c>
      <c r="CI600" s="1564"/>
      <c r="CJ600" s="1564"/>
      <c r="CK600" s="1564"/>
      <c r="CL600" s="1564"/>
      <c r="CM600" s="1564">
        <f t="shared" si="10"/>
        <v>0</v>
      </c>
      <c r="CN600" s="1564"/>
      <c r="CO600" s="1564"/>
      <c r="CP600" s="1564"/>
      <c r="CQ600" s="1564"/>
      <c r="CR600" s="6"/>
      <c r="CS600" s="1566">
        <f t="shared" si="11"/>
        <v>0</v>
      </c>
      <c r="CT600" s="1566"/>
      <c r="CU600" s="1566"/>
      <c r="CV600" s="1566"/>
      <c r="CW600" s="1566"/>
      <c r="CX600" s="1566">
        <f t="shared" si="12"/>
        <v>0</v>
      </c>
      <c r="CY600" s="1566"/>
      <c r="CZ600" s="1566"/>
      <c r="DA600" s="1566"/>
      <c r="DB600" s="1566"/>
      <c r="DC600" s="1566">
        <f t="shared" si="13"/>
        <v>0</v>
      </c>
      <c r="DD600" s="1566"/>
      <c r="DE600" s="1566"/>
      <c r="DF600" s="1566"/>
      <c r="DG600" s="1566"/>
      <c r="DH600" s="1566">
        <f t="shared" si="14"/>
        <v>0</v>
      </c>
      <c r="DI600" s="1566"/>
      <c r="DJ600" s="1566"/>
      <c r="DK600" s="1566"/>
      <c r="DL600" s="1566"/>
      <c r="DM600" s="1566">
        <f t="shared" si="15"/>
        <v>0</v>
      </c>
      <c r="DN600" s="1566"/>
      <c r="DO600" s="1566"/>
      <c r="DP600" s="1566"/>
      <c r="DQ600" s="1566"/>
      <c r="DR600" s="1566">
        <f t="shared" si="16"/>
        <v>0</v>
      </c>
      <c r="DS600" s="1566"/>
      <c r="DT600" s="1566"/>
      <c r="DU600" s="1566"/>
      <c r="DV600" s="1566"/>
      <c r="DX600" s="1561" t="str">
        <f t="shared" si="17"/>
        <v/>
      </c>
      <c r="DY600" s="1562"/>
      <c r="DZ600" s="1562"/>
      <c r="EA600" s="1562"/>
      <c r="EB600" s="1563"/>
      <c r="EC600" s="1561" t="str">
        <f t="shared" si="18"/>
        <v/>
      </c>
      <c r="ED600" s="1562"/>
      <c r="EE600" s="1562"/>
      <c r="EF600" s="1562"/>
      <c r="EG600" s="1563"/>
      <c r="EH600" s="1561">
        <f t="shared" si="19"/>
        <v>1315</v>
      </c>
      <c r="EI600" s="1562"/>
      <c r="EJ600" s="1562"/>
      <c r="EK600" s="1562"/>
      <c r="EL600" s="1563"/>
      <c r="EM600" s="1561" t="str">
        <f t="shared" si="20"/>
        <v/>
      </c>
      <c r="EN600" s="1562"/>
      <c r="EO600" s="1562"/>
      <c r="EP600" s="1562"/>
      <c r="EQ600" s="1563"/>
      <c r="ER600" s="1561" t="str">
        <f t="shared" si="21"/>
        <v/>
      </c>
      <c r="ES600" s="1562"/>
      <c r="ET600" s="1562"/>
      <c r="EU600" s="1562"/>
      <c r="EV600" s="1563"/>
      <c r="EW600" s="1561" t="str">
        <f t="shared" si="22"/>
        <v/>
      </c>
      <c r="EX600" s="1562"/>
      <c r="EY600" s="1562"/>
      <c r="EZ600" s="1562"/>
      <c r="FA600" s="1563"/>
    </row>
    <row r="601" spans="1:157" ht="12.95" customHeight="1">
      <c r="A601" s="55" t="s">
        <v>470</v>
      </c>
      <c r="B601" t="s">
        <v>472</v>
      </c>
      <c r="G601" s="1499">
        <f>C562</f>
        <v>0</v>
      </c>
      <c r="H601" s="1499"/>
      <c r="I601" s="1499"/>
      <c r="J601" s="1499"/>
      <c r="K601" s="1499"/>
      <c r="L601" s="1499"/>
      <c r="M601" s="1499"/>
      <c r="N601" s="1499"/>
      <c r="O601" s="1499"/>
      <c r="P601" s="1499"/>
      <c r="Q601" s="1499"/>
      <c r="R601" s="1499"/>
      <c r="T601" s="55" t="s">
        <v>655</v>
      </c>
      <c r="U601" t="s">
        <v>472</v>
      </c>
      <c r="Z601" s="1499">
        <f>C563</f>
        <v>0</v>
      </c>
      <c r="AA601" s="1499"/>
      <c r="AB601" s="1499"/>
      <c r="AC601" s="1499"/>
      <c r="AD601" s="1499"/>
      <c r="AE601" s="1499"/>
      <c r="AF601" s="1499"/>
      <c r="AG601" s="1499"/>
      <c r="AH601" s="1499"/>
      <c r="AI601" s="1499"/>
      <c r="AJ601" s="1499"/>
      <c r="AK601" s="1499"/>
      <c r="BA601" s="4" t="s">
        <v>30</v>
      </c>
      <c r="BB601" s="3"/>
      <c r="BC601" s="3"/>
      <c r="BD601" s="3"/>
      <c r="BE601" s="1561">
        <f t="shared" si="1"/>
        <v>0</v>
      </c>
      <c r="BF601" s="1563"/>
      <c r="BG601" s="1572">
        <f t="shared" si="2"/>
        <v>0</v>
      </c>
      <c r="BH601" s="1573"/>
      <c r="BI601" s="1561">
        <f t="shared" si="3"/>
        <v>0</v>
      </c>
      <c r="BJ601" s="1563"/>
      <c r="BK601" s="1572">
        <f t="shared" si="4"/>
        <v>0</v>
      </c>
      <c r="BL601" s="1573"/>
      <c r="BM601" s="3"/>
      <c r="BN601" s="1558">
        <f t="shared" si="5"/>
        <v>0</v>
      </c>
      <c r="BO601" s="1559"/>
      <c r="BP601" s="1559"/>
      <c r="BQ601" s="1559"/>
      <c r="BR601" s="1560"/>
      <c r="BS601" s="1564">
        <f t="shared" si="6"/>
        <v>0</v>
      </c>
      <c r="BT601" s="1564"/>
      <c r="BU601" s="1564"/>
      <c r="BV601" s="1564"/>
      <c r="BW601" s="1564"/>
      <c r="BX601" s="1564">
        <f t="shared" si="7"/>
        <v>0</v>
      </c>
      <c r="BY601" s="1564"/>
      <c r="BZ601" s="1564"/>
      <c r="CA601" s="1564"/>
      <c r="CB601" s="1564"/>
      <c r="CC601" s="1564">
        <f t="shared" si="8"/>
        <v>0</v>
      </c>
      <c r="CD601" s="1564"/>
      <c r="CE601" s="1564"/>
      <c r="CF601" s="1564"/>
      <c r="CG601" s="1564"/>
      <c r="CH601" s="1564">
        <f t="shared" si="9"/>
        <v>0</v>
      </c>
      <c r="CI601" s="1564"/>
      <c r="CJ601" s="1564"/>
      <c r="CK601" s="1564"/>
      <c r="CL601" s="1564"/>
      <c r="CM601" s="1564">
        <f t="shared" si="10"/>
        <v>0</v>
      </c>
      <c r="CN601" s="1564"/>
      <c r="CO601" s="1564"/>
      <c r="CP601" s="1564"/>
      <c r="CQ601" s="1564"/>
      <c r="CR601" s="6"/>
      <c r="CS601" s="1566">
        <f t="shared" si="11"/>
        <v>0</v>
      </c>
      <c r="CT601" s="1566"/>
      <c r="CU601" s="1566"/>
      <c r="CV601" s="1566"/>
      <c r="CW601" s="1566"/>
      <c r="CX601" s="1566">
        <f t="shared" si="12"/>
        <v>0</v>
      </c>
      <c r="CY601" s="1566"/>
      <c r="CZ601" s="1566"/>
      <c r="DA601" s="1566"/>
      <c r="DB601" s="1566"/>
      <c r="DC601" s="1566">
        <f t="shared" si="13"/>
        <v>0</v>
      </c>
      <c r="DD601" s="1566"/>
      <c r="DE601" s="1566"/>
      <c r="DF601" s="1566"/>
      <c r="DG601" s="1566"/>
      <c r="DH601" s="1566">
        <f t="shared" si="14"/>
        <v>0</v>
      </c>
      <c r="DI601" s="1566"/>
      <c r="DJ601" s="1566"/>
      <c r="DK601" s="1566"/>
      <c r="DL601" s="1566"/>
      <c r="DM601" s="1566">
        <f t="shared" si="15"/>
        <v>0</v>
      </c>
      <c r="DN601" s="1566"/>
      <c r="DO601" s="1566"/>
      <c r="DP601" s="1566"/>
      <c r="DQ601" s="1566"/>
      <c r="DR601" s="1566">
        <f t="shared" si="16"/>
        <v>0</v>
      </c>
      <c r="DS601" s="1566"/>
      <c r="DT601" s="1566"/>
      <c r="DU601" s="1566"/>
      <c r="DV601" s="1566"/>
      <c r="DX601" s="1561" t="str">
        <f t="shared" si="17"/>
        <v/>
      </c>
      <c r="DY601" s="1562"/>
      <c r="DZ601" s="1562"/>
      <c r="EA601" s="1562"/>
      <c r="EB601" s="1563"/>
      <c r="EC601" s="1561" t="str">
        <f t="shared" si="18"/>
        <v/>
      </c>
      <c r="ED601" s="1562"/>
      <c r="EE601" s="1562"/>
      <c r="EF601" s="1562"/>
      <c r="EG601" s="1563"/>
      <c r="EH601" s="1561" t="str">
        <f t="shared" si="19"/>
        <v/>
      </c>
      <c r="EI601" s="1562"/>
      <c r="EJ601" s="1562"/>
      <c r="EK601" s="1562"/>
      <c r="EL601" s="1563"/>
      <c r="EM601" s="1561" t="str">
        <f t="shared" si="20"/>
        <v/>
      </c>
      <c r="EN601" s="1562"/>
      <c r="EO601" s="1562"/>
      <c r="EP601" s="1562"/>
      <c r="EQ601" s="1563"/>
      <c r="ER601" s="1561" t="str">
        <f t="shared" si="21"/>
        <v/>
      </c>
      <c r="ES601" s="1562"/>
      <c r="ET601" s="1562"/>
      <c r="EU601" s="1562"/>
      <c r="EV601" s="1563"/>
      <c r="EW601" s="1561" t="str">
        <f t="shared" si="22"/>
        <v/>
      </c>
      <c r="EX601" s="1562"/>
      <c r="EY601" s="1562"/>
      <c r="EZ601" s="1562"/>
      <c r="FA601" s="1563"/>
    </row>
    <row r="602" spans="1:157" ht="12.95" customHeight="1">
      <c r="A602" s="22"/>
      <c r="B602" t="s">
        <v>85</v>
      </c>
      <c r="G602" s="1486"/>
      <c r="H602" s="1486"/>
      <c r="I602" s="1486"/>
      <c r="J602" s="1486"/>
      <c r="K602" s="1486"/>
      <c r="L602" s="1486"/>
      <c r="M602" s="1486"/>
      <c r="N602" s="1486"/>
      <c r="O602" s="1486"/>
      <c r="P602" s="1486"/>
      <c r="Q602" s="1486"/>
      <c r="R602" s="1486"/>
      <c r="T602" s="22"/>
      <c r="U602" t="s">
        <v>85</v>
      </c>
      <c r="Z602" s="1486"/>
      <c r="AA602" s="1486"/>
      <c r="AB602" s="1486"/>
      <c r="AC602" s="1486"/>
      <c r="AD602" s="1486"/>
      <c r="AE602" s="1486"/>
      <c r="AF602" s="1486"/>
      <c r="AG602" s="1486"/>
      <c r="AH602" s="1486"/>
      <c r="AI602" s="1486"/>
      <c r="AJ602" s="1486"/>
      <c r="AK602" s="1486"/>
      <c r="AZ602" s="3"/>
      <c r="BA602" s="3"/>
      <c r="BB602" s="3"/>
      <c r="BC602" s="3"/>
      <c r="BD602" s="3"/>
      <c r="BE602" s="1561">
        <f t="shared" si="1"/>
        <v>0</v>
      </c>
      <c r="BF602" s="1563"/>
      <c r="BG602" s="1572">
        <f t="shared" si="2"/>
        <v>0</v>
      </c>
      <c r="BH602" s="1573"/>
      <c r="BI602" s="1561">
        <f t="shared" si="3"/>
        <v>0</v>
      </c>
      <c r="BJ602" s="1563"/>
      <c r="BK602" s="1572">
        <f t="shared" si="4"/>
        <v>0</v>
      </c>
      <c r="BL602" s="1573"/>
      <c r="BM602" s="3"/>
      <c r="BN602" s="1558">
        <f t="shared" si="5"/>
        <v>0</v>
      </c>
      <c r="BO602" s="1559"/>
      <c r="BP602" s="1559"/>
      <c r="BQ602" s="1559"/>
      <c r="BR602" s="1560"/>
      <c r="BS602" s="1564">
        <f t="shared" si="6"/>
        <v>0</v>
      </c>
      <c r="BT602" s="1564"/>
      <c r="BU602" s="1564"/>
      <c r="BV602" s="1564"/>
      <c r="BW602" s="1564"/>
      <c r="BX602" s="1564">
        <f t="shared" si="7"/>
        <v>0</v>
      </c>
      <c r="BY602" s="1564"/>
      <c r="BZ602" s="1564"/>
      <c r="CA602" s="1564"/>
      <c r="CB602" s="1564"/>
      <c r="CC602" s="1564">
        <f t="shared" si="8"/>
        <v>0</v>
      </c>
      <c r="CD602" s="1564"/>
      <c r="CE602" s="1564"/>
      <c r="CF602" s="1564"/>
      <c r="CG602" s="1564"/>
      <c r="CH602" s="1564">
        <f t="shared" si="9"/>
        <v>0</v>
      </c>
      <c r="CI602" s="1564"/>
      <c r="CJ602" s="1564"/>
      <c r="CK602" s="1564"/>
      <c r="CL602" s="1564"/>
      <c r="CM602" s="1564">
        <f t="shared" si="10"/>
        <v>0</v>
      </c>
      <c r="CN602" s="1564"/>
      <c r="CO602" s="1564"/>
      <c r="CP602" s="1564"/>
      <c r="CQ602" s="1564"/>
      <c r="CR602" s="6"/>
      <c r="CS602" s="1566">
        <f t="shared" si="11"/>
        <v>0</v>
      </c>
      <c r="CT602" s="1566"/>
      <c r="CU602" s="1566"/>
      <c r="CV602" s="1566"/>
      <c r="CW602" s="1566"/>
      <c r="CX602" s="1566">
        <f t="shared" si="12"/>
        <v>0</v>
      </c>
      <c r="CY602" s="1566"/>
      <c r="CZ602" s="1566"/>
      <c r="DA602" s="1566"/>
      <c r="DB602" s="1566"/>
      <c r="DC602" s="1566">
        <f t="shared" si="13"/>
        <v>0</v>
      </c>
      <c r="DD602" s="1566"/>
      <c r="DE602" s="1566"/>
      <c r="DF602" s="1566"/>
      <c r="DG602" s="1566"/>
      <c r="DH602" s="1566">
        <f t="shared" si="14"/>
        <v>0</v>
      </c>
      <c r="DI602" s="1566"/>
      <c r="DJ602" s="1566"/>
      <c r="DK602" s="1566"/>
      <c r="DL602" s="1566"/>
      <c r="DM602" s="1566">
        <f t="shared" si="15"/>
        <v>0</v>
      </c>
      <c r="DN602" s="1566"/>
      <c r="DO602" s="1566"/>
      <c r="DP602" s="1566"/>
      <c r="DQ602" s="1566"/>
      <c r="DR602" s="1566">
        <f t="shared" si="16"/>
        <v>0</v>
      </c>
      <c r="DS602" s="1566"/>
      <c r="DT602" s="1566"/>
      <c r="DU602" s="1566"/>
      <c r="DV602" s="1566"/>
      <c r="DX602" s="1561" t="str">
        <f t="shared" si="17"/>
        <v/>
      </c>
      <c r="DY602" s="1562"/>
      <c r="DZ602" s="1562"/>
      <c r="EA602" s="1562"/>
      <c r="EB602" s="1563"/>
      <c r="EC602" s="1561" t="str">
        <f t="shared" si="18"/>
        <v/>
      </c>
      <c r="ED602" s="1562"/>
      <c r="EE602" s="1562"/>
      <c r="EF602" s="1562"/>
      <c r="EG602" s="1563"/>
      <c r="EH602" s="1561" t="str">
        <f t="shared" si="19"/>
        <v/>
      </c>
      <c r="EI602" s="1562"/>
      <c r="EJ602" s="1562"/>
      <c r="EK602" s="1562"/>
      <c r="EL602" s="1563"/>
      <c r="EM602" s="1561" t="str">
        <f t="shared" si="20"/>
        <v/>
      </c>
      <c r="EN602" s="1562"/>
      <c r="EO602" s="1562"/>
      <c r="EP602" s="1562"/>
      <c r="EQ602" s="1563"/>
      <c r="ER602" s="1561" t="str">
        <f t="shared" si="21"/>
        <v/>
      </c>
      <c r="ES602" s="1562"/>
      <c r="ET602" s="1562"/>
      <c r="EU602" s="1562"/>
      <c r="EV602" s="1563"/>
      <c r="EW602" s="1561" t="str">
        <f t="shared" si="22"/>
        <v/>
      </c>
      <c r="EX602" s="1562"/>
      <c r="EY602" s="1562"/>
      <c r="EZ602" s="1562"/>
      <c r="FA602" s="1563"/>
    </row>
    <row r="603" spans="1:157" ht="12.95" customHeight="1">
      <c r="A603" s="22"/>
      <c r="B603" t="s">
        <v>589</v>
      </c>
      <c r="G603" s="1486"/>
      <c r="H603" s="1486"/>
      <c r="I603" s="1486"/>
      <c r="J603" s="1486"/>
      <c r="K603" s="1486"/>
      <c r="L603" s="1486"/>
      <c r="M603" s="1486"/>
      <c r="N603" s="1486"/>
      <c r="O603" s="1486"/>
      <c r="P603" s="1486"/>
      <c r="Q603" s="1486"/>
      <c r="R603" s="1486"/>
      <c r="T603" s="22"/>
      <c r="U603" t="s">
        <v>589</v>
      </c>
      <c r="Z603" s="1514"/>
      <c r="AA603" s="1514"/>
      <c r="AB603" s="1514"/>
      <c r="AC603" s="1514"/>
      <c r="AD603" s="1514"/>
      <c r="AE603" s="1514"/>
      <c r="AF603" s="1514"/>
      <c r="AG603" s="1514"/>
      <c r="AH603" s="1514"/>
      <c r="AI603" s="1514"/>
      <c r="AJ603" s="1514"/>
      <c r="AK603" s="1514"/>
      <c r="AZ603" s="3"/>
      <c r="BA603" s="3"/>
      <c r="BB603" s="3"/>
      <c r="BC603" s="3"/>
      <c r="BD603" s="3"/>
      <c r="BE603" s="1561">
        <f t="shared" si="1"/>
        <v>0</v>
      </c>
      <c r="BF603" s="1563"/>
      <c r="BG603" s="1572">
        <f t="shared" si="2"/>
        <v>0</v>
      </c>
      <c r="BH603" s="1573"/>
      <c r="BI603" s="1561">
        <f t="shared" si="3"/>
        <v>0</v>
      </c>
      <c r="BJ603" s="1563"/>
      <c r="BK603" s="1572">
        <f t="shared" si="4"/>
        <v>0</v>
      </c>
      <c r="BL603" s="1573"/>
      <c r="BM603" s="3"/>
      <c r="BN603" s="1558">
        <f t="shared" si="5"/>
        <v>0</v>
      </c>
      <c r="BO603" s="1559"/>
      <c r="BP603" s="1559"/>
      <c r="BQ603" s="1559"/>
      <c r="BR603" s="1560"/>
      <c r="BS603" s="1564">
        <f t="shared" si="6"/>
        <v>0</v>
      </c>
      <c r="BT603" s="1564"/>
      <c r="BU603" s="1564"/>
      <c r="BV603" s="1564"/>
      <c r="BW603" s="1564"/>
      <c r="BX603" s="1564">
        <f t="shared" si="7"/>
        <v>0</v>
      </c>
      <c r="BY603" s="1564"/>
      <c r="BZ603" s="1564"/>
      <c r="CA603" s="1564"/>
      <c r="CB603" s="1564"/>
      <c r="CC603" s="1564">
        <f t="shared" si="8"/>
        <v>0</v>
      </c>
      <c r="CD603" s="1564"/>
      <c r="CE603" s="1564"/>
      <c r="CF603" s="1564"/>
      <c r="CG603" s="1564"/>
      <c r="CH603" s="1564">
        <f t="shared" si="9"/>
        <v>0</v>
      </c>
      <c r="CI603" s="1564"/>
      <c r="CJ603" s="1564"/>
      <c r="CK603" s="1564"/>
      <c r="CL603" s="1564"/>
      <c r="CM603" s="1564">
        <f t="shared" si="10"/>
        <v>0</v>
      </c>
      <c r="CN603" s="1564"/>
      <c r="CO603" s="1564"/>
      <c r="CP603" s="1564"/>
      <c r="CQ603" s="1564"/>
      <c r="CR603" s="6"/>
      <c r="CS603" s="1566">
        <f t="shared" si="11"/>
        <v>0</v>
      </c>
      <c r="CT603" s="1566"/>
      <c r="CU603" s="1566"/>
      <c r="CV603" s="1566"/>
      <c r="CW603" s="1566"/>
      <c r="CX603" s="1566">
        <f t="shared" si="12"/>
        <v>0</v>
      </c>
      <c r="CY603" s="1566"/>
      <c r="CZ603" s="1566"/>
      <c r="DA603" s="1566"/>
      <c r="DB603" s="1566"/>
      <c r="DC603" s="1566">
        <f t="shared" si="13"/>
        <v>0</v>
      </c>
      <c r="DD603" s="1566"/>
      <c r="DE603" s="1566"/>
      <c r="DF603" s="1566"/>
      <c r="DG603" s="1566"/>
      <c r="DH603" s="1566">
        <f t="shared" si="14"/>
        <v>0</v>
      </c>
      <c r="DI603" s="1566"/>
      <c r="DJ603" s="1566"/>
      <c r="DK603" s="1566"/>
      <c r="DL603" s="1566"/>
      <c r="DM603" s="1566">
        <f t="shared" si="15"/>
        <v>0</v>
      </c>
      <c r="DN603" s="1566"/>
      <c r="DO603" s="1566"/>
      <c r="DP603" s="1566"/>
      <c r="DQ603" s="1566"/>
      <c r="DR603" s="1566">
        <f t="shared" si="16"/>
        <v>0</v>
      </c>
      <c r="DS603" s="1566"/>
      <c r="DT603" s="1566"/>
      <c r="DU603" s="1566"/>
      <c r="DV603" s="1566"/>
      <c r="DX603" s="1561" t="str">
        <f t="shared" si="17"/>
        <v/>
      </c>
      <c r="DY603" s="1562"/>
      <c r="DZ603" s="1562"/>
      <c r="EA603" s="1562"/>
      <c r="EB603" s="1563"/>
      <c r="EC603" s="1561" t="str">
        <f t="shared" si="18"/>
        <v/>
      </c>
      <c r="ED603" s="1562"/>
      <c r="EE603" s="1562"/>
      <c r="EF603" s="1562"/>
      <c r="EG603" s="1563"/>
      <c r="EH603" s="1561" t="str">
        <f t="shared" si="19"/>
        <v/>
      </c>
      <c r="EI603" s="1562"/>
      <c r="EJ603" s="1562"/>
      <c r="EK603" s="1562"/>
      <c r="EL603" s="1563"/>
      <c r="EM603" s="1561" t="str">
        <f t="shared" si="20"/>
        <v/>
      </c>
      <c r="EN603" s="1562"/>
      <c r="EO603" s="1562"/>
      <c r="EP603" s="1562"/>
      <c r="EQ603" s="1563"/>
      <c r="ER603" s="1561" t="str">
        <f t="shared" si="21"/>
        <v/>
      </c>
      <c r="ES603" s="1562"/>
      <c r="ET603" s="1562"/>
      <c r="EU603" s="1562"/>
      <c r="EV603" s="1563"/>
      <c r="EW603" s="1561" t="str">
        <f t="shared" si="22"/>
        <v/>
      </c>
      <c r="EX603" s="1562"/>
      <c r="EY603" s="1562"/>
      <c r="EZ603" s="1562"/>
      <c r="FA603" s="1563"/>
    </row>
    <row r="604" spans="1:157" ht="12.95" customHeight="1">
      <c r="A604" s="22"/>
      <c r="B604" t="s">
        <v>17</v>
      </c>
      <c r="G604" s="1486"/>
      <c r="H604" s="1486"/>
      <c r="I604" s="1486"/>
      <c r="J604" s="1486"/>
      <c r="K604" s="1486"/>
      <c r="L604" s="1486"/>
      <c r="M604" s="1486"/>
      <c r="N604" s="1486"/>
      <c r="O604" s="1486"/>
      <c r="P604" s="1486"/>
      <c r="Q604" s="1486"/>
      <c r="R604" s="1486"/>
      <c r="T604" s="22"/>
      <c r="U604" t="s">
        <v>17</v>
      </c>
      <c r="Z604" s="1514"/>
      <c r="AA604" s="1514"/>
      <c r="AB604" s="1514"/>
      <c r="AC604" s="1514"/>
      <c r="AD604" s="1514"/>
      <c r="AE604" s="1514"/>
      <c r="AF604" s="1514"/>
      <c r="AG604" s="1514"/>
      <c r="AH604" s="1514"/>
      <c r="AI604" s="1514"/>
      <c r="AJ604" s="1514"/>
      <c r="AK604" s="1514"/>
      <c r="AZ604" s="3"/>
      <c r="BA604" s="3"/>
      <c r="BB604" s="3"/>
      <c r="BC604" s="3"/>
      <c r="BD604" s="3"/>
      <c r="BE604" s="1561">
        <f t="shared" si="1"/>
        <v>0</v>
      </c>
      <c r="BF604" s="1563"/>
      <c r="BG604" s="1572">
        <f t="shared" si="2"/>
        <v>0</v>
      </c>
      <c r="BH604" s="1573"/>
      <c r="BI604" s="1561">
        <f t="shared" si="3"/>
        <v>0</v>
      </c>
      <c r="BJ604" s="1563"/>
      <c r="BK604" s="1572">
        <f t="shared" si="4"/>
        <v>0</v>
      </c>
      <c r="BL604" s="1573"/>
      <c r="BM604" s="3"/>
      <c r="BN604" s="1558">
        <f t="shared" si="5"/>
        <v>0</v>
      </c>
      <c r="BO604" s="1559"/>
      <c r="BP604" s="1559"/>
      <c r="BQ604" s="1559"/>
      <c r="BR604" s="1560"/>
      <c r="BS604" s="1564">
        <f t="shared" si="6"/>
        <v>0</v>
      </c>
      <c r="BT604" s="1564"/>
      <c r="BU604" s="1564"/>
      <c r="BV604" s="1564"/>
      <c r="BW604" s="1564"/>
      <c r="BX604" s="1564">
        <f t="shared" si="7"/>
        <v>0</v>
      </c>
      <c r="BY604" s="1564"/>
      <c r="BZ604" s="1564"/>
      <c r="CA604" s="1564"/>
      <c r="CB604" s="1564"/>
      <c r="CC604" s="1564">
        <f t="shared" si="8"/>
        <v>0</v>
      </c>
      <c r="CD604" s="1564"/>
      <c r="CE604" s="1564"/>
      <c r="CF604" s="1564"/>
      <c r="CG604" s="1564"/>
      <c r="CH604" s="1564">
        <f t="shared" si="9"/>
        <v>0</v>
      </c>
      <c r="CI604" s="1564"/>
      <c r="CJ604" s="1564"/>
      <c r="CK604" s="1564"/>
      <c r="CL604" s="1564"/>
      <c r="CM604" s="1564">
        <f t="shared" si="10"/>
        <v>0</v>
      </c>
      <c r="CN604" s="1564"/>
      <c r="CO604" s="1564"/>
      <c r="CP604" s="1564"/>
      <c r="CQ604" s="1564"/>
      <c r="CR604" s="6"/>
      <c r="CS604" s="1566">
        <f t="shared" si="11"/>
        <v>0</v>
      </c>
      <c r="CT604" s="1566"/>
      <c r="CU604" s="1566"/>
      <c r="CV604" s="1566"/>
      <c r="CW604" s="1566"/>
      <c r="CX604" s="1566">
        <f t="shared" si="12"/>
        <v>0</v>
      </c>
      <c r="CY604" s="1566"/>
      <c r="CZ604" s="1566"/>
      <c r="DA604" s="1566"/>
      <c r="DB604" s="1566"/>
      <c r="DC604" s="1566">
        <f t="shared" si="13"/>
        <v>0</v>
      </c>
      <c r="DD604" s="1566"/>
      <c r="DE604" s="1566"/>
      <c r="DF604" s="1566"/>
      <c r="DG604" s="1566"/>
      <c r="DH604" s="1566">
        <f t="shared" si="14"/>
        <v>0</v>
      </c>
      <c r="DI604" s="1566"/>
      <c r="DJ604" s="1566"/>
      <c r="DK604" s="1566"/>
      <c r="DL604" s="1566"/>
      <c r="DM604" s="1566">
        <f t="shared" si="15"/>
        <v>0</v>
      </c>
      <c r="DN604" s="1566"/>
      <c r="DO604" s="1566"/>
      <c r="DP604" s="1566"/>
      <c r="DQ604" s="1566"/>
      <c r="DR604" s="1566">
        <f t="shared" si="16"/>
        <v>0</v>
      </c>
      <c r="DS604" s="1566"/>
      <c r="DT604" s="1566"/>
      <c r="DU604" s="1566"/>
      <c r="DV604" s="1566"/>
      <c r="DX604" s="1561" t="str">
        <f t="shared" si="17"/>
        <v/>
      </c>
      <c r="DY604" s="1562"/>
      <c r="DZ604" s="1562"/>
      <c r="EA604" s="1562"/>
      <c r="EB604" s="1563"/>
      <c r="EC604" s="1561" t="str">
        <f t="shared" si="18"/>
        <v/>
      </c>
      <c r="ED604" s="1562"/>
      <c r="EE604" s="1562"/>
      <c r="EF604" s="1562"/>
      <c r="EG604" s="1563"/>
      <c r="EH604" s="1561" t="str">
        <f t="shared" si="19"/>
        <v/>
      </c>
      <c r="EI604" s="1562"/>
      <c r="EJ604" s="1562"/>
      <c r="EK604" s="1562"/>
      <c r="EL604" s="1563"/>
      <c r="EM604" s="1561" t="str">
        <f t="shared" si="20"/>
        <v/>
      </c>
      <c r="EN604" s="1562"/>
      <c r="EO604" s="1562"/>
      <c r="EP604" s="1562"/>
      <c r="EQ604" s="1563"/>
      <c r="ER604" s="1561" t="str">
        <f t="shared" si="21"/>
        <v/>
      </c>
      <c r="ES604" s="1562"/>
      <c r="ET604" s="1562"/>
      <c r="EU604" s="1562"/>
      <c r="EV604" s="1563"/>
      <c r="EW604" s="1561" t="str">
        <f t="shared" si="22"/>
        <v/>
      </c>
      <c r="EX604" s="1562"/>
      <c r="EY604" s="1562"/>
      <c r="EZ604" s="1562"/>
      <c r="FA604" s="1563"/>
    </row>
    <row r="605" spans="1:157" s="4" customFormat="1" ht="12.95" customHeight="1">
      <c r="A605" s="22"/>
      <c r="B605" t="s">
        <v>317</v>
      </c>
      <c r="C605"/>
      <c r="D605"/>
      <c r="E605"/>
      <c r="F605"/>
      <c r="G605" s="1498"/>
      <c r="H605" s="1498"/>
      <c r="I605" s="1498"/>
      <c r="J605" s="1498"/>
      <c r="K605" s="1498"/>
      <c r="L605" s="1498"/>
      <c r="M605"/>
      <c r="N605"/>
      <c r="O605" s="33" t="s">
        <v>207</v>
      </c>
      <c r="P605" s="1517"/>
      <c r="Q605" s="1517"/>
      <c r="R605" s="1517"/>
      <c r="S605"/>
      <c r="T605" s="22"/>
      <c r="U605" t="s">
        <v>317</v>
      </c>
      <c r="V605"/>
      <c r="W605"/>
      <c r="X605"/>
      <c r="Y605"/>
      <c r="Z605" s="1498"/>
      <c r="AA605" s="1498"/>
      <c r="AB605" s="1498"/>
      <c r="AC605" s="1498"/>
      <c r="AD605" s="1498"/>
      <c r="AE605" s="1498"/>
      <c r="AF605"/>
      <c r="AG605"/>
      <c r="AH605" s="33" t="s">
        <v>207</v>
      </c>
      <c r="AI605" s="1517"/>
      <c r="AJ605" s="1517"/>
      <c r="AK605" s="1517"/>
      <c r="AL605"/>
      <c r="AM605"/>
      <c r="AN605"/>
      <c r="AO605"/>
      <c r="AP605"/>
      <c r="AQ605"/>
      <c r="AR605"/>
      <c r="AS605"/>
      <c r="AT605"/>
      <c r="AU605"/>
      <c r="AV605"/>
      <c r="AW605"/>
      <c r="AX605"/>
      <c r="AY605"/>
      <c r="AZ605" s="3"/>
      <c r="BA605" s="3"/>
      <c r="BB605" s="3"/>
      <c r="BC605" s="3"/>
      <c r="BD605" s="3"/>
      <c r="BE605" s="1561">
        <f t="shared" si="1"/>
        <v>0</v>
      </c>
      <c r="BF605" s="1563"/>
      <c r="BG605" s="1572">
        <f t="shared" si="2"/>
        <v>0</v>
      </c>
      <c r="BH605" s="1573"/>
      <c r="BI605" s="1561">
        <f t="shared" si="3"/>
        <v>0</v>
      </c>
      <c r="BJ605" s="1563"/>
      <c r="BK605" s="1572">
        <f t="shared" si="4"/>
        <v>0</v>
      </c>
      <c r="BL605" s="1573"/>
      <c r="BM605" s="3"/>
      <c r="BN605" s="1558">
        <f t="shared" si="5"/>
        <v>0</v>
      </c>
      <c r="BO605" s="1559"/>
      <c r="BP605" s="1559"/>
      <c r="BQ605" s="1559"/>
      <c r="BR605" s="1560"/>
      <c r="BS605" s="1564">
        <f t="shared" si="6"/>
        <v>0</v>
      </c>
      <c r="BT605" s="1564"/>
      <c r="BU605" s="1564"/>
      <c r="BV605" s="1564"/>
      <c r="BW605" s="1564"/>
      <c r="BX605" s="1564">
        <f t="shared" si="7"/>
        <v>0</v>
      </c>
      <c r="BY605" s="1564"/>
      <c r="BZ605" s="1564"/>
      <c r="CA605" s="1564"/>
      <c r="CB605" s="1564"/>
      <c r="CC605" s="1564">
        <f t="shared" si="8"/>
        <v>0</v>
      </c>
      <c r="CD605" s="1564"/>
      <c r="CE605" s="1564"/>
      <c r="CF605" s="1564"/>
      <c r="CG605" s="1564"/>
      <c r="CH605" s="1564">
        <f t="shared" si="9"/>
        <v>0</v>
      </c>
      <c r="CI605" s="1564"/>
      <c r="CJ605" s="1564"/>
      <c r="CK605" s="1564"/>
      <c r="CL605" s="1564"/>
      <c r="CM605" s="1564">
        <f t="shared" si="10"/>
        <v>0</v>
      </c>
      <c r="CN605" s="1564"/>
      <c r="CO605" s="1564"/>
      <c r="CP605" s="1564"/>
      <c r="CQ605" s="1564"/>
      <c r="CR605" s="6"/>
      <c r="CS605" s="1566">
        <f t="shared" si="11"/>
        <v>0</v>
      </c>
      <c r="CT605" s="1566"/>
      <c r="CU605" s="1566"/>
      <c r="CV605" s="1566"/>
      <c r="CW605" s="1566"/>
      <c r="CX605" s="1566">
        <f t="shared" si="12"/>
        <v>0</v>
      </c>
      <c r="CY605" s="1566"/>
      <c r="CZ605" s="1566"/>
      <c r="DA605" s="1566"/>
      <c r="DB605" s="1566"/>
      <c r="DC605" s="1566">
        <f t="shared" si="13"/>
        <v>0</v>
      </c>
      <c r="DD605" s="1566"/>
      <c r="DE605" s="1566"/>
      <c r="DF605" s="1566"/>
      <c r="DG605" s="1566"/>
      <c r="DH605" s="1566">
        <f t="shared" si="14"/>
        <v>0</v>
      </c>
      <c r="DI605" s="1566"/>
      <c r="DJ605" s="1566"/>
      <c r="DK605" s="1566"/>
      <c r="DL605" s="1566"/>
      <c r="DM605" s="1566">
        <f t="shared" si="15"/>
        <v>0</v>
      </c>
      <c r="DN605" s="1566"/>
      <c r="DO605" s="1566"/>
      <c r="DP605" s="1566"/>
      <c r="DQ605" s="1566"/>
      <c r="DR605" s="1566">
        <f t="shared" si="16"/>
        <v>0</v>
      </c>
      <c r="DS605" s="1566"/>
      <c r="DT605" s="1566"/>
      <c r="DU605" s="1566"/>
      <c r="DV605" s="1566"/>
      <c r="DX605" s="1561" t="str">
        <f t="shared" si="17"/>
        <v/>
      </c>
      <c r="DY605" s="1562"/>
      <c r="DZ605" s="1562"/>
      <c r="EA605" s="1562"/>
      <c r="EB605" s="1563"/>
      <c r="EC605" s="1561" t="str">
        <f t="shared" si="18"/>
        <v/>
      </c>
      <c r="ED605" s="1562"/>
      <c r="EE605" s="1562"/>
      <c r="EF605" s="1562"/>
      <c r="EG605" s="1563"/>
      <c r="EH605" s="1561" t="str">
        <f t="shared" si="19"/>
        <v/>
      </c>
      <c r="EI605" s="1562"/>
      <c r="EJ605" s="1562"/>
      <c r="EK605" s="1562"/>
      <c r="EL605" s="1563"/>
      <c r="EM605" s="1561" t="str">
        <f t="shared" si="20"/>
        <v/>
      </c>
      <c r="EN605" s="1562"/>
      <c r="EO605" s="1562"/>
      <c r="EP605" s="1562"/>
      <c r="EQ605" s="1563"/>
      <c r="ER605" s="1561" t="str">
        <f t="shared" si="21"/>
        <v/>
      </c>
      <c r="ES605" s="1562"/>
      <c r="ET605" s="1562"/>
      <c r="EU605" s="1562"/>
      <c r="EV605" s="1563"/>
      <c r="EW605" s="1561" t="str">
        <f t="shared" si="22"/>
        <v/>
      </c>
      <c r="EX605" s="1562"/>
      <c r="EY605" s="1562"/>
      <c r="EZ605" s="1562"/>
      <c r="FA605" s="1563"/>
    </row>
    <row r="606" spans="1:157" s="4" customFormat="1" ht="12.95" customHeight="1">
      <c r="A606" s="22"/>
      <c r="B606" t="s">
        <v>18</v>
      </c>
      <c r="C606"/>
      <c r="D606"/>
      <c r="E606"/>
      <c r="F606"/>
      <c r="G606"/>
      <c r="H606" s="1486"/>
      <c r="I606" s="1486"/>
      <c r="J606" s="1486"/>
      <c r="K606" s="1486"/>
      <c r="L606" s="1486"/>
      <c r="M606" s="1486"/>
      <c r="N606" s="1486"/>
      <c r="O606" s="1486"/>
      <c r="P606" s="1486"/>
      <c r="Q606" s="1486"/>
      <c r="R606" s="1486"/>
      <c r="S606"/>
      <c r="T606" s="22"/>
      <c r="U606" t="s">
        <v>18</v>
      </c>
      <c r="V606"/>
      <c r="W606"/>
      <c r="X606"/>
      <c r="Y606"/>
      <c r="Z606"/>
      <c r="AA606" s="1486"/>
      <c r="AB606" s="1486"/>
      <c r="AC606" s="1486"/>
      <c r="AD606" s="1486"/>
      <c r="AE606" s="1486"/>
      <c r="AF606" s="1486"/>
      <c r="AG606" s="1486"/>
      <c r="AH606" s="1486"/>
      <c r="AI606" s="1486"/>
      <c r="AJ606" s="1486"/>
      <c r="AK606" s="1486"/>
      <c r="AL606"/>
      <c r="AM606"/>
      <c r="AN606"/>
      <c r="AO606"/>
      <c r="AP606"/>
      <c r="AQ606"/>
      <c r="AR606"/>
      <c r="AS606"/>
      <c r="AT606"/>
      <c r="AU606"/>
      <c r="AV606"/>
      <c r="AW606"/>
      <c r="AX606"/>
      <c r="AY606"/>
      <c r="AZ606" s="3"/>
      <c r="BA606" s="3"/>
      <c r="BB606" s="3"/>
      <c r="BC606" s="3"/>
      <c r="BD606" s="3"/>
      <c r="BE606" s="1561">
        <f t="shared" si="1"/>
        <v>0</v>
      </c>
      <c r="BF606" s="1563"/>
      <c r="BG606" s="1572">
        <f t="shared" si="2"/>
        <v>0</v>
      </c>
      <c r="BH606" s="1573"/>
      <c r="BI606" s="1561">
        <f t="shared" si="3"/>
        <v>0</v>
      </c>
      <c r="BJ606" s="1563"/>
      <c r="BK606" s="1572">
        <f t="shared" si="4"/>
        <v>0</v>
      </c>
      <c r="BL606" s="1573"/>
      <c r="BM606" s="3"/>
      <c r="BN606" s="1558">
        <f t="shared" si="5"/>
        <v>0</v>
      </c>
      <c r="BO606" s="1559"/>
      <c r="BP606" s="1559"/>
      <c r="BQ606" s="1559"/>
      <c r="BR606" s="1560"/>
      <c r="BS606" s="1564">
        <f t="shared" si="6"/>
        <v>0</v>
      </c>
      <c r="BT606" s="1564"/>
      <c r="BU606" s="1564"/>
      <c r="BV606" s="1564"/>
      <c r="BW606" s="1564"/>
      <c r="BX606" s="1564">
        <f t="shared" si="7"/>
        <v>0</v>
      </c>
      <c r="BY606" s="1564"/>
      <c r="BZ606" s="1564"/>
      <c r="CA606" s="1564"/>
      <c r="CB606" s="1564"/>
      <c r="CC606" s="1564">
        <f t="shared" si="8"/>
        <v>0</v>
      </c>
      <c r="CD606" s="1564"/>
      <c r="CE606" s="1564"/>
      <c r="CF606" s="1564"/>
      <c r="CG606" s="1564"/>
      <c r="CH606" s="1564">
        <f t="shared" si="9"/>
        <v>0</v>
      </c>
      <c r="CI606" s="1564"/>
      <c r="CJ606" s="1564"/>
      <c r="CK606" s="1564"/>
      <c r="CL606" s="1564"/>
      <c r="CM606" s="1564">
        <f t="shared" si="10"/>
        <v>0</v>
      </c>
      <c r="CN606" s="1564"/>
      <c r="CO606" s="1564"/>
      <c r="CP606" s="1564"/>
      <c r="CQ606" s="1564"/>
      <c r="CR606" s="6"/>
      <c r="CS606" s="1566">
        <f t="shared" si="11"/>
        <v>0</v>
      </c>
      <c r="CT606" s="1566"/>
      <c r="CU606" s="1566"/>
      <c r="CV606" s="1566"/>
      <c r="CW606" s="1566"/>
      <c r="CX606" s="1566">
        <f t="shared" si="12"/>
        <v>0</v>
      </c>
      <c r="CY606" s="1566"/>
      <c r="CZ606" s="1566"/>
      <c r="DA606" s="1566"/>
      <c r="DB606" s="1566"/>
      <c r="DC606" s="1566">
        <f t="shared" si="13"/>
        <v>0</v>
      </c>
      <c r="DD606" s="1566"/>
      <c r="DE606" s="1566"/>
      <c r="DF606" s="1566"/>
      <c r="DG606" s="1566"/>
      <c r="DH606" s="1566">
        <f t="shared" si="14"/>
        <v>0</v>
      </c>
      <c r="DI606" s="1566"/>
      <c r="DJ606" s="1566"/>
      <c r="DK606" s="1566"/>
      <c r="DL606" s="1566"/>
      <c r="DM606" s="1566">
        <f t="shared" si="15"/>
        <v>0</v>
      </c>
      <c r="DN606" s="1566"/>
      <c r="DO606" s="1566"/>
      <c r="DP606" s="1566"/>
      <c r="DQ606" s="1566"/>
      <c r="DR606" s="1566">
        <f t="shared" si="16"/>
        <v>0</v>
      </c>
      <c r="DS606" s="1566"/>
      <c r="DT606" s="1566"/>
      <c r="DU606" s="1566"/>
      <c r="DV606" s="1566"/>
      <c r="DX606" s="1561" t="str">
        <f t="shared" si="17"/>
        <v/>
      </c>
      <c r="DY606" s="1562"/>
      <c r="DZ606" s="1562"/>
      <c r="EA606" s="1562"/>
      <c r="EB606" s="1563"/>
      <c r="EC606" s="1561" t="str">
        <f t="shared" si="18"/>
        <v/>
      </c>
      <c r="ED606" s="1562"/>
      <c r="EE606" s="1562"/>
      <c r="EF606" s="1562"/>
      <c r="EG606" s="1563"/>
      <c r="EH606" s="1561" t="str">
        <f t="shared" si="19"/>
        <v/>
      </c>
      <c r="EI606" s="1562"/>
      <c r="EJ606" s="1562"/>
      <c r="EK606" s="1562"/>
      <c r="EL606" s="1563"/>
      <c r="EM606" s="1561" t="str">
        <f t="shared" si="20"/>
        <v/>
      </c>
      <c r="EN606" s="1562"/>
      <c r="EO606" s="1562"/>
      <c r="EP606" s="1562"/>
      <c r="EQ606" s="1563"/>
      <c r="ER606" s="1561" t="str">
        <f t="shared" si="21"/>
        <v/>
      </c>
      <c r="ES606" s="1562"/>
      <c r="ET606" s="1562"/>
      <c r="EU606" s="1562"/>
      <c r="EV606" s="1563"/>
      <c r="EW606" s="1561" t="str">
        <f t="shared" si="22"/>
        <v/>
      </c>
      <c r="EX606" s="1562"/>
      <c r="EY606" s="1562"/>
      <c r="EZ606" s="1562"/>
      <c r="FA606" s="1563"/>
    </row>
    <row r="607" spans="1:157" s="4" customFormat="1" ht="12.95" customHeight="1">
      <c r="A607" s="22"/>
      <c r="B607" t="s">
        <v>20</v>
      </c>
      <c r="C607"/>
      <c r="D607"/>
      <c r="E607"/>
      <c r="F607"/>
      <c r="G607"/>
      <c r="H607"/>
      <c r="I607"/>
      <c r="J607"/>
      <c r="K607"/>
      <c r="L607"/>
      <c r="M607"/>
      <c r="N607" s="1484" t="s">
        <v>678</v>
      </c>
      <c r="O607" s="1484"/>
      <c r="P607"/>
      <c r="Q607"/>
      <c r="R607"/>
      <c r="S607"/>
      <c r="T607" s="22"/>
      <c r="U607" t="s">
        <v>20</v>
      </c>
      <c r="V607"/>
      <c r="W607"/>
      <c r="X607"/>
      <c r="Y607"/>
      <c r="Z607"/>
      <c r="AA607"/>
      <c r="AB607"/>
      <c r="AC607"/>
      <c r="AD607"/>
      <c r="AE607"/>
      <c r="AF607"/>
      <c r="AG607" s="1484" t="s">
        <v>678</v>
      </c>
      <c r="AH607" s="1484"/>
      <c r="AI607"/>
      <c r="AJ607"/>
      <c r="AK607"/>
      <c r="AL607"/>
      <c r="AM607"/>
      <c r="AN607"/>
      <c r="AO607"/>
      <c r="AP607"/>
      <c r="AQ607"/>
      <c r="AR607"/>
      <c r="AS607"/>
      <c r="AT607"/>
      <c r="AU607"/>
      <c r="AV607"/>
      <c r="AW607"/>
      <c r="AX607"/>
      <c r="AY607"/>
      <c r="AZ607" s="3"/>
      <c r="BA607" s="3"/>
      <c r="BB607" s="3"/>
      <c r="BC607" s="3"/>
      <c r="BD607" s="3"/>
      <c r="BE607" s="1561">
        <f t="shared" si="1"/>
        <v>0</v>
      </c>
      <c r="BF607" s="1563"/>
      <c r="BG607" s="1572">
        <f t="shared" si="2"/>
        <v>0</v>
      </c>
      <c r="BH607" s="1573"/>
      <c r="BI607" s="1561">
        <f t="shared" si="3"/>
        <v>0</v>
      </c>
      <c r="BJ607" s="1563"/>
      <c r="BK607" s="1572">
        <f t="shared" si="4"/>
        <v>0</v>
      </c>
      <c r="BL607" s="1573"/>
      <c r="BM607" s="3"/>
      <c r="BN607" s="1558">
        <f t="shared" si="5"/>
        <v>0</v>
      </c>
      <c r="BO607" s="1559"/>
      <c r="BP607" s="1559"/>
      <c r="BQ607" s="1559"/>
      <c r="BR607" s="1560"/>
      <c r="BS607" s="1564">
        <f t="shared" si="6"/>
        <v>0</v>
      </c>
      <c r="BT607" s="1564"/>
      <c r="BU607" s="1564"/>
      <c r="BV607" s="1564"/>
      <c r="BW607" s="1564"/>
      <c r="BX607" s="1564">
        <f t="shared" si="7"/>
        <v>0</v>
      </c>
      <c r="BY607" s="1564"/>
      <c r="BZ607" s="1564"/>
      <c r="CA607" s="1564"/>
      <c r="CB607" s="1564"/>
      <c r="CC607" s="1564">
        <f t="shared" si="8"/>
        <v>0</v>
      </c>
      <c r="CD607" s="1564"/>
      <c r="CE607" s="1564"/>
      <c r="CF607" s="1564"/>
      <c r="CG607" s="1564"/>
      <c r="CH607" s="1564">
        <f t="shared" si="9"/>
        <v>0</v>
      </c>
      <c r="CI607" s="1564"/>
      <c r="CJ607" s="1564"/>
      <c r="CK607" s="1564"/>
      <c r="CL607" s="1564"/>
      <c r="CM607" s="1564">
        <f t="shared" si="10"/>
        <v>0</v>
      </c>
      <c r="CN607" s="1564"/>
      <c r="CO607" s="1564"/>
      <c r="CP607" s="1564"/>
      <c r="CQ607" s="1564"/>
      <c r="CR607" s="6"/>
      <c r="CS607" s="1566">
        <f t="shared" si="11"/>
        <v>0</v>
      </c>
      <c r="CT607" s="1566"/>
      <c r="CU607" s="1566"/>
      <c r="CV607" s="1566"/>
      <c r="CW607" s="1566"/>
      <c r="CX607" s="1566">
        <f t="shared" si="12"/>
        <v>0</v>
      </c>
      <c r="CY607" s="1566"/>
      <c r="CZ607" s="1566"/>
      <c r="DA607" s="1566"/>
      <c r="DB607" s="1566"/>
      <c r="DC607" s="1566">
        <f t="shared" si="13"/>
        <v>0</v>
      </c>
      <c r="DD607" s="1566"/>
      <c r="DE607" s="1566"/>
      <c r="DF607" s="1566"/>
      <c r="DG607" s="1566"/>
      <c r="DH607" s="1566">
        <f t="shared" si="14"/>
        <v>0</v>
      </c>
      <c r="DI607" s="1566"/>
      <c r="DJ607" s="1566"/>
      <c r="DK607" s="1566"/>
      <c r="DL607" s="1566"/>
      <c r="DM607" s="1566">
        <f t="shared" si="15"/>
        <v>0</v>
      </c>
      <c r="DN607" s="1566"/>
      <c r="DO607" s="1566"/>
      <c r="DP607" s="1566"/>
      <c r="DQ607" s="1566"/>
      <c r="DR607" s="1566">
        <f t="shared" si="16"/>
        <v>0</v>
      </c>
      <c r="DS607" s="1566"/>
      <c r="DT607" s="1566"/>
      <c r="DU607" s="1566"/>
      <c r="DV607" s="1566"/>
      <c r="DX607" s="1561" t="str">
        <f t="shared" si="17"/>
        <v/>
      </c>
      <c r="DY607" s="1562"/>
      <c r="DZ607" s="1562"/>
      <c r="EA607" s="1562"/>
      <c r="EB607" s="1563"/>
      <c r="EC607" s="1561" t="str">
        <f t="shared" si="18"/>
        <v/>
      </c>
      <c r="ED607" s="1562"/>
      <c r="EE607" s="1562"/>
      <c r="EF607" s="1562"/>
      <c r="EG607" s="1563"/>
      <c r="EH607" s="1561" t="str">
        <f t="shared" si="19"/>
        <v/>
      </c>
      <c r="EI607" s="1562"/>
      <c r="EJ607" s="1562"/>
      <c r="EK607" s="1562"/>
      <c r="EL607" s="1563"/>
      <c r="EM607" s="1561" t="str">
        <f t="shared" si="20"/>
        <v/>
      </c>
      <c r="EN607" s="1562"/>
      <c r="EO607" s="1562"/>
      <c r="EP607" s="1562"/>
      <c r="EQ607" s="1563"/>
      <c r="ER607" s="1561" t="str">
        <f t="shared" si="21"/>
        <v/>
      </c>
      <c r="ES607" s="1562"/>
      <c r="ET607" s="1562"/>
      <c r="EU607" s="1562"/>
      <c r="EV607" s="1563"/>
      <c r="EW607" s="1561" t="str">
        <f t="shared" si="22"/>
        <v/>
      </c>
      <c r="EX607" s="1562"/>
      <c r="EY607" s="1562"/>
      <c r="EZ607" s="1562"/>
      <c r="FA607" s="1563"/>
    </row>
    <row r="608" spans="1:157" ht="12.95" customHeight="1">
      <c r="A608" s="22"/>
      <c r="T608" s="22"/>
      <c r="AZ608" s="3"/>
      <c r="BA608" s="3"/>
      <c r="BB608" s="3"/>
      <c r="BC608" s="3"/>
      <c r="BD608" s="3"/>
      <c r="BE608" s="1561">
        <f t="shared" si="1"/>
        <v>0</v>
      </c>
      <c r="BF608" s="1563"/>
      <c r="BG608" s="1572">
        <f t="shared" si="2"/>
        <v>0</v>
      </c>
      <c r="BH608" s="1573"/>
      <c r="BI608" s="1561">
        <f t="shared" si="3"/>
        <v>0</v>
      </c>
      <c r="BJ608" s="1563"/>
      <c r="BK608" s="1572">
        <f t="shared" si="4"/>
        <v>0</v>
      </c>
      <c r="BL608" s="1573"/>
      <c r="BM608" s="3"/>
      <c r="BN608" s="1558">
        <f t="shared" si="5"/>
        <v>0</v>
      </c>
      <c r="BO608" s="1559"/>
      <c r="BP608" s="1559"/>
      <c r="BQ608" s="1559"/>
      <c r="BR608" s="1560"/>
      <c r="BS608" s="1564">
        <f t="shared" si="6"/>
        <v>0</v>
      </c>
      <c r="BT608" s="1564"/>
      <c r="BU608" s="1564"/>
      <c r="BV608" s="1564"/>
      <c r="BW608" s="1564"/>
      <c r="BX608" s="1564">
        <f t="shared" si="7"/>
        <v>0</v>
      </c>
      <c r="BY608" s="1564"/>
      <c r="BZ608" s="1564"/>
      <c r="CA608" s="1564"/>
      <c r="CB608" s="1564"/>
      <c r="CC608" s="1564">
        <f t="shared" si="8"/>
        <v>0</v>
      </c>
      <c r="CD608" s="1564"/>
      <c r="CE608" s="1564"/>
      <c r="CF608" s="1564"/>
      <c r="CG608" s="1564"/>
      <c r="CH608" s="1564">
        <f t="shared" si="9"/>
        <v>0</v>
      </c>
      <c r="CI608" s="1564"/>
      <c r="CJ608" s="1564"/>
      <c r="CK608" s="1564"/>
      <c r="CL608" s="1564"/>
      <c r="CM608" s="1564">
        <f t="shared" si="10"/>
        <v>0</v>
      </c>
      <c r="CN608" s="1564"/>
      <c r="CO608" s="1564"/>
      <c r="CP608" s="1564"/>
      <c r="CQ608" s="1564"/>
      <c r="CR608" s="6"/>
      <c r="CS608" s="1566">
        <f t="shared" si="11"/>
        <v>0</v>
      </c>
      <c r="CT608" s="1566"/>
      <c r="CU608" s="1566"/>
      <c r="CV608" s="1566"/>
      <c r="CW608" s="1566"/>
      <c r="CX608" s="1566">
        <f t="shared" si="12"/>
        <v>0</v>
      </c>
      <c r="CY608" s="1566"/>
      <c r="CZ608" s="1566"/>
      <c r="DA608" s="1566"/>
      <c r="DB608" s="1566"/>
      <c r="DC608" s="1566">
        <f t="shared" si="13"/>
        <v>0</v>
      </c>
      <c r="DD608" s="1566"/>
      <c r="DE608" s="1566"/>
      <c r="DF608" s="1566"/>
      <c r="DG608" s="1566"/>
      <c r="DH608" s="1566">
        <f t="shared" si="14"/>
        <v>0</v>
      </c>
      <c r="DI608" s="1566"/>
      <c r="DJ608" s="1566"/>
      <c r="DK608" s="1566"/>
      <c r="DL608" s="1566"/>
      <c r="DM608" s="1566">
        <f t="shared" si="15"/>
        <v>0</v>
      </c>
      <c r="DN608" s="1566"/>
      <c r="DO608" s="1566"/>
      <c r="DP608" s="1566"/>
      <c r="DQ608" s="1566"/>
      <c r="DR608" s="1566">
        <f t="shared" si="16"/>
        <v>0</v>
      </c>
      <c r="DS608" s="1566"/>
      <c r="DT608" s="1566"/>
      <c r="DU608" s="1566"/>
      <c r="DV608" s="1566"/>
      <c r="DX608" s="1561" t="str">
        <f t="shared" si="17"/>
        <v/>
      </c>
      <c r="DY608" s="1562"/>
      <c r="DZ608" s="1562"/>
      <c r="EA608" s="1562"/>
      <c r="EB608" s="1563"/>
      <c r="EC608" s="1561" t="str">
        <f t="shared" si="18"/>
        <v/>
      </c>
      <c r="ED608" s="1562"/>
      <c r="EE608" s="1562"/>
      <c r="EF608" s="1562"/>
      <c r="EG608" s="1563"/>
      <c r="EH608" s="1561" t="str">
        <f t="shared" si="19"/>
        <v/>
      </c>
      <c r="EI608" s="1562"/>
      <c r="EJ608" s="1562"/>
      <c r="EK608" s="1562"/>
      <c r="EL608" s="1563"/>
      <c r="EM608" s="1561" t="str">
        <f t="shared" si="20"/>
        <v/>
      </c>
      <c r="EN608" s="1562"/>
      <c r="EO608" s="1562"/>
      <c r="EP608" s="1562"/>
      <c r="EQ608" s="1563"/>
      <c r="ER608" s="1561" t="str">
        <f t="shared" si="21"/>
        <v/>
      </c>
      <c r="ES608" s="1562"/>
      <c r="ET608" s="1562"/>
      <c r="EU608" s="1562"/>
      <c r="EV608" s="1563"/>
      <c r="EW608" s="1561" t="str">
        <f t="shared" si="22"/>
        <v/>
      </c>
      <c r="EX608" s="1562"/>
      <c r="EY608" s="1562"/>
      <c r="EZ608" s="1562"/>
      <c r="FA608" s="1563"/>
    </row>
    <row r="609" spans="1:157" ht="12.95" customHeight="1">
      <c r="A609" s="55" t="s">
        <v>363</v>
      </c>
      <c r="B609" t="s">
        <v>472</v>
      </c>
      <c r="G609" s="1499">
        <f>C564</f>
        <v>0</v>
      </c>
      <c r="H609" s="1499"/>
      <c r="I609" s="1499"/>
      <c r="J609" s="1499"/>
      <c r="K609" s="1499"/>
      <c r="L609" s="1499"/>
      <c r="M609" s="1499"/>
      <c r="N609" s="1499"/>
      <c r="O609" s="1499"/>
      <c r="P609" s="1499"/>
      <c r="Q609" s="1499"/>
      <c r="R609" s="1499"/>
      <c r="T609" s="55" t="s">
        <v>364</v>
      </c>
      <c r="U609" t="s">
        <v>472</v>
      </c>
      <c r="Z609" s="1499">
        <f>C565</f>
        <v>0</v>
      </c>
      <c r="AA609" s="1499"/>
      <c r="AB609" s="1499"/>
      <c r="AC609" s="1499"/>
      <c r="AD609" s="1499"/>
      <c r="AE609" s="1499"/>
      <c r="AF609" s="1499"/>
      <c r="AG609" s="1499"/>
      <c r="AH609" s="1499"/>
      <c r="AI609" s="1499"/>
      <c r="AJ609" s="1499"/>
      <c r="AK609" s="1499"/>
      <c r="AZ609" s="3"/>
      <c r="BA609" s="3"/>
      <c r="BB609" s="3"/>
      <c r="BC609" s="3"/>
      <c r="BD609" s="3"/>
      <c r="BE609" s="1561">
        <f t="shared" si="1"/>
        <v>0</v>
      </c>
      <c r="BF609" s="1563"/>
      <c r="BG609" s="1572">
        <f t="shared" si="2"/>
        <v>0</v>
      </c>
      <c r="BH609" s="1573"/>
      <c r="BI609" s="1561">
        <f t="shared" si="3"/>
        <v>0</v>
      </c>
      <c r="BJ609" s="1563"/>
      <c r="BK609" s="1572">
        <f t="shared" si="4"/>
        <v>0</v>
      </c>
      <c r="BL609" s="1573"/>
      <c r="BM609" s="3"/>
      <c r="BN609" s="1558">
        <f t="shared" si="5"/>
        <v>0</v>
      </c>
      <c r="BO609" s="1559"/>
      <c r="BP609" s="1559"/>
      <c r="BQ609" s="1559"/>
      <c r="BR609" s="1560"/>
      <c r="BS609" s="1564">
        <f t="shared" si="6"/>
        <v>0</v>
      </c>
      <c r="BT609" s="1564"/>
      <c r="BU609" s="1564"/>
      <c r="BV609" s="1564"/>
      <c r="BW609" s="1564"/>
      <c r="BX609" s="1564">
        <f t="shared" si="7"/>
        <v>0</v>
      </c>
      <c r="BY609" s="1564"/>
      <c r="BZ609" s="1564"/>
      <c r="CA609" s="1564"/>
      <c r="CB609" s="1564"/>
      <c r="CC609" s="1564">
        <f t="shared" si="8"/>
        <v>0</v>
      </c>
      <c r="CD609" s="1564"/>
      <c r="CE609" s="1564"/>
      <c r="CF609" s="1564"/>
      <c r="CG609" s="1564"/>
      <c r="CH609" s="1564">
        <f t="shared" si="9"/>
        <v>0</v>
      </c>
      <c r="CI609" s="1564"/>
      <c r="CJ609" s="1564"/>
      <c r="CK609" s="1564"/>
      <c r="CL609" s="1564"/>
      <c r="CM609" s="1564">
        <f t="shared" si="10"/>
        <v>0</v>
      </c>
      <c r="CN609" s="1564"/>
      <c r="CO609" s="1564"/>
      <c r="CP609" s="1564"/>
      <c r="CQ609" s="1564"/>
      <c r="CR609" s="6"/>
      <c r="CS609" s="1566">
        <f t="shared" si="11"/>
        <v>0</v>
      </c>
      <c r="CT609" s="1566"/>
      <c r="CU609" s="1566"/>
      <c r="CV609" s="1566"/>
      <c r="CW609" s="1566"/>
      <c r="CX609" s="1566">
        <f t="shared" si="12"/>
        <v>0</v>
      </c>
      <c r="CY609" s="1566"/>
      <c r="CZ609" s="1566"/>
      <c r="DA609" s="1566"/>
      <c r="DB609" s="1566"/>
      <c r="DC609" s="1566">
        <f t="shared" si="13"/>
        <v>0</v>
      </c>
      <c r="DD609" s="1566"/>
      <c r="DE609" s="1566"/>
      <c r="DF609" s="1566"/>
      <c r="DG609" s="1566"/>
      <c r="DH609" s="1566">
        <f t="shared" si="14"/>
        <v>0</v>
      </c>
      <c r="DI609" s="1566"/>
      <c r="DJ609" s="1566"/>
      <c r="DK609" s="1566"/>
      <c r="DL609" s="1566"/>
      <c r="DM609" s="1566">
        <f t="shared" si="15"/>
        <v>0</v>
      </c>
      <c r="DN609" s="1566"/>
      <c r="DO609" s="1566"/>
      <c r="DP609" s="1566"/>
      <c r="DQ609" s="1566"/>
      <c r="DR609" s="1566">
        <f t="shared" si="16"/>
        <v>0</v>
      </c>
      <c r="DS609" s="1566"/>
      <c r="DT609" s="1566"/>
      <c r="DU609" s="1566"/>
      <c r="DV609" s="1566"/>
      <c r="DX609" s="1561" t="str">
        <f t="shared" si="17"/>
        <v/>
      </c>
      <c r="DY609" s="1562"/>
      <c r="DZ609" s="1562"/>
      <c r="EA609" s="1562"/>
      <c r="EB609" s="1563"/>
      <c r="EC609" s="1561" t="str">
        <f t="shared" si="18"/>
        <v/>
      </c>
      <c r="ED609" s="1562"/>
      <c r="EE609" s="1562"/>
      <c r="EF609" s="1562"/>
      <c r="EG609" s="1563"/>
      <c r="EH609" s="1561" t="str">
        <f t="shared" si="19"/>
        <v/>
      </c>
      <c r="EI609" s="1562"/>
      <c r="EJ609" s="1562"/>
      <c r="EK609" s="1562"/>
      <c r="EL609" s="1563"/>
      <c r="EM609" s="1561" t="str">
        <f t="shared" si="20"/>
        <v/>
      </c>
      <c r="EN609" s="1562"/>
      <c r="EO609" s="1562"/>
      <c r="EP609" s="1562"/>
      <c r="EQ609" s="1563"/>
      <c r="ER609" s="1561" t="str">
        <f t="shared" si="21"/>
        <v/>
      </c>
      <c r="ES609" s="1562"/>
      <c r="ET609" s="1562"/>
      <c r="EU609" s="1562"/>
      <c r="EV609" s="1563"/>
      <c r="EW609" s="1561" t="str">
        <f t="shared" si="22"/>
        <v/>
      </c>
      <c r="EX609" s="1562"/>
      <c r="EY609" s="1562"/>
      <c r="EZ609" s="1562"/>
      <c r="FA609" s="1563"/>
    </row>
    <row r="610" spans="1:157" ht="12.95" customHeight="1">
      <c r="B610" t="s">
        <v>85</v>
      </c>
      <c r="G610" s="1486"/>
      <c r="H610" s="1486"/>
      <c r="I610" s="1486"/>
      <c r="J610" s="1486"/>
      <c r="K610" s="1486"/>
      <c r="L610" s="1486"/>
      <c r="M610" s="1486"/>
      <c r="N610" s="1486"/>
      <c r="O610" s="1486"/>
      <c r="P610" s="1486"/>
      <c r="Q610" s="1486"/>
      <c r="R610" s="1486"/>
      <c r="U610" t="s">
        <v>85</v>
      </c>
      <c r="Z610" s="1486"/>
      <c r="AA610" s="1486"/>
      <c r="AB610" s="1486"/>
      <c r="AC610" s="1486"/>
      <c r="AD610" s="1486"/>
      <c r="AE610" s="1486"/>
      <c r="AF610" s="1486"/>
      <c r="AG610" s="1486"/>
      <c r="AH610" s="1486"/>
      <c r="AI610" s="1486"/>
      <c r="AJ610" s="1486"/>
      <c r="AK610" s="1486"/>
      <c r="AZ610" s="3"/>
      <c r="BA610" s="3"/>
      <c r="BB610" s="3"/>
      <c r="BC610" s="3"/>
      <c r="BD610" s="3"/>
      <c r="BE610" s="1561">
        <f t="shared" si="1"/>
        <v>0</v>
      </c>
      <c r="BF610" s="1563"/>
      <c r="BG610" s="1572">
        <f t="shared" si="2"/>
        <v>0</v>
      </c>
      <c r="BH610" s="1573"/>
      <c r="BI610" s="1561">
        <f t="shared" si="3"/>
        <v>0</v>
      </c>
      <c r="BJ610" s="1563"/>
      <c r="BK610" s="1572">
        <f t="shared" si="4"/>
        <v>0</v>
      </c>
      <c r="BL610" s="1573"/>
      <c r="BM610" s="3"/>
      <c r="BN610" s="1558">
        <f t="shared" si="5"/>
        <v>0</v>
      </c>
      <c r="BO610" s="1559"/>
      <c r="BP610" s="1559"/>
      <c r="BQ610" s="1559"/>
      <c r="BR610" s="1560"/>
      <c r="BS610" s="1564">
        <f t="shared" si="6"/>
        <v>0</v>
      </c>
      <c r="BT610" s="1564"/>
      <c r="BU610" s="1564"/>
      <c r="BV610" s="1564"/>
      <c r="BW610" s="1564"/>
      <c r="BX610" s="1564">
        <f t="shared" si="7"/>
        <v>0</v>
      </c>
      <c r="BY610" s="1564"/>
      <c r="BZ610" s="1564"/>
      <c r="CA610" s="1564"/>
      <c r="CB610" s="1564"/>
      <c r="CC610" s="1564">
        <f t="shared" si="8"/>
        <v>0</v>
      </c>
      <c r="CD610" s="1564"/>
      <c r="CE610" s="1564"/>
      <c r="CF610" s="1564"/>
      <c r="CG610" s="1564"/>
      <c r="CH610" s="1564">
        <f t="shared" si="9"/>
        <v>0</v>
      </c>
      <c r="CI610" s="1564"/>
      <c r="CJ610" s="1564"/>
      <c r="CK610" s="1564"/>
      <c r="CL610" s="1564"/>
      <c r="CM610" s="1564">
        <f t="shared" si="10"/>
        <v>0</v>
      </c>
      <c r="CN610" s="1564"/>
      <c r="CO610" s="1564"/>
      <c r="CP610" s="1564"/>
      <c r="CQ610" s="1564"/>
      <c r="CR610" s="6"/>
      <c r="CS610" s="1566">
        <f t="shared" si="11"/>
        <v>0</v>
      </c>
      <c r="CT610" s="1566"/>
      <c r="CU610" s="1566"/>
      <c r="CV610" s="1566"/>
      <c r="CW610" s="1566"/>
      <c r="CX610" s="1566">
        <f t="shared" si="12"/>
        <v>0</v>
      </c>
      <c r="CY610" s="1566"/>
      <c r="CZ610" s="1566"/>
      <c r="DA610" s="1566"/>
      <c r="DB610" s="1566"/>
      <c r="DC610" s="1566">
        <f t="shared" si="13"/>
        <v>0</v>
      </c>
      <c r="DD610" s="1566"/>
      <c r="DE610" s="1566"/>
      <c r="DF610" s="1566"/>
      <c r="DG610" s="1566"/>
      <c r="DH610" s="1566">
        <f t="shared" si="14"/>
        <v>0</v>
      </c>
      <c r="DI610" s="1566"/>
      <c r="DJ610" s="1566"/>
      <c r="DK610" s="1566"/>
      <c r="DL610" s="1566"/>
      <c r="DM610" s="1566">
        <f t="shared" si="15"/>
        <v>0</v>
      </c>
      <c r="DN610" s="1566"/>
      <c r="DO610" s="1566"/>
      <c r="DP610" s="1566"/>
      <c r="DQ610" s="1566"/>
      <c r="DR610" s="1566">
        <f t="shared" si="16"/>
        <v>0</v>
      </c>
      <c r="DS610" s="1566"/>
      <c r="DT610" s="1566"/>
      <c r="DU610" s="1566"/>
      <c r="DV610" s="1566"/>
      <c r="DX610" s="1561" t="str">
        <f t="shared" si="17"/>
        <v/>
      </c>
      <c r="DY610" s="1562"/>
      <c r="DZ610" s="1562"/>
      <c r="EA610" s="1562"/>
      <c r="EB610" s="1563"/>
      <c r="EC610" s="1561" t="str">
        <f t="shared" si="18"/>
        <v/>
      </c>
      <c r="ED610" s="1562"/>
      <c r="EE610" s="1562"/>
      <c r="EF610" s="1562"/>
      <c r="EG610" s="1563"/>
      <c r="EH610" s="1561" t="str">
        <f t="shared" si="19"/>
        <v/>
      </c>
      <c r="EI610" s="1562"/>
      <c r="EJ610" s="1562"/>
      <c r="EK610" s="1562"/>
      <c r="EL610" s="1563"/>
      <c r="EM610" s="1561" t="str">
        <f t="shared" si="20"/>
        <v/>
      </c>
      <c r="EN610" s="1562"/>
      <c r="EO610" s="1562"/>
      <c r="EP610" s="1562"/>
      <c r="EQ610" s="1563"/>
      <c r="ER610" s="1561" t="str">
        <f t="shared" si="21"/>
        <v/>
      </c>
      <c r="ES610" s="1562"/>
      <c r="ET610" s="1562"/>
      <c r="EU610" s="1562"/>
      <c r="EV610" s="1563"/>
      <c r="EW610" s="1561" t="str">
        <f t="shared" si="22"/>
        <v/>
      </c>
      <c r="EX610" s="1562"/>
      <c r="EY610" s="1562"/>
      <c r="EZ610" s="1562"/>
      <c r="FA610" s="1563"/>
    </row>
    <row r="611" spans="1:157" ht="12.95" customHeight="1">
      <c r="B611" t="s">
        <v>589</v>
      </c>
      <c r="G611" s="1486"/>
      <c r="H611" s="1486"/>
      <c r="I611" s="1486"/>
      <c r="J611" s="1486"/>
      <c r="K611" s="1486"/>
      <c r="L611" s="1486"/>
      <c r="M611" s="1486"/>
      <c r="N611" s="1486"/>
      <c r="O611" s="1486"/>
      <c r="P611" s="1486"/>
      <c r="Q611" s="1486"/>
      <c r="R611" s="1486"/>
      <c r="U611" t="s">
        <v>589</v>
      </c>
      <c r="Z611" s="1514"/>
      <c r="AA611" s="1514"/>
      <c r="AB611" s="1514"/>
      <c r="AC611" s="1514"/>
      <c r="AD611" s="1514"/>
      <c r="AE611" s="1514"/>
      <c r="AF611" s="1514"/>
      <c r="AG611" s="1514"/>
      <c r="AH611" s="1514"/>
      <c r="AI611" s="1514"/>
      <c r="AJ611" s="1514"/>
      <c r="AK611" s="1514"/>
      <c r="AZ611" s="3"/>
      <c r="BA611" s="3"/>
      <c r="BB611" s="3"/>
      <c r="BC611" s="3"/>
      <c r="BD611" s="3"/>
      <c r="BE611" s="1561">
        <f t="shared" si="1"/>
        <v>0</v>
      </c>
      <c r="BF611" s="1563"/>
      <c r="BG611" s="1572">
        <f t="shared" si="2"/>
        <v>0</v>
      </c>
      <c r="BH611" s="1573"/>
      <c r="BI611" s="1561">
        <f t="shared" si="3"/>
        <v>0</v>
      </c>
      <c r="BJ611" s="1563"/>
      <c r="BK611" s="1572">
        <f t="shared" si="4"/>
        <v>0</v>
      </c>
      <c r="BL611" s="1573"/>
      <c r="BM611" s="3"/>
      <c r="BN611" s="1558">
        <f t="shared" si="5"/>
        <v>0</v>
      </c>
      <c r="BO611" s="1559"/>
      <c r="BP611" s="1559"/>
      <c r="BQ611" s="1559"/>
      <c r="BR611" s="1560"/>
      <c r="BS611" s="1564">
        <f t="shared" si="6"/>
        <v>0</v>
      </c>
      <c r="BT611" s="1564"/>
      <c r="BU611" s="1564"/>
      <c r="BV611" s="1564"/>
      <c r="BW611" s="1564"/>
      <c r="BX611" s="1564">
        <f t="shared" si="7"/>
        <v>0</v>
      </c>
      <c r="BY611" s="1564"/>
      <c r="BZ611" s="1564"/>
      <c r="CA611" s="1564"/>
      <c r="CB611" s="1564"/>
      <c r="CC611" s="1564">
        <f t="shared" si="8"/>
        <v>0</v>
      </c>
      <c r="CD611" s="1564"/>
      <c r="CE611" s="1564"/>
      <c r="CF611" s="1564"/>
      <c r="CG611" s="1564"/>
      <c r="CH611" s="1564">
        <f t="shared" si="9"/>
        <v>0</v>
      </c>
      <c r="CI611" s="1564"/>
      <c r="CJ611" s="1564"/>
      <c r="CK611" s="1564"/>
      <c r="CL611" s="1564"/>
      <c r="CM611" s="1564">
        <f t="shared" si="10"/>
        <v>0</v>
      </c>
      <c r="CN611" s="1564"/>
      <c r="CO611" s="1564"/>
      <c r="CP611" s="1564"/>
      <c r="CQ611" s="1564"/>
      <c r="CR611" s="6"/>
      <c r="CS611" s="1566">
        <f t="shared" si="11"/>
        <v>0</v>
      </c>
      <c r="CT611" s="1566"/>
      <c r="CU611" s="1566"/>
      <c r="CV611" s="1566"/>
      <c r="CW611" s="1566"/>
      <c r="CX611" s="1566">
        <f t="shared" si="12"/>
        <v>0</v>
      </c>
      <c r="CY611" s="1566"/>
      <c r="CZ611" s="1566"/>
      <c r="DA611" s="1566"/>
      <c r="DB611" s="1566"/>
      <c r="DC611" s="1566">
        <f t="shared" si="13"/>
        <v>0</v>
      </c>
      <c r="DD611" s="1566"/>
      <c r="DE611" s="1566"/>
      <c r="DF611" s="1566"/>
      <c r="DG611" s="1566"/>
      <c r="DH611" s="1566">
        <f t="shared" si="14"/>
        <v>0</v>
      </c>
      <c r="DI611" s="1566"/>
      <c r="DJ611" s="1566"/>
      <c r="DK611" s="1566"/>
      <c r="DL611" s="1566"/>
      <c r="DM611" s="1566">
        <f t="shared" si="15"/>
        <v>0</v>
      </c>
      <c r="DN611" s="1566"/>
      <c r="DO611" s="1566"/>
      <c r="DP611" s="1566"/>
      <c r="DQ611" s="1566"/>
      <c r="DR611" s="1566">
        <f t="shared" si="16"/>
        <v>0</v>
      </c>
      <c r="DS611" s="1566"/>
      <c r="DT611" s="1566"/>
      <c r="DU611" s="1566"/>
      <c r="DV611" s="1566"/>
      <c r="DX611" s="1561" t="str">
        <f t="shared" si="17"/>
        <v/>
      </c>
      <c r="DY611" s="1562"/>
      <c r="DZ611" s="1562"/>
      <c r="EA611" s="1562"/>
      <c r="EB611" s="1563"/>
      <c r="EC611" s="1561" t="str">
        <f t="shared" si="18"/>
        <v/>
      </c>
      <c r="ED611" s="1562"/>
      <c r="EE611" s="1562"/>
      <c r="EF611" s="1562"/>
      <c r="EG611" s="1563"/>
      <c r="EH611" s="1561" t="str">
        <f t="shared" si="19"/>
        <v/>
      </c>
      <c r="EI611" s="1562"/>
      <c r="EJ611" s="1562"/>
      <c r="EK611" s="1562"/>
      <c r="EL611" s="1563"/>
      <c r="EM611" s="1561" t="str">
        <f t="shared" si="20"/>
        <v/>
      </c>
      <c r="EN611" s="1562"/>
      <c r="EO611" s="1562"/>
      <c r="EP611" s="1562"/>
      <c r="EQ611" s="1563"/>
      <c r="ER611" s="1561" t="str">
        <f t="shared" si="21"/>
        <v/>
      </c>
      <c r="ES611" s="1562"/>
      <c r="ET611" s="1562"/>
      <c r="EU611" s="1562"/>
      <c r="EV611" s="1563"/>
      <c r="EW611" s="1561" t="str">
        <f t="shared" si="22"/>
        <v/>
      </c>
      <c r="EX611" s="1562"/>
      <c r="EY611" s="1562"/>
      <c r="EZ611" s="1562"/>
      <c r="FA611" s="1563"/>
    </row>
    <row r="612" spans="1:157" ht="12.95" customHeight="1">
      <c r="B612" t="s">
        <v>17</v>
      </c>
      <c r="G612" s="1486"/>
      <c r="H612" s="1486"/>
      <c r="I612" s="1486"/>
      <c r="J612" s="1486"/>
      <c r="K612" s="1486"/>
      <c r="L612" s="1486"/>
      <c r="M612" s="1486"/>
      <c r="N612" s="1486"/>
      <c r="O612" s="1486"/>
      <c r="P612" s="1486"/>
      <c r="Q612" s="1486"/>
      <c r="R612" s="1486"/>
      <c r="U612" t="s">
        <v>17</v>
      </c>
      <c r="Z612" s="1514"/>
      <c r="AA612" s="1514"/>
      <c r="AB612" s="1514"/>
      <c r="AC612" s="1514"/>
      <c r="AD612" s="1514"/>
      <c r="AE612" s="1514"/>
      <c r="AF612" s="1514"/>
      <c r="AG612" s="1514"/>
      <c r="AH612" s="1514"/>
      <c r="AI612" s="1514"/>
      <c r="AJ612" s="1514"/>
      <c r="AK612" s="1514"/>
      <c r="AZ612" s="3"/>
      <c r="BA612" s="3"/>
      <c r="BB612" s="3"/>
      <c r="BC612" s="3"/>
      <c r="BD612" s="3"/>
      <c r="BE612" s="1561">
        <f t="shared" si="1"/>
        <v>0</v>
      </c>
      <c r="BF612" s="1563"/>
      <c r="BG612" s="1572">
        <f t="shared" si="2"/>
        <v>0</v>
      </c>
      <c r="BH612" s="1573"/>
      <c r="BI612" s="1561">
        <f t="shared" si="3"/>
        <v>0</v>
      </c>
      <c r="BJ612" s="1563"/>
      <c r="BK612" s="1572">
        <f t="shared" si="4"/>
        <v>0</v>
      </c>
      <c r="BL612" s="1573"/>
      <c r="BM612" s="3"/>
      <c r="BN612" s="1558">
        <f t="shared" si="5"/>
        <v>0</v>
      </c>
      <c r="BO612" s="1559"/>
      <c r="BP612" s="1559"/>
      <c r="BQ612" s="1559"/>
      <c r="BR612" s="1560"/>
      <c r="BS612" s="1564">
        <f t="shared" si="6"/>
        <v>0</v>
      </c>
      <c r="BT612" s="1564"/>
      <c r="BU612" s="1564"/>
      <c r="BV612" s="1564"/>
      <c r="BW612" s="1564"/>
      <c r="BX612" s="1564">
        <f t="shared" si="7"/>
        <v>0</v>
      </c>
      <c r="BY612" s="1564"/>
      <c r="BZ612" s="1564"/>
      <c r="CA612" s="1564"/>
      <c r="CB612" s="1564"/>
      <c r="CC612" s="1564">
        <f t="shared" si="8"/>
        <v>0</v>
      </c>
      <c r="CD612" s="1564"/>
      <c r="CE612" s="1564"/>
      <c r="CF612" s="1564"/>
      <c r="CG612" s="1564"/>
      <c r="CH612" s="1564">
        <f t="shared" si="9"/>
        <v>0</v>
      </c>
      <c r="CI612" s="1564"/>
      <c r="CJ612" s="1564"/>
      <c r="CK612" s="1564"/>
      <c r="CL612" s="1564"/>
      <c r="CM612" s="1564">
        <f t="shared" si="10"/>
        <v>0</v>
      </c>
      <c r="CN612" s="1564"/>
      <c r="CO612" s="1564"/>
      <c r="CP612" s="1564"/>
      <c r="CQ612" s="1564"/>
      <c r="CR612" s="6"/>
      <c r="CS612" s="1566">
        <f t="shared" si="11"/>
        <v>0</v>
      </c>
      <c r="CT612" s="1566"/>
      <c r="CU612" s="1566"/>
      <c r="CV612" s="1566"/>
      <c r="CW612" s="1566"/>
      <c r="CX612" s="1566">
        <f t="shared" si="12"/>
        <v>0</v>
      </c>
      <c r="CY612" s="1566"/>
      <c r="CZ612" s="1566"/>
      <c r="DA612" s="1566"/>
      <c r="DB612" s="1566"/>
      <c r="DC612" s="1566">
        <f t="shared" si="13"/>
        <v>0</v>
      </c>
      <c r="DD612" s="1566"/>
      <c r="DE612" s="1566"/>
      <c r="DF612" s="1566"/>
      <c r="DG612" s="1566"/>
      <c r="DH612" s="1566">
        <f t="shared" si="14"/>
        <v>0</v>
      </c>
      <c r="DI612" s="1566"/>
      <c r="DJ612" s="1566"/>
      <c r="DK612" s="1566"/>
      <c r="DL612" s="1566"/>
      <c r="DM612" s="1566">
        <f t="shared" si="15"/>
        <v>0</v>
      </c>
      <c r="DN612" s="1566"/>
      <c r="DO612" s="1566"/>
      <c r="DP612" s="1566"/>
      <c r="DQ612" s="1566"/>
      <c r="DR612" s="1566">
        <f t="shared" si="16"/>
        <v>0</v>
      </c>
      <c r="DS612" s="1566"/>
      <c r="DT612" s="1566"/>
      <c r="DU612" s="1566"/>
      <c r="DV612" s="1566"/>
      <c r="DX612" s="1561" t="str">
        <f t="shared" si="17"/>
        <v/>
      </c>
      <c r="DY612" s="1562"/>
      <c r="DZ612" s="1562"/>
      <c r="EA612" s="1562"/>
      <c r="EB612" s="1563"/>
      <c r="EC612" s="1561" t="str">
        <f t="shared" si="18"/>
        <v/>
      </c>
      <c r="ED612" s="1562"/>
      <c r="EE612" s="1562"/>
      <c r="EF612" s="1562"/>
      <c r="EG612" s="1563"/>
      <c r="EH612" s="1561" t="str">
        <f t="shared" si="19"/>
        <v/>
      </c>
      <c r="EI612" s="1562"/>
      <c r="EJ612" s="1562"/>
      <c r="EK612" s="1562"/>
      <c r="EL612" s="1563"/>
      <c r="EM612" s="1561" t="str">
        <f t="shared" si="20"/>
        <v/>
      </c>
      <c r="EN612" s="1562"/>
      <c r="EO612" s="1562"/>
      <c r="EP612" s="1562"/>
      <c r="EQ612" s="1563"/>
      <c r="ER612" s="1561" t="str">
        <f t="shared" si="21"/>
        <v/>
      </c>
      <c r="ES612" s="1562"/>
      <c r="ET612" s="1562"/>
      <c r="EU612" s="1562"/>
      <c r="EV612" s="1563"/>
      <c r="EW612" s="1561" t="str">
        <f t="shared" si="22"/>
        <v/>
      </c>
      <c r="EX612" s="1562"/>
      <c r="EY612" s="1562"/>
      <c r="EZ612" s="1562"/>
      <c r="FA612" s="1563"/>
    </row>
    <row r="613" spans="1:157" ht="12.95" customHeight="1">
      <c r="B613" t="s">
        <v>317</v>
      </c>
      <c r="G613" s="1498"/>
      <c r="H613" s="1498"/>
      <c r="I613" s="1498"/>
      <c r="J613" s="1498"/>
      <c r="K613" s="1498"/>
      <c r="L613" s="1498"/>
      <c r="O613" s="33" t="s">
        <v>207</v>
      </c>
      <c r="P613" s="1517"/>
      <c r="Q613" s="1517"/>
      <c r="R613" s="1517"/>
      <c r="U613" t="s">
        <v>317</v>
      </c>
      <c r="Z613" s="1498"/>
      <c r="AA613" s="1498"/>
      <c r="AB613" s="1498"/>
      <c r="AC613" s="1498"/>
      <c r="AD613" s="1498"/>
      <c r="AE613" s="1498"/>
      <c r="AH613" s="33" t="s">
        <v>207</v>
      </c>
      <c r="AI613" s="1517"/>
      <c r="AJ613" s="1517"/>
      <c r="AK613" s="1517"/>
      <c r="AZ613" s="3"/>
      <c r="BA613" s="3"/>
      <c r="BB613" s="3"/>
      <c r="BC613" s="3"/>
      <c r="BD613" s="3"/>
      <c r="BE613" s="1561">
        <f t="shared" si="1"/>
        <v>0</v>
      </c>
      <c r="BF613" s="1563"/>
      <c r="BG613" s="1572">
        <f t="shared" si="2"/>
        <v>0</v>
      </c>
      <c r="BH613" s="1573"/>
      <c r="BI613" s="1561">
        <f t="shared" si="3"/>
        <v>0</v>
      </c>
      <c r="BJ613" s="1563"/>
      <c r="BK613" s="1572">
        <f t="shared" si="4"/>
        <v>0</v>
      </c>
      <c r="BL613" s="1573"/>
      <c r="BM613" s="3"/>
      <c r="BN613" s="1558">
        <f t="shared" si="5"/>
        <v>0</v>
      </c>
      <c r="BO613" s="1559"/>
      <c r="BP613" s="1559"/>
      <c r="BQ613" s="1559"/>
      <c r="BR613" s="1560"/>
      <c r="BS613" s="1564">
        <f t="shared" si="6"/>
        <v>0</v>
      </c>
      <c r="BT613" s="1564"/>
      <c r="BU613" s="1564"/>
      <c r="BV613" s="1564"/>
      <c r="BW613" s="1564"/>
      <c r="BX613" s="1564">
        <f t="shared" si="7"/>
        <v>0</v>
      </c>
      <c r="BY613" s="1564"/>
      <c r="BZ613" s="1564"/>
      <c r="CA613" s="1564"/>
      <c r="CB613" s="1564"/>
      <c r="CC613" s="1564">
        <f t="shared" si="8"/>
        <v>0</v>
      </c>
      <c r="CD613" s="1564"/>
      <c r="CE613" s="1564"/>
      <c r="CF613" s="1564"/>
      <c r="CG613" s="1564"/>
      <c r="CH613" s="1564">
        <f t="shared" si="9"/>
        <v>0</v>
      </c>
      <c r="CI613" s="1564"/>
      <c r="CJ613" s="1564"/>
      <c r="CK613" s="1564"/>
      <c r="CL613" s="1564"/>
      <c r="CM613" s="1564">
        <f t="shared" si="10"/>
        <v>0</v>
      </c>
      <c r="CN613" s="1564"/>
      <c r="CO613" s="1564"/>
      <c r="CP613" s="1564"/>
      <c r="CQ613" s="1564"/>
      <c r="CR613" s="6"/>
      <c r="CS613" s="1566">
        <f t="shared" si="11"/>
        <v>0</v>
      </c>
      <c r="CT613" s="1566"/>
      <c r="CU613" s="1566"/>
      <c r="CV613" s="1566"/>
      <c r="CW613" s="1566"/>
      <c r="CX613" s="1566">
        <f t="shared" si="12"/>
        <v>0</v>
      </c>
      <c r="CY613" s="1566"/>
      <c r="CZ613" s="1566"/>
      <c r="DA613" s="1566"/>
      <c r="DB613" s="1566"/>
      <c r="DC613" s="1566">
        <f t="shared" si="13"/>
        <v>0</v>
      </c>
      <c r="DD613" s="1566"/>
      <c r="DE613" s="1566"/>
      <c r="DF613" s="1566"/>
      <c r="DG613" s="1566"/>
      <c r="DH613" s="1566">
        <f t="shared" si="14"/>
        <v>0</v>
      </c>
      <c r="DI613" s="1566"/>
      <c r="DJ613" s="1566"/>
      <c r="DK613" s="1566"/>
      <c r="DL613" s="1566"/>
      <c r="DM613" s="1566">
        <f t="shared" si="15"/>
        <v>0</v>
      </c>
      <c r="DN613" s="1566"/>
      <c r="DO613" s="1566"/>
      <c r="DP613" s="1566"/>
      <c r="DQ613" s="1566"/>
      <c r="DR613" s="1566">
        <f t="shared" si="16"/>
        <v>0</v>
      </c>
      <c r="DS613" s="1566"/>
      <c r="DT613" s="1566"/>
      <c r="DU613" s="1566"/>
      <c r="DV613" s="1566"/>
      <c r="DX613" s="1561" t="str">
        <f t="shared" si="17"/>
        <v/>
      </c>
      <c r="DY613" s="1562"/>
      <c r="DZ613" s="1562"/>
      <c r="EA613" s="1562"/>
      <c r="EB613" s="1563"/>
      <c r="EC613" s="1561" t="str">
        <f t="shared" si="18"/>
        <v/>
      </c>
      <c r="ED613" s="1562"/>
      <c r="EE613" s="1562"/>
      <c r="EF613" s="1562"/>
      <c r="EG613" s="1563"/>
      <c r="EH613" s="1561" t="str">
        <f t="shared" si="19"/>
        <v/>
      </c>
      <c r="EI613" s="1562"/>
      <c r="EJ613" s="1562"/>
      <c r="EK613" s="1562"/>
      <c r="EL613" s="1563"/>
      <c r="EM613" s="1561" t="str">
        <f t="shared" si="20"/>
        <v/>
      </c>
      <c r="EN613" s="1562"/>
      <c r="EO613" s="1562"/>
      <c r="EP613" s="1562"/>
      <c r="EQ613" s="1563"/>
      <c r="ER613" s="1561" t="str">
        <f t="shared" si="21"/>
        <v/>
      </c>
      <c r="ES613" s="1562"/>
      <c r="ET613" s="1562"/>
      <c r="EU613" s="1562"/>
      <c r="EV613" s="1563"/>
      <c r="EW613" s="1561" t="str">
        <f t="shared" si="22"/>
        <v/>
      </c>
      <c r="EX613" s="1562"/>
      <c r="EY613" s="1562"/>
      <c r="EZ613" s="1562"/>
      <c r="FA613" s="1563"/>
    </row>
    <row r="614" spans="1:157" ht="12.95" customHeight="1">
      <c r="B614" t="s">
        <v>18</v>
      </c>
      <c r="H614" s="1486"/>
      <c r="I614" s="1486"/>
      <c r="J614" s="1486"/>
      <c r="K614" s="1486"/>
      <c r="L614" s="1486"/>
      <c r="M614" s="1486"/>
      <c r="N614" s="1486"/>
      <c r="O614" s="1486"/>
      <c r="P614" s="1486"/>
      <c r="Q614" s="1486"/>
      <c r="R614" s="1486"/>
      <c r="U614" t="s">
        <v>18</v>
      </c>
      <c r="AA614" s="1486"/>
      <c r="AB614" s="1486"/>
      <c r="AC614" s="1486"/>
      <c r="AD614" s="1486"/>
      <c r="AE614" s="1486"/>
      <c r="AF614" s="1486"/>
      <c r="AG614" s="1486"/>
      <c r="AH614" s="1486"/>
      <c r="AI614" s="1486"/>
      <c r="AJ614" s="1486"/>
      <c r="AK614" s="1486"/>
      <c r="AU614" s="934"/>
      <c r="AV614" s="934"/>
      <c r="AW614" s="934"/>
      <c r="AX614" s="934"/>
      <c r="AY614" s="934"/>
      <c r="AZ614" s="3"/>
      <c r="BA614" s="3"/>
      <c r="BB614" s="3"/>
      <c r="BC614" s="3"/>
      <c r="BD614" s="3"/>
      <c r="BE614" s="1561">
        <f t="shared" si="1"/>
        <v>0</v>
      </c>
      <c r="BF614" s="1563"/>
      <c r="BG614" s="1572">
        <f t="shared" si="2"/>
        <v>0</v>
      </c>
      <c r="BH614" s="1573"/>
      <c r="BI614" s="1561">
        <f t="shared" si="3"/>
        <v>0</v>
      </c>
      <c r="BJ614" s="1563"/>
      <c r="BK614" s="1572">
        <f t="shared" si="4"/>
        <v>0</v>
      </c>
      <c r="BL614" s="1573"/>
      <c r="BM614" s="3"/>
      <c r="BN614" s="1558">
        <f t="shared" si="5"/>
        <v>0</v>
      </c>
      <c r="BO614" s="1559"/>
      <c r="BP614" s="1559"/>
      <c r="BQ614" s="1559"/>
      <c r="BR614" s="1560"/>
      <c r="BS614" s="1564">
        <f t="shared" si="6"/>
        <v>0</v>
      </c>
      <c r="BT614" s="1564"/>
      <c r="BU614" s="1564"/>
      <c r="BV614" s="1564"/>
      <c r="BW614" s="1564"/>
      <c r="BX614" s="1564">
        <f t="shared" si="7"/>
        <v>0</v>
      </c>
      <c r="BY614" s="1564"/>
      <c r="BZ614" s="1564"/>
      <c r="CA614" s="1564"/>
      <c r="CB614" s="1564"/>
      <c r="CC614" s="1564">
        <f t="shared" si="8"/>
        <v>0</v>
      </c>
      <c r="CD614" s="1564"/>
      <c r="CE614" s="1564"/>
      <c r="CF614" s="1564"/>
      <c r="CG614" s="1564"/>
      <c r="CH614" s="1564">
        <f t="shared" si="9"/>
        <v>0</v>
      </c>
      <c r="CI614" s="1564"/>
      <c r="CJ614" s="1564"/>
      <c r="CK614" s="1564"/>
      <c r="CL614" s="1564"/>
      <c r="CM614" s="1564">
        <f t="shared" si="10"/>
        <v>0</v>
      </c>
      <c r="CN614" s="1564"/>
      <c r="CO614" s="1564"/>
      <c r="CP614" s="1564"/>
      <c r="CQ614" s="1564"/>
      <c r="CR614" s="6"/>
      <c r="CS614" s="1566">
        <f t="shared" si="11"/>
        <v>0</v>
      </c>
      <c r="CT614" s="1566"/>
      <c r="CU614" s="1566"/>
      <c r="CV614" s="1566"/>
      <c r="CW614" s="1566"/>
      <c r="CX614" s="1566">
        <f t="shared" si="12"/>
        <v>0</v>
      </c>
      <c r="CY614" s="1566"/>
      <c r="CZ614" s="1566"/>
      <c r="DA614" s="1566"/>
      <c r="DB614" s="1566"/>
      <c r="DC614" s="1566">
        <f t="shared" si="13"/>
        <v>0</v>
      </c>
      <c r="DD614" s="1566"/>
      <c r="DE614" s="1566"/>
      <c r="DF614" s="1566"/>
      <c r="DG614" s="1566"/>
      <c r="DH614" s="1566">
        <f t="shared" si="14"/>
        <v>0</v>
      </c>
      <c r="DI614" s="1566"/>
      <c r="DJ614" s="1566"/>
      <c r="DK614" s="1566"/>
      <c r="DL614" s="1566"/>
      <c r="DM614" s="1566">
        <f t="shared" si="15"/>
        <v>0</v>
      </c>
      <c r="DN614" s="1566"/>
      <c r="DO614" s="1566"/>
      <c r="DP614" s="1566"/>
      <c r="DQ614" s="1566"/>
      <c r="DR614" s="1566">
        <f t="shared" si="16"/>
        <v>0</v>
      </c>
      <c r="DS614" s="1566"/>
      <c r="DT614" s="1566"/>
      <c r="DU614" s="1566"/>
      <c r="DV614" s="1566"/>
      <c r="DX614" s="1561" t="str">
        <f t="shared" si="17"/>
        <v/>
      </c>
      <c r="DY614" s="1562"/>
      <c r="DZ614" s="1562"/>
      <c r="EA614" s="1562"/>
      <c r="EB614" s="1563"/>
      <c r="EC614" s="1561" t="str">
        <f t="shared" si="18"/>
        <v/>
      </c>
      <c r="ED614" s="1562"/>
      <c r="EE614" s="1562"/>
      <c r="EF614" s="1562"/>
      <c r="EG614" s="1563"/>
      <c r="EH614" s="1561" t="str">
        <f t="shared" si="19"/>
        <v/>
      </c>
      <c r="EI614" s="1562"/>
      <c r="EJ614" s="1562"/>
      <c r="EK614" s="1562"/>
      <c r="EL614" s="1563"/>
      <c r="EM614" s="1561" t="str">
        <f t="shared" si="20"/>
        <v/>
      </c>
      <c r="EN614" s="1562"/>
      <c r="EO614" s="1562"/>
      <c r="EP614" s="1562"/>
      <c r="EQ614" s="1563"/>
      <c r="ER614" s="1561" t="str">
        <f t="shared" si="21"/>
        <v/>
      </c>
      <c r="ES614" s="1562"/>
      <c r="ET614" s="1562"/>
      <c r="EU614" s="1562"/>
      <c r="EV614" s="1563"/>
      <c r="EW614" s="1561" t="str">
        <f t="shared" si="22"/>
        <v/>
      </c>
      <c r="EX614" s="1562"/>
      <c r="EY614" s="1562"/>
      <c r="EZ614" s="1562"/>
      <c r="FA614" s="1563"/>
    </row>
    <row r="615" spans="1:157" ht="12.95" customHeight="1">
      <c r="B615" t="s">
        <v>20</v>
      </c>
      <c r="N615" s="1484" t="s">
        <v>678</v>
      </c>
      <c r="O615" s="1484"/>
      <c r="U615" t="s">
        <v>20</v>
      </c>
      <c r="AG615" s="1484" t="s">
        <v>678</v>
      </c>
      <c r="AH615" s="1484"/>
      <c r="AU615" s="934"/>
      <c r="AV615" s="934"/>
      <c r="AW615" s="934"/>
      <c r="AX615" s="934"/>
      <c r="AY615" s="934"/>
      <c r="AZ615" s="3"/>
      <c r="BA615" s="3"/>
      <c r="BB615" s="3"/>
      <c r="BC615" s="3"/>
      <c r="BD615" s="3"/>
      <c r="BE615" s="1561">
        <f t="shared" si="1"/>
        <v>0</v>
      </c>
      <c r="BF615" s="1563"/>
      <c r="BG615" s="1572">
        <f t="shared" si="2"/>
        <v>0</v>
      </c>
      <c r="BH615" s="1573"/>
      <c r="BI615" s="1561">
        <f t="shared" si="3"/>
        <v>0</v>
      </c>
      <c r="BJ615" s="1563"/>
      <c r="BK615" s="1572">
        <f t="shared" si="4"/>
        <v>0</v>
      </c>
      <c r="BL615" s="1573"/>
      <c r="BM615" s="3"/>
      <c r="BN615" s="1558">
        <f t="shared" si="5"/>
        <v>0</v>
      </c>
      <c r="BO615" s="1559"/>
      <c r="BP615" s="1559"/>
      <c r="BQ615" s="1559"/>
      <c r="BR615" s="1560"/>
      <c r="BS615" s="1564">
        <f t="shared" si="6"/>
        <v>0</v>
      </c>
      <c r="BT615" s="1564"/>
      <c r="BU615" s="1564"/>
      <c r="BV615" s="1564"/>
      <c r="BW615" s="1564"/>
      <c r="BX615" s="1564">
        <f t="shared" si="7"/>
        <v>0</v>
      </c>
      <c r="BY615" s="1564"/>
      <c r="BZ615" s="1564"/>
      <c r="CA615" s="1564"/>
      <c r="CB615" s="1564"/>
      <c r="CC615" s="1564">
        <f t="shared" si="8"/>
        <v>0</v>
      </c>
      <c r="CD615" s="1564"/>
      <c r="CE615" s="1564"/>
      <c r="CF615" s="1564"/>
      <c r="CG615" s="1564"/>
      <c r="CH615" s="1564">
        <f t="shared" si="9"/>
        <v>0</v>
      </c>
      <c r="CI615" s="1564"/>
      <c r="CJ615" s="1564"/>
      <c r="CK615" s="1564"/>
      <c r="CL615" s="1564"/>
      <c r="CM615" s="1564">
        <f t="shared" si="10"/>
        <v>0</v>
      </c>
      <c r="CN615" s="1564"/>
      <c r="CO615" s="1564"/>
      <c r="CP615" s="1564"/>
      <c r="CQ615" s="1564"/>
      <c r="CR615" s="6"/>
      <c r="CS615" s="1566">
        <f t="shared" si="11"/>
        <v>0</v>
      </c>
      <c r="CT615" s="1566"/>
      <c r="CU615" s="1566"/>
      <c r="CV615" s="1566"/>
      <c r="CW615" s="1566"/>
      <c r="CX615" s="1566">
        <f t="shared" si="12"/>
        <v>0</v>
      </c>
      <c r="CY615" s="1566"/>
      <c r="CZ615" s="1566"/>
      <c r="DA615" s="1566"/>
      <c r="DB615" s="1566"/>
      <c r="DC615" s="1566">
        <f t="shared" si="13"/>
        <v>0</v>
      </c>
      <c r="DD615" s="1566"/>
      <c r="DE615" s="1566"/>
      <c r="DF615" s="1566"/>
      <c r="DG615" s="1566"/>
      <c r="DH615" s="1566">
        <f t="shared" si="14"/>
        <v>0</v>
      </c>
      <c r="DI615" s="1566"/>
      <c r="DJ615" s="1566"/>
      <c r="DK615" s="1566"/>
      <c r="DL615" s="1566"/>
      <c r="DM615" s="1566">
        <f t="shared" si="15"/>
        <v>0</v>
      </c>
      <c r="DN615" s="1566"/>
      <c r="DO615" s="1566"/>
      <c r="DP615" s="1566"/>
      <c r="DQ615" s="1566"/>
      <c r="DR615" s="1566">
        <f t="shared" si="16"/>
        <v>0</v>
      </c>
      <c r="DS615" s="1566"/>
      <c r="DT615" s="1566"/>
      <c r="DU615" s="1566"/>
      <c r="DV615" s="1566"/>
      <c r="DX615" s="1561" t="str">
        <f t="shared" si="17"/>
        <v/>
      </c>
      <c r="DY615" s="1562"/>
      <c r="DZ615" s="1562"/>
      <c r="EA615" s="1562"/>
      <c r="EB615" s="1563"/>
      <c r="EC615" s="1561" t="str">
        <f t="shared" si="18"/>
        <v/>
      </c>
      <c r="ED615" s="1562"/>
      <c r="EE615" s="1562"/>
      <c r="EF615" s="1562"/>
      <c r="EG615" s="1563"/>
      <c r="EH615" s="1561" t="str">
        <f t="shared" si="19"/>
        <v/>
      </c>
      <c r="EI615" s="1562"/>
      <c r="EJ615" s="1562"/>
      <c r="EK615" s="1562"/>
      <c r="EL615" s="1563"/>
      <c r="EM615" s="1561" t="str">
        <f t="shared" si="20"/>
        <v/>
      </c>
      <c r="EN615" s="1562"/>
      <c r="EO615" s="1562"/>
      <c r="EP615" s="1562"/>
      <c r="EQ615" s="1563"/>
      <c r="ER615" s="1561" t="str">
        <f t="shared" si="21"/>
        <v/>
      </c>
      <c r="ES615" s="1562"/>
      <c r="ET615" s="1562"/>
      <c r="EU615" s="1562"/>
      <c r="EV615" s="1563"/>
      <c r="EW615" s="1561" t="str">
        <f t="shared" si="22"/>
        <v/>
      </c>
      <c r="EX615" s="1562"/>
      <c r="EY615" s="1562"/>
      <c r="EZ615" s="1562"/>
      <c r="FA615" s="1563"/>
    </row>
    <row r="616" spans="1:157" ht="12.95" customHeight="1">
      <c r="AZ616" s="3"/>
      <c r="BA616" s="3"/>
      <c r="BB616" s="3"/>
      <c r="BC616" s="3"/>
      <c r="BD616" s="3"/>
      <c r="BE616" s="1561">
        <f t="shared" si="1"/>
        <v>0</v>
      </c>
      <c r="BF616" s="1563"/>
      <c r="BG616" s="1572">
        <f t="shared" si="2"/>
        <v>0</v>
      </c>
      <c r="BH616" s="1573"/>
      <c r="BI616" s="1561">
        <f t="shared" si="3"/>
        <v>0</v>
      </c>
      <c r="BJ616" s="1563"/>
      <c r="BK616" s="1572">
        <f t="shared" si="4"/>
        <v>0</v>
      </c>
      <c r="BL616" s="1573"/>
      <c r="BM616" s="3"/>
      <c r="BN616" s="1558">
        <f t="shared" si="5"/>
        <v>0</v>
      </c>
      <c r="BO616" s="1559"/>
      <c r="BP616" s="1559"/>
      <c r="BQ616" s="1559"/>
      <c r="BR616" s="1560"/>
      <c r="BS616" s="1564">
        <f t="shared" si="6"/>
        <v>0</v>
      </c>
      <c r="BT616" s="1564"/>
      <c r="BU616" s="1564"/>
      <c r="BV616" s="1564"/>
      <c r="BW616" s="1564"/>
      <c r="BX616" s="1564">
        <f t="shared" si="7"/>
        <v>0</v>
      </c>
      <c r="BY616" s="1564"/>
      <c r="BZ616" s="1564"/>
      <c r="CA616" s="1564"/>
      <c r="CB616" s="1564"/>
      <c r="CC616" s="1564">
        <f t="shared" si="8"/>
        <v>0</v>
      </c>
      <c r="CD616" s="1564"/>
      <c r="CE616" s="1564"/>
      <c r="CF616" s="1564"/>
      <c r="CG616" s="1564"/>
      <c r="CH616" s="1564">
        <f t="shared" si="9"/>
        <v>0</v>
      </c>
      <c r="CI616" s="1564"/>
      <c r="CJ616" s="1564"/>
      <c r="CK616" s="1564"/>
      <c r="CL616" s="1564"/>
      <c r="CM616" s="1564">
        <f t="shared" si="10"/>
        <v>0</v>
      </c>
      <c r="CN616" s="1564"/>
      <c r="CO616" s="1564"/>
      <c r="CP616" s="1564"/>
      <c r="CQ616" s="1564"/>
      <c r="CR616" s="6"/>
      <c r="CS616" s="1566">
        <f t="shared" si="11"/>
        <v>0</v>
      </c>
      <c r="CT616" s="1566"/>
      <c r="CU616" s="1566"/>
      <c r="CV616" s="1566"/>
      <c r="CW616" s="1566"/>
      <c r="CX616" s="1566">
        <f t="shared" si="12"/>
        <v>0</v>
      </c>
      <c r="CY616" s="1566"/>
      <c r="CZ616" s="1566"/>
      <c r="DA616" s="1566"/>
      <c r="DB616" s="1566"/>
      <c r="DC616" s="1566">
        <f t="shared" si="13"/>
        <v>0</v>
      </c>
      <c r="DD616" s="1566"/>
      <c r="DE616" s="1566"/>
      <c r="DF616" s="1566"/>
      <c r="DG616" s="1566"/>
      <c r="DH616" s="1566">
        <f t="shared" si="14"/>
        <v>0</v>
      </c>
      <c r="DI616" s="1566"/>
      <c r="DJ616" s="1566"/>
      <c r="DK616" s="1566"/>
      <c r="DL616" s="1566"/>
      <c r="DM616" s="1566">
        <f t="shared" si="15"/>
        <v>0</v>
      </c>
      <c r="DN616" s="1566"/>
      <c r="DO616" s="1566"/>
      <c r="DP616" s="1566"/>
      <c r="DQ616" s="1566"/>
      <c r="DR616" s="1566">
        <f t="shared" si="16"/>
        <v>0</v>
      </c>
      <c r="DS616" s="1566"/>
      <c r="DT616" s="1566"/>
      <c r="DU616" s="1566"/>
      <c r="DV616" s="1566"/>
      <c r="DX616" s="1561" t="str">
        <f t="shared" si="17"/>
        <v/>
      </c>
      <c r="DY616" s="1562"/>
      <c r="DZ616" s="1562"/>
      <c r="EA616" s="1562"/>
      <c r="EB616" s="1563"/>
      <c r="EC616" s="1561" t="str">
        <f t="shared" si="18"/>
        <v/>
      </c>
      <c r="ED616" s="1562"/>
      <c r="EE616" s="1562"/>
      <c r="EF616" s="1562"/>
      <c r="EG616" s="1563"/>
      <c r="EH616" s="1561" t="str">
        <f t="shared" si="19"/>
        <v/>
      </c>
      <c r="EI616" s="1562"/>
      <c r="EJ616" s="1562"/>
      <c r="EK616" s="1562"/>
      <c r="EL616" s="1563"/>
      <c r="EM616" s="1561" t="str">
        <f t="shared" si="20"/>
        <v/>
      </c>
      <c r="EN616" s="1562"/>
      <c r="EO616" s="1562"/>
      <c r="EP616" s="1562"/>
      <c r="EQ616" s="1563"/>
      <c r="ER616" s="1561" t="str">
        <f t="shared" si="21"/>
        <v/>
      </c>
      <c r="ES616" s="1562"/>
      <c r="ET616" s="1562"/>
      <c r="EU616" s="1562"/>
      <c r="EV616" s="1563"/>
      <c r="EW616" s="1561" t="str">
        <f t="shared" si="22"/>
        <v/>
      </c>
      <c r="EX616" s="1562"/>
      <c r="EY616" s="1562"/>
      <c r="EZ616" s="1562"/>
      <c r="FA616" s="1563"/>
    </row>
    <row r="617" spans="1:157" ht="12.95" customHeight="1">
      <c r="A617" s="1273" t="s">
        <v>553</v>
      </c>
      <c r="B617" s="1273"/>
      <c r="C617" s="1273"/>
      <c r="D617" s="1273"/>
      <c r="E617" s="1273"/>
      <c r="F617" s="1273"/>
      <c r="G617" s="1273"/>
      <c r="H617" s="1273"/>
      <c r="I617" s="1273"/>
      <c r="J617" s="1273"/>
      <c r="K617" s="1273"/>
      <c r="L617" s="1273"/>
      <c r="M617" s="1273"/>
      <c r="N617" s="1273"/>
      <c r="O617" s="1273"/>
      <c r="P617" s="1273"/>
      <c r="Q617" s="1273"/>
      <c r="R617" s="1273"/>
      <c r="S617" s="1273"/>
      <c r="T617" s="1273"/>
      <c r="U617" s="1273"/>
      <c r="V617" s="1273"/>
      <c r="W617" s="1273"/>
      <c r="X617" s="1273"/>
      <c r="Y617" s="1273"/>
      <c r="Z617" s="1273"/>
      <c r="AA617" s="1273"/>
      <c r="AB617" s="1273"/>
      <c r="AC617" s="1273"/>
      <c r="AD617" s="1273"/>
      <c r="AE617" s="1273"/>
      <c r="AF617" s="1273"/>
      <c r="AG617" s="1273"/>
      <c r="AH617" s="1273"/>
      <c r="AI617" s="1273"/>
      <c r="AJ617" s="1273"/>
      <c r="AK617" s="1273"/>
      <c r="AL617" s="1273"/>
      <c r="AM617" s="1273"/>
      <c r="AN617" s="1273"/>
      <c r="AO617" s="1273"/>
      <c r="AP617" s="1273"/>
      <c r="AQ617" s="1273"/>
      <c r="AR617" s="1273"/>
      <c r="AS617" s="1273"/>
      <c r="AT617" s="1273"/>
      <c r="AZ617" s="3"/>
      <c r="BA617" s="3"/>
      <c r="BB617" s="3"/>
      <c r="BC617" s="3"/>
      <c r="BD617" s="3"/>
      <c r="BE617" s="1561">
        <f t="shared" si="1"/>
        <v>0</v>
      </c>
      <c r="BF617" s="1563"/>
      <c r="BG617" s="1572">
        <f t="shared" si="2"/>
        <v>0</v>
      </c>
      <c r="BH617" s="1573"/>
      <c r="BI617" s="1561">
        <f t="shared" si="3"/>
        <v>0</v>
      </c>
      <c r="BJ617" s="1563"/>
      <c r="BK617" s="1572">
        <f t="shared" si="4"/>
        <v>0</v>
      </c>
      <c r="BL617" s="1573"/>
      <c r="BM617" s="3"/>
      <c r="BN617" s="1558">
        <f t="shared" si="5"/>
        <v>0</v>
      </c>
      <c r="BO617" s="1559"/>
      <c r="BP617" s="1559"/>
      <c r="BQ617" s="1559"/>
      <c r="BR617" s="1560"/>
      <c r="BS617" s="1564">
        <f t="shared" si="6"/>
        <v>0</v>
      </c>
      <c r="BT617" s="1564"/>
      <c r="BU617" s="1564"/>
      <c r="BV617" s="1564"/>
      <c r="BW617" s="1564"/>
      <c r="BX617" s="1564">
        <f t="shared" si="7"/>
        <v>0</v>
      </c>
      <c r="BY617" s="1564"/>
      <c r="BZ617" s="1564"/>
      <c r="CA617" s="1564"/>
      <c r="CB617" s="1564"/>
      <c r="CC617" s="1564">
        <f t="shared" si="8"/>
        <v>0</v>
      </c>
      <c r="CD617" s="1564"/>
      <c r="CE617" s="1564"/>
      <c r="CF617" s="1564"/>
      <c r="CG617" s="1564"/>
      <c r="CH617" s="1564">
        <f t="shared" si="9"/>
        <v>0</v>
      </c>
      <c r="CI617" s="1564"/>
      <c r="CJ617" s="1564"/>
      <c r="CK617" s="1564"/>
      <c r="CL617" s="1564"/>
      <c r="CM617" s="1564">
        <f t="shared" si="10"/>
        <v>0</v>
      </c>
      <c r="CN617" s="1564"/>
      <c r="CO617" s="1564"/>
      <c r="CP617" s="1564"/>
      <c r="CQ617" s="1564"/>
      <c r="CR617" s="6"/>
      <c r="CS617" s="1566">
        <f t="shared" si="11"/>
        <v>0</v>
      </c>
      <c r="CT617" s="1566"/>
      <c r="CU617" s="1566"/>
      <c r="CV617" s="1566"/>
      <c r="CW617" s="1566"/>
      <c r="CX617" s="1566">
        <f t="shared" si="12"/>
        <v>0</v>
      </c>
      <c r="CY617" s="1566"/>
      <c r="CZ617" s="1566"/>
      <c r="DA617" s="1566"/>
      <c r="DB617" s="1566"/>
      <c r="DC617" s="1566">
        <f t="shared" si="13"/>
        <v>0</v>
      </c>
      <c r="DD617" s="1566"/>
      <c r="DE617" s="1566"/>
      <c r="DF617" s="1566"/>
      <c r="DG617" s="1566"/>
      <c r="DH617" s="1566">
        <f t="shared" si="14"/>
        <v>0</v>
      </c>
      <c r="DI617" s="1566"/>
      <c r="DJ617" s="1566"/>
      <c r="DK617" s="1566"/>
      <c r="DL617" s="1566"/>
      <c r="DM617" s="1566">
        <f t="shared" si="15"/>
        <v>0</v>
      </c>
      <c r="DN617" s="1566"/>
      <c r="DO617" s="1566"/>
      <c r="DP617" s="1566"/>
      <c r="DQ617" s="1566"/>
      <c r="DR617" s="1566">
        <f t="shared" si="16"/>
        <v>0</v>
      </c>
      <c r="DS617" s="1566"/>
      <c r="DT617" s="1566"/>
      <c r="DU617" s="1566"/>
      <c r="DV617" s="1566"/>
      <c r="DX617" s="1561" t="str">
        <f t="shared" si="17"/>
        <v/>
      </c>
      <c r="DY617" s="1562"/>
      <c r="DZ617" s="1562"/>
      <c r="EA617" s="1562"/>
      <c r="EB617" s="1563"/>
      <c r="EC617" s="1561" t="str">
        <f t="shared" si="18"/>
        <v/>
      </c>
      <c r="ED617" s="1562"/>
      <c r="EE617" s="1562"/>
      <c r="EF617" s="1562"/>
      <c r="EG617" s="1563"/>
      <c r="EH617" s="1561" t="str">
        <f t="shared" si="19"/>
        <v/>
      </c>
      <c r="EI617" s="1562"/>
      <c r="EJ617" s="1562"/>
      <c r="EK617" s="1562"/>
      <c r="EL617" s="1563"/>
      <c r="EM617" s="1561" t="str">
        <f t="shared" si="20"/>
        <v/>
      </c>
      <c r="EN617" s="1562"/>
      <c r="EO617" s="1562"/>
      <c r="EP617" s="1562"/>
      <c r="EQ617" s="1563"/>
      <c r="ER617" s="1561" t="str">
        <f t="shared" si="21"/>
        <v/>
      </c>
      <c r="ES617" s="1562"/>
      <c r="ET617" s="1562"/>
      <c r="EU617" s="1562"/>
      <c r="EV617" s="1563"/>
      <c r="EW617" s="1561" t="str">
        <f t="shared" si="22"/>
        <v/>
      </c>
      <c r="EX617" s="1562"/>
      <c r="EY617" s="1562"/>
      <c r="EZ617" s="1562"/>
      <c r="FA617" s="1563"/>
    </row>
    <row r="618" spans="1:157" ht="12.95" customHeight="1">
      <c r="A618" s="1273"/>
      <c r="B618" s="1273"/>
      <c r="C618" s="1273"/>
      <c r="D618" s="1273"/>
      <c r="E618" s="1273"/>
      <c r="F618" s="1273"/>
      <c r="G618" s="1273"/>
      <c r="H618" s="1273"/>
      <c r="I618" s="1273"/>
      <c r="J618" s="1273"/>
      <c r="K618" s="1273"/>
      <c r="L618" s="1273"/>
      <c r="M618" s="1273"/>
      <c r="N618" s="1273"/>
      <c r="O618" s="1273"/>
      <c r="P618" s="1273"/>
      <c r="Q618" s="1273"/>
      <c r="R618" s="1273"/>
      <c r="S618" s="1273"/>
      <c r="T618" s="1273"/>
      <c r="U618" s="1273"/>
      <c r="V618" s="1273"/>
      <c r="W618" s="1273"/>
      <c r="X618" s="1273"/>
      <c r="Y618" s="1273"/>
      <c r="Z618" s="1273"/>
      <c r="AA618" s="1273"/>
      <c r="AB618" s="1273"/>
      <c r="AC618" s="1273"/>
      <c r="AD618" s="1273"/>
      <c r="AE618" s="1273"/>
      <c r="AF618" s="1273"/>
      <c r="AG618" s="1273"/>
      <c r="AH618" s="1273"/>
      <c r="AI618" s="1273"/>
      <c r="AJ618" s="1273"/>
      <c r="AK618" s="1273"/>
      <c r="AL618" s="1273"/>
      <c r="AM618" s="1273"/>
      <c r="AN618" s="1273"/>
      <c r="AO618" s="1273"/>
      <c r="AP618" s="1273"/>
      <c r="AQ618" s="1273"/>
      <c r="AR618" s="1273"/>
      <c r="AS618" s="1273"/>
      <c r="AT618" s="1273"/>
      <c r="AZ618" s="3"/>
      <c r="BA618" s="3"/>
      <c r="BB618" s="3"/>
      <c r="BC618" s="3"/>
      <c r="BD618" s="3"/>
      <c r="BE618" s="1561">
        <f t="shared" si="1"/>
        <v>0</v>
      </c>
      <c r="BF618" s="1563"/>
      <c r="BG618" s="1572">
        <f t="shared" si="2"/>
        <v>0</v>
      </c>
      <c r="BH618" s="1573"/>
      <c r="BI618" s="1561">
        <f t="shared" si="3"/>
        <v>0</v>
      </c>
      <c r="BJ618" s="1563"/>
      <c r="BK618" s="1572">
        <f t="shared" si="4"/>
        <v>0</v>
      </c>
      <c r="BL618" s="1573"/>
      <c r="BM618" s="3"/>
      <c r="BN618" s="1558">
        <f t="shared" si="5"/>
        <v>0</v>
      </c>
      <c r="BO618" s="1559"/>
      <c r="BP618" s="1559"/>
      <c r="BQ618" s="1559"/>
      <c r="BR618" s="1560"/>
      <c r="BS618" s="1564">
        <f t="shared" si="6"/>
        <v>0</v>
      </c>
      <c r="BT618" s="1564"/>
      <c r="BU618" s="1564"/>
      <c r="BV618" s="1564"/>
      <c r="BW618" s="1564"/>
      <c r="BX618" s="1564">
        <f t="shared" si="7"/>
        <v>0</v>
      </c>
      <c r="BY618" s="1564"/>
      <c r="BZ618" s="1564"/>
      <c r="CA618" s="1564"/>
      <c r="CB618" s="1564"/>
      <c r="CC618" s="1564">
        <f t="shared" si="8"/>
        <v>0</v>
      </c>
      <c r="CD618" s="1564"/>
      <c r="CE618" s="1564"/>
      <c r="CF618" s="1564"/>
      <c r="CG618" s="1564"/>
      <c r="CH618" s="1564">
        <f t="shared" si="9"/>
        <v>0</v>
      </c>
      <c r="CI618" s="1564"/>
      <c r="CJ618" s="1564"/>
      <c r="CK618" s="1564"/>
      <c r="CL618" s="1564"/>
      <c r="CM618" s="1564">
        <f t="shared" si="10"/>
        <v>0</v>
      </c>
      <c r="CN618" s="1564"/>
      <c r="CO618" s="1564"/>
      <c r="CP618" s="1564"/>
      <c r="CQ618" s="1564"/>
      <c r="CR618" s="6"/>
      <c r="CS618" s="1566">
        <f t="shared" si="11"/>
        <v>0</v>
      </c>
      <c r="CT618" s="1566"/>
      <c r="CU618" s="1566"/>
      <c r="CV618" s="1566"/>
      <c r="CW618" s="1566"/>
      <c r="CX618" s="1566">
        <f t="shared" si="12"/>
        <v>0</v>
      </c>
      <c r="CY618" s="1566"/>
      <c r="CZ618" s="1566"/>
      <c r="DA618" s="1566"/>
      <c r="DB618" s="1566"/>
      <c r="DC618" s="1566">
        <f t="shared" si="13"/>
        <v>0</v>
      </c>
      <c r="DD618" s="1566"/>
      <c r="DE618" s="1566"/>
      <c r="DF618" s="1566"/>
      <c r="DG618" s="1566"/>
      <c r="DH618" s="1566">
        <f t="shared" si="14"/>
        <v>0</v>
      </c>
      <c r="DI618" s="1566"/>
      <c r="DJ618" s="1566"/>
      <c r="DK618" s="1566"/>
      <c r="DL618" s="1566"/>
      <c r="DM618" s="1566">
        <f t="shared" si="15"/>
        <v>0</v>
      </c>
      <c r="DN618" s="1566"/>
      <c r="DO618" s="1566"/>
      <c r="DP618" s="1566"/>
      <c r="DQ618" s="1566"/>
      <c r="DR618" s="1566">
        <f t="shared" si="16"/>
        <v>0</v>
      </c>
      <c r="DS618" s="1566"/>
      <c r="DT618" s="1566"/>
      <c r="DU618" s="1566"/>
      <c r="DV618" s="1566"/>
      <c r="DX618" s="1561" t="str">
        <f t="shared" si="17"/>
        <v/>
      </c>
      <c r="DY618" s="1562"/>
      <c r="DZ618" s="1562"/>
      <c r="EA618" s="1562"/>
      <c r="EB618" s="1563"/>
      <c r="EC618" s="1561" t="str">
        <f t="shared" si="18"/>
        <v/>
      </c>
      <c r="ED618" s="1562"/>
      <c r="EE618" s="1562"/>
      <c r="EF618" s="1562"/>
      <c r="EG618" s="1563"/>
      <c r="EH618" s="1561" t="str">
        <f t="shared" si="19"/>
        <v/>
      </c>
      <c r="EI618" s="1562"/>
      <c r="EJ618" s="1562"/>
      <c r="EK618" s="1562"/>
      <c r="EL618" s="1563"/>
      <c r="EM618" s="1561" t="str">
        <f t="shared" si="20"/>
        <v/>
      </c>
      <c r="EN618" s="1562"/>
      <c r="EO618" s="1562"/>
      <c r="EP618" s="1562"/>
      <c r="EQ618" s="1563"/>
      <c r="ER618" s="1561" t="str">
        <f t="shared" si="21"/>
        <v/>
      </c>
      <c r="ES618" s="1562"/>
      <c r="ET618" s="1562"/>
      <c r="EU618" s="1562"/>
      <c r="EV618" s="1563"/>
      <c r="EW618" s="1561" t="str">
        <f t="shared" si="22"/>
        <v/>
      </c>
      <c r="EX618" s="1562"/>
      <c r="EY618" s="1562"/>
      <c r="EZ618" s="1562"/>
      <c r="FA618" s="1563"/>
    </row>
    <row r="619" spans="1:157" ht="12.95" customHeight="1">
      <c r="AZ619" s="3"/>
      <c r="BA619" s="3"/>
      <c r="BB619" s="3"/>
      <c r="BC619" s="3"/>
      <c r="BD619" s="3"/>
      <c r="BE619" s="1561">
        <f t="shared" si="1"/>
        <v>0</v>
      </c>
      <c r="BF619" s="1563"/>
      <c r="BG619" s="1572">
        <f t="shared" si="2"/>
        <v>0</v>
      </c>
      <c r="BH619" s="1573"/>
      <c r="BI619" s="1561">
        <f t="shared" si="3"/>
        <v>0</v>
      </c>
      <c r="BJ619" s="1563"/>
      <c r="BK619" s="1572">
        <f t="shared" si="4"/>
        <v>0</v>
      </c>
      <c r="BL619" s="1573"/>
      <c r="BM619" s="3"/>
      <c r="BN619" s="1558">
        <f t="shared" si="5"/>
        <v>0</v>
      </c>
      <c r="BO619" s="1559"/>
      <c r="BP619" s="1559"/>
      <c r="BQ619" s="1559"/>
      <c r="BR619" s="1560"/>
      <c r="BS619" s="1564">
        <f t="shared" si="6"/>
        <v>0</v>
      </c>
      <c r="BT619" s="1564"/>
      <c r="BU619" s="1564"/>
      <c r="BV619" s="1564"/>
      <c r="BW619" s="1564"/>
      <c r="BX619" s="1564">
        <f t="shared" si="7"/>
        <v>0</v>
      </c>
      <c r="BY619" s="1564"/>
      <c r="BZ619" s="1564"/>
      <c r="CA619" s="1564"/>
      <c r="CB619" s="1564"/>
      <c r="CC619" s="1564">
        <f t="shared" si="8"/>
        <v>0</v>
      </c>
      <c r="CD619" s="1564"/>
      <c r="CE619" s="1564"/>
      <c r="CF619" s="1564"/>
      <c r="CG619" s="1564"/>
      <c r="CH619" s="1564">
        <f t="shared" si="9"/>
        <v>0</v>
      </c>
      <c r="CI619" s="1564"/>
      <c r="CJ619" s="1564"/>
      <c r="CK619" s="1564"/>
      <c r="CL619" s="1564"/>
      <c r="CM619" s="1564">
        <f t="shared" si="10"/>
        <v>0</v>
      </c>
      <c r="CN619" s="1564"/>
      <c r="CO619" s="1564"/>
      <c r="CP619" s="1564"/>
      <c r="CQ619" s="1564"/>
      <c r="CR619" s="6"/>
      <c r="CS619" s="1566">
        <f t="shared" si="11"/>
        <v>0</v>
      </c>
      <c r="CT619" s="1566"/>
      <c r="CU619" s="1566"/>
      <c r="CV619" s="1566"/>
      <c r="CW619" s="1566"/>
      <c r="CX619" s="1566">
        <f t="shared" si="12"/>
        <v>0</v>
      </c>
      <c r="CY619" s="1566"/>
      <c r="CZ619" s="1566"/>
      <c r="DA619" s="1566"/>
      <c r="DB619" s="1566"/>
      <c r="DC619" s="1566">
        <f t="shared" si="13"/>
        <v>0</v>
      </c>
      <c r="DD619" s="1566"/>
      <c r="DE619" s="1566"/>
      <c r="DF619" s="1566"/>
      <c r="DG619" s="1566"/>
      <c r="DH619" s="1566">
        <f t="shared" si="14"/>
        <v>0</v>
      </c>
      <c r="DI619" s="1566"/>
      <c r="DJ619" s="1566"/>
      <c r="DK619" s="1566"/>
      <c r="DL619" s="1566"/>
      <c r="DM619" s="1566">
        <f t="shared" si="15"/>
        <v>0</v>
      </c>
      <c r="DN619" s="1566"/>
      <c r="DO619" s="1566"/>
      <c r="DP619" s="1566"/>
      <c r="DQ619" s="1566"/>
      <c r="DR619" s="1566">
        <f t="shared" si="16"/>
        <v>0</v>
      </c>
      <c r="DS619" s="1566"/>
      <c r="DT619" s="1566"/>
      <c r="DU619" s="1566"/>
      <c r="DV619" s="1566"/>
      <c r="DX619" s="1561" t="str">
        <f t="shared" si="17"/>
        <v/>
      </c>
      <c r="DY619" s="1562"/>
      <c r="DZ619" s="1562"/>
      <c r="EA619" s="1562"/>
      <c r="EB619" s="1563"/>
      <c r="EC619" s="1561" t="str">
        <f t="shared" si="18"/>
        <v/>
      </c>
      <c r="ED619" s="1562"/>
      <c r="EE619" s="1562"/>
      <c r="EF619" s="1562"/>
      <c r="EG619" s="1563"/>
      <c r="EH619" s="1561" t="str">
        <f t="shared" si="19"/>
        <v/>
      </c>
      <c r="EI619" s="1562"/>
      <c r="EJ619" s="1562"/>
      <c r="EK619" s="1562"/>
      <c r="EL619" s="1563"/>
      <c r="EM619" s="1561" t="str">
        <f t="shared" si="20"/>
        <v/>
      </c>
      <c r="EN619" s="1562"/>
      <c r="EO619" s="1562"/>
      <c r="EP619" s="1562"/>
      <c r="EQ619" s="1563"/>
      <c r="ER619" s="1561" t="str">
        <f t="shared" si="21"/>
        <v/>
      </c>
      <c r="ES619" s="1562"/>
      <c r="ET619" s="1562"/>
      <c r="EU619" s="1562"/>
      <c r="EV619" s="1563"/>
      <c r="EW619" s="1561" t="str">
        <f t="shared" si="22"/>
        <v/>
      </c>
      <c r="EX619" s="1562"/>
      <c r="EY619" s="1562"/>
      <c r="EZ619" s="1562"/>
      <c r="FA619" s="1563"/>
    </row>
    <row r="620" spans="1:157" ht="12.95" customHeight="1">
      <c r="A620" s="2" t="s">
        <v>320</v>
      </c>
      <c r="B620" s="2"/>
      <c r="C620" s="2" t="s">
        <v>21</v>
      </c>
      <c r="AZ620" s="3"/>
      <c r="BA620" s="3"/>
      <c r="BB620" s="3"/>
      <c r="BC620" s="3"/>
      <c r="BD620" s="3"/>
      <c r="BE620" s="1561">
        <f t="shared" si="1"/>
        <v>0</v>
      </c>
      <c r="BF620" s="1563"/>
      <c r="BG620" s="1572">
        <f t="shared" si="2"/>
        <v>0</v>
      </c>
      <c r="BH620" s="1573"/>
      <c r="BI620" s="1561">
        <f t="shared" si="3"/>
        <v>0</v>
      </c>
      <c r="BJ620" s="1563"/>
      <c r="BK620" s="1572">
        <f t="shared" si="4"/>
        <v>0</v>
      </c>
      <c r="BL620" s="1573"/>
      <c r="BM620" s="3"/>
      <c r="BN620" s="1558">
        <f t="shared" si="5"/>
        <v>0</v>
      </c>
      <c r="BO620" s="1559"/>
      <c r="BP620" s="1559"/>
      <c r="BQ620" s="1559"/>
      <c r="BR620" s="1560"/>
      <c r="BS620" s="1564">
        <f t="shared" si="6"/>
        <v>0</v>
      </c>
      <c r="BT620" s="1564"/>
      <c r="BU620" s="1564"/>
      <c r="BV620" s="1564"/>
      <c r="BW620" s="1564"/>
      <c r="BX620" s="1564">
        <f t="shared" si="7"/>
        <v>0</v>
      </c>
      <c r="BY620" s="1564"/>
      <c r="BZ620" s="1564"/>
      <c r="CA620" s="1564"/>
      <c r="CB620" s="1564"/>
      <c r="CC620" s="1564">
        <f t="shared" si="8"/>
        <v>0</v>
      </c>
      <c r="CD620" s="1564"/>
      <c r="CE620" s="1564"/>
      <c r="CF620" s="1564"/>
      <c r="CG620" s="1564"/>
      <c r="CH620" s="1564">
        <f t="shared" si="9"/>
        <v>0</v>
      </c>
      <c r="CI620" s="1564"/>
      <c r="CJ620" s="1564"/>
      <c r="CK620" s="1564"/>
      <c r="CL620" s="1564"/>
      <c r="CM620" s="1564">
        <f t="shared" si="10"/>
        <v>0</v>
      </c>
      <c r="CN620" s="1564"/>
      <c r="CO620" s="1564"/>
      <c r="CP620" s="1564"/>
      <c r="CQ620" s="1564"/>
      <c r="CR620" s="6"/>
      <c r="CS620" s="1566">
        <f t="shared" si="11"/>
        <v>0</v>
      </c>
      <c r="CT620" s="1566"/>
      <c r="CU620" s="1566"/>
      <c r="CV620" s="1566"/>
      <c r="CW620" s="1566"/>
      <c r="CX620" s="1566">
        <f t="shared" si="12"/>
        <v>0</v>
      </c>
      <c r="CY620" s="1566"/>
      <c r="CZ620" s="1566"/>
      <c r="DA620" s="1566"/>
      <c r="DB620" s="1566"/>
      <c r="DC620" s="1566">
        <f t="shared" si="13"/>
        <v>0</v>
      </c>
      <c r="DD620" s="1566"/>
      <c r="DE620" s="1566"/>
      <c r="DF620" s="1566"/>
      <c r="DG620" s="1566"/>
      <c r="DH620" s="1566">
        <f t="shared" si="14"/>
        <v>0</v>
      </c>
      <c r="DI620" s="1566"/>
      <c r="DJ620" s="1566"/>
      <c r="DK620" s="1566"/>
      <c r="DL620" s="1566"/>
      <c r="DM620" s="1566">
        <f t="shared" si="15"/>
        <v>0</v>
      </c>
      <c r="DN620" s="1566"/>
      <c r="DO620" s="1566"/>
      <c r="DP620" s="1566"/>
      <c r="DQ620" s="1566"/>
      <c r="DR620" s="1566">
        <f t="shared" si="16"/>
        <v>0</v>
      </c>
      <c r="DS620" s="1566"/>
      <c r="DT620" s="1566"/>
      <c r="DU620" s="1566"/>
      <c r="DV620" s="1566"/>
      <c r="DX620" s="1561" t="str">
        <f t="shared" si="17"/>
        <v/>
      </c>
      <c r="DY620" s="1562"/>
      <c r="DZ620" s="1562"/>
      <c r="EA620" s="1562"/>
      <c r="EB620" s="1563"/>
      <c r="EC620" s="1561" t="str">
        <f t="shared" si="18"/>
        <v/>
      </c>
      <c r="ED620" s="1562"/>
      <c r="EE620" s="1562"/>
      <c r="EF620" s="1562"/>
      <c r="EG620" s="1563"/>
      <c r="EH620" s="1561" t="str">
        <f t="shared" si="19"/>
        <v/>
      </c>
      <c r="EI620" s="1562"/>
      <c r="EJ620" s="1562"/>
      <c r="EK620" s="1562"/>
      <c r="EL620" s="1563"/>
      <c r="EM620" s="1561" t="str">
        <f t="shared" si="20"/>
        <v/>
      </c>
      <c r="EN620" s="1562"/>
      <c r="EO620" s="1562"/>
      <c r="EP620" s="1562"/>
      <c r="EQ620" s="1563"/>
      <c r="ER620" s="1561" t="str">
        <f t="shared" si="21"/>
        <v/>
      </c>
      <c r="ES620" s="1562"/>
      <c r="ET620" s="1562"/>
      <c r="EU620" s="1562"/>
      <c r="EV620" s="1563"/>
      <c r="EW620" s="1561" t="str">
        <f t="shared" si="22"/>
        <v/>
      </c>
      <c r="EX620" s="1562"/>
      <c r="EY620" s="1562"/>
      <c r="EZ620" s="1562"/>
      <c r="FA620" s="1563"/>
    </row>
    <row r="621" spans="1:157" ht="12.95" customHeight="1">
      <c r="A621" s="2"/>
      <c r="B621" s="2"/>
      <c r="C621" s="2"/>
      <c r="AZ621" s="3"/>
      <c r="BA621" s="3"/>
      <c r="BB621" s="3"/>
      <c r="BC621" s="3"/>
      <c r="BD621" s="3"/>
      <c r="BE621" s="1561">
        <f t="shared" si="1"/>
        <v>0</v>
      </c>
      <c r="BF621" s="1563"/>
      <c r="BG621" s="1572">
        <f t="shared" si="2"/>
        <v>0</v>
      </c>
      <c r="BH621" s="1573"/>
      <c r="BI621" s="1561">
        <f t="shared" si="3"/>
        <v>0</v>
      </c>
      <c r="BJ621" s="1563"/>
      <c r="BK621" s="1572">
        <f t="shared" si="4"/>
        <v>0</v>
      </c>
      <c r="BL621" s="1573"/>
      <c r="BM621" s="3"/>
      <c r="BN621" s="1558">
        <f t="shared" si="5"/>
        <v>0</v>
      </c>
      <c r="BO621" s="1559"/>
      <c r="BP621" s="1559"/>
      <c r="BQ621" s="1559"/>
      <c r="BR621" s="1560"/>
      <c r="BS621" s="1564">
        <f t="shared" si="6"/>
        <v>0</v>
      </c>
      <c r="BT621" s="1564"/>
      <c r="BU621" s="1564"/>
      <c r="BV621" s="1564"/>
      <c r="BW621" s="1564"/>
      <c r="BX621" s="1564">
        <f t="shared" si="7"/>
        <v>0</v>
      </c>
      <c r="BY621" s="1564"/>
      <c r="BZ621" s="1564"/>
      <c r="CA621" s="1564"/>
      <c r="CB621" s="1564"/>
      <c r="CC621" s="1564">
        <f t="shared" si="8"/>
        <v>0</v>
      </c>
      <c r="CD621" s="1564"/>
      <c r="CE621" s="1564"/>
      <c r="CF621" s="1564"/>
      <c r="CG621" s="1564"/>
      <c r="CH621" s="1564">
        <f t="shared" si="9"/>
        <v>0</v>
      </c>
      <c r="CI621" s="1564"/>
      <c r="CJ621" s="1564"/>
      <c r="CK621" s="1564"/>
      <c r="CL621" s="1564"/>
      <c r="CM621" s="1564">
        <f t="shared" si="10"/>
        <v>0</v>
      </c>
      <c r="CN621" s="1564"/>
      <c r="CO621" s="1564"/>
      <c r="CP621" s="1564"/>
      <c r="CQ621" s="1564"/>
      <c r="CR621" s="6"/>
      <c r="CS621" s="1566">
        <f t="shared" si="11"/>
        <v>0</v>
      </c>
      <c r="CT621" s="1566"/>
      <c r="CU621" s="1566"/>
      <c r="CV621" s="1566"/>
      <c r="CW621" s="1566"/>
      <c r="CX621" s="1566">
        <f t="shared" si="12"/>
        <v>0</v>
      </c>
      <c r="CY621" s="1566"/>
      <c r="CZ621" s="1566"/>
      <c r="DA621" s="1566"/>
      <c r="DB621" s="1566"/>
      <c r="DC621" s="1566">
        <f t="shared" si="13"/>
        <v>0</v>
      </c>
      <c r="DD621" s="1566"/>
      <c r="DE621" s="1566"/>
      <c r="DF621" s="1566"/>
      <c r="DG621" s="1566"/>
      <c r="DH621" s="1566">
        <f t="shared" si="14"/>
        <v>0</v>
      </c>
      <c r="DI621" s="1566"/>
      <c r="DJ621" s="1566"/>
      <c r="DK621" s="1566"/>
      <c r="DL621" s="1566"/>
      <c r="DM621" s="1566">
        <f t="shared" si="15"/>
        <v>0</v>
      </c>
      <c r="DN621" s="1566"/>
      <c r="DO621" s="1566"/>
      <c r="DP621" s="1566"/>
      <c r="DQ621" s="1566"/>
      <c r="DR621" s="1566">
        <f t="shared" si="16"/>
        <v>0</v>
      </c>
      <c r="DS621" s="1566"/>
      <c r="DT621" s="1566"/>
      <c r="DU621" s="1566"/>
      <c r="DV621" s="1566"/>
      <c r="DX621" s="1561" t="str">
        <f t="shared" si="17"/>
        <v/>
      </c>
      <c r="DY621" s="1562"/>
      <c r="DZ621" s="1562"/>
      <c r="EA621" s="1562"/>
      <c r="EB621" s="1563"/>
      <c r="EC621" s="1561" t="str">
        <f t="shared" si="18"/>
        <v/>
      </c>
      <c r="ED621" s="1562"/>
      <c r="EE621" s="1562"/>
      <c r="EF621" s="1562"/>
      <c r="EG621" s="1563"/>
      <c r="EH621" s="1561" t="str">
        <f t="shared" si="19"/>
        <v/>
      </c>
      <c r="EI621" s="1562"/>
      <c r="EJ621" s="1562"/>
      <c r="EK621" s="1562"/>
      <c r="EL621" s="1563"/>
      <c r="EM621" s="1561" t="str">
        <f t="shared" si="20"/>
        <v/>
      </c>
      <c r="EN621" s="1562"/>
      <c r="EO621" s="1562"/>
      <c r="EP621" s="1562"/>
      <c r="EQ621" s="1563"/>
      <c r="ER621" s="1561" t="str">
        <f t="shared" si="21"/>
        <v/>
      </c>
      <c r="ES621" s="1562"/>
      <c r="ET621" s="1562"/>
      <c r="EU621" s="1562"/>
      <c r="EV621" s="1563"/>
      <c r="EW621" s="1561" t="str">
        <f t="shared" si="22"/>
        <v/>
      </c>
      <c r="EX621" s="1562"/>
      <c r="EY621" s="1562"/>
      <c r="EZ621" s="1562"/>
      <c r="FA621" s="1563"/>
    </row>
    <row r="622" spans="1:157" ht="12.95" customHeight="1">
      <c r="C622" s="2" t="s">
        <v>2421</v>
      </c>
      <c r="AZ622" s="3"/>
      <c r="BA622" s="3"/>
      <c r="BB622" s="3"/>
      <c r="BC622" s="3"/>
      <c r="BD622" s="3"/>
      <c r="BE622" s="1561">
        <f t="shared" si="1"/>
        <v>0</v>
      </c>
      <c r="BF622" s="1563"/>
      <c r="BG622" s="1572">
        <f t="shared" si="2"/>
        <v>0</v>
      </c>
      <c r="BH622" s="1573"/>
      <c r="BI622" s="1561">
        <f t="shared" si="3"/>
        <v>0</v>
      </c>
      <c r="BJ622" s="1563"/>
      <c r="BK622" s="1572">
        <f t="shared" si="4"/>
        <v>0</v>
      </c>
      <c r="BL622" s="1573"/>
      <c r="BM622" s="3"/>
      <c r="BN622" s="1558">
        <f t="shared" si="5"/>
        <v>0</v>
      </c>
      <c r="BO622" s="1559"/>
      <c r="BP622" s="1559"/>
      <c r="BQ622" s="1559"/>
      <c r="BR622" s="1560"/>
      <c r="BS622" s="1564">
        <f t="shared" si="6"/>
        <v>0</v>
      </c>
      <c r="BT622" s="1564"/>
      <c r="BU622" s="1564"/>
      <c r="BV622" s="1564"/>
      <c r="BW622" s="1564"/>
      <c r="BX622" s="1564">
        <f t="shared" si="7"/>
        <v>0</v>
      </c>
      <c r="BY622" s="1564"/>
      <c r="BZ622" s="1564"/>
      <c r="CA622" s="1564"/>
      <c r="CB622" s="1564"/>
      <c r="CC622" s="1564">
        <f t="shared" si="8"/>
        <v>0</v>
      </c>
      <c r="CD622" s="1564"/>
      <c r="CE622" s="1564"/>
      <c r="CF622" s="1564"/>
      <c r="CG622" s="1564"/>
      <c r="CH622" s="1564">
        <f t="shared" si="9"/>
        <v>0</v>
      </c>
      <c r="CI622" s="1564"/>
      <c r="CJ622" s="1564"/>
      <c r="CK622" s="1564"/>
      <c r="CL622" s="1564"/>
      <c r="CM622" s="1564">
        <f t="shared" si="10"/>
        <v>0</v>
      </c>
      <c r="CN622" s="1564"/>
      <c r="CO622" s="1564"/>
      <c r="CP622" s="1564"/>
      <c r="CQ622" s="1564"/>
      <c r="CR622" s="6"/>
      <c r="CS622" s="1566">
        <f t="shared" si="11"/>
        <v>0</v>
      </c>
      <c r="CT622" s="1566"/>
      <c r="CU622" s="1566"/>
      <c r="CV622" s="1566"/>
      <c r="CW622" s="1566"/>
      <c r="CX622" s="1566">
        <f t="shared" si="12"/>
        <v>0</v>
      </c>
      <c r="CY622" s="1566"/>
      <c r="CZ622" s="1566"/>
      <c r="DA622" s="1566"/>
      <c r="DB622" s="1566"/>
      <c r="DC622" s="1566">
        <f t="shared" si="13"/>
        <v>0</v>
      </c>
      <c r="DD622" s="1566"/>
      <c r="DE622" s="1566"/>
      <c r="DF622" s="1566"/>
      <c r="DG622" s="1566"/>
      <c r="DH622" s="1566">
        <f t="shared" si="14"/>
        <v>0</v>
      </c>
      <c r="DI622" s="1566"/>
      <c r="DJ622" s="1566"/>
      <c r="DK622" s="1566"/>
      <c r="DL622" s="1566"/>
      <c r="DM622" s="1566">
        <f t="shared" si="15"/>
        <v>0</v>
      </c>
      <c r="DN622" s="1566"/>
      <c r="DO622" s="1566"/>
      <c r="DP622" s="1566"/>
      <c r="DQ622" s="1566"/>
      <c r="DR622" s="1566">
        <f t="shared" si="16"/>
        <v>0</v>
      </c>
      <c r="DS622" s="1566"/>
      <c r="DT622" s="1566"/>
      <c r="DU622" s="1566"/>
      <c r="DV622" s="1566"/>
      <c r="DX622" s="1561" t="str">
        <f t="shared" si="17"/>
        <v/>
      </c>
      <c r="DY622" s="1562"/>
      <c r="DZ622" s="1562"/>
      <c r="EA622" s="1562"/>
      <c r="EB622" s="1563"/>
      <c r="EC622" s="1561" t="str">
        <f t="shared" si="18"/>
        <v/>
      </c>
      <c r="ED622" s="1562"/>
      <c r="EE622" s="1562"/>
      <c r="EF622" s="1562"/>
      <c r="EG622" s="1563"/>
      <c r="EH622" s="1561" t="str">
        <f t="shared" si="19"/>
        <v/>
      </c>
      <c r="EI622" s="1562"/>
      <c r="EJ622" s="1562"/>
      <c r="EK622" s="1562"/>
      <c r="EL622" s="1563"/>
      <c r="EM622" s="1561" t="str">
        <f t="shared" si="20"/>
        <v/>
      </c>
      <c r="EN622" s="1562"/>
      <c r="EO622" s="1562"/>
      <c r="EP622" s="1562"/>
      <c r="EQ622" s="1563"/>
      <c r="ER622" s="1561" t="str">
        <f t="shared" si="21"/>
        <v/>
      </c>
      <c r="ES622" s="1562"/>
      <c r="ET622" s="1562"/>
      <c r="EU622" s="1562"/>
      <c r="EV622" s="1563"/>
      <c r="EW622" s="1561" t="str">
        <f t="shared" si="22"/>
        <v/>
      </c>
      <c r="EX622" s="1562"/>
      <c r="EY622" s="1562"/>
      <c r="EZ622" s="1562"/>
      <c r="FA622" s="1563"/>
    </row>
    <row r="623" spans="1:157" ht="12.95" customHeight="1">
      <c r="B623" s="546"/>
      <c r="C623" s="2"/>
      <c r="AU623" s="3"/>
      <c r="AZ623" s="3"/>
      <c r="BA623" s="3"/>
      <c r="BB623" s="3"/>
      <c r="BC623" s="3"/>
      <c r="BD623" s="3"/>
      <c r="BE623" s="1561">
        <f t="shared" si="1"/>
        <v>0</v>
      </c>
      <c r="BF623" s="1563"/>
      <c r="BG623" s="1572">
        <f t="shared" si="2"/>
        <v>0</v>
      </c>
      <c r="BH623" s="1573"/>
      <c r="BI623" s="1561">
        <f t="shared" si="3"/>
        <v>0</v>
      </c>
      <c r="BJ623" s="1563"/>
      <c r="BK623" s="1572">
        <f t="shared" si="4"/>
        <v>0</v>
      </c>
      <c r="BL623" s="1573"/>
      <c r="BM623" s="3"/>
      <c r="BN623" s="1558">
        <f t="shared" si="5"/>
        <v>0</v>
      </c>
      <c r="BO623" s="1559"/>
      <c r="BP623" s="1559"/>
      <c r="BQ623" s="1559"/>
      <c r="BR623" s="1560"/>
      <c r="BS623" s="1564">
        <f t="shared" si="6"/>
        <v>0</v>
      </c>
      <c r="BT623" s="1564"/>
      <c r="BU623" s="1564"/>
      <c r="BV623" s="1564"/>
      <c r="BW623" s="1564"/>
      <c r="BX623" s="1564">
        <f t="shared" si="7"/>
        <v>0</v>
      </c>
      <c r="BY623" s="1564"/>
      <c r="BZ623" s="1564"/>
      <c r="CA623" s="1564"/>
      <c r="CB623" s="1564"/>
      <c r="CC623" s="1564">
        <f t="shared" si="8"/>
        <v>0</v>
      </c>
      <c r="CD623" s="1564"/>
      <c r="CE623" s="1564"/>
      <c r="CF623" s="1564"/>
      <c r="CG623" s="1564"/>
      <c r="CH623" s="1564">
        <f t="shared" si="9"/>
        <v>0</v>
      </c>
      <c r="CI623" s="1564"/>
      <c r="CJ623" s="1564"/>
      <c r="CK623" s="1564"/>
      <c r="CL623" s="1564"/>
      <c r="CM623" s="1564">
        <f t="shared" si="10"/>
        <v>0</v>
      </c>
      <c r="CN623" s="1564"/>
      <c r="CO623" s="1564"/>
      <c r="CP623" s="1564"/>
      <c r="CQ623" s="1564"/>
      <c r="CR623" s="6"/>
      <c r="CS623" s="1566">
        <f t="shared" si="11"/>
        <v>0</v>
      </c>
      <c r="CT623" s="1566"/>
      <c r="CU623" s="1566"/>
      <c r="CV623" s="1566"/>
      <c r="CW623" s="1566"/>
      <c r="CX623" s="1566">
        <f t="shared" si="12"/>
        <v>0</v>
      </c>
      <c r="CY623" s="1566"/>
      <c r="CZ623" s="1566"/>
      <c r="DA623" s="1566"/>
      <c r="DB623" s="1566"/>
      <c r="DC623" s="1566">
        <f t="shared" si="13"/>
        <v>0</v>
      </c>
      <c r="DD623" s="1566"/>
      <c r="DE623" s="1566"/>
      <c r="DF623" s="1566"/>
      <c r="DG623" s="1566"/>
      <c r="DH623" s="1566">
        <f t="shared" si="14"/>
        <v>0</v>
      </c>
      <c r="DI623" s="1566"/>
      <c r="DJ623" s="1566"/>
      <c r="DK623" s="1566"/>
      <c r="DL623" s="1566"/>
      <c r="DM623" s="1566">
        <f t="shared" si="15"/>
        <v>0</v>
      </c>
      <c r="DN623" s="1566"/>
      <c r="DO623" s="1566"/>
      <c r="DP623" s="1566"/>
      <c r="DQ623" s="1566"/>
      <c r="DR623" s="1566">
        <f t="shared" si="16"/>
        <v>0</v>
      </c>
      <c r="DS623" s="1566"/>
      <c r="DT623" s="1566"/>
      <c r="DU623" s="1566"/>
      <c r="DV623" s="1566"/>
      <c r="DX623" s="1561" t="str">
        <f t="shared" si="17"/>
        <v/>
      </c>
      <c r="DY623" s="1562"/>
      <c r="DZ623" s="1562"/>
      <c r="EA623" s="1562"/>
      <c r="EB623" s="1563"/>
      <c r="EC623" s="1561" t="str">
        <f t="shared" si="18"/>
        <v/>
      </c>
      <c r="ED623" s="1562"/>
      <c r="EE623" s="1562"/>
      <c r="EF623" s="1562"/>
      <c r="EG623" s="1563"/>
      <c r="EH623" s="1561" t="str">
        <f t="shared" si="19"/>
        <v/>
      </c>
      <c r="EI623" s="1562"/>
      <c r="EJ623" s="1562"/>
      <c r="EK623" s="1562"/>
      <c r="EL623" s="1563"/>
      <c r="EM623" s="1561" t="str">
        <f t="shared" si="20"/>
        <v/>
      </c>
      <c r="EN623" s="1562"/>
      <c r="EO623" s="1562"/>
      <c r="EP623" s="1562"/>
      <c r="EQ623" s="1563"/>
      <c r="ER623" s="1561" t="str">
        <f t="shared" si="21"/>
        <v/>
      </c>
      <c r="ES623" s="1562"/>
      <c r="ET623" s="1562"/>
      <c r="EU623" s="1562"/>
      <c r="EV623" s="1563"/>
      <c r="EW623" s="1561" t="str">
        <f t="shared" si="22"/>
        <v/>
      </c>
      <c r="EX623" s="1562"/>
      <c r="EY623" s="1562"/>
      <c r="EZ623" s="1562"/>
      <c r="FA623" s="1563"/>
    </row>
    <row r="624" spans="1:157" ht="12.95" customHeight="1">
      <c r="B624" s="1474" t="s">
        <v>2423</v>
      </c>
      <c r="C624" s="1474"/>
      <c r="D624" s="1474"/>
      <c r="E624" s="1474"/>
      <c r="F624" s="1474"/>
      <c r="G624" s="1474"/>
      <c r="H624" s="1474"/>
      <c r="I624" s="1474"/>
      <c r="J624" s="1474"/>
      <c r="K624" s="1474"/>
      <c r="L624" s="1474"/>
      <c r="M624" s="1522" t="s">
        <v>2424</v>
      </c>
      <c r="N624" s="1522"/>
      <c r="O624" s="1522"/>
      <c r="P624" s="1522"/>
      <c r="Q624" s="1522" t="s">
        <v>2045</v>
      </c>
      <c r="R624" s="1522"/>
      <c r="S624" s="1522"/>
      <c r="T624" s="1522" t="s">
        <v>2043</v>
      </c>
      <c r="U624" s="1522"/>
      <c r="V624" s="1522"/>
      <c r="W624" s="1521" t="s">
        <v>462</v>
      </c>
      <c r="X624" s="1521"/>
      <c r="Y624" s="1521"/>
      <c r="Z624" s="1530" t="s">
        <v>2453</v>
      </c>
      <c r="AA624" s="1530"/>
      <c r="AB624" s="1531"/>
      <c r="AC624" s="1487" t="s">
        <v>1866</v>
      </c>
      <c r="AD624" s="1488"/>
      <c r="AE624" s="1489"/>
      <c r="AF624" s="1798" t="s">
        <v>2232</v>
      </c>
      <c r="AG624" s="1530"/>
      <c r="AH624" s="1530"/>
      <c r="AI624" s="1530"/>
      <c r="AJ624" s="1531"/>
      <c r="AK624" s="1677" t="s">
        <v>2233</v>
      </c>
      <c r="AL624" s="1678"/>
      <c r="AM624" s="1678"/>
      <c r="AN624" s="1679"/>
      <c r="AO624" s="1522" t="s">
        <v>463</v>
      </c>
      <c r="AP624" s="1522"/>
      <c r="AQ624" s="1522"/>
      <c r="AR624" s="1522"/>
      <c r="AS624" s="1522"/>
      <c r="AU624" s="3"/>
      <c r="AZ624" s="3"/>
      <c r="BA624" s="3"/>
      <c r="BB624" s="3"/>
      <c r="BC624" s="3"/>
      <c r="BD624" s="3"/>
      <c r="BE624" s="1561">
        <f t="shared" si="1"/>
        <v>0</v>
      </c>
      <c r="BF624" s="1563"/>
      <c r="BG624" s="1572">
        <f t="shared" si="2"/>
        <v>0</v>
      </c>
      <c r="BH624" s="1573"/>
      <c r="BI624" s="1561">
        <f t="shared" si="3"/>
        <v>0</v>
      </c>
      <c r="BJ624" s="1563"/>
      <c r="BK624" s="1572">
        <f t="shared" si="4"/>
        <v>0</v>
      </c>
      <c r="BL624" s="1573"/>
      <c r="BM624" s="3"/>
      <c r="BN624" s="1558">
        <f t="shared" si="5"/>
        <v>0</v>
      </c>
      <c r="BO624" s="1559"/>
      <c r="BP624" s="1559"/>
      <c r="BQ624" s="1559"/>
      <c r="BR624" s="1560"/>
      <c r="BS624" s="1564">
        <f t="shared" si="6"/>
        <v>0</v>
      </c>
      <c r="BT624" s="1564"/>
      <c r="BU624" s="1564"/>
      <c r="BV624" s="1564"/>
      <c r="BW624" s="1564"/>
      <c r="BX624" s="1564">
        <f t="shared" si="7"/>
        <v>0</v>
      </c>
      <c r="BY624" s="1564"/>
      <c r="BZ624" s="1564"/>
      <c r="CA624" s="1564"/>
      <c r="CB624" s="1564"/>
      <c r="CC624" s="1564">
        <f t="shared" si="8"/>
        <v>0</v>
      </c>
      <c r="CD624" s="1564"/>
      <c r="CE624" s="1564"/>
      <c r="CF624" s="1564"/>
      <c r="CG624" s="1564"/>
      <c r="CH624" s="1564">
        <f t="shared" si="9"/>
        <v>0</v>
      </c>
      <c r="CI624" s="1564"/>
      <c r="CJ624" s="1564"/>
      <c r="CK624" s="1564"/>
      <c r="CL624" s="1564"/>
      <c r="CM624" s="1564">
        <f t="shared" si="10"/>
        <v>0</v>
      </c>
      <c r="CN624" s="1564"/>
      <c r="CO624" s="1564"/>
      <c r="CP624" s="1564"/>
      <c r="CQ624" s="1564"/>
      <c r="CR624" s="6"/>
      <c r="CS624" s="1566">
        <f t="shared" si="11"/>
        <v>0</v>
      </c>
      <c r="CT624" s="1566"/>
      <c r="CU624" s="1566"/>
      <c r="CV624" s="1566"/>
      <c r="CW624" s="1566"/>
      <c r="CX624" s="1566">
        <f t="shared" si="12"/>
        <v>0</v>
      </c>
      <c r="CY624" s="1566"/>
      <c r="CZ624" s="1566"/>
      <c r="DA624" s="1566"/>
      <c r="DB624" s="1566"/>
      <c r="DC624" s="1566">
        <f t="shared" si="13"/>
        <v>0</v>
      </c>
      <c r="DD624" s="1566"/>
      <c r="DE624" s="1566"/>
      <c r="DF624" s="1566"/>
      <c r="DG624" s="1566"/>
      <c r="DH624" s="1566">
        <f t="shared" si="14"/>
        <v>0</v>
      </c>
      <c r="DI624" s="1566"/>
      <c r="DJ624" s="1566"/>
      <c r="DK624" s="1566"/>
      <c r="DL624" s="1566"/>
      <c r="DM624" s="1566">
        <f t="shared" si="15"/>
        <v>0</v>
      </c>
      <c r="DN624" s="1566"/>
      <c r="DO624" s="1566"/>
      <c r="DP624" s="1566"/>
      <c r="DQ624" s="1566"/>
      <c r="DR624" s="1566">
        <f t="shared" si="16"/>
        <v>0</v>
      </c>
      <c r="DS624" s="1566"/>
      <c r="DT624" s="1566"/>
      <c r="DU624" s="1566"/>
      <c r="DV624" s="1566"/>
      <c r="DX624" s="1561" t="str">
        <f t="shared" si="17"/>
        <v/>
      </c>
      <c r="DY624" s="1562"/>
      <c r="DZ624" s="1562"/>
      <c r="EA624" s="1562"/>
      <c r="EB624" s="1563"/>
      <c r="EC624" s="1561" t="str">
        <f t="shared" si="18"/>
        <v/>
      </c>
      <c r="ED624" s="1562"/>
      <c r="EE624" s="1562"/>
      <c r="EF624" s="1562"/>
      <c r="EG624" s="1563"/>
      <c r="EH624" s="1561" t="str">
        <f t="shared" si="19"/>
        <v/>
      </c>
      <c r="EI624" s="1562"/>
      <c r="EJ624" s="1562"/>
      <c r="EK624" s="1562"/>
      <c r="EL624" s="1563"/>
      <c r="EM624" s="1561" t="str">
        <f t="shared" si="20"/>
        <v/>
      </c>
      <c r="EN624" s="1562"/>
      <c r="EO624" s="1562"/>
      <c r="EP624" s="1562"/>
      <c r="EQ624" s="1563"/>
      <c r="ER624" s="1561" t="str">
        <f t="shared" si="21"/>
        <v/>
      </c>
      <c r="ES624" s="1562"/>
      <c r="ET624" s="1562"/>
      <c r="EU624" s="1562"/>
      <c r="EV624" s="1563"/>
      <c r="EW624" s="1561" t="str">
        <f t="shared" si="22"/>
        <v/>
      </c>
      <c r="EX624" s="1562"/>
      <c r="EY624" s="1562"/>
      <c r="EZ624" s="1562"/>
      <c r="FA624" s="1563"/>
    </row>
    <row r="625" spans="2:157" ht="12.95" customHeight="1">
      <c r="B625" s="1474"/>
      <c r="C625" s="1474"/>
      <c r="D625" s="1474"/>
      <c r="E625" s="1474"/>
      <c r="F625" s="1474"/>
      <c r="G625" s="1474"/>
      <c r="H625" s="1474"/>
      <c r="I625" s="1474"/>
      <c r="J625" s="1474"/>
      <c r="K625" s="1474"/>
      <c r="L625" s="1474"/>
      <c r="M625" s="1522"/>
      <c r="N625" s="1522"/>
      <c r="O625" s="1522"/>
      <c r="P625" s="1522"/>
      <c r="Q625" s="1522"/>
      <c r="R625" s="1522"/>
      <c r="S625" s="1522"/>
      <c r="T625" s="1522"/>
      <c r="U625" s="1522"/>
      <c r="V625" s="1522"/>
      <c r="W625" s="1521"/>
      <c r="X625" s="1521"/>
      <c r="Y625" s="1521"/>
      <c r="Z625" s="1532"/>
      <c r="AA625" s="1532"/>
      <c r="AB625" s="1533"/>
      <c r="AC625" s="1490"/>
      <c r="AD625" s="1491"/>
      <c r="AE625" s="1492"/>
      <c r="AF625" s="1799"/>
      <c r="AG625" s="1532"/>
      <c r="AH625" s="1532"/>
      <c r="AI625" s="1532"/>
      <c r="AJ625" s="1533"/>
      <c r="AK625" s="1680"/>
      <c r="AL625" s="1681"/>
      <c r="AM625" s="1681"/>
      <c r="AN625" s="1682"/>
      <c r="AO625" s="1522"/>
      <c r="AP625" s="1522"/>
      <c r="AQ625" s="1522"/>
      <c r="AR625" s="1522"/>
      <c r="AS625" s="1522"/>
      <c r="AU625" s="3"/>
      <c r="AZ625" s="3"/>
      <c r="BA625" s="3"/>
      <c r="BB625" s="3"/>
      <c r="BC625" s="3"/>
      <c r="BD625" s="3"/>
      <c r="BE625" s="1561">
        <f t="shared" si="1"/>
        <v>0</v>
      </c>
      <c r="BF625" s="1563"/>
      <c r="BG625" s="1572">
        <f t="shared" si="2"/>
        <v>0</v>
      </c>
      <c r="BH625" s="1573"/>
      <c r="BI625" s="1561">
        <f t="shared" si="3"/>
        <v>0</v>
      </c>
      <c r="BJ625" s="1563"/>
      <c r="BK625" s="1572">
        <f t="shared" si="4"/>
        <v>0</v>
      </c>
      <c r="BL625" s="1573"/>
      <c r="BM625" s="3"/>
      <c r="BN625" s="1558">
        <f t="shared" si="5"/>
        <v>0</v>
      </c>
      <c r="BO625" s="1559"/>
      <c r="BP625" s="1559"/>
      <c r="BQ625" s="1559"/>
      <c r="BR625" s="1560"/>
      <c r="BS625" s="1564">
        <f t="shared" si="6"/>
        <v>0</v>
      </c>
      <c r="BT625" s="1564"/>
      <c r="BU625" s="1564"/>
      <c r="BV625" s="1564"/>
      <c r="BW625" s="1564"/>
      <c r="BX625" s="1564">
        <f t="shared" si="7"/>
        <v>0</v>
      </c>
      <c r="BY625" s="1564"/>
      <c r="BZ625" s="1564"/>
      <c r="CA625" s="1564"/>
      <c r="CB625" s="1564"/>
      <c r="CC625" s="1564">
        <f t="shared" si="8"/>
        <v>0</v>
      </c>
      <c r="CD625" s="1564"/>
      <c r="CE625" s="1564"/>
      <c r="CF625" s="1564"/>
      <c r="CG625" s="1564"/>
      <c r="CH625" s="1564">
        <f t="shared" si="9"/>
        <v>0</v>
      </c>
      <c r="CI625" s="1564"/>
      <c r="CJ625" s="1564"/>
      <c r="CK625" s="1564"/>
      <c r="CL625" s="1564"/>
      <c r="CM625" s="1564">
        <f t="shared" si="10"/>
        <v>0</v>
      </c>
      <c r="CN625" s="1564"/>
      <c r="CO625" s="1564"/>
      <c r="CP625" s="1564"/>
      <c r="CQ625" s="1564"/>
      <c r="CR625" s="6"/>
      <c r="CS625" s="1566">
        <f t="shared" si="11"/>
        <v>0</v>
      </c>
      <c r="CT625" s="1566"/>
      <c r="CU625" s="1566"/>
      <c r="CV625" s="1566"/>
      <c r="CW625" s="1566"/>
      <c r="CX625" s="1566">
        <f t="shared" si="12"/>
        <v>0</v>
      </c>
      <c r="CY625" s="1566"/>
      <c r="CZ625" s="1566"/>
      <c r="DA625" s="1566"/>
      <c r="DB625" s="1566"/>
      <c r="DC625" s="1566">
        <f t="shared" si="13"/>
        <v>0</v>
      </c>
      <c r="DD625" s="1566"/>
      <c r="DE625" s="1566"/>
      <c r="DF625" s="1566"/>
      <c r="DG625" s="1566"/>
      <c r="DH625" s="1566">
        <f t="shared" si="14"/>
        <v>0</v>
      </c>
      <c r="DI625" s="1566"/>
      <c r="DJ625" s="1566"/>
      <c r="DK625" s="1566"/>
      <c r="DL625" s="1566"/>
      <c r="DM625" s="1566">
        <f t="shared" si="15"/>
        <v>0</v>
      </c>
      <c r="DN625" s="1566"/>
      <c r="DO625" s="1566"/>
      <c r="DP625" s="1566"/>
      <c r="DQ625" s="1566"/>
      <c r="DR625" s="1566">
        <f t="shared" si="16"/>
        <v>0</v>
      </c>
      <c r="DS625" s="1566"/>
      <c r="DT625" s="1566"/>
      <c r="DU625" s="1566"/>
      <c r="DV625" s="1566"/>
      <c r="DX625" s="1561" t="str">
        <f t="shared" si="17"/>
        <v/>
      </c>
      <c r="DY625" s="1562"/>
      <c r="DZ625" s="1562"/>
      <c r="EA625" s="1562"/>
      <c r="EB625" s="1563"/>
      <c r="EC625" s="1561" t="str">
        <f t="shared" si="18"/>
        <v/>
      </c>
      <c r="ED625" s="1562"/>
      <c r="EE625" s="1562"/>
      <c r="EF625" s="1562"/>
      <c r="EG625" s="1563"/>
      <c r="EH625" s="1561" t="str">
        <f t="shared" si="19"/>
        <v/>
      </c>
      <c r="EI625" s="1562"/>
      <c r="EJ625" s="1562"/>
      <c r="EK625" s="1562"/>
      <c r="EL625" s="1563"/>
      <c r="EM625" s="1561" t="str">
        <f t="shared" si="20"/>
        <v/>
      </c>
      <c r="EN625" s="1562"/>
      <c r="EO625" s="1562"/>
      <c r="EP625" s="1562"/>
      <c r="EQ625" s="1563"/>
      <c r="ER625" s="1561" t="str">
        <f t="shared" si="21"/>
        <v/>
      </c>
      <c r="ES625" s="1562"/>
      <c r="ET625" s="1562"/>
      <c r="EU625" s="1562"/>
      <c r="EV625" s="1563"/>
      <c r="EW625" s="1561" t="str">
        <f t="shared" si="22"/>
        <v/>
      </c>
      <c r="EX625" s="1562"/>
      <c r="EY625" s="1562"/>
      <c r="EZ625" s="1562"/>
      <c r="FA625" s="1563"/>
    </row>
    <row r="626" spans="2:157" ht="12.95" customHeight="1">
      <c r="B626" s="1474"/>
      <c r="C626" s="1474"/>
      <c r="D626" s="1474"/>
      <c r="E626" s="1474"/>
      <c r="F626" s="1474"/>
      <c r="G626" s="1474"/>
      <c r="H626" s="1474"/>
      <c r="I626" s="1474"/>
      <c r="J626" s="1474"/>
      <c r="K626" s="1474"/>
      <c r="L626" s="1474"/>
      <c r="M626" s="1522"/>
      <c r="N626" s="1522"/>
      <c r="O626" s="1522"/>
      <c r="P626" s="1522"/>
      <c r="Q626" s="1522"/>
      <c r="R626" s="1522"/>
      <c r="S626" s="1522"/>
      <c r="T626" s="1522"/>
      <c r="U626" s="1522"/>
      <c r="V626" s="1522"/>
      <c r="W626" s="1521"/>
      <c r="X626" s="1521"/>
      <c r="Y626" s="1521"/>
      <c r="Z626" s="1534"/>
      <c r="AA626" s="1534"/>
      <c r="AB626" s="1535"/>
      <c r="AC626" s="1493"/>
      <c r="AD626" s="1494"/>
      <c r="AE626" s="1495"/>
      <c r="AF626" s="1800"/>
      <c r="AG626" s="1534"/>
      <c r="AH626" s="1534"/>
      <c r="AI626" s="1534"/>
      <c r="AJ626" s="1535"/>
      <c r="AK626" s="1683"/>
      <c r="AL626" s="1684"/>
      <c r="AM626" s="1684"/>
      <c r="AN626" s="1685"/>
      <c r="AO626" s="1522"/>
      <c r="AP626" s="1522"/>
      <c r="AQ626" s="1522"/>
      <c r="AR626" s="1522"/>
      <c r="AS626" s="1522"/>
      <c r="AT626" s="3"/>
      <c r="AU626" s="3"/>
      <c r="AZ626" s="3"/>
      <c r="BA626" s="3"/>
      <c r="BB626" s="3"/>
      <c r="BC626" s="3"/>
      <c r="BD626" s="3"/>
      <c r="BE626" s="1561">
        <f t="shared" si="1"/>
        <v>0</v>
      </c>
      <c r="BF626" s="1563"/>
      <c r="BG626" s="1572">
        <f t="shared" si="2"/>
        <v>0</v>
      </c>
      <c r="BH626" s="1573"/>
      <c r="BI626" s="1561">
        <f t="shared" si="3"/>
        <v>0</v>
      </c>
      <c r="BJ626" s="1563"/>
      <c r="BK626" s="1572">
        <f t="shared" si="4"/>
        <v>0</v>
      </c>
      <c r="BL626" s="1573"/>
      <c r="BM626" s="3"/>
      <c r="BN626" s="1558">
        <f t="shared" si="5"/>
        <v>0</v>
      </c>
      <c r="BO626" s="1559"/>
      <c r="BP626" s="1559"/>
      <c r="BQ626" s="1559"/>
      <c r="BR626" s="1560"/>
      <c r="BS626" s="1564">
        <f t="shared" si="6"/>
        <v>0</v>
      </c>
      <c r="BT626" s="1564"/>
      <c r="BU626" s="1564"/>
      <c r="BV626" s="1564"/>
      <c r="BW626" s="1564"/>
      <c r="BX626" s="1564">
        <f t="shared" si="7"/>
        <v>0</v>
      </c>
      <c r="BY626" s="1564"/>
      <c r="BZ626" s="1564"/>
      <c r="CA626" s="1564"/>
      <c r="CB626" s="1564"/>
      <c r="CC626" s="1564">
        <f t="shared" si="8"/>
        <v>0</v>
      </c>
      <c r="CD626" s="1564"/>
      <c r="CE626" s="1564"/>
      <c r="CF626" s="1564"/>
      <c r="CG626" s="1564"/>
      <c r="CH626" s="1564">
        <f t="shared" si="9"/>
        <v>0</v>
      </c>
      <c r="CI626" s="1564"/>
      <c r="CJ626" s="1564"/>
      <c r="CK626" s="1564"/>
      <c r="CL626" s="1564"/>
      <c r="CM626" s="1564">
        <f t="shared" si="10"/>
        <v>0</v>
      </c>
      <c r="CN626" s="1564"/>
      <c r="CO626" s="1564"/>
      <c r="CP626" s="1564"/>
      <c r="CQ626" s="1564"/>
      <c r="CR626" s="6"/>
      <c r="CS626" s="1566">
        <f t="shared" si="11"/>
        <v>0</v>
      </c>
      <c r="CT626" s="1566"/>
      <c r="CU626" s="1566"/>
      <c r="CV626" s="1566"/>
      <c r="CW626" s="1566"/>
      <c r="CX626" s="1566">
        <f t="shared" si="12"/>
        <v>0</v>
      </c>
      <c r="CY626" s="1566"/>
      <c r="CZ626" s="1566"/>
      <c r="DA626" s="1566"/>
      <c r="DB626" s="1566"/>
      <c r="DC626" s="1566">
        <f t="shared" si="13"/>
        <v>0</v>
      </c>
      <c r="DD626" s="1566"/>
      <c r="DE626" s="1566"/>
      <c r="DF626" s="1566"/>
      <c r="DG626" s="1566"/>
      <c r="DH626" s="1566">
        <f t="shared" si="14"/>
        <v>0</v>
      </c>
      <c r="DI626" s="1566"/>
      <c r="DJ626" s="1566"/>
      <c r="DK626" s="1566"/>
      <c r="DL626" s="1566"/>
      <c r="DM626" s="1566">
        <f t="shared" si="15"/>
        <v>0</v>
      </c>
      <c r="DN626" s="1566"/>
      <c r="DO626" s="1566"/>
      <c r="DP626" s="1566"/>
      <c r="DQ626" s="1566"/>
      <c r="DR626" s="1566">
        <f t="shared" si="16"/>
        <v>0</v>
      </c>
      <c r="DS626" s="1566"/>
      <c r="DT626" s="1566"/>
      <c r="DU626" s="1566"/>
      <c r="DV626" s="1566"/>
      <c r="DX626" s="1561" t="str">
        <f t="shared" si="17"/>
        <v/>
      </c>
      <c r="DY626" s="1562"/>
      <c r="DZ626" s="1562"/>
      <c r="EA626" s="1562"/>
      <c r="EB626" s="1563"/>
      <c r="EC626" s="1561" t="str">
        <f t="shared" si="18"/>
        <v/>
      </c>
      <c r="ED626" s="1562"/>
      <c r="EE626" s="1562"/>
      <c r="EF626" s="1562"/>
      <c r="EG626" s="1563"/>
      <c r="EH626" s="1561" t="str">
        <f t="shared" si="19"/>
        <v/>
      </c>
      <c r="EI626" s="1562"/>
      <c r="EJ626" s="1562"/>
      <c r="EK626" s="1562"/>
      <c r="EL626" s="1563"/>
      <c r="EM626" s="1561" t="str">
        <f t="shared" si="20"/>
        <v/>
      </c>
      <c r="EN626" s="1562"/>
      <c r="EO626" s="1562"/>
      <c r="EP626" s="1562"/>
      <c r="EQ626" s="1563"/>
      <c r="ER626" s="1561" t="str">
        <f t="shared" si="21"/>
        <v/>
      </c>
      <c r="ES626" s="1562"/>
      <c r="ET626" s="1562"/>
      <c r="EU626" s="1562"/>
      <c r="EV626" s="1563"/>
      <c r="EW626" s="1561" t="str">
        <f t="shared" si="22"/>
        <v/>
      </c>
      <c r="EX626" s="1562"/>
      <c r="EY626" s="1562"/>
      <c r="EZ626" s="1562"/>
      <c r="FA626" s="1563"/>
    </row>
    <row r="627" spans="2:157" ht="12.95" customHeight="1">
      <c r="B627" s="51" t="s">
        <v>112</v>
      </c>
      <c r="C627" s="1752" t="s">
        <v>2743</v>
      </c>
      <c r="D627" s="1752"/>
      <c r="E627" s="1752"/>
      <c r="F627" s="1752"/>
      <c r="G627" s="1752"/>
      <c r="H627" s="1752"/>
      <c r="I627" s="1752"/>
      <c r="J627" s="1752"/>
      <c r="K627" s="1752"/>
      <c r="L627" s="1752"/>
      <c r="M627" s="1445" t="s">
        <v>2440</v>
      </c>
      <c r="N627" s="1445"/>
      <c r="O627" s="1445"/>
      <c r="P627" s="1445"/>
      <c r="Q627" s="1475">
        <f>15*12</f>
        <v>180</v>
      </c>
      <c r="R627" s="1475"/>
      <c r="S627" s="1476"/>
      <c r="T627" s="1477">
        <v>480</v>
      </c>
      <c r="U627" s="1475"/>
      <c r="V627" s="1476"/>
      <c r="W627" s="1527">
        <v>7.0000000000000007E-2</v>
      </c>
      <c r="X627" s="1528"/>
      <c r="Y627" s="1529"/>
      <c r="Z627" s="1536" t="s">
        <v>2452</v>
      </c>
      <c r="AA627" s="1537"/>
      <c r="AB627" s="1538"/>
      <c r="AC627" s="1524">
        <v>1</v>
      </c>
      <c r="AD627" s="1525"/>
      <c r="AE627" s="1526"/>
      <c r="AF627" s="1518">
        <v>508952</v>
      </c>
      <c r="AG627" s="1519"/>
      <c r="AH627" s="1519"/>
      <c r="AI627" s="1519"/>
      <c r="AJ627" s="1520"/>
      <c r="AK627" s="1478"/>
      <c r="AL627" s="1479"/>
      <c r="AM627" s="1479"/>
      <c r="AN627" s="1480"/>
      <c r="AO627" s="1571">
        <v>7425000</v>
      </c>
      <c r="AP627" s="1571"/>
      <c r="AQ627" s="1571"/>
      <c r="AR627" s="1571"/>
      <c r="AS627" s="1571"/>
      <c r="AT627" s="3"/>
      <c r="AU627" s="3"/>
      <c r="AZ627" s="3"/>
      <c r="BA627" s="3"/>
      <c r="BB627" s="3"/>
      <c r="BC627" s="3"/>
      <c r="BD627" s="3"/>
      <c r="BE627" s="1561">
        <f t="shared" si="1"/>
        <v>0</v>
      </c>
      <c r="BF627" s="1563"/>
      <c r="BG627" s="1572">
        <f t="shared" si="2"/>
        <v>0</v>
      </c>
      <c r="BH627" s="1573"/>
      <c r="BI627" s="1561">
        <f t="shared" si="3"/>
        <v>0</v>
      </c>
      <c r="BJ627" s="1563"/>
      <c r="BK627" s="1572">
        <f t="shared" si="4"/>
        <v>0</v>
      </c>
      <c r="BL627" s="1573"/>
      <c r="BM627" s="3"/>
      <c r="BN627" s="1558">
        <f t="shared" si="5"/>
        <v>0</v>
      </c>
      <c r="BO627" s="1559"/>
      <c r="BP627" s="1559"/>
      <c r="BQ627" s="1559"/>
      <c r="BR627" s="1560"/>
      <c r="BS627" s="1564">
        <f t="shared" si="6"/>
        <v>0</v>
      </c>
      <c r="BT627" s="1564"/>
      <c r="BU627" s="1564"/>
      <c r="BV627" s="1564"/>
      <c r="BW627" s="1564"/>
      <c r="BX627" s="1564">
        <f t="shared" si="7"/>
        <v>0</v>
      </c>
      <c r="BY627" s="1564"/>
      <c r="BZ627" s="1564"/>
      <c r="CA627" s="1564"/>
      <c r="CB627" s="1564"/>
      <c r="CC627" s="1564">
        <f t="shared" si="8"/>
        <v>0</v>
      </c>
      <c r="CD627" s="1564"/>
      <c r="CE627" s="1564"/>
      <c r="CF627" s="1564"/>
      <c r="CG627" s="1564"/>
      <c r="CH627" s="1564">
        <f t="shared" si="9"/>
        <v>0</v>
      </c>
      <c r="CI627" s="1564"/>
      <c r="CJ627" s="1564"/>
      <c r="CK627" s="1564"/>
      <c r="CL627" s="1564"/>
      <c r="CM627" s="1564">
        <f t="shared" si="10"/>
        <v>0</v>
      </c>
      <c r="CN627" s="1564"/>
      <c r="CO627" s="1564"/>
      <c r="CP627" s="1564"/>
      <c r="CQ627" s="1564"/>
      <c r="CR627" s="6"/>
      <c r="CS627" s="1566">
        <f t="shared" si="11"/>
        <v>0</v>
      </c>
      <c r="CT627" s="1566"/>
      <c r="CU627" s="1566"/>
      <c r="CV627" s="1566"/>
      <c r="CW627" s="1566"/>
      <c r="CX627" s="1566">
        <f t="shared" si="12"/>
        <v>0</v>
      </c>
      <c r="CY627" s="1566"/>
      <c r="CZ627" s="1566"/>
      <c r="DA627" s="1566"/>
      <c r="DB627" s="1566"/>
      <c r="DC627" s="1566">
        <f t="shared" si="13"/>
        <v>0</v>
      </c>
      <c r="DD627" s="1566"/>
      <c r="DE627" s="1566"/>
      <c r="DF627" s="1566"/>
      <c r="DG627" s="1566"/>
      <c r="DH627" s="1566">
        <f t="shared" si="14"/>
        <v>0</v>
      </c>
      <c r="DI627" s="1566"/>
      <c r="DJ627" s="1566"/>
      <c r="DK627" s="1566"/>
      <c r="DL627" s="1566"/>
      <c r="DM627" s="1566">
        <f t="shared" si="15"/>
        <v>0</v>
      </c>
      <c r="DN627" s="1566"/>
      <c r="DO627" s="1566"/>
      <c r="DP627" s="1566"/>
      <c r="DQ627" s="1566"/>
      <c r="DR627" s="1566">
        <f t="shared" si="16"/>
        <v>0</v>
      </c>
      <c r="DS627" s="1566"/>
      <c r="DT627" s="1566"/>
      <c r="DU627" s="1566"/>
      <c r="DV627" s="1566"/>
      <c r="DX627" s="1561" t="str">
        <f t="shared" si="17"/>
        <v/>
      </c>
      <c r="DY627" s="1562"/>
      <c r="DZ627" s="1562"/>
      <c r="EA627" s="1562"/>
      <c r="EB627" s="1563"/>
      <c r="EC627" s="1561" t="str">
        <f t="shared" si="18"/>
        <v/>
      </c>
      <c r="ED627" s="1562"/>
      <c r="EE627" s="1562"/>
      <c r="EF627" s="1562"/>
      <c r="EG627" s="1563"/>
      <c r="EH627" s="1561" t="str">
        <f t="shared" si="19"/>
        <v/>
      </c>
      <c r="EI627" s="1562"/>
      <c r="EJ627" s="1562"/>
      <c r="EK627" s="1562"/>
      <c r="EL627" s="1563"/>
      <c r="EM627" s="1561" t="str">
        <f t="shared" si="20"/>
        <v/>
      </c>
      <c r="EN627" s="1562"/>
      <c r="EO627" s="1562"/>
      <c r="EP627" s="1562"/>
      <c r="EQ627" s="1563"/>
      <c r="ER627" s="1561" t="str">
        <f t="shared" si="21"/>
        <v/>
      </c>
      <c r="ES627" s="1562"/>
      <c r="ET627" s="1562"/>
      <c r="EU627" s="1562"/>
      <c r="EV627" s="1563"/>
      <c r="EW627" s="1561" t="str">
        <f t="shared" si="22"/>
        <v/>
      </c>
      <c r="EX627" s="1562"/>
      <c r="EY627" s="1562"/>
      <c r="EZ627" s="1562"/>
      <c r="FA627" s="1563"/>
    </row>
    <row r="628" spans="2:157" ht="12.95" customHeight="1">
      <c r="B628" s="52" t="s">
        <v>113</v>
      </c>
      <c r="C628" s="1752" t="s">
        <v>2641</v>
      </c>
      <c r="D628" s="1752"/>
      <c r="E628" s="1752"/>
      <c r="F628" s="1752"/>
      <c r="G628" s="1752"/>
      <c r="H628" s="1752"/>
      <c r="I628" s="1752"/>
      <c r="J628" s="1752"/>
      <c r="K628" s="1752"/>
      <c r="L628" s="1752"/>
      <c r="M628" s="1445" t="s">
        <v>2436</v>
      </c>
      <c r="N628" s="1445"/>
      <c r="O628" s="1445"/>
      <c r="P628" s="1445"/>
      <c r="Q628" s="1477">
        <v>660</v>
      </c>
      <c r="R628" s="1475"/>
      <c r="S628" s="1476"/>
      <c r="T628" s="1477"/>
      <c r="U628" s="1475"/>
      <c r="V628" s="1476"/>
      <c r="W628" s="1527">
        <v>0.03</v>
      </c>
      <c r="X628" s="1528"/>
      <c r="Y628" s="1529"/>
      <c r="Z628" s="1536" t="s">
        <v>466</v>
      </c>
      <c r="AA628" s="1537"/>
      <c r="AB628" s="1538"/>
      <c r="AC628" s="1524"/>
      <c r="AD628" s="1525"/>
      <c r="AE628" s="1526"/>
      <c r="AF628" s="1518"/>
      <c r="AG628" s="1519"/>
      <c r="AH628" s="1519"/>
      <c r="AI628" s="1519"/>
      <c r="AJ628" s="1520"/>
      <c r="AK628" s="1478"/>
      <c r="AL628" s="1479"/>
      <c r="AM628" s="1479"/>
      <c r="AN628" s="1480"/>
      <c r="AO628" s="1568">
        <v>5830000</v>
      </c>
      <c r="AP628" s="1569"/>
      <c r="AQ628" s="1569"/>
      <c r="AR628" s="1569"/>
      <c r="AS628" s="1570"/>
      <c r="AT628" s="1192" t="str">
        <f>IF(AND(NOT(C627=""),C628="",NOT(C629="")),"!","")</f>
        <v/>
      </c>
      <c r="AU628" s="3"/>
      <c r="AZ628" s="3"/>
      <c r="BA628" s="3"/>
      <c r="BB628" s="3"/>
      <c r="BC628" s="3"/>
      <c r="BD628" s="3"/>
      <c r="BE628" s="1561">
        <f t="shared" si="1"/>
        <v>0</v>
      </c>
      <c r="BF628" s="1563"/>
      <c r="BG628" s="1572">
        <f t="shared" si="2"/>
        <v>0</v>
      </c>
      <c r="BH628" s="1573"/>
      <c r="BI628" s="1561">
        <f t="shared" si="3"/>
        <v>0</v>
      </c>
      <c r="BJ628" s="1563"/>
      <c r="BK628" s="1572">
        <f t="shared" si="4"/>
        <v>0</v>
      </c>
      <c r="BL628" s="1573"/>
      <c r="BM628" s="3"/>
      <c r="BN628" s="1558">
        <f t="shared" si="5"/>
        <v>0</v>
      </c>
      <c r="BO628" s="1559"/>
      <c r="BP628" s="1559"/>
      <c r="BQ628" s="1559"/>
      <c r="BR628" s="1560"/>
      <c r="BS628" s="1564">
        <f t="shared" si="6"/>
        <v>0</v>
      </c>
      <c r="BT628" s="1564"/>
      <c r="BU628" s="1564"/>
      <c r="BV628" s="1564"/>
      <c r="BW628" s="1564"/>
      <c r="BX628" s="1564">
        <f t="shared" si="7"/>
        <v>0</v>
      </c>
      <c r="BY628" s="1564"/>
      <c r="BZ628" s="1564"/>
      <c r="CA628" s="1564"/>
      <c r="CB628" s="1564"/>
      <c r="CC628" s="1564">
        <f t="shared" si="8"/>
        <v>0</v>
      </c>
      <c r="CD628" s="1564"/>
      <c r="CE628" s="1564"/>
      <c r="CF628" s="1564"/>
      <c r="CG628" s="1564"/>
      <c r="CH628" s="1564">
        <f t="shared" si="9"/>
        <v>0</v>
      </c>
      <c r="CI628" s="1564"/>
      <c r="CJ628" s="1564"/>
      <c r="CK628" s="1564"/>
      <c r="CL628" s="1564"/>
      <c r="CM628" s="1564">
        <f t="shared" si="10"/>
        <v>0</v>
      </c>
      <c r="CN628" s="1564"/>
      <c r="CO628" s="1564"/>
      <c r="CP628" s="1564"/>
      <c r="CQ628" s="1564"/>
      <c r="CR628" s="6"/>
      <c r="CS628" s="1566">
        <f t="shared" si="11"/>
        <v>0</v>
      </c>
      <c r="CT628" s="1566"/>
      <c r="CU628" s="1566"/>
      <c r="CV628" s="1566"/>
      <c r="CW628" s="1566"/>
      <c r="CX628" s="1566">
        <f t="shared" si="12"/>
        <v>0</v>
      </c>
      <c r="CY628" s="1566"/>
      <c r="CZ628" s="1566"/>
      <c r="DA628" s="1566"/>
      <c r="DB628" s="1566"/>
      <c r="DC628" s="1566">
        <f t="shared" si="13"/>
        <v>0</v>
      </c>
      <c r="DD628" s="1566"/>
      <c r="DE628" s="1566"/>
      <c r="DF628" s="1566"/>
      <c r="DG628" s="1566"/>
      <c r="DH628" s="1566">
        <f t="shared" si="14"/>
        <v>0</v>
      </c>
      <c r="DI628" s="1566"/>
      <c r="DJ628" s="1566"/>
      <c r="DK628" s="1566"/>
      <c r="DL628" s="1566"/>
      <c r="DM628" s="1566">
        <f t="shared" si="15"/>
        <v>0</v>
      </c>
      <c r="DN628" s="1566"/>
      <c r="DO628" s="1566"/>
      <c r="DP628" s="1566"/>
      <c r="DQ628" s="1566"/>
      <c r="DR628" s="1566">
        <f t="shared" si="16"/>
        <v>0</v>
      </c>
      <c r="DS628" s="1566"/>
      <c r="DT628" s="1566"/>
      <c r="DU628" s="1566"/>
      <c r="DV628" s="1566"/>
      <c r="DX628" s="1561" t="str">
        <f t="shared" si="17"/>
        <v/>
      </c>
      <c r="DY628" s="1562"/>
      <c r="DZ628" s="1562"/>
      <c r="EA628" s="1562"/>
      <c r="EB628" s="1563"/>
      <c r="EC628" s="1561" t="str">
        <f t="shared" si="18"/>
        <v/>
      </c>
      <c r="ED628" s="1562"/>
      <c r="EE628" s="1562"/>
      <c r="EF628" s="1562"/>
      <c r="EG628" s="1563"/>
      <c r="EH628" s="1561" t="str">
        <f t="shared" si="19"/>
        <v/>
      </c>
      <c r="EI628" s="1562"/>
      <c r="EJ628" s="1562"/>
      <c r="EK628" s="1562"/>
      <c r="EL628" s="1563"/>
      <c r="EM628" s="1561" t="str">
        <f t="shared" si="20"/>
        <v/>
      </c>
      <c r="EN628" s="1562"/>
      <c r="EO628" s="1562"/>
      <c r="EP628" s="1562"/>
      <c r="EQ628" s="1563"/>
      <c r="ER628" s="1561" t="str">
        <f t="shared" si="21"/>
        <v/>
      </c>
      <c r="ES628" s="1562"/>
      <c r="ET628" s="1562"/>
      <c r="EU628" s="1562"/>
      <c r="EV628" s="1563"/>
      <c r="EW628" s="1561" t="str">
        <f t="shared" si="22"/>
        <v/>
      </c>
      <c r="EX628" s="1562"/>
      <c r="EY628" s="1562"/>
      <c r="EZ628" s="1562"/>
      <c r="FA628" s="1563"/>
    </row>
    <row r="629" spans="2:157" ht="12.95" customHeight="1">
      <c r="B629" s="52" t="s">
        <v>119</v>
      </c>
      <c r="C629" s="1752" t="s">
        <v>2785</v>
      </c>
      <c r="D629" s="1752"/>
      <c r="E629" s="1752"/>
      <c r="F629" s="1752"/>
      <c r="G629" s="1752"/>
      <c r="H629" s="1752"/>
      <c r="I629" s="1752"/>
      <c r="J629" s="1752"/>
      <c r="K629" s="1752"/>
      <c r="L629" s="1752"/>
      <c r="M629" s="1445" t="s">
        <v>2436</v>
      </c>
      <c r="N629" s="1445"/>
      <c r="O629" s="1445"/>
      <c r="P629" s="1445"/>
      <c r="Q629" s="1477">
        <v>660</v>
      </c>
      <c r="R629" s="1475"/>
      <c r="S629" s="1476"/>
      <c r="T629" s="1477"/>
      <c r="U629" s="1475"/>
      <c r="V629" s="1476"/>
      <c r="W629" s="1527">
        <v>0.03</v>
      </c>
      <c r="X629" s="1528"/>
      <c r="Y629" s="1529"/>
      <c r="Z629" s="1536" t="s">
        <v>466</v>
      </c>
      <c r="AA629" s="1537"/>
      <c r="AB629" s="1538"/>
      <c r="AC629" s="1524"/>
      <c r="AD629" s="1525"/>
      <c r="AE629" s="1526"/>
      <c r="AF629" s="1518"/>
      <c r="AG629" s="1519"/>
      <c r="AH629" s="1519"/>
      <c r="AI629" s="1519"/>
      <c r="AJ629" s="1520"/>
      <c r="AK629" s="1478"/>
      <c r="AL629" s="1479"/>
      <c r="AM629" s="1479"/>
      <c r="AN629" s="1480"/>
      <c r="AO629" s="1568">
        <v>5350000</v>
      </c>
      <c r="AP629" s="1569"/>
      <c r="AQ629" s="1569"/>
      <c r="AR629" s="1569"/>
      <c r="AS629" s="1570"/>
      <c r="AT629" s="1192" t="str">
        <f t="shared" ref="AT629:AT638" si="23">IF(AND(NOT(C628=""),C629="",NOT(C630="")),"!","")</f>
        <v/>
      </c>
      <c r="AU629" s="3"/>
      <c r="AZ629" s="3"/>
      <c r="BA629" s="3"/>
      <c r="BB629" s="3"/>
      <c r="BC629" s="3"/>
      <c r="BD629" s="3"/>
      <c r="BE629" s="1561">
        <f t="shared" si="1"/>
        <v>0</v>
      </c>
      <c r="BF629" s="1563"/>
      <c r="BG629" s="1572">
        <f t="shared" si="2"/>
        <v>0</v>
      </c>
      <c r="BH629" s="1573"/>
      <c r="BI629" s="1561">
        <f t="shared" si="3"/>
        <v>0</v>
      </c>
      <c r="BJ629" s="1563"/>
      <c r="BK629" s="1572">
        <f t="shared" si="4"/>
        <v>0</v>
      </c>
      <c r="BL629" s="1573"/>
      <c r="BM629" s="3"/>
      <c r="BN629" s="1558">
        <f t="shared" si="5"/>
        <v>0</v>
      </c>
      <c r="BO629" s="1559"/>
      <c r="BP629" s="1559"/>
      <c r="BQ629" s="1559"/>
      <c r="BR629" s="1560"/>
      <c r="BS629" s="1564">
        <f t="shared" si="6"/>
        <v>0</v>
      </c>
      <c r="BT629" s="1564"/>
      <c r="BU629" s="1564"/>
      <c r="BV629" s="1564"/>
      <c r="BW629" s="1564"/>
      <c r="BX629" s="1564">
        <f t="shared" si="7"/>
        <v>0</v>
      </c>
      <c r="BY629" s="1564"/>
      <c r="BZ629" s="1564"/>
      <c r="CA629" s="1564"/>
      <c r="CB629" s="1564"/>
      <c r="CC629" s="1564">
        <f t="shared" si="8"/>
        <v>0</v>
      </c>
      <c r="CD629" s="1564"/>
      <c r="CE629" s="1564"/>
      <c r="CF629" s="1564"/>
      <c r="CG629" s="1564"/>
      <c r="CH629" s="1564">
        <f t="shared" si="9"/>
        <v>0</v>
      </c>
      <c r="CI629" s="1564"/>
      <c r="CJ629" s="1564"/>
      <c r="CK629" s="1564"/>
      <c r="CL629" s="1564"/>
      <c r="CM629" s="1564">
        <f t="shared" si="10"/>
        <v>0</v>
      </c>
      <c r="CN629" s="1564"/>
      <c r="CO629" s="1564"/>
      <c r="CP629" s="1564"/>
      <c r="CQ629" s="1564"/>
      <c r="CR629" s="6"/>
      <c r="CS629" s="1566">
        <f t="shared" si="11"/>
        <v>0</v>
      </c>
      <c r="CT629" s="1566"/>
      <c r="CU629" s="1566"/>
      <c r="CV629" s="1566"/>
      <c r="CW629" s="1566"/>
      <c r="CX629" s="1566">
        <f t="shared" si="12"/>
        <v>0</v>
      </c>
      <c r="CY629" s="1566"/>
      <c r="CZ629" s="1566"/>
      <c r="DA629" s="1566"/>
      <c r="DB629" s="1566"/>
      <c r="DC629" s="1566">
        <f t="shared" si="13"/>
        <v>0</v>
      </c>
      <c r="DD629" s="1566"/>
      <c r="DE629" s="1566"/>
      <c r="DF629" s="1566"/>
      <c r="DG629" s="1566"/>
      <c r="DH629" s="1566">
        <f t="shared" si="14"/>
        <v>0</v>
      </c>
      <c r="DI629" s="1566"/>
      <c r="DJ629" s="1566"/>
      <c r="DK629" s="1566"/>
      <c r="DL629" s="1566"/>
      <c r="DM629" s="1566">
        <f t="shared" si="15"/>
        <v>0</v>
      </c>
      <c r="DN629" s="1566"/>
      <c r="DO629" s="1566"/>
      <c r="DP629" s="1566"/>
      <c r="DQ629" s="1566"/>
      <c r="DR629" s="1566">
        <f t="shared" si="16"/>
        <v>0</v>
      </c>
      <c r="DS629" s="1566"/>
      <c r="DT629" s="1566"/>
      <c r="DU629" s="1566"/>
      <c r="DV629" s="1566"/>
      <c r="DX629" s="1561" t="str">
        <f t="shared" si="17"/>
        <v/>
      </c>
      <c r="DY629" s="1562"/>
      <c r="DZ629" s="1562"/>
      <c r="EA629" s="1562"/>
      <c r="EB629" s="1563"/>
      <c r="EC629" s="1561" t="str">
        <f t="shared" si="18"/>
        <v/>
      </c>
      <c r="ED629" s="1562"/>
      <c r="EE629" s="1562"/>
      <c r="EF629" s="1562"/>
      <c r="EG629" s="1563"/>
      <c r="EH629" s="1561" t="str">
        <f t="shared" si="19"/>
        <v/>
      </c>
      <c r="EI629" s="1562"/>
      <c r="EJ629" s="1562"/>
      <c r="EK629" s="1562"/>
      <c r="EL629" s="1563"/>
      <c r="EM629" s="1561" t="str">
        <f t="shared" si="20"/>
        <v/>
      </c>
      <c r="EN629" s="1562"/>
      <c r="EO629" s="1562"/>
      <c r="EP629" s="1562"/>
      <c r="EQ629" s="1563"/>
      <c r="ER629" s="1561" t="str">
        <f t="shared" si="21"/>
        <v/>
      </c>
      <c r="ES629" s="1562"/>
      <c r="ET629" s="1562"/>
      <c r="EU629" s="1562"/>
      <c r="EV629" s="1563"/>
      <c r="EW629" s="1561" t="str">
        <f t="shared" si="22"/>
        <v/>
      </c>
      <c r="EX629" s="1562"/>
      <c r="EY629" s="1562"/>
      <c r="EZ629" s="1562"/>
      <c r="FA629" s="1563"/>
    </row>
    <row r="630" spans="2:157" ht="12.95" customHeight="1">
      <c r="B630" s="52" t="s">
        <v>590</v>
      </c>
      <c r="C630" s="1523" t="s">
        <v>2761</v>
      </c>
      <c r="D630" s="1523"/>
      <c r="E630" s="1523"/>
      <c r="F630" s="1523"/>
      <c r="G630" s="1523"/>
      <c r="H630" s="1523"/>
      <c r="I630" s="1523"/>
      <c r="J630" s="1523"/>
      <c r="K630" s="1523"/>
      <c r="L630" s="1523"/>
      <c r="M630" s="1445" t="s">
        <v>2436</v>
      </c>
      <c r="N630" s="1445"/>
      <c r="O630" s="1445"/>
      <c r="P630" s="1445"/>
      <c r="Q630" s="1477">
        <v>660</v>
      </c>
      <c r="R630" s="1475"/>
      <c r="S630" s="1476"/>
      <c r="T630" s="1477"/>
      <c r="U630" s="1475"/>
      <c r="V630" s="1476"/>
      <c r="W630" s="1527">
        <v>0.03</v>
      </c>
      <c r="X630" s="1528"/>
      <c r="Y630" s="1529"/>
      <c r="Z630" s="1536" t="s">
        <v>466</v>
      </c>
      <c r="AA630" s="1537"/>
      <c r="AB630" s="1538"/>
      <c r="AC630" s="1524"/>
      <c r="AD630" s="1525"/>
      <c r="AE630" s="1526"/>
      <c r="AF630" s="1518"/>
      <c r="AG630" s="1519"/>
      <c r="AH630" s="1519"/>
      <c r="AI630" s="1519"/>
      <c r="AJ630" s="1520"/>
      <c r="AK630" s="1478"/>
      <c r="AL630" s="1479"/>
      <c r="AM630" s="1479"/>
      <c r="AN630" s="1480"/>
      <c r="AO630" s="1568">
        <v>1000000</v>
      </c>
      <c r="AP630" s="1569"/>
      <c r="AQ630" s="1569"/>
      <c r="AR630" s="1569"/>
      <c r="AS630" s="1570"/>
      <c r="AT630" s="1192" t="str">
        <f t="shared" si="23"/>
        <v/>
      </c>
      <c r="AU630" s="3"/>
      <c r="AZ630" s="3"/>
      <c r="BA630" s="3"/>
      <c r="BB630" s="3"/>
      <c r="BC630" s="3"/>
      <c r="BD630" s="3"/>
      <c r="BE630" s="1561">
        <f t="shared" si="1"/>
        <v>0</v>
      </c>
      <c r="BF630" s="1563"/>
      <c r="BG630" s="1572">
        <f t="shared" si="2"/>
        <v>0</v>
      </c>
      <c r="BH630" s="1573"/>
      <c r="BI630" s="1561">
        <f t="shared" si="3"/>
        <v>0</v>
      </c>
      <c r="BJ630" s="1563"/>
      <c r="BK630" s="1572">
        <f t="shared" si="4"/>
        <v>0</v>
      </c>
      <c r="BL630" s="1573"/>
      <c r="BM630" s="3"/>
      <c r="BN630" s="1558">
        <f t="shared" si="5"/>
        <v>0</v>
      </c>
      <c r="BO630" s="1559"/>
      <c r="BP630" s="1559"/>
      <c r="BQ630" s="1559"/>
      <c r="BR630" s="1560"/>
      <c r="BS630" s="1564">
        <f t="shared" si="6"/>
        <v>0</v>
      </c>
      <c r="BT630" s="1564"/>
      <c r="BU630" s="1564"/>
      <c r="BV630" s="1564"/>
      <c r="BW630" s="1564"/>
      <c r="BX630" s="1564">
        <f t="shared" si="7"/>
        <v>0</v>
      </c>
      <c r="BY630" s="1564"/>
      <c r="BZ630" s="1564"/>
      <c r="CA630" s="1564"/>
      <c r="CB630" s="1564"/>
      <c r="CC630" s="1564">
        <f t="shared" si="8"/>
        <v>0</v>
      </c>
      <c r="CD630" s="1564"/>
      <c r="CE630" s="1564"/>
      <c r="CF630" s="1564"/>
      <c r="CG630" s="1564"/>
      <c r="CH630" s="1564">
        <f t="shared" si="9"/>
        <v>0</v>
      </c>
      <c r="CI630" s="1564"/>
      <c r="CJ630" s="1564"/>
      <c r="CK630" s="1564"/>
      <c r="CL630" s="1564"/>
      <c r="CM630" s="1564">
        <f t="shared" si="10"/>
        <v>0</v>
      </c>
      <c r="CN630" s="1564"/>
      <c r="CO630" s="1564"/>
      <c r="CP630" s="1564"/>
      <c r="CQ630" s="1564"/>
      <c r="CR630" s="6"/>
      <c r="CS630" s="1566">
        <f t="shared" si="11"/>
        <v>0</v>
      </c>
      <c r="CT630" s="1566"/>
      <c r="CU630" s="1566"/>
      <c r="CV630" s="1566"/>
      <c r="CW630" s="1566"/>
      <c r="CX630" s="1566">
        <f t="shared" si="12"/>
        <v>0</v>
      </c>
      <c r="CY630" s="1566"/>
      <c r="CZ630" s="1566"/>
      <c r="DA630" s="1566"/>
      <c r="DB630" s="1566"/>
      <c r="DC630" s="1566">
        <f t="shared" si="13"/>
        <v>0</v>
      </c>
      <c r="DD630" s="1566"/>
      <c r="DE630" s="1566"/>
      <c r="DF630" s="1566"/>
      <c r="DG630" s="1566"/>
      <c r="DH630" s="1566">
        <f t="shared" si="14"/>
        <v>0</v>
      </c>
      <c r="DI630" s="1566"/>
      <c r="DJ630" s="1566"/>
      <c r="DK630" s="1566"/>
      <c r="DL630" s="1566"/>
      <c r="DM630" s="1566">
        <f t="shared" si="15"/>
        <v>0</v>
      </c>
      <c r="DN630" s="1566"/>
      <c r="DO630" s="1566"/>
      <c r="DP630" s="1566"/>
      <c r="DQ630" s="1566"/>
      <c r="DR630" s="1566">
        <f t="shared" si="16"/>
        <v>0</v>
      </c>
      <c r="DS630" s="1566"/>
      <c r="DT630" s="1566"/>
      <c r="DU630" s="1566"/>
      <c r="DV630" s="1566"/>
      <c r="DX630" s="1561" t="str">
        <f t="shared" si="17"/>
        <v/>
      </c>
      <c r="DY630" s="1562"/>
      <c r="DZ630" s="1562"/>
      <c r="EA630" s="1562"/>
      <c r="EB630" s="1563"/>
      <c r="EC630" s="1561" t="str">
        <f t="shared" si="18"/>
        <v/>
      </c>
      <c r="ED630" s="1562"/>
      <c r="EE630" s="1562"/>
      <c r="EF630" s="1562"/>
      <c r="EG630" s="1563"/>
      <c r="EH630" s="1561" t="str">
        <f t="shared" si="19"/>
        <v/>
      </c>
      <c r="EI630" s="1562"/>
      <c r="EJ630" s="1562"/>
      <c r="EK630" s="1562"/>
      <c r="EL630" s="1563"/>
      <c r="EM630" s="1561" t="str">
        <f t="shared" si="20"/>
        <v/>
      </c>
      <c r="EN630" s="1562"/>
      <c r="EO630" s="1562"/>
      <c r="EP630" s="1562"/>
      <c r="EQ630" s="1563"/>
      <c r="ER630" s="1561" t="str">
        <f t="shared" si="21"/>
        <v/>
      </c>
      <c r="ES630" s="1562"/>
      <c r="ET630" s="1562"/>
      <c r="EU630" s="1562"/>
      <c r="EV630" s="1563"/>
      <c r="EW630" s="1561" t="str">
        <f t="shared" si="22"/>
        <v/>
      </c>
      <c r="EX630" s="1562"/>
      <c r="EY630" s="1562"/>
      <c r="EZ630" s="1562"/>
      <c r="FA630" s="1563"/>
    </row>
    <row r="631" spans="2:157" ht="12.95" customHeight="1">
      <c r="B631" s="52" t="s">
        <v>773</v>
      </c>
      <c r="C631" s="1523" t="s">
        <v>1852</v>
      </c>
      <c r="D631" s="1523"/>
      <c r="E631" s="1523"/>
      <c r="F631" s="1523"/>
      <c r="G631" s="1523"/>
      <c r="H631" s="1523"/>
      <c r="I631" s="1523"/>
      <c r="J631" s="1523"/>
      <c r="K631" s="1523"/>
      <c r="L631" s="1523"/>
      <c r="M631" s="1445" t="s">
        <v>2427</v>
      </c>
      <c r="N631" s="1445"/>
      <c r="O631" s="1445"/>
      <c r="P631" s="1445"/>
      <c r="Q631" s="1477">
        <v>120</v>
      </c>
      <c r="R631" s="1475"/>
      <c r="S631" s="1476"/>
      <c r="T631" s="1477"/>
      <c r="U631" s="1475"/>
      <c r="V631" s="1476"/>
      <c r="W631" s="1527">
        <v>0.03</v>
      </c>
      <c r="X631" s="1528"/>
      <c r="Y631" s="1529"/>
      <c r="Z631" s="1536" t="s">
        <v>467</v>
      </c>
      <c r="AA631" s="1537"/>
      <c r="AB631" s="1538"/>
      <c r="AC631" s="1524"/>
      <c r="AD631" s="1525"/>
      <c r="AE631" s="1526"/>
      <c r="AF631" s="1518"/>
      <c r="AG631" s="1519"/>
      <c r="AH631" s="1519"/>
      <c r="AI631" s="1519"/>
      <c r="AJ631" s="1520"/>
      <c r="AK631" s="1478"/>
      <c r="AL631" s="1479"/>
      <c r="AM631" s="1479"/>
      <c r="AN631" s="1480"/>
      <c r="AO631" s="1568">
        <v>1650022</v>
      </c>
      <c r="AP631" s="1569"/>
      <c r="AQ631" s="1569"/>
      <c r="AR631" s="1569"/>
      <c r="AS631" s="1570"/>
      <c r="AT631" s="1192" t="str">
        <f t="shared" si="23"/>
        <v/>
      </c>
      <c r="AU631" s="3"/>
      <c r="AZ631" s="3"/>
      <c r="BA631" s="3"/>
      <c r="BB631" s="3"/>
      <c r="BC631" s="3"/>
      <c r="BD631" s="3"/>
      <c r="BE631" s="1561">
        <f t="shared" si="1"/>
        <v>0</v>
      </c>
      <c r="BF631" s="1563"/>
      <c r="BG631" s="1572">
        <f t="shared" si="2"/>
        <v>0</v>
      </c>
      <c r="BH631" s="1573"/>
      <c r="BI631" s="1561">
        <f t="shared" si="3"/>
        <v>0</v>
      </c>
      <c r="BJ631" s="1563"/>
      <c r="BK631" s="1572">
        <f t="shared" si="4"/>
        <v>0</v>
      </c>
      <c r="BL631" s="1573"/>
      <c r="BM631" s="3"/>
      <c r="BN631" s="1558">
        <f t="shared" si="5"/>
        <v>0</v>
      </c>
      <c r="BO631" s="1559"/>
      <c r="BP631" s="1559"/>
      <c r="BQ631" s="1559"/>
      <c r="BR631" s="1560"/>
      <c r="BS631" s="1564">
        <f t="shared" si="6"/>
        <v>0</v>
      </c>
      <c r="BT631" s="1564"/>
      <c r="BU631" s="1564"/>
      <c r="BV631" s="1564"/>
      <c r="BW631" s="1564"/>
      <c r="BX631" s="1564">
        <f t="shared" si="7"/>
        <v>0</v>
      </c>
      <c r="BY631" s="1564"/>
      <c r="BZ631" s="1564"/>
      <c r="CA631" s="1564"/>
      <c r="CB631" s="1564"/>
      <c r="CC631" s="1564">
        <f t="shared" si="8"/>
        <v>0</v>
      </c>
      <c r="CD631" s="1564"/>
      <c r="CE631" s="1564"/>
      <c r="CF631" s="1564"/>
      <c r="CG631" s="1564"/>
      <c r="CH631" s="1564">
        <f t="shared" si="9"/>
        <v>0</v>
      </c>
      <c r="CI631" s="1564"/>
      <c r="CJ631" s="1564"/>
      <c r="CK631" s="1564"/>
      <c r="CL631" s="1564"/>
      <c r="CM631" s="1564">
        <f t="shared" si="10"/>
        <v>0</v>
      </c>
      <c r="CN631" s="1564"/>
      <c r="CO631" s="1564"/>
      <c r="CP631" s="1564"/>
      <c r="CQ631" s="1564"/>
      <c r="CR631" s="6"/>
      <c r="CS631" s="1566">
        <f t="shared" si="11"/>
        <v>0</v>
      </c>
      <c r="CT631" s="1566"/>
      <c r="CU631" s="1566"/>
      <c r="CV631" s="1566"/>
      <c r="CW631" s="1566"/>
      <c r="CX631" s="1566">
        <f t="shared" si="12"/>
        <v>0</v>
      </c>
      <c r="CY631" s="1566"/>
      <c r="CZ631" s="1566"/>
      <c r="DA631" s="1566"/>
      <c r="DB631" s="1566"/>
      <c r="DC631" s="1566">
        <f t="shared" si="13"/>
        <v>0</v>
      </c>
      <c r="DD631" s="1566"/>
      <c r="DE631" s="1566"/>
      <c r="DF631" s="1566"/>
      <c r="DG631" s="1566"/>
      <c r="DH631" s="1566">
        <f t="shared" si="14"/>
        <v>0</v>
      </c>
      <c r="DI631" s="1566"/>
      <c r="DJ631" s="1566"/>
      <c r="DK631" s="1566"/>
      <c r="DL631" s="1566"/>
      <c r="DM631" s="1566">
        <f t="shared" si="15"/>
        <v>0</v>
      </c>
      <c r="DN631" s="1566"/>
      <c r="DO631" s="1566"/>
      <c r="DP631" s="1566"/>
      <c r="DQ631" s="1566"/>
      <c r="DR631" s="1566">
        <f t="shared" si="16"/>
        <v>0</v>
      </c>
      <c r="DS631" s="1566"/>
      <c r="DT631" s="1566"/>
      <c r="DU631" s="1566"/>
      <c r="DV631" s="1566"/>
      <c r="DX631" s="1561" t="str">
        <f t="shared" si="17"/>
        <v/>
      </c>
      <c r="DY631" s="1562"/>
      <c r="DZ631" s="1562"/>
      <c r="EA631" s="1562"/>
      <c r="EB631" s="1563"/>
      <c r="EC631" s="1561" t="str">
        <f t="shared" si="18"/>
        <v/>
      </c>
      <c r="ED631" s="1562"/>
      <c r="EE631" s="1562"/>
      <c r="EF631" s="1562"/>
      <c r="EG631" s="1563"/>
      <c r="EH631" s="1561" t="str">
        <f t="shared" si="19"/>
        <v/>
      </c>
      <c r="EI631" s="1562"/>
      <c r="EJ631" s="1562"/>
      <c r="EK631" s="1562"/>
      <c r="EL631" s="1563"/>
      <c r="EM631" s="1561" t="str">
        <f t="shared" si="20"/>
        <v/>
      </c>
      <c r="EN631" s="1562"/>
      <c r="EO631" s="1562"/>
      <c r="EP631" s="1562"/>
      <c r="EQ631" s="1563"/>
      <c r="ER631" s="1561" t="str">
        <f t="shared" si="21"/>
        <v/>
      </c>
      <c r="ES631" s="1562"/>
      <c r="ET631" s="1562"/>
      <c r="EU631" s="1562"/>
      <c r="EV631" s="1563"/>
      <c r="EW631" s="1561" t="str">
        <f t="shared" si="22"/>
        <v/>
      </c>
      <c r="EX631" s="1562"/>
      <c r="EY631" s="1562"/>
      <c r="EZ631" s="1562"/>
      <c r="FA631" s="1563"/>
    </row>
    <row r="632" spans="2:157" ht="12.95" customHeight="1">
      <c r="B632" s="52" t="s">
        <v>593</v>
      </c>
      <c r="C632" s="1523" t="s">
        <v>2798</v>
      </c>
      <c r="D632" s="1523"/>
      <c r="E632" s="1523"/>
      <c r="F632" s="1523"/>
      <c r="G632" s="1523"/>
      <c r="H632" s="1523"/>
      <c r="I632" s="1523"/>
      <c r="J632" s="1523"/>
      <c r="K632" s="1523"/>
      <c r="L632" s="1523"/>
      <c r="M632" s="1445" t="s">
        <v>2442</v>
      </c>
      <c r="N632" s="1445"/>
      <c r="O632" s="1445"/>
      <c r="P632" s="1445"/>
      <c r="Q632" s="1477"/>
      <c r="R632" s="1475"/>
      <c r="S632" s="1476"/>
      <c r="T632" s="1477"/>
      <c r="U632" s="1475"/>
      <c r="V632" s="1476"/>
      <c r="W632" s="1527"/>
      <c r="X632" s="1528"/>
      <c r="Y632" s="1529"/>
      <c r="Z632" s="1536" t="s">
        <v>301</v>
      </c>
      <c r="AA632" s="1537"/>
      <c r="AB632" s="1538"/>
      <c r="AC632" s="1524"/>
      <c r="AD632" s="1525"/>
      <c r="AE632" s="1526"/>
      <c r="AF632" s="1518"/>
      <c r="AG632" s="1519"/>
      <c r="AH632" s="1519"/>
      <c r="AI632" s="1519"/>
      <c r="AJ632" s="1520"/>
      <c r="AK632" s="1478"/>
      <c r="AL632" s="1479"/>
      <c r="AM632" s="1479"/>
      <c r="AN632" s="1480"/>
      <c r="AO632" s="1568">
        <v>263460</v>
      </c>
      <c r="AP632" s="1569"/>
      <c r="AQ632" s="1569"/>
      <c r="AR632" s="1569"/>
      <c r="AS632" s="1570"/>
      <c r="AT632" s="1192" t="str">
        <f t="shared" si="23"/>
        <v/>
      </c>
      <c r="AU632" s="3"/>
      <c r="AZ632" s="3"/>
      <c r="BA632" s="3"/>
      <c r="BB632" s="3"/>
      <c r="BC632" s="3"/>
      <c r="BD632" s="3"/>
      <c r="BE632" s="3"/>
      <c r="BF632" s="3"/>
      <c r="BG632" s="1561">
        <f>SUM(BG597:BH631)</f>
        <v>14</v>
      </c>
      <c r="BH632" s="1563"/>
      <c r="BI632" s="3"/>
      <c r="BJ632" s="3"/>
      <c r="BK632" s="1561">
        <f>SUM(BK597:BL631)</f>
        <v>35</v>
      </c>
      <c r="BL632" s="1563"/>
      <c r="BM632" s="3"/>
      <c r="BN632" s="1561">
        <f>SUM(BN597:BR631)</f>
        <v>0</v>
      </c>
      <c r="BO632" s="1562"/>
      <c r="BP632" s="1562"/>
      <c r="BQ632" s="1562"/>
      <c r="BR632" s="1563"/>
      <c r="BS632" s="1567">
        <f>SUM(BS597:BW631)</f>
        <v>30</v>
      </c>
      <c r="BT632" s="1567"/>
      <c r="BU632" s="1567"/>
      <c r="BV632" s="1567"/>
      <c r="BW632" s="1567"/>
      <c r="BX632" s="1567">
        <f>SUM(BX597:CB631)</f>
        <v>19</v>
      </c>
      <c r="BY632" s="1567"/>
      <c r="BZ632" s="1567"/>
      <c r="CA632" s="1567"/>
      <c r="CB632" s="1567"/>
      <c r="CC632" s="1567">
        <f>SUM(CC597:CG631)</f>
        <v>0</v>
      </c>
      <c r="CD632" s="1567"/>
      <c r="CE632" s="1567"/>
      <c r="CF632" s="1567"/>
      <c r="CG632" s="1567"/>
      <c r="CH632" s="1567">
        <f>SUM(CH597:CL631)</f>
        <v>0</v>
      </c>
      <c r="CI632" s="1567"/>
      <c r="CJ632" s="1567"/>
      <c r="CK632" s="1567"/>
      <c r="CL632" s="1567"/>
      <c r="CM632" s="1567">
        <f>SUM(CM597:CQ631)</f>
        <v>0</v>
      </c>
      <c r="CN632" s="1567"/>
      <c r="CO632" s="1567"/>
      <c r="CP632" s="1567"/>
      <c r="CQ632" s="1567"/>
      <c r="CR632" s="385"/>
      <c r="CS632" s="1567">
        <f>SUM(CS597:CW631)</f>
        <v>0</v>
      </c>
      <c r="CT632" s="1567"/>
      <c r="CU632" s="1567"/>
      <c r="CV632" s="1567"/>
      <c r="CW632" s="1567"/>
      <c r="CX632" s="1567">
        <f>SUM(CX597:DB631)</f>
        <v>20</v>
      </c>
      <c r="CY632" s="1567"/>
      <c r="CZ632" s="1567"/>
      <c r="DA632" s="1567"/>
      <c r="DB632" s="1567"/>
      <c r="DC632" s="1567">
        <f>SUM(DC597:DG631)</f>
        <v>15</v>
      </c>
      <c r="DD632" s="1567"/>
      <c r="DE632" s="1567"/>
      <c r="DF632" s="1567"/>
      <c r="DG632" s="1567"/>
      <c r="DH632" s="1567">
        <f>SUM(DH597:DL631)</f>
        <v>0</v>
      </c>
      <c r="DI632" s="1567"/>
      <c r="DJ632" s="1567"/>
      <c r="DK632" s="1567"/>
      <c r="DL632" s="1567"/>
      <c r="DM632" s="1567">
        <f>SUM(DM597:DQ631)</f>
        <v>0</v>
      </c>
      <c r="DN632" s="1567"/>
      <c r="DO632" s="1567"/>
      <c r="DP632" s="1567"/>
      <c r="DQ632" s="1567"/>
      <c r="DR632" s="1567">
        <f>SUM(DR597:DV631)</f>
        <v>0</v>
      </c>
      <c r="DS632" s="1567"/>
      <c r="DT632" s="1567"/>
      <c r="DU632" s="1567"/>
      <c r="DV632" s="1567"/>
      <c r="DX632" s="1567">
        <f>SUM(DX597:EB631)</f>
        <v>0</v>
      </c>
      <c r="DY632" s="1567"/>
      <c r="DZ632" s="1567"/>
      <c r="EA632" s="1567"/>
      <c r="EB632" s="1567"/>
      <c r="EC632" s="1567">
        <f>SUM(EC597:EG631)</f>
        <v>1729</v>
      </c>
      <c r="ED632" s="1567"/>
      <c r="EE632" s="1567"/>
      <c r="EF632" s="1567"/>
      <c r="EG632" s="1567"/>
      <c r="EH632" s="1567">
        <f>SUM(EH597:EL631)</f>
        <v>2063</v>
      </c>
      <c r="EI632" s="1567"/>
      <c r="EJ632" s="1567"/>
      <c r="EK632" s="1567"/>
      <c r="EL632" s="1567"/>
      <c r="EM632" s="1567">
        <f>SUM(EM597:EQ631)</f>
        <v>0</v>
      </c>
      <c r="EN632" s="1567"/>
      <c r="EO632" s="1567"/>
      <c r="EP632" s="1567"/>
      <c r="EQ632" s="1567"/>
      <c r="ER632" s="1567">
        <f>SUM(ER597:EV631)</f>
        <v>0</v>
      </c>
      <c r="ES632" s="1567"/>
      <c r="ET632" s="1567"/>
      <c r="EU632" s="1567"/>
      <c r="EV632" s="1567"/>
      <c r="EW632" s="1567">
        <f>SUM(EW597:FA631)</f>
        <v>0</v>
      </c>
      <c r="EX632" s="1567"/>
      <c r="EY632" s="1567"/>
      <c r="EZ632" s="1567"/>
      <c r="FA632" s="1567"/>
    </row>
    <row r="633" spans="2:157" ht="12.95" customHeight="1">
      <c r="B633" s="52" t="s">
        <v>464</v>
      </c>
      <c r="C633" s="1523"/>
      <c r="D633" s="1523"/>
      <c r="E633" s="1523"/>
      <c r="F633" s="1523"/>
      <c r="G633" s="1523"/>
      <c r="H633" s="1523"/>
      <c r="I633" s="1523"/>
      <c r="J633" s="1523"/>
      <c r="K633" s="1523"/>
      <c r="L633" s="1523"/>
      <c r="M633" s="1445" t="s">
        <v>1291</v>
      </c>
      <c r="N633" s="1445"/>
      <c r="O633" s="1445"/>
      <c r="P633" s="1445"/>
      <c r="Q633" s="1477"/>
      <c r="R633" s="1475"/>
      <c r="S633" s="1476"/>
      <c r="T633" s="1477"/>
      <c r="U633" s="1475"/>
      <c r="V633" s="1476"/>
      <c r="W633" s="1527"/>
      <c r="X633" s="1528"/>
      <c r="Y633" s="1529"/>
      <c r="Z633" s="1536" t="s">
        <v>1291</v>
      </c>
      <c r="AA633" s="1537"/>
      <c r="AB633" s="1538"/>
      <c r="AC633" s="1524"/>
      <c r="AD633" s="1525"/>
      <c r="AE633" s="1526"/>
      <c r="AF633" s="1518"/>
      <c r="AG633" s="1519"/>
      <c r="AH633" s="1519"/>
      <c r="AI633" s="1519"/>
      <c r="AJ633" s="1520"/>
      <c r="AK633" s="1478"/>
      <c r="AL633" s="1479"/>
      <c r="AM633" s="1479"/>
      <c r="AN633" s="1480"/>
      <c r="AO633" s="1568"/>
      <c r="AP633" s="1569"/>
      <c r="AQ633" s="1569"/>
      <c r="AR633" s="1569"/>
      <c r="AS633" s="1570"/>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2053</v>
      </c>
      <c r="CM633" s="1561">
        <f>BN632+BS632+BX632+CC632+CH632+CM632</f>
        <v>49</v>
      </c>
      <c r="CN633" s="1562"/>
      <c r="CO633" s="1562"/>
      <c r="CP633" s="1562"/>
      <c r="CQ633" s="1563"/>
      <c r="CR633" s="385"/>
      <c r="CS633" s="3"/>
      <c r="CT633" s="3"/>
      <c r="CU633" s="3"/>
      <c r="CV633" s="3"/>
      <c r="CW633" s="3"/>
      <c r="CX633" s="3"/>
      <c r="CY633" s="3"/>
      <c r="CZ633" s="3"/>
      <c r="DA633" s="3"/>
      <c r="DB633" s="3"/>
      <c r="DC633" s="3"/>
      <c r="DD633" s="3"/>
      <c r="DE633" s="3"/>
      <c r="DF633" s="3"/>
    </row>
    <row r="634" spans="2:157" ht="12.95" customHeight="1">
      <c r="B634" s="52" t="s">
        <v>465</v>
      </c>
      <c r="C634" s="1523"/>
      <c r="D634" s="1523"/>
      <c r="E634" s="1523"/>
      <c r="F634" s="1523"/>
      <c r="G634" s="1523"/>
      <c r="H634" s="1523"/>
      <c r="I634" s="1523"/>
      <c r="J634" s="1523"/>
      <c r="K634" s="1523"/>
      <c r="L634" s="1523"/>
      <c r="M634" s="1445" t="s">
        <v>1291</v>
      </c>
      <c r="N634" s="1445"/>
      <c r="O634" s="1445"/>
      <c r="P634" s="1445"/>
      <c r="Q634" s="1477"/>
      <c r="R634" s="1475"/>
      <c r="S634" s="1476"/>
      <c r="T634" s="1477"/>
      <c r="U634" s="1475"/>
      <c r="V634" s="1476"/>
      <c r="W634" s="1527"/>
      <c r="X634" s="1528"/>
      <c r="Y634" s="1529"/>
      <c r="Z634" s="1536" t="s">
        <v>1291</v>
      </c>
      <c r="AA634" s="1537"/>
      <c r="AB634" s="1538"/>
      <c r="AC634" s="1524"/>
      <c r="AD634" s="1525"/>
      <c r="AE634" s="1526"/>
      <c r="AF634" s="1518"/>
      <c r="AG634" s="1519"/>
      <c r="AH634" s="1519"/>
      <c r="AI634" s="1519"/>
      <c r="AJ634" s="1520"/>
      <c r="AK634" s="1478"/>
      <c r="AL634" s="1479"/>
      <c r="AM634" s="1479"/>
      <c r="AN634" s="1480"/>
      <c r="AO634" s="1568"/>
      <c r="AP634" s="1569"/>
      <c r="AQ634" s="1569"/>
      <c r="AR634" s="1569"/>
      <c r="AS634" s="1570"/>
      <c r="AT634" s="1192" t="str">
        <f t="shared" si="23"/>
        <v/>
      </c>
      <c r="AU634" s="3"/>
      <c r="AV634" s="3"/>
      <c r="AW634" s="3"/>
      <c r="AX634" s="3"/>
      <c r="AY634" s="3"/>
      <c r="AZ634" s="3"/>
      <c r="BA634" s="3" t="s">
        <v>1291</v>
      </c>
      <c r="BB634" s="3"/>
      <c r="BC634" s="3"/>
      <c r="BD634" s="3"/>
      <c r="BE634" s="3"/>
      <c r="BF634" s="3"/>
      <c r="BG634" s="3"/>
      <c r="BH634" s="3"/>
      <c r="BI634" s="3"/>
      <c r="BJ634" s="3"/>
      <c r="BK634" s="3"/>
      <c r="BL634" s="3"/>
      <c r="BM634" s="3"/>
      <c r="BR634" s="895">
        <f>BN632*1</f>
        <v>0</v>
      </c>
      <c r="BS634" s="3"/>
      <c r="BT634" s="3"/>
      <c r="BU634" s="3"/>
      <c r="BV634" s="3"/>
      <c r="BW634" s="895">
        <f>BS632*1</f>
        <v>30</v>
      </c>
      <c r="BX634" s="3"/>
      <c r="BY634" s="3"/>
      <c r="BZ634" s="3"/>
      <c r="CA634" s="3"/>
      <c r="CB634" s="895">
        <f>BX632*2</f>
        <v>38</v>
      </c>
      <c r="CC634" s="3"/>
      <c r="CD634" s="3"/>
      <c r="CE634" s="3"/>
      <c r="CF634" s="3"/>
      <c r="CG634" s="895">
        <f>CC632*3</f>
        <v>0</v>
      </c>
      <c r="CH634" s="3"/>
      <c r="CI634" s="3"/>
      <c r="CJ634" s="3"/>
      <c r="CK634" s="3"/>
      <c r="CL634" s="895">
        <f>CH632*4</f>
        <v>0</v>
      </c>
      <c r="CM634" s="3"/>
      <c r="CN634" s="3"/>
      <c r="CO634" s="3"/>
      <c r="CP634" s="3"/>
      <c r="CQ634" s="895">
        <f>CM632*5</f>
        <v>0</v>
      </c>
      <c r="CS634" s="895">
        <f>BR634+BW634+CB634+CG634+CL634+CQ634</f>
        <v>68</v>
      </c>
      <c r="CT634" s="57" t="s">
        <v>2055</v>
      </c>
      <c r="CU634" s="3"/>
      <c r="CV634" s="3"/>
      <c r="CW634" s="3"/>
      <c r="CX634" s="3"/>
      <c r="CY634" s="3"/>
      <c r="CZ634" s="3"/>
      <c r="DA634" s="3"/>
      <c r="DB634" s="3"/>
      <c r="DC634" s="3"/>
      <c r="DD634" s="3"/>
      <c r="DE634" s="3"/>
      <c r="DF634" s="3"/>
    </row>
    <row r="635" spans="2:157" ht="12.95" customHeight="1">
      <c r="B635" s="52" t="s">
        <v>470</v>
      </c>
      <c r="C635" s="1523"/>
      <c r="D635" s="1523"/>
      <c r="E635" s="1523"/>
      <c r="F635" s="1523"/>
      <c r="G635" s="1523"/>
      <c r="H635" s="1523"/>
      <c r="I635" s="1523"/>
      <c r="J635" s="1523"/>
      <c r="K635" s="1523"/>
      <c r="L635" s="1523"/>
      <c r="M635" s="1445" t="s">
        <v>1291</v>
      </c>
      <c r="N635" s="1445"/>
      <c r="O635" s="1445"/>
      <c r="P635" s="1445"/>
      <c r="Q635" s="1477"/>
      <c r="R635" s="1475"/>
      <c r="S635" s="1476"/>
      <c r="T635" s="1477"/>
      <c r="U635" s="1475"/>
      <c r="V635" s="1476"/>
      <c r="W635" s="1527"/>
      <c r="X635" s="1528"/>
      <c r="Y635" s="1529"/>
      <c r="Z635" s="1536" t="s">
        <v>1291</v>
      </c>
      <c r="AA635" s="1537"/>
      <c r="AB635" s="1538"/>
      <c r="AC635" s="1524"/>
      <c r="AD635" s="1525"/>
      <c r="AE635" s="1526"/>
      <c r="AF635" s="1518"/>
      <c r="AG635" s="1519"/>
      <c r="AH635" s="1519"/>
      <c r="AI635" s="1519"/>
      <c r="AJ635" s="1520"/>
      <c r="AK635" s="1478"/>
      <c r="AL635" s="1479"/>
      <c r="AM635" s="1479"/>
      <c r="AN635" s="1480"/>
      <c r="AO635" s="1568"/>
      <c r="AP635" s="1569"/>
      <c r="AQ635" s="1569"/>
      <c r="AR635" s="1569"/>
      <c r="AS635" s="1570"/>
      <c r="AT635" s="1192" t="str">
        <f t="shared" si="23"/>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553" t="e">
        <f>DX597*(BN597/$BN$632)</f>
        <v>#VALUE!</v>
      </c>
      <c r="DY635" s="1553"/>
      <c r="DZ635" s="1553"/>
      <c r="EA635" s="1553"/>
      <c r="EB635" s="1553"/>
      <c r="EC635" s="1553">
        <f t="shared" ref="EC635:EC657" si="24">EC597*(BS597/$BS$632)</f>
        <v>418.66666666666663</v>
      </c>
      <c r="ED635" s="1553"/>
      <c r="EE635" s="1553"/>
      <c r="EF635" s="1553"/>
      <c r="EG635" s="1553"/>
      <c r="EH635" s="1553" t="e">
        <f t="shared" ref="EH635:EH657" si="25">EH597*(BX597/$BX$632)</f>
        <v>#VALUE!</v>
      </c>
      <c r="EI635" s="1553"/>
      <c r="EJ635" s="1553"/>
      <c r="EK635" s="1553"/>
      <c r="EL635" s="1553"/>
      <c r="EM635" s="1553" t="e">
        <f t="shared" ref="EM635:EM657" si="26">EM597*(CC597/$CC$632)</f>
        <v>#VALUE!</v>
      </c>
      <c r="EN635" s="1553"/>
      <c r="EO635" s="1553"/>
      <c r="EP635" s="1553"/>
      <c r="EQ635" s="1553"/>
      <c r="ER635" s="1553" t="e">
        <f t="shared" ref="ER635:ER657" si="27">ER597*(CH597/$CH$632)</f>
        <v>#VALUE!</v>
      </c>
      <c r="ES635" s="1553"/>
      <c r="ET635" s="1553"/>
      <c r="EU635" s="1553"/>
      <c r="EV635" s="1553"/>
      <c r="EW635" s="1553" t="e">
        <f t="shared" ref="EW635:EW657" si="28">EW597*(CM597/$CM$632)</f>
        <v>#VALUE!</v>
      </c>
      <c r="EX635" s="1553"/>
      <c r="EY635" s="1553"/>
      <c r="EZ635" s="1553"/>
      <c r="FA635" s="1553"/>
    </row>
    <row r="636" spans="2:157" ht="12.95" customHeight="1">
      <c r="B636" s="52" t="s">
        <v>655</v>
      </c>
      <c r="C636" s="1523"/>
      <c r="D636" s="1523"/>
      <c r="E636" s="1523"/>
      <c r="F636" s="1523"/>
      <c r="G636" s="1523"/>
      <c r="H636" s="1523"/>
      <c r="I636" s="1523"/>
      <c r="J636" s="1523"/>
      <c r="K636" s="1523"/>
      <c r="L636" s="1523"/>
      <c r="M636" s="1445" t="s">
        <v>1291</v>
      </c>
      <c r="N636" s="1445"/>
      <c r="O636" s="1445"/>
      <c r="P636" s="1445"/>
      <c r="Q636" s="1477"/>
      <c r="R636" s="1475"/>
      <c r="S636" s="1476"/>
      <c r="T636" s="1477"/>
      <c r="U636" s="1475"/>
      <c r="V636" s="1476"/>
      <c r="W636" s="1527"/>
      <c r="X636" s="1528"/>
      <c r="Y636" s="1529"/>
      <c r="Z636" s="1536" t="s">
        <v>1291</v>
      </c>
      <c r="AA636" s="1537"/>
      <c r="AB636" s="1538"/>
      <c r="AC636" s="1524"/>
      <c r="AD636" s="1525"/>
      <c r="AE636" s="1526"/>
      <c r="AF636" s="1518"/>
      <c r="AG636" s="1519"/>
      <c r="AH636" s="1519"/>
      <c r="AI636" s="1519"/>
      <c r="AJ636" s="1520"/>
      <c r="AK636" s="1478"/>
      <c r="AL636" s="1479"/>
      <c r="AM636" s="1479"/>
      <c r="AN636" s="1480"/>
      <c r="AO636" s="1568"/>
      <c r="AP636" s="1569"/>
      <c r="AQ636" s="1569"/>
      <c r="AR636" s="1569"/>
      <c r="AS636" s="1570"/>
      <c r="AT636" s="1192" t="str">
        <f t="shared" si="23"/>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553" t="e">
        <f t="shared" ref="DX636:DX657" si="29">DX598*(BN598/$BN$632)</f>
        <v>#VALUE!</v>
      </c>
      <c r="DY636" s="1553"/>
      <c r="DZ636" s="1553"/>
      <c r="EA636" s="1553"/>
      <c r="EB636" s="1553"/>
      <c r="EC636" s="1553" t="e">
        <f t="shared" si="24"/>
        <v>#VALUE!</v>
      </c>
      <c r="ED636" s="1553"/>
      <c r="EE636" s="1553"/>
      <c r="EF636" s="1553"/>
      <c r="EG636" s="1553"/>
      <c r="EH636" s="1553">
        <f t="shared" si="25"/>
        <v>590.52631578947364</v>
      </c>
      <c r="EI636" s="1553"/>
      <c r="EJ636" s="1553"/>
      <c r="EK636" s="1553"/>
      <c r="EL636" s="1553"/>
      <c r="EM636" s="1553" t="e">
        <f t="shared" si="26"/>
        <v>#VALUE!</v>
      </c>
      <c r="EN636" s="1553"/>
      <c r="EO636" s="1553"/>
      <c r="EP636" s="1553"/>
      <c r="EQ636" s="1553"/>
      <c r="ER636" s="1553" t="e">
        <f t="shared" si="27"/>
        <v>#VALUE!</v>
      </c>
      <c r="ES636" s="1553"/>
      <c r="ET636" s="1553"/>
      <c r="EU636" s="1553"/>
      <c r="EV636" s="1553"/>
      <c r="EW636" s="1553" t="e">
        <f t="shared" si="28"/>
        <v>#VALUE!</v>
      </c>
      <c r="EX636" s="1553"/>
      <c r="EY636" s="1553"/>
      <c r="EZ636" s="1553"/>
      <c r="FA636" s="1553"/>
    </row>
    <row r="637" spans="2:157" ht="12.95" customHeight="1">
      <c r="B637" s="52" t="s">
        <v>363</v>
      </c>
      <c r="C637" s="1523"/>
      <c r="D637" s="1523"/>
      <c r="E637" s="1523"/>
      <c r="F637" s="1523"/>
      <c r="G637" s="1523"/>
      <c r="H637" s="1523"/>
      <c r="I637" s="1523"/>
      <c r="J637" s="1523"/>
      <c r="K637" s="1523"/>
      <c r="L637" s="1523"/>
      <c r="M637" s="1445" t="s">
        <v>1291</v>
      </c>
      <c r="N637" s="1445"/>
      <c r="O637" s="1445"/>
      <c r="P637" s="1445"/>
      <c r="Q637" s="1477"/>
      <c r="R637" s="1475"/>
      <c r="S637" s="1476"/>
      <c r="T637" s="1477"/>
      <c r="U637" s="1475"/>
      <c r="V637" s="1476"/>
      <c r="W637" s="1527"/>
      <c r="X637" s="1528"/>
      <c r="Y637" s="1529"/>
      <c r="Z637" s="1536" t="s">
        <v>1291</v>
      </c>
      <c r="AA637" s="1537"/>
      <c r="AB637" s="1538"/>
      <c r="AC637" s="1524"/>
      <c r="AD637" s="1525"/>
      <c r="AE637" s="1526"/>
      <c r="AF637" s="1518"/>
      <c r="AG637" s="1519"/>
      <c r="AH637" s="1519"/>
      <c r="AI637" s="1519"/>
      <c r="AJ637" s="1520"/>
      <c r="AK637" s="1478"/>
      <c r="AL637" s="1479"/>
      <c r="AM637" s="1479"/>
      <c r="AN637" s="1480"/>
      <c r="AO637" s="1568"/>
      <c r="AP637" s="1569"/>
      <c r="AQ637" s="1569"/>
      <c r="AR637" s="1569"/>
      <c r="AS637" s="1570"/>
      <c r="AT637" s="1192" t="str">
        <f t="shared" si="23"/>
        <v/>
      </c>
      <c r="AV637" s="3"/>
      <c r="AW637" s="3"/>
      <c r="AX637" s="3"/>
      <c r="AY637" s="3"/>
      <c r="AZ637" s="34"/>
      <c r="BA637" s="3" t="s">
        <v>2452</v>
      </c>
      <c r="BB637" s="34"/>
      <c r="BC637" s="34"/>
      <c r="BD637" s="34"/>
      <c r="BE637" s="34"/>
      <c r="BF637" s="34"/>
      <c r="BG637" s="34"/>
      <c r="BH637" s="34"/>
      <c r="BI637" s="34"/>
      <c r="BJ637" s="34"/>
      <c r="BK637" s="34"/>
      <c r="BL637" s="34"/>
      <c r="BM637" s="34"/>
      <c r="BN637" s="1558">
        <f>IF(J773="SRO/Studio",O773,0)</f>
        <v>0</v>
      </c>
      <c r="BO637" s="1559"/>
      <c r="BP637" s="1559"/>
      <c r="BQ637" s="1559"/>
      <c r="BR637" s="1560"/>
      <c r="BS637" s="1564">
        <f>IF(J773="1 Bedroom",O773,0)</f>
        <v>0</v>
      </c>
      <c r="BT637" s="1564"/>
      <c r="BU637" s="1564"/>
      <c r="BV637" s="1564"/>
      <c r="BW637" s="1564"/>
      <c r="BX637" s="1564">
        <f>IF(J773="2 Bedrooms",O773,0)</f>
        <v>1</v>
      </c>
      <c r="BY637" s="1564"/>
      <c r="BZ637" s="1564"/>
      <c r="CA637" s="1564"/>
      <c r="CB637" s="1564"/>
      <c r="CC637" s="1564">
        <f>IF(J773="3 Bedrooms",O773,0)</f>
        <v>0</v>
      </c>
      <c r="CD637" s="1564"/>
      <c r="CE637" s="1564"/>
      <c r="CF637" s="1564"/>
      <c r="CG637" s="1564"/>
      <c r="CH637" s="1564">
        <f>IF(J773="4 Bedrooms",O773,0)</f>
        <v>0</v>
      </c>
      <c r="CI637" s="1564"/>
      <c r="CJ637" s="1564"/>
      <c r="CK637" s="1564"/>
      <c r="CL637" s="1564"/>
      <c r="CM637" s="1564">
        <f>IF(J773="5 Bedrooms",O773,0)</f>
        <v>0</v>
      </c>
      <c r="CN637" s="1564"/>
      <c r="CO637" s="1564"/>
      <c r="CP637" s="1564"/>
      <c r="CQ637" s="1564"/>
      <c r="CR637" s="6"/>
      <c r="CS637" s="3"/>
      <c r="CT637" s="3"/>
      <c r="CU637" s="3"/>
      <c r="CV637" s="3"/>
      <c r="CW637" s="3"/>
      <c r="CX637" s="3"/>
      <c r="CY637" s="3"/>
      <c r="CZ637" s="3"/>
      <c r="DA637" s="3"/>
      <c r="DB637" s="3"/>
      <c r="DC637" s="3"/>
      <c r="DD637" s="3"/>
      <c r="DE637" s="3"/>
      <c r="DF637" s="3"/>
      <c r="DX637" s="1553" t="e">
        <f t="shared" si="29"/>
        <v>#VALUE!</v>
      </c>
      <c r="DY637" s="1553"/>
      <c r="DZ637" s="1553"/>
      <c r="EA637" s="1553"/>
      <c r="EB637" s="1553"/>
      <c r="EC637" s="1553">
        <f t="shared" si="24"/>
        <v>367</v>
      </c>
      <c r="ED637" s="1553"/>
      <c r="EE637" s="1553"/>
      <c r="EF637" s="1553"/>
      <c r="EG637" s="1553"/>
      <c r="EH637" s="1553" t="e">
        <f t="shared" si="25"/>
        <v>#VALUE!</v>
      </c>
      <c r="EI637" s="1553"/>
      <c r="EJ637" s="1553"/>
      <c r="EK637" s="1553"/>
      <c r="EL637" s="1553"/>
      <c r="EM637" s="1553" t="e">
        <f t="shared" si="26"/>
        <v>#VALUE!</v>
      </c>
      <c r="EN637" s="1553"/>
      <c r="EO637" s="1553"/>
      <c r="EP637" s="1553"/>
      <c r="EQ637" s="1553"/>
      <c r="ER637" s="1553" t="e">
        <f t="shared" si="27"/>
        <v>#VALUE!</v>
      </c>
      <c r="ES637" s="1553"/>
      <c r="ET637" s="1553"/>
      <c r="EU637" s="1553"/>
      <c r="EV637" s="1553"/>
      <c r="EW637" s="1553" t="e">
        <f t="shared" si="28"/>
        <v>#VALUE!</v>
      </c>
      <c r="EX637" s="1553"/>
      <c r="EY637" s="1553"/>
      <c r="EZ637" s="1553"/>
      <c r="FA637" s="1553"/>
    </row>
    <row r="638" spans="2:157" ht="12.95" customHeight="1">
      <c r="B638" s="52" t="s">
        <v>364</v>
      </c>
      <c r="C638" s="1523"/>
      <c r="D638" s="1523"/>
      <c r="E638" s="1523"/>
      <c r="F638" s="1523"/>
      <c r="G638" s="1523"/>
      <c r="H638" s="1523"/>
      <c r="I638" s="1523"/>
      <c r="J638" s="1523"/>
      <c r="K638" s="1523"/>
      <c r="L638" s="1523"/>
      <c r="M638" s="1445" t="s">
        <v>1291</v>
      </c>
      <c r="N638" s="1445"/>
      <c r="O638" s="1445"/>
      <c r="P638" s="1445"/>
      <c r="Q638" s="1477"/>
      <c r="R638" s="1475"/>
      <c r="S638" s="1476"/>
      <c r="T638" s="1477"/>
      <c r="U638" s="1475"/>
      <c r="V638" s="1476"/>
      <c r="W638" s="1527"/>
      <c r="X638" s="1528"/>
      <c r="Y638" s="1529"/>
      <c r="Z638" s="1536" t="s">
        <v>1291</v>
      </c>
      <c r="AA638" s="1537"/>
      <c r="AB638" s="1538"/>
      <c r="AC638" s="1524"/>
      <c r="AD638" s="1525"/>
      <c r="AE638" s="1526"/>
      <c r="AF638" s="1518"/>
      <c r="AG638" s="1519"/>
      <c r="AH638" s="1519"/>
      <c r="AI638" s="1519"/>
      <c r="AJ638" s="1520"/>
      <c r="AK638" s="1478"/>
      <c r="AL638" s="1479"/>
      <c r="AM638" s="1479"/>
      <c r="AN638" s="1480"/>
      <c r="AO638" s="1568"/>
      <c r="AP638" s="1569"/>
      <c r="AQ638" s="1569"/>
      <c r="AR638" s="1569"/>
      <c r="AS638" s="1570"/>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558">
        <f>IF(J774="SRO/Studio",O774,0)</f>
        <v>0</v>
      </c>
      <c r="BO638" s="1559"/>
      <c r="BP638" s="1559"/>
      <c r="BQ638" s="1559"/>
      <c r="BR638" s="1560"/>
      <c r="BS638" s="1564">
        <f>IF(J774="1 Bedroom",O774,0)</f>
        <v>0</v>
      </c>
      <c r="BT638" s="1564"/>
      <c r="BU638" s="1564"/>
      <c r="BV638" s="1564"/>
      <c r="BW638" s="1564"/>
      <c r="BX638" s="1564">
        <f>IF(J774="2 Bedrooms",O774,0)</f>
        <v>0</v>
      </c>
      <c r="BY638" s="1564"/>
      <c r="BZ638" s="1564"/>
      <c r="CA638" s="1564"/>
      <c r="CB638" s="1564"/>
      <c r="CC638" s="1564">
        <f>IF(J774="3 Bedrooms",O774,0)</f>
        <v>0</v>
      </c>
      <c r="CD638" s="1564"/>
      <c r="CE638" s="1564"/>
      <c r="CF638" s="1564"/>
      <c r="CG638" s="1564"/>
      <c r="CH638" s="1564">
        <f>IF(J774="4 Bedrooms",O774,0)</f>
        <v>0</v>
      </c>
      <c r="CI638" s="1564"/>
      <c r="CJ638" s="1564"/>
      <c r="CK638" s="1564"/>
      <c r="CL638" s="1564"/>
      <c r="CM638" s="1564">
        <f>IF(J774="5 Bedrooms",O774,0)</f>
        <v>0</v>
      </c>
      <c r="CN638" s="1564"/>
      <c r="CO638" s="1564"/>
      <c r="CP638" s="1564"/>
      <c r="CQ638" s="1564"/>
      <c r="CR638" s="6"/>
      <c r="CS638" s="3"/>
      <c r="CT638" s="3"/>
      <c r="CU638" s="3"/>
      <c r="CV638" s="3"/>
      <c r="CW638" s="3"/>
      <c r="CX638" s="3"/>
      <c r="CY638" s="3"/>
      <c r="CZ638" s="3"/>
      <c r="DA638" s="3"/>
      <c r="DB638" s="3"/>
      <c r="DC638" s="3"/>
      <c r="DD638" s="3"/>
      <c r="DE638" s="3"/>
      <c r="DF638" s="3"/>
      <c r="DX638" s="1553" t="e">
        <f t="shared" si="29"/>
        <v>#VALUE!</v>
      </c>
      <c r="DY638" s="1553"/>
      <c r="DZ638" s="1553"/>
      <c r="EA638" s="1553"/>
      <c r="EB638" s="1553"/>
      <c r="EC638" s="1553" t="e">
        <f t="shared" si="24"/>
        <v>#VALUE!</v>
      </c>
      <c r="ED638" s="1553"/>
      <c r="EE638" s="1553"/>
      <c r="EF638" s="1553"/>
      <c r="EG638" s="1553"/>
      <c r="EH638" s="1553">
        <f t="shared" si="25"/>
        <v>276.84210526315786</v>
      </c>
      <c r="EI638" s="1553"/>
      <c r="EJ638" s="1553"/>
      <c r="EK638" s="1553"/>
      <c r="EL638" s="1553"/>
      <c r="EM638" s="1553" t="e">
        <f t="shared" si="26"/>
        <v>#VALUE!</v>
      </c>
      <c r="EN638" s="1553"/>
      <c r="EO638" s="1553"/>
      <c r="EP638" s="1553"/>
      <c r="EQ638" s="1553"/>
      <c r="ER638" s="1553" t="e">
        <f t="shared" si="27"/>
        <v>#VALUE!</v>
      </c>
      <c r="ES638" s="1553"/>
      <c r="ET638" s="1553"/>
      <c r="EU638" s="1553"/>
      <c r="EV638" s="1553"/>
      <c r="EW638" s="1553" t="e">
        <f t="shared" si="28"/>
        <v>#VALUE!</v>
      </c>
      <c r="EX638" s="1553"/>
      <c r="EY638" s="1553"/>
      <c r="EZ638" s="1553"/>
      <c r="FA638" s="1553"/>
    </row>
    <row r="639" spans="2:157" ht="12.95" customHeight="1">
      <c r="B639" s="1664" t="s">
        <v>128</v>
      </c>
      <c r="C639" s="1665"/>
      <c r="D639" s="1665"/>
      <c r="E639" s="1665"/>
      <c r="F639" s="1665"/>
      <c r="G639" s="1665"/>
      <c r="H639" s="1665"/>
      <c r="I639" s="1665"/>
      <c r="J639" s="1665"/>
      <c r="K639" s="1665"/>
      <c r="L639" s="1665"/>
      <c r="M639" s="1665"/>
      <c r="N639" s="1665"/>
      <c r="O639" s="1665"/>
      <c r="P639" s="1665"/>
      <c r="Q639" s="1665"/>
      <c r="R639" s="1665"/>
      <c r="S639" s="1665"/>
      <c r="T639" s="1665"/>
      <c r="U639" s="1665"/>
      <c r="V639" s="1665"/>
      <c r="W639" s="1665"/>
      <c r="X639" s="1665"/>
      <c r="Y639" s="1665"/>
      <c r="Z639" s="1665"/>
      <c r="AA639" s="1665"/>
      <c r="AB639" s="1665"/>
      <c r="AC639" s="1665"/>
      <c r="AD639" s="1665"/>
      <c r="AE639" s="1665"/>
      <c r="AF639" s="1665"/>
      <c r="AG639" s="1665"/>
      <c r="AH639" s="1665"/>
      <c r="AI639" s="1665"/>
      <c r="AJ639" s="1665"/>
      <c r="AK639" s="1665"/>
      <c r="AL639" s="1665"/>
      <c r="AM639" s="1665"/>
      <c r="AN639" s="1666"/>
      <c r="AO639" s="1574">
        <f>SUM(AO627:AR638)</f>
        <v>21518482</v>
      </c>
      <c r="AP639" s="1575"/>
      <c r="AQ639" s="1575"/>
      <c r="AR639" s="1575"/>
      <c r="AS639" s="1576"/>
      <c r="AV639" s="3"/>
      <c r="AW639" s="3"/>
      <c r="AX639" s="3"/>
      <c r="AY639" s="3"/>
      <c r="AZ639" s="34"/>
      <c r="BA639" s="34"/>
      <c r="BB639" s="34"/>
      <c r="BC639" s="34"/>
      <c r="BD639" s="34"/>
      <c r="BE639" s="34"/>
      <c r="BF639" s="34"/>
      <c r="BG639" s="34"/>
      <c r="BH639" s="34"/>
      <c r="BI639" s="34"/>
      <c r="BJ639" s="34"/>
      <c r="BK639" s="34"/>
      <c r="BL639" s="34"/>
      <c r="BM639" s="34"/>
      <c r="BN639" s="1558">
        <f>IF(J775="SRO/Studio",O775,0)</f>
        <v>0</v>
      </c>
      <c r="BO639" s="1559"/>
      <c r="BP639" s="1559"/>
      <c r="BQ639" s="1559"/>
      <c r="BR639" s="1560"/>
      <c r="BS639" s="1564">
        <f>IF(J775="1 Bedroom",O775,0)</f>
        <v>0</v>
      </c>
      <c r="BT639" s="1564"/>
      <c r="BU639" s="1564"/>
      <c r="BV639" s="1564"/>
      <c r="BW639" s="1564"/>
      <c r="BX639" s="1564">
        <f>IF(J775="2 Bedrooms",O775,0)</f>
        <v>0</v>
      </c>
      <c r="BY639" s="1564"/>
      <c r="BZ639" s="1564"/>
      <c r="CA639" s="1564"/>
      <c r="CB639" s="1564"/>
      <c r="CC639" s="1564">
        <f>IF(J775="3 Bedrooms",O775,0)</f>
        <v>0</v>
      </c>
      <c r="CD639" s="1564"/>
      <c r="CE639" s="1564"/>
      <c r="CF639" s="1564"/>
      <c r="CG639" s="1564"/>
      <c r="CH639" s="1564">
        <f>IF(J775="4 Bedrooms",O775,0)</f>
        <v>0</v>
      </c>
      <c r="CI639" s="1564"/>
      <c r="CJ639" s="1564"/>
      <c r="CK639" s="1564"/>
      <c r="CL639" s="1564"/>
      <c r="CM639" s="1564">
        <f>IF(J775="5 Bedrooms",O775,0)</f>
        <v>0</v>
      </c>
      <c r="CN639" s="1564"/>
      <c r="CO639" s="1564"/>
      <c r="CP639" s="1564"/>
      <c r="CQ639" s="1564"/>
      <c r="CR639" s="1047"/>
      <c r="CV639" s="3"/>
      <c r="CW639" s="3"/>
      <c r="CX639" s="3"/>
      <c r="CY639" s="3"/>
      <c r="CZ639" s="3"/>
      <c r="DA639" s="3"/>
      <c r="DB639" s="3"/>
      <c r="DC639" s="3"/>
      <c r="DD639" s="3"/>
      <c r="DE639" s="3"/>
      <c r="DF639" s="3"/>
      <c r="DX639" s="1553" t="e">
        <f t="shared" si="29"/>
        <v>#VALUE!</v>
      </c>
      <c r="DY639" s="1553"/>
      <c r="DZ639" s="1553"/>
      <c r="EA639" s="1553"/>
      <c r="EB639" s="1553"/>
      <c r="EC639" s="1553" t="e">
        <f t="shared" si="24"/>
        <v>#VALUE!</v>
      </c>
      <c r="ED639" s="1553"/>
      <c r="EE639" s="1553"/>
      <c r="EF639" s="1553"/>
      <c r="EG639" s="1553"/>
      <c r="EH639" s="1553" t="e">
        <f t="shared" si="25"/>
        <v>#VALUE!</v>
      </c>
      <c r="EI639" s="1553"/>
      <c r="EJ639" s="1553"/>
      <c r="EK639" s="1553"/>
      <c r="EL639" s="1553"/>
      <c r="EM639" s="1553" t="e">
        <f t="shared" si="26"/>
        <v>#VALUE!</v>
      </c>
      <c r="EN639" s="1553"/>
      <c r="EO639" s="1553"/>
      <c r="EP639" s="1553"/>
      <c r="EQ639" s="1553"/>
      <c r="ER639" s="1553" t="e">
        <f t="shared" si="27"/>
        <v>#VALUE!</v>
      </c>
      <c r="ES639" s="1553"/>
      <c r="ET639" s="1553"/>
      <c r="EU639" s="1553"/>
      <c r="EV639" s="1553"/>
      <c r="EW639" s="1553" t="e">
        <f t="shared" si="28"/>
        <v>#VALUE!</v>
      </c>
      <c r="EX639" s="1553"/>
      <c r="EY639" s="1553"/>
      <c r="EZ639" s="1553"/>
      <c r="FA639" s="1553"/>
    </row>
    <row r="640" spans="2:157" ht="12.95" customHeight="1">
      <c r="B640" s="1664" t="s">
        <v>268</v>
      </c>
      <c r="C640" s="1665"/>
      <c r="D640" s="1665"/>
      <c r="E640" s="1665"/>
      <c r="F640" s="1665"/>
      <c r="G640" s="1665"/>
      <c r="H640" s="1665"/>
      <c r="I640" s="1665"/>
      <c r="J640" s="1665"/>
      <c r="K640" s="1665"/>
      <c r="L640" s="1665"/>
      <c r="M640" s="1665"/>
      <c r="N640" s="1665"/>
      <c r="O640" s="1665"/>
      <c r="P640" s="1665"/>
      <c r="Q640" s="1665"/>
      <c r="R640" s="1665"/>
      <c r="S640" s="1665"/>
      <c r="T640" s="1665"/>
      <c r="U640" s="1665"/>
      <c r="V640" s="1665"/>
      <c r="W640" s="1665"/>
      <c r="X640" s="1665"/>
      <c r="Y640" s="1665"/>
      <c r="Z640" s="1665"/>
      <c r="AA640" s="1665"/>
      <c r="AB640" s="1665"/>
      <c r="AC640" s="1665"/>
      <c r="AD640" s="1665"/>
      <c r="AE640" s="1665"/>
      <c r="AF640" s="1665"/>
      <c r="AG640" s="1665"/>
      <c r="AH640" s="1665"/>
      <c r="AI640" s="1665"/>
      <c r="AJ640" s="1665"/>
      <c r="AK640" s="1665"/>
      <c r="AL640" s="1665"/>
      <c r="AM640" s="1665"/>
      <c r="AN640" s="1666"/>
      <c r="AO640" s="1568">
        <f>18324540+3277860+250000-'Sources and Uses Budget'!B131</f>
        <v>21852400</v>
      </c>
      <c r="AP640" s="1569"/>
      <c r="AQ640" s="1569"/>
      <c r="AR640" s="1569"/>
      <c r="AS640" s="1570"/>
      <c r="AV640" s="3"/>
      <c r="AW640" s="3"/>
      <c r="AX640" s="3"/>
      <c r="AY640" s="3"/>
      <c r="AZ640" s="34"/>
      <c r="BA640" s="34"/>
      <c r="BB640" s="34"/>
      <c r="BC640" s="34"/>
      <c r="BD640" s="34"/>
      <c r="BE640" s="34"/>
      <c r="BF640" s="34"/>
      <c r="BG640" s="34"/>
      <c r="BH640" s="34"/>
      <c r="BI640" s="34"/>
      <c r="BJ640" s="34"/>
      <c r="BK640" s="34"/>
      <c r="BL640" s="34"/>
      <c r="BM640" s="34"/>
      <c r="BN640" s="1558">
        <f>IF(J776="SRO/Studio",O776,0)</f>
        <v>0</v>
      </c>
      <c r="BO640" s="1559"/>
      <c r="BP640" s="1559"/>
      <c r="BQ640" s="1559"/>
      <c r="BR640" s="1560"/>
      <c r="BS640" s="1564">
        <f>IF(J776="1 Bedroom",O776,0)</f>
        <v>0</v>
      </c>
      <c r="BT640" s="1564"/>
      <c r="BU640" s="1564"/>
      <c r="BV640" s="1564"/>
      <c r="BW640" s="1564"/>
      <c r="BX640" s="1564">
        <f>IF(J776="2 Bedrooms",O776,0)</f>
        <v>0</v>
      </c>
      <c r="BY640" s="1564"/>
      <c r="BZ640" s="1564"/>
      <c r="CA640" s="1564"/>
      <c r="CB640" s="1564"/>
      <c r="CC640" s="1564">
        <f>IF(J776="3 Bedrooms",O776,0)</f>
        <v>0</v>
      </c>
      <c r="CD640" s="1564"/>
      <c r="CE640" s="1564"/>
      <c r="CF640" s="1564"/>
      <c r="CG640" s="1564"/>
      <c r="CH640" s="1564">
        <f>IF(J776="4 Bedrooms",O776,0)</f>
        <v>0</v>
      </c>
      <c r="CI640" s="1564"/>
      <c r="CJ640" s="1564"/>
      <c r="CK640" s="1564"/>
      <c r="CL640" s="1564"/>
      <c r="CM640" s="1564">
        <f>IF(J776="5 Bedrooms",O776,0)</f>
        <v>0</v>
      </c>
      <c r="CN640" s="1564"/>
      <c r="CO640" s="1564"/>
      <c r="CP640" s="1564"/>
      <c r="CQ640" s="1564"/>
      <c r="CV640" s="3"/>
      <c r="CW640" s="3"/>
      <c r="CX640" s="3"/>
      <c r="CY640" s="3"/>
      <c r="CZ640" s="3"/>
      <c r="DA640" s="3"/>
      <c r="DB640" s="3"/>
      <c r="DC640" s="3"/>
      <c r="DD640" s="3"/>
      <c r="DE640" s="3"/>
      <c r="DF640" s="3"/>
      <c r="DX640" s="1553" t="e">
        <f t="shared" si="29"/>
        <v>#VALUE!</v>
      </c>
      <c r="DY640" s="1553"/>
      <c r="DZ640" s="1553"/>
      <c r="EA640" s="1553"/>
      <c r="EB640" s="1553"/>
      <c r="EC640" s="1553" t="e">
        <f t="shared" si="24"/>
        <v>#VALUE!</v>
      </c>
      <c r="ED640" s="1553"/>
      <c r="EE640" s="1553"/>
      <c r="EF640" s="1553"/>
      <c r="EG640" s="1553"/>
      <c r="EH640" s="1553" t="e">
        <f t="shared" si="25"/>
        <v>#VALUE!</v>
      </c>
      <c r="EI640" s="1553"/>
      <c r="EJ640" s="1553"/>
      <c r="EK640" s="1553"/>
      <c r="EL640" s="1553"/>
      <c r="EM640" s="1553" t="e">
        <f t="shared" si="26"/>
        <v>#VALUE!</v>
      </c>
      <c r="EN640" s="1553"/>
      <c r="EO640" s="1553"/>
      <c r="EP640" s="1553"/>
      <c r="EQ640" s="1553"/>
      <c r="ER640" s="1553" t="e">
        <f t="shared" si="27"/>
        <v>#VALUE!</v>
      </c>
      <c r="ES640" s="1553"/>
      <c r="ET640" s="1553"/>
      <c r="EU640" s="1553"/>
      <c r="EV640" s="1553"/>
      <c r="EW640" s="1553" t="e">
        <f t="shared" si="28"/>
        <v>#VALUE!</v>
      </c>
      <c r="EX640" s="1553"/>
      <c r="EY640" s="1553"/>
      <c r="EZ640" s="1553"/>
      <c r="FA640" s="1553"/>
    </row>
    <row r="641" spans="1:157" ht="12.95" customHeight="1">
      <c r="B641" s="1803" t="s">
        <v>269</v>
      </c>
      <c r="C641" s="1748"/>
      <c r="D641" s="1748"/>
      <c r="E641" s="1748"/>
      <c r="F641" s="1748"/>
      <c r="G641" s="1748"/>
      <c r="H641" s="1748"/>
      <c r="I641" s="1748"/>
      <c r="J641" s="1748"/>
      <c r="K641" s="1748"/>
      <c r="L641" s="1748"/>
      <c r="M641" s="1748"/>
      <c r="N641" s="1748"/>
      <c r="O641" s="1748"/>
      <c r="P641" s="1748"/>
      <c r="Q641" s="1748"/>
      <c r="R641" s="1748"/>
      <c r="S641" s="1748"/>
      <c r="T641" s="1748"/>
      <c r="U641" s="1748"/>
      <c r="V641" s="1748"/>
      <c r="W641" s="1748"/>
      <c r="X641" s="1748"/>
      <c r="Y641" s="1748"/>
      <c r="Z641" s="1748"/>
      <c r="AA641" s="1748"/>
      <c r="AB641" s="1748"/>
      <c r="AC641" s="1748"/>
      <c r="AD641" s="1748"/>
      <c r="AE641" s="1748"/>
      <c r="AF641" s="1748"/>
      <c r="AG641" s="1748"/>
      <c r="AH641" s="1748"/>
      <c r="AI641" s="1748"/>
      <c r="AJ641" s="1748"/>
      <c r="AK641" s="1748"/>
      <c r="AL641" s="1748"/>
      <c r="AM641" s="1748"/>
      <c r="AN641" s="1804"/>
      <c r="AO641" s="1574">
        <f>AO639+AO640</f>
        <v>43370882</v>
      </c>
      <c r="AP641" s="1575"/>
      <c r="AQ641" s="1575"/>
      <c r="AR641" s="1575"/>
      <c r="AS641" s="1576"/>
      <c r="AV641" s="3"/>
      <c r="AW641" s="3"/>
      <c r="AX641" s="3"/>
      <c r="AY641" s="3"/>
      <c r="AZ641" s="34"/>
      <c r="BA641" s="34"/>
      <c r="BB641" s="34"/>
      <c r="BC641" s="34"/>
      <c r="BD641" s="34"/>
      <c r="BE641" s="34"/>
      <c r="BF641" s="34"/>
      <c r="BG641" s="34"/>
      <c r="BH641" s="34"/>
      <c r="BI641" s="34"/>
      <c r="BJ641" s="34"/>
      <c r="BK641" s="34"/>
      <c r="BL641" s="34"/>
      <c r="BM641" s="34"/>
      <c r="BN641" s="1572">
        <f>SUM(BN637:BR640)</f>
        <v>0</v>
      </c>
      <c r="BO641" s="1660"/>
      <c r="BP641" s="1660"/>
      <c r="BQ641" s="1660"/>
      <c r="BR641" s="1573"/>
      <c r="BS641" s="1550">
        <f>SUM(BS637:BW640)</f>
        <v>0</v>
      </c>
      <c r="BT641" s="1551"/>
      <c r="BU641" s="1551"/>
      <c r="BV641" s="1551"/>
      <c r="BW641" s="1552"/>
      <c r="BX641" s="1550">
        <f>SUM(BX637:CB640)</f>
        <v>1</v>
      </c>
      <c r="BY641" s="1551"/>
      <c r="BZ641" s="1551"/>
      <c r="CA641" s="1551"/>
      <c r="CB641" s="1552"/>
      <c r="CC641" s="1550">
        <f>SUM(CC637:CG640)</f>
        <v>0</v>
      </c>
      <c r="CD641" s="1551"/>
      <c r="CE641" s="1551"/>
      <c r="CF641" s="1551"/>
      <c r="CG641" s="1552"/>
      <c r="CH641" s="1550">
        <f>SUM(CH637:CL640)</f>
        <v>0</v>
      </c>
      <c r="CI641" s="1551"/>
      <c r="CJ641" s="1551"/>
      <c r="CK641" s="1551"/>
      <c r="CL641" s="1552"/>
      <c r="CM641" s="1550">
        <f>SUM(CM637:CQ640)</f>
        <v>0</v>
      </c>
      <c r="CN641" s="1551"/>
      <c r="CO641" s="1551"/>
      <c r="CP641" s="1551"/>
      <c r="CQ641" s="1552"/>
      <c r="CS641" s="895">
        <f>BN641+BS641+BX641+CC641+CH641+CM641</f>
        <v>1</v>
      </c>
      <c r="CT641" s="57" t="s">
        <v>2052</v>
      </c>
      <c r="CU641" s="3"/>
      <c r="CV641" s="3"/>
      <c r="CW641" s="3"/>
      <c r="CX641" s="3"/>
      <c r="CY641" s="3"/>
      <c r="CZ641" s="3"/>
      <c r="DA641" s="3"/>
      <c r="DB641" s="3"/>
      <c r="DC641" s="3"/>
      <c r="DD641" s="3"/>
      <c r="DE641" s="3"/>
      <c r="DF641" s="3"/>
      <c r="DX641" s="1553" t="e">
        <f t="shared" si="29"/>
        <v>#VALUE!</v>
      </c>
      <c r="DY641" s="1553"/>
      <c r="DZ641" s="1553"/>
      <c r="EA641" s="1553"/>
      <c r="EB641" s="1553"/>
      <c r="EC641" s="1553" t="e">
        <f t="shared" si="24"/>
        <v>#VALUE!</v>
      </c>
      <c r="ED641" s="1553"/>
      <c r="EE641" s="1553"/>
      <c r="EF641" s="1553"/>
      <c r="EG641" s="1553"/>
      <c r="EH641" s="1553" t="e">
        <f t="shared" si="25"/>
        <v>#VALUE!</v>
      </c>
      <c r="EI641" s="1553"/>
      <c r="EJ641" s="1553"/>
      <c r="EK641" s="1553"/>
      <c r="EL641" s="1553"/>
      <c r="EM641" s="1553" t="e">
        <f t="shared" si="26"/>
        <v>#VALUE!</v>
      </c>
      <c r="EN641" s="1553"/>
      <c r="EO641" s="1553"/>
      <c r="EP641" s="1553"/>
      <c r="EQ641" s="1553"/>
      <c r="ER641" s="1553" t="e">
        <f t="shared" si="27"/>
        <v>#VALUE!</v>
      </c>
      <c r="ES641" s="1553"/>
      <c r="ET641" s="1553"/>
      <c r="EU641" s="1553"/>
      <c r="EV641" s="1553"/>
      <c r="EW641" s="1553" t="e">
        <f t="shared" si="28"/>
        <v>#VALUE!</v>
      </c>
      <c r="EX641" s="1553"/>
      <c r="EY641" s="1553"/>
      <c r="EZ641" s="1553"/>
      <c r="FA641" s="1553"/>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2</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2</v>
      </c>
      <c r="CT642" s="57" t="s">
        <v>2054</v>
      </c>
      <c r="CU642" s="3"/>
      <c r="CV642" s="3"/>
      <c r="CW642" s="3"/>
      <c r="CX642" s="3"/>
      <c r="CY642" s="3"/>
      <c r="CZ642" s="3"/>
      <c r="DA642" s="3"/>
      <c r="DB642" s="3"/>
      <c r="DC642" s="3"/>
      <c r="DD642" s="3"/>
      <c r="DE642" s="3"/>
      <c r="DF642" s="3"/>
      <c r="DX642" s="1553" t="e">
        <f t="shared" si="29"/>
        <v>#VALUE!</v>
      </c>
      <c r="DY642" s="1553"/>
      <c r="DZ642" s="1553"/>
      <c r="EA642" s="1553"/>
      <c r="EB642" s="1553"/>
      <c r="EC642" s="1553" t="e">
        <f t="shared" si="24"/>
        <v>#VALUE!</v>
      </c>
      <c r="ED642" s="1553"/>
      <c r="EE642" s="1553"/>
      <c r="EF642" s="1553"/>
      <c r="EG642" s="1553"/>
      <c r="EH642" s="1553" t="e">
        <f t="shared" si="25"/>
        <v>#VALUE!</v>
      </c>
      <c r="EI642" s="1553"/>
      <c r="EJ642" s="1553"/>
      <c r="EK642" s="1553"/>
      <c r="EL642" s="1553"/>
      <c r="EM642" s="1553" t="e">
        <f t="shared" si="26"/>
        <v>#VALUE!</v>
      </c>
      <c r="EN642" s="1553"/>
      <c r="EO642" s="1553"/>
      <c r="EP642" s="1553"/>
      <c r="EQ642" s="1553"/>
      <c r="ER642" s="1553" t="e">
        <f t="shared" si="27"/>
        <v>#VALUE!</v>
      </c>
      <c r="ES642" s="1553"/>
      <c r="ET642" s="1553"/>
      <c r="EU642" s="1553"/>
      <c r="EV642" s="1553"/>
      <c r="EW642" s="1553" t="e">
        <f t="shared" si="28"/>
        <v>#VALUE!</v>
      </c>
      <c r="EX642" s="1553"/>
      <c r="EY642" s="1553"/>
      <c r="EZ642" s="1553"/>
      <c r="FA642" s="1553"/>
    </row>
    <row r="643" spans="1:157" ht="12.95" customHeight="1">
      <c r="A643" s="55" t="s">
        <v>112</v>
      </c>
      <c r="B643" t="s">
        <v>472</v>
      </c>
      <c r="G643" s="1499" t="str">
        <f>C627</f>
        <v>Citibank</v>
      </c>
      <c r="H643" s="1499"/>
      <c r="I643" s="1499"/>
      <c r="J643" s="1499"/>
      <c r="K643" s="1499"/>
      <c r="L643" s="1499"/>
      <c r="M643" s="1499"/>
      <c r="N643" s="1499"/>
      <c r="O643" s="1499"/>
      <c r="P643" s="1499"/>
      <c r="Q643" s="1499"/>
      <c r="R643" s="1499"/>
      <c r="S643" s="8"/>
      <c r="T643" s="55" t="s">
        <v>113</v>
      </c>
      <c r="U643" t="s">
        <v>472</v>
      </c>
      <c r="Z643" s="1499" t="str">
        <f>C628</f>
        <v>City of Alhambra</v>
      </c>
      <c r="AA643" s="1499"/>
      <c r="AB643" s="1499"/>
      <c r="AC643" s="1499"/>
      <c r="AD643" s="1499"/>
      <c r="AE643" s="1499"/>
      <c r="AF643" s="1499"/>
      <c r="AG643" s="1499"/>
      <c r="AH643" s="1499"/>
      <c r="AI643" s="1499"/>
      <c r="AJ643" s="1499"/>
      <c r="AK643" s="1499"/>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553" t="e">
        <f t="shared" si="29"/>
        <v>#VALUE!</v>
      </c>
      <c r="DY643" s="1553"/>
      <c r="DZ643" s="1553"/>
      <c r="EA643" s="1553"/>
      <c r="EB643" s="1553"/>
      <c r="EC643" s="1553" t="e">
        <f t="shared" si="24"/>
        <v>#VALUE!</v>
      </c>
      <c r="ED643" s="1553"/>
      <c r="EE643" s="1553"/>
      <c r="EF643" s="1553"/>
      <c r="EG643" s="1553"/>
      <c r="EH643" s="1553" t="e">
        <f t="shared" si="25"/>
        <v>#VALUE!</v>
      </c>
      <c r="EI643" s="1553"/>
      <c r="EJ643" s="1553"/>
      <c r="EK643" s="1553"/>
      <c r="EL643" s="1553"/>
      <c r="EM643" s="1553" t="e">
        <f t="shared" si="26"/>
        <v>#VALUE!</v>
      </c>
      <c r="EN643" s="1553"/>
      <c r="EO643" s="1553"/>
      <c r="EP643" s="1553"/>
      <c r="EQ643" s="1553"/>
      <c r="ER643" s="1553" t="e">
        <f t="shared" si="27"/>
        <v>#VALUE!</v>
      </c>
      <c r="ES643" s="1553"/>
      <c r="ET643" s="1553"/>
      <c r="EU643" s="1553"/>
      <c r="EV643" s="1553"/>
      <c r="EW643" s="1553" t="e">
        <f t="shared" si="28"/>
        <v>#VALUE!</v>
      </c>
      <c r="EX643" s="1553"/>
      <c r="EY643" s="1553"/>
      <c r="EZ643" s="1553"/>
      <c r="FA643" s="1553"/>
    </row>
    <row r="644" spans="1:157" ht="12.95" customHeight="1">
      <c r="A644" s="22"/>
      <c r="B644" t="s">
        <v>85</v>
      </c>
      <c r="G644" s="1486" t="s">
        <v>2748</v>
      </c>
      <c r="H644" s="1486"/>
      <c r="I644" s="1486"/>
      <c r="J644" s="1486"/>
      <c r="K644" s="1486"/>
      <c r="L644" s="1486"/>
      <c r="M644" s="1486"/>
      <c r="N644" s="1486"/>
      <c r="O644" s="1486"/>
      <c r="P644" s="1486"/>
      <c r="Q644" s="1486"/>
      <c r="R644" s="1486"/>
      <c r="S644" s="8"/>
      <c r="T644" s="22"/>
      <c r="U644" t="s">
        <v>85</v>
      </c>
      <c r="Z644" s="1486" t="s">
        <v>2764</v>
      </c>
      <c r="AA644" s="1486"/>
      <c r="AB644" s="1486"/>
      <c r="AC644" s="1486"/>
      <c r="AD644" s="1486"/>
      <c r="AE644" s="1486"/>
      <c r="AF644" s="1486"/>
      <c r="AG644" s="1486"/>
      <c r="AH644" s="1486"/>
      <c r="AI644" s="1486"/>
      <c r="AJ644" s="1486"/>
      <c r="AK644" s="1486"/>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2059</v>
      </c>
      <c r="CT644" s="3"/>
      <c r="CU644" s="3"/>
      <c r="CV644" s="3"/>
      <c r="CW644" s="3"/>
      <c r="CX644" s="3"/>
      <c r="CY644" s="3"/>
      <c r="CZ644" s="3"/>
      <c r="DA644" s="3"/>
      <c r="DB644" s="3"/>
      <c r="DC644" s="3"/>
      <c r="DD644" s="3"/>
      <c r="DE644" s="3"/>
      <c r="DF644" s="3"/>
      <c r="DX644" s="1553" t="e">
        <f t="shared" si="29"/>
        <v>#VALUE!</v>
      </c>
      <c r="DY644" s="1553"/>
      <c r="DZ644" s="1553"/>
      <c r="EA644" s="1553"/>
      <c r="EB644" s="1553"/>
      <c r="EC644" s="1553" t="e">
        <f t="shared" si="24"/>
        <v>#VALUE!</v>
      </c>
      <c r="ED644" s="1553"/>
      <c r="EE644" s="1553"/>
      <c r="EF644" s="1553"/>
      <c r="EG644" s="1553"/>
      <c r="EH644" s="1553" t="e">
        <f t="shared" si="25"/>
        <v>#VALUE!</v>
      </c>
      <c r="EI644" s="1553"/>
      <c r="EJ644" s="1553"/>
      <c r="EK644" s="1553"/>
      <c r="EL644" s="1553"/>
      <c r="EM644" s="1553" t="e">
        <f t="shared" si="26"/>
        <v>#VALUE!</v>
      </c>
      <c r="EN644" s="1553"/>
      <c r="EO644" s="1553"/>
      <c r="EP644" s="1553"/>
      <c r="EQ644" s="1553"/>
      <c r="ER644" s="1553" t="e">
        <f t="shared" si="27"/>
        <v>#VALUE!</v>
      </c>
      <c r="ES644" s="1553"/>
      <c r="ET644" s="1553"/>
      <c r="EU644" s="1553"/>
      <c r="EV644" s="1553"/>
      <c r="EW644" s="1553" t="e">
        <f t="shared" si="28"/>
        <v>#VALUE!</v>
      </c>
      <c r="EX644" s="1553"/>
      <c r="EY644" s="1553"/>
      <c r="EZ644" s="1553"/>
      <c r="FA644" s="1553"/>
    </row>
    <row r="645" spans="1:157" ht="12.95" customHeight="1">
      <c r="A645" s="22"/>
      <c r="B645" t="s">
        <v>589</v>
      </c>
      <c r="G645" s="1486" t="s">
        <v>503</v>
      </c>
      <c r="H645" s="1486"/>
      <c r="I645" s="1486"/>
      <c r="J645" s="1486"/>
      <c r="K645" s="1486"/>
      <c r="L645" s="1486"/>
      <c r="M645" s="1486"/>
      <c r="N645" s="1486"/>
      <c r="O645" s="1486"/>
      <c r="P645" s="1486"/>
      <c r="Q645" s="1486"/>
      <c r="R645" s="1486"/>
      <c r="T645" s="22"/>
      <c r="U645" t="s">
        <v>589</v>
      </c>
      <c r="Z645" s="1514" t="s">
        <v>2644</v>
      </c>
      <c r="AA645" s="1514"/>
      <c r="AB645" s="1514"/>
      <c r="AC645" s="1514"/>
      <c r="AD645" s="1514"/>
      <c r="AE645" s="1514"/>
      <c r="AF645" s="1514"/>
      <c r="AG645" s="1514"/>
      <c r="AH645" s="1514"/>
      <c r="AI645" s="1514"/>
      <c r="AJ645" s="1514"/>
      <c r="AK645" s="1514"/>
      <c r="AV645" s="3"/>
      <c r="AW645" s="3"/>
      <c r="AX645" s="3"/>
      <c r="AY645" s="3"/>
      <c r="AZ645" s="3"/>
      <c r="BA645" s="3"/>
      <c r="BB645" s="3"/>
      <c r="BC645" s="3"/>
      <c r="BD645" s="3"/>
      <c r="BE645" s="3"/>
      <c r="BF645" s="3"/>
      <c r="BG645" s="3"/>
      <c r="BH645" s="3"/>
      <c r="BI645" s="3"/>
      <c r="BJ645" s="3"/>
      <c r="BK645" s="3"/>
      <c r="BL645" s="3"/>
      <c r="BM645" s="3"/>
      <c r="BN645" s="1558">
        <f t="shared" ref="BN645:BN654" si="30">IF(J787="SRO/Studio",O787,0)</f>
        <v>0</v>
      </c>
      <c r="BO645" s="1559"/>
      <c r="BP645" s="1559"/>
      <c r="BQ645" s="1559"/>
      <c r="BR645" s="1560"/>
      <c r="BS645" s="1564">
        <f t="shared" ref="BS645:BS654" si="31">IF(J787="1 Bedroom",O787,0)</f>
        <v>0</v>
      </c>
      <c r="BT645" s="1564"/>
      <c r="BU645" s="1564"/>
      <c r="BV645" s="1564"/>
      <c r="BW645" s="1564"/>
      <c r="BX645" s="1564">
        <f t="shared" ref="BX645:BX654" si="32">IF(J787="2 Bedrooms",O787,0)</f>
        <v>0</v>
      </c>
      <c r="BY645" s="1564"/>
      <c r="BZ645" s="1564"/>
      <c r="CA645" s="1564"/>
      <c r="CB645" s="1564"/>
      <c r="CC645" s="1564">
        <f t="shared" ref="CC645:CC654" si="33">IF(J787="3 Bedrooms",O787,0)</f>
        <v>0</v>
      </c>
      <c r="CD645" s="1564"/>
      <c r="CE645" s="1564"/>
      <c r="CF645" s="1564"/>
      <c r="CG645" s="1564"/>
      <c r="CH645" s="1564">
        <f t="shared" ref="CH645:CH654" si="34">IF(J787="4 Bedrooms",O787,0)</f>
        <v>0</v>
      </c>
      <c r="CI645" s="1564"/>
      <c r="CJ645" s="1564"/>
      <c r="CK645" s="1564"/>
      <c r="CL645" s="1564"/>
      <c r="CM645" s="1564">
        <f t="shared" ref="CM645:CM654" si="35">IF(J787="5 Bedrooms",O787,0)</f>
        <v>0</v>
      </c>
      <c r="CN645" s="1564"/>
      <c r="CO645" s="1564"/>
      <c r="CP645" s="1564"/>
      <c r="CQ645" s="1564"/>
      <c r="CR645" s="6"/>
      <c r="CS645" s="1558">
        <f t="shared" ref="CS645:CS654" si="36">IF(AND(BN645&gt;=1,AH787&gt;=0.1,AH787&lt;=1),O787,0)</f>
        <v>0</v>
      </c>
      <c r="CT645" s="1559"/>
      <c r="CU645" s="1559"/>
      <c r="CV645" s="1559"/>
      <c r="CW645" s="1560"/>
      <c r="CX645" s="1558">
        <f t="shared" ref="CX645:CX654" si="37">IF(AND(BS645&gt;=1,AH787&gt;=0.1,AH787&lt;=1),O787,0)</f>
        <v>0</v>
      </c>
      <c r="CY645" s="1559"/>
      <c r="CZ645" s="1559"/>
      <c r="DA645" s="1559"/>
      <c r="DB645" s="1560"/>
      <c r="DC645" s="1558">
        <f t="shared" ref="DC645:DC654" si="38">IF(AND(BX645&gt;=1,AH787&gt;=0.1,AH787&lt;=1),O787,0)</f>
        <v>0</v>
      </c>
      <c r="DD645" s="1559"/>
      <c r="DE645" s="1559"/>
      <c r="DF645" s="1559"/>
      <c r="DG645" s="1560"/>
      <c r="DH645" s="1558">
        <f t="shared" ref="DH645:DH654" si="39">IF(AND(CC645&gt;=1,AH787&gt;=0.1,AH787&lt;=1),O787,0)</f>
        <v>0</v>
      </c>
      <c r="DI645" s="1559"/>
      <c r="DJ645" s="1559"/>
      <c r="DK645" s="1559"/>
      <c r="DL645" s="1560"/>
      <c r="DM645" s="1558">
        <f t="shared" ref="DM645:DM654" si="40">IF(AND(CH645&gt;=1,AH787&gt;=0.1,AH787&lt;=1),O787,0)</f>
        <v>0</v>
      </c>
      <c r="DN645" s="1559"/>
      <c r="DO645" s="1559"/>
      <c r="DP645" s="1559"/>
      <c r="DQ645" s="1560"/>
      <c r="DR645" s="1558">
        <f t="shared" ref="DR645:DR654" si="41">IF(AND(CM645&gt;=1,AH787&gt;=0.1,AH787&lt;=1),O787,0)</f>
        <v>0</v>
      </c>
      <c r="DS645" s="1559"/>
      <c r="DT645" s="1559"/>
      <c r="DU645" s="1559"/>
      <c r="DV645" s="1560"/>
      <c r="DX645" s="1553" t="e">
        <f t="shared" si="29"/>
        <v>#VALUE!</v>
      </c>
      <c r="DY645" s="1553"/>
      <c r="DZ645" s="1553"/>
      <c r="EA645" s="1553"/>
      <c r="EB645" s="1553"/>
      <c r="EC645" s="1553" t="e">
        <f t="shared" si="24"/>
        <v>#VALUE!</v>
      </c>
      <c r="ED645" s="1553"/>
      <c r="EE645" s="1553"/>
      <c r="EF645" s="1553"/>
      <c r="EG645" s="1553"/>
      <c r="EH645" s="1553" t="e">
        <f t="shared" si="25"/>
        <v>#VALUE!</v>
      </c>
      <c r="EI645" s="1553"/>
      <c r="EJ645" s="1553"/>
      <c r="EK645" s="1553"/>
      <c r="EL645" s="1553"/>
      <c r="EM645" s="1553" t="e">
        <f t="shared" si="26"/>
        <v>#VALUE!</v>
      </c>
      <c r="EN645" s="1553"/>
      <c r="EO645" s="1553"/>
      <c r="EP645" s="1553"/>
      <c r="EQ645" s="1553"/>
      <c r="ER645" s="1553" t="e">
        <f t="shared" si="27"/>
        <v>#VALUE!</v>
      </c>
      <c r="ES645" s="1553"/>
      <c r="ET645" s="1553"/>
      <c r="EU645" s="1553"/>
      <c r="EV645" s="1553"/>
      <c r="EW645" s="1553" t="e">
        <f t="shared" si="28"/>
        <v>#VALUE!</v>
      </c>
      <c r="EX645" s="1553"/>
      <c r="EY645" s="1553"/>
      <c r="EZ645" s="1553"/>
      <c r="FA645" s="1553"/>
    </row>
    <row r="646" spans="1:157" ht="12.95" customHeight="1">
      <c r="A646" s="22"/>
      <c r="B646" t="s">
        <v>17</v>
      </c>
      <c r="G646" s="1486" t="s">
        <v>2749</v>
      </c>
      <c r="H646" s="1486"/>
      <c r="I646" s="1486"/>
      <c r="J646" s="1486"/>
      <c r="K646" s="1486"/>
      <c r="L646" s="1486"/>
      <c r="M646" s="1486"/>
      <c r="N646" s="1486"/>
      <c r="O646" s="1486"/>
      <c r="P646" s="1486"/>
      <c r="Q646" s="1486"/>
      <c r="R646" s="1486"/>
      <c r="S646" s="8"/>
      <c r="T646" s="22"/>
      <c r="U646" t="s">
        <v>17</v>
      </c>
      <c r="Z646" s="1514" t="s">
        <v>2752</v>
      </c>
      <c r="AA646" s="1514"/>
      <c r="AB646" s="1514"/>
      <c r="AC646" s="1514"/>
      <c r="AD646" s="1514"/>
      <c r="AE646" s="1514"/>
      <c r="AF646" s="1514"/>
      <c r="AG646" s="1514"/>
      <c r="AH646" s="1514"/>
      <c r="AI646" s="1514"/>
      <c r="AJ646" s="1514"/>
      <c r="AK646" s="1514"/>
      <c r="AZ646" s="3"/>
      <c r="BA646" s="3"/>
      <c r="BB646" s="3"/>
      <c r="BC646" s="3"/>
      <c r="BD646" s="3"/>
      <c r="BE646" s="3"/>
      <c r="BF646" s="3"/>
      <c r="BG646" s="3"/>
      <c r="BH646" s="3"/>
      <c r="BI646" s="3"/>
      <c r="BJ646" s="3"/>
      <c r="BK646" s="3"/>
      <c r="BL646" s="3"/>
      <c r="BM646" s="3"/>
      <c r="BN646" s="1558">
        <f t="shared" si="30"/>
        <v>0</v>
      </c>
      <c r="BO646" s="1559"/>
      <c r="BP646" s="1559"/>
      <c r="BQ646" s="1559"/>
      <c r="BR646" s="1560"/>
      <c r="BS646" s="1564">
        <f t="shared" si="31"/>
        <v>0</v>
      </c>
      <c r="BT646" s="1564"/>
      <c r="BU646" s="1564"/>
      <c r="BV646" s="1564"/>
      <c r="BW646" s="1564"/>
      <c r="BX646" s="1564">
        <f t="shared" si="32"/>
        <v>0</v>
      </c>
      <c r="BY646" s="1564"/>
      <c r="BZ646" s="1564"/>
      <c r="CA646" s="1564"/>
      <c r="CB646" s="1564"/>
      <c r="CC646" s="1564">
        <f t="shared" si="33"/>
        <v>0</v>
      </c>
      <c r="CD646" s="1564"/>
      <c r="CE646" s="1564"/>
      <c r="CF646" s="1564"/>
      <c r="CG646" s="1564"/>
      <c r="CH646" s="1564">
        <f t="shared" si="34"/>
        <v>0</v>
      </c>
      <c r="CI646" s="1564"/>
      <c r="CJ646" s="1564"/>
      <c r="CK646" s="1564"/>
      <c r="CL646" s="1564"/>
      <c r="CM646" s="1564">
        <f t="shared" si="35"/>
        <v>0</v>
      </c>
      <c r="CN646" s="1564"/>
      <c r="CO646" s="1564"/>
      <c r="CP646" s="1564"/>
      <c r="CQ646" s="1564"/>
      <c r="CR646" s="6"/>
      <c r="CS646" s="1558">
        <f t="shared" si="36"/>
        <v>0</v>
      </c>
      <c r="CT646" s="1559"/>
      <c r="CU646" s="1559"/>
      <c r="CV646" s="1559"/>
      <c r="CW646" s="1560"/>
      <c r="CX646" s="1558">
        <f t="shared" si="37"/>
        <v>0</v>
      </c>
      <c r="CY646" s="1559"/>
      <c r="CZ646" s="1559"/>
      <c r="DA646" s="1559"/>
      <c r="DB646" s="1560"/>
      <c r="DC646" s="1558">
        <f t="shared" si="38"/>
        <v>0</v>
      </c>
      <c r="DD646" s="1559"/>
      <c r="DE646" s="1559"/>
      <c r="DF646" s="1559"/>
      <c r="DG646" s="1560"/>
      <c r="DH646" s="1558">
        <f t="shared" si="39"/>
        <v>0</v>
      </c>
      <c r="DI646" s="1559"/>
      <c r="DJ646" s="1559"/>
      <c r="DK646" s="1559"/>
      <c r="DL646" s="1560"/>
      <c r="DM646" s="1558">
        <f t="shared" si="40"/>
        <v>0</v>
      </c>
      <c r="DN646" s="1559"/>
      <c r="DO646" s="1559"/>
      <c r="DP646" s="1559"/>
      <c r="DQ646" s="1560"/>
      <c r="DR646" s="1558">
        <f t="shared" si="41"/>
        <v>0</v>
      </c>
      <c r="DS646" s="1559"/>
      <c r="DT646" s="1559"/>
      <c r="DU646" s="1559"/>
      <c r="DV646" s="1560"/>
      <c r="DX646" s="1553" t="e">
        <f t="shared" si="29"/>
        <v>#VALUE!</v>
      </c>
      <c r="DY646" s="1553"/>
      <c r="DZ646" s="1553"/>
      <c r="EA646" s="1553"/>
      <c r="EB646" s="1553"/>
      <c r="EC646" s="1553" t="e">
        <f t="shared" si="24"/>
        <v>#VALUE!</v>
      </c>
      <c r="ED646" s="1553"/>
      <c r="EE646" s="1553"/>
      <c r="EF646" s="1553"/>
      <c r="EG646" s="1553"/>
      <c r="EH646" s="1553" t="e">
        <f t="shared" si="25"/>
        <v>#VALUE!</v>
      </c>
      <c r="EI646" s="1553"/>
      <c r="EJ646" s="1553"/>
      <c r="EK646" s="1553"/>
      <c r="EL646" s="1553"/>
      <c r="EM646" s="1553" t="e">
        <f t="shared" si="26"/>
        <v>#VALUE!</v>
      </c>
      <c r="EN646" s="1553"/>
      <c r="EO646" s="1553"/>
      <c r="EP646" s="1553"/>
      <c r="EQ646" s="1553"/>
      <c r="ER646" s="1553" t="e">
        <f t="shared" si="27"/>
        <v>#VALUE!</v>
      </c>
      <c r="ES646" s="1553"/>
      <c r="ET646" s="1553"/>
      <c r="EU646" s="1553"/>
      <c r="EV646" s="1553"/>
      <c r="EW646" s="1553" t="e">
        <f t="shared" si="28"/>
        <v>#VALUE!</v>
      </c>
      <c r="EX646" s="1553"/>
      <c r="EY646" s="1553"/>
      <c r="EZ646" s="1553"/>
      <c r="FA646" s="1553"/>
    </row>
    <row r="647" spans="1:157" ht="12.95" customHeight="1">
      <c r="A647" s="22"/>
      <c r="B647" t="s">
        <v>317</v>
      </c>
      <c r="G647" s="1516" t="s">
        <v>2750</v>
      </c>
      <c r="H647" s="1516"/>
      <c r="I647" s="1516"/>
      <c r="J647" s="1516"/>
      <c r="K647" s="1516"/>
      <c r="L647" s="1516"/>
      <c r="O647" s="33" t="s">
        <v>207</v>
      </c>
      <c r="P647" s="1517"/>
      <c r="Q647" s="1517"/>
      <c r="R647" s="1517"/>
      <c r="S647" s="10"/>
      <c r="T647" s="22"/>
      <c r="U647" t="s">
        <v>317</v>
      </c>
      <c r="Z647" s="1498" t="s">
        <v>2753</v>
      </c>
      <c r="AA647" s="1498"/>
      <c r="AB647" s="1498"/>
      <c r="AC647" s="1498"/>
      <c r="AD647" s="1498"/>
      <c r="AE647" s="1498"/>
      <c r="AH647" s="33" t="s">
        <v>207</v>
      </c>
      <c r="AI647" s="1517"/>
      <c r="AJ647" s="1517"/>
      <c r="AK647" s="1517"/>
      <c r="AZ647" s="34"/>
      <c r="BA647" s="34"/>
      <c r="BB647" s="34"/>
      <c r="BC647" s="34"/>
      <c r="BD647" s="34"/>
      <c r="BE647" s="34"/>
      <c r="BF647" s="34"/>
      <c r="BG647" s="34"/>
      <c r="BH647" s="34"/>
      <c r="BI647" s="34"/>
      <c r="BJ647" s="34"/>
      <c r="BK647" s="34"/>
      <c r="BL647" s="34"/>
      <c r="BM647" s="34"/>
      <c r="BN647" s="1558">
        <f t="shared" si="30"/>
        <v>0</v>
      </c>
      <c r="BO647" s="1559"/>
      <c r="BP647" s="1559"/>
      <c r="BQ647" s="1559"/>
      <c r="BR647" s="1560"/>
      <c r="BS647" s="1564">
        <f t="shared" si="31"/>
        <v>0</v>
      </c>
      <c r="BT647" s="1564"/>
      <c r="BU647" s="1564"/>
      <c r="BV647" s="1564"/>
      <c r="BW647" s="1564"/>
      <c r="BX647" s="1564">
        <f t="shared" si="32"/>
        <v>0</v>
      </c>
      <c r="BY647" s="1564"/>
      <c r="BZ647" s="1564"/>
      <c r="CA647" s="1564"/>
      <c r="CB647" s="1564"/>
      <c r="CC647" s="1564">
        <f t="shared" si="33"/>
        <v>0</v>
      </c>
      <c r="CD647" s="1564"/>
      <c r="CE647" s="1564"/>
      <c r="CF647" s="1564"/>
      <c r="CG647" s="1564"/>
      <c r="CH647" s="1564">
        <f t="shared" si="34"/>
        <v>0</v>
      </c>
      <c r="CI647" s="1564"/>
      <c r="CJ647" s="1564"/>
      <c r="CK647" s="1564"/>
      <c r="CL647" s="1564"/>
      <c r="CM647" s="1564">
        <f t="shared" si="35"/>
        <v>0</v>
      </c>
      <c r="CN647" s="1564"/>
      <c r="CO647" s="1564"/>
      <c r="CP647" s="1564"/>
      <c r="CQ647" s="1564"/>
      <c r="CR647" s="6"/>
      <c r="CS647" s="1558">
        <f t="shared" si="36"/>
        <v>0</v>
      </c>
      <c r="CT647" s="1559"/>
      <c r="CU647" s="1559"/>
      <c r="CV647" s="1559"/>
      <c r="CW647" s="1560"/>
      <c r="CX647" s="1558">
        <f t="shared" si="37"/>
        <v>0</v>
      </c>
      <c r="CY647" s="1559"/>
      <c r="CZ647" s="1559"/>
      <c r="DA647" s="1559"/>
      <c r="DB647" s="1560"/>
      <c r="DC647" s="1558">
        <f t="shared" si="38"/>
        <v>0</v>
      </c>
      <c r="DD647" s="1559"/>
      <c r="DE647" s="1559"/>
      <c r="DF647" s="1559"/>
      <c r="DG647" s="1560"/>
      <c r="DH647" s="1558">
        <f t="shared" si="39"/>
        <v>0</v>
      </c>
      <c r="DI647" s="1559"/>
      <c r="DJ647" s="1559"/>
      <c r="DK647" s="1559"/>
      <c r="DL647" s="1560"/>
      <c r="DM647" s="1558">
        <f t="shared" si="40"/>
        <v>0</v>
      </c>
      <c r="DN647" s="1559"/>
      <c r="DO647" s="1559"/>
      <c r="DP647" s="1559"/>
      <c r="DQ647" s="1560"/>
      <c r="DR647" s="1558">
        <f t="shared" si="41"/>
        <v>0</v>
      </c>
      <c r="DS647" s="1559"/>
      <c r="DT647" s="1559"/>
      <c r="DU647" s="1559"/>
      <c r="DV647" s="1560"/>
      <c r="DX647" s="1553" t="e">
        <f t="shared" si="29"/>
        <v>#VALUE!</v>
      </c>
      <c r="DY647" s="1553"/>
      <c r="DZ647" s="1553"/>
      <c r="EA647" s="1553"/>
      <c r="EB647" s="1553"/>
      <c r="EC647" s="1553" t="e">
        <f t="shared" si="24"/>
        <v>#VALUE!</v>
      </c>
      <c r="ED647" s="1553"/>
      <c r="EE647" s="1553"/>
      <c r="EF647" s="1553"/>
      <c r="EG647" s="1553"/>
      <c r="EH647" s="1553" t="e">
        <f t="shared" si="25"/>
        <v>#VALUE!</v>
      </c>
      <c r="EI647" s="1553"/>
      <c r="EJ647" s="1553"/>
      <c r="EK647" s="1553"/>
      <c r="EL647" s="1553"/>
      <c r="EM647" s="1553" t="e">
        <f t="shared" si="26"/>
        <v>#VALUE!</v>
      </c>
      <c r="EN647" s="1553"/>
      <c r="EO647" s="1553"/>
      <c r="EP647" s="1553"/>
      <c r="EQ647" s="1553"/>
      <c r="ER647" s="1553" t="e">
        <f t="shared" si="27"/>
        <v>#VALUE!</v>
      </c>
      <c r="ES647" s="1553"/>
      <c r="ET647" s="1553"/>
      <c r="EU647" s="1553"/>
      <c r="EV647" s="1553"/>
      <c r="EW647" s="1553" t="e">
        <f t="shared" si="28"/>
        <v>#VALUE!</v>
      </c>
      <c r="EX647" s="1553"/>
      <c r="EY647" s="1553"/>
      <c r="EZ647" s="1553"/>
      <c r="FA647" s="1553"/>
    </row>
    <row r="648" spans="1:157" ht="12.95" customHeight="1">
      <c r="A648" s="22"/>
      <c r="B648" t="s">
        <v>18</v>
      </c>
      <c r="H648" s="1486" t="s">
        <v>2762</v>
      </c>
      <c r="I648" s="1486"/>
      <c r="J648" s="1486"/>
      <c r="K648" s="1486"/>
      <c r="L648" s="1486"/>
      <c r="M648" s="1486"/>
      <c r="N648" s="1486"/>
      <c r="O648" s="1486"/>
      <c r="P648" s="1486"/>
      <c r="Q648" s="1486"/>
      <c r="R648" s="1486"/>
      <c r="S648" s="8"/>
      <c r="T648" s="22"/>
      <c r="U648" t="s">
        <v>18</v>
      </c>
      <c r="AA648" s="1486" t="s">
        <v>2787</v>
      </c>
      <c r="AB648" s="1486"/>
      <c r="AC648" s="1486"/>
      <c r="AD648" s="1486"/>
      <c r="AE648" s="1486"/>
      <c r="AF648" s="1486"/>
      <c r="AG648" s="1486"/>
      <c r="AH648" s="1486"/>
      <c r="AI648" s="1486"/>
      <c r="AJ648" s="1486"/>
      <c r="AK648" s="1486"/>
      <c r="AZ648" s="34"/>
      <c r="BA648" s="34"/>
      <c r="BB648" s="34"/>
      <c r="BC648" s="34"/>
      <c r="BD648" s="34"/>
      <c r="BE648" s="34"/>
      <c r="BF648" s="34"/>
      <c r="BG648" s="34"/>
      <c r="BH648" s="34"/>
      <c r="BI648" s="34"/>
      <c r="BJ648" s="34"/>
      <c r="BK648" s="34"/>
      <c r="BL648" s="34"/>
      <c r="BM648" s="34"/>
      <c r="BN648" s="1558">
        <f t="shared" si="30"/>
        <v>0</v>
      </c>
      <c r="BO648" s="1559"/>
      <c r="BP648" s="1559"/>
      <c r="BQ648" s="1559"/>
      <c r="BR648" s="1560"/>
      <c r="BS648" s="1564">
        <f t="shared" si="31"/>
        <v>0</v>
      </c>
      <c r="BT648" s="1564"/>
      <c r="BU648" s="1564"/>
      <c r="BV648" s="1564"/>
      <c r="BW648" s="1564"/>
      <c r="BX648" s="1564">
        <f t="shared" si="32"/>
        <v>0</v>
      </c>
      <c r="BY648" s="1564"/>
      <c r="BZ648" s="1564"/>
      <c r="CA648" s="1564"/>
      <c r="CB648" s="1564"/>
      <c r="CC648" s="1564">
        <f t="shared" si="33"/>
        <v>0</v>
      </c>
      <c r="CD648" s="1564"/>
      <c r="CE648" s="1564"/>
      <c r="CF648" s="1564"/>
      <c r="CG648" s="1564"/>
      <c r="CH648" s="1564">
        <f t="shared" si="34"/>
        <v>0</v>
      </c>
      <c r="CI648" s="1564"/>
      <c r="CJ648" s="1564"/>
      <c r="CK648" s="1564"/>
      <c r="CL648" s="1564"/>
      <c r="CM648" s="1564">
        <f t="shared" si="35"/>
        <v>0</v>
      </c>
      <c r="CN648" s="1564"/>
      <c r="CO648" s="1564"/>
      <c r="CP648" s="1564"/>
      <c r="CQ648" s="1564"/>
      <c r="CR648" s="6"/>
      <c r="CS648" s="1558">
        <f t="shared" si="36"/>
        <v>0</v>
      </c>
      <c r="CT648" s="1559"/>
      <c r="CU648" s="1559"/>
      <c r="CV648" s="1559"/>
      <c r="CW648" s="1560"/>
      <c r="CX648" s="1558">
        <f t="shared" si="37"/>
        <v>0</v>
      </c>
      <c r="CY648" s="1559"/>
      <c r="CZ648" s="1559"/>
      <c r="DA648" s="1559"/>
      <c r="DB648" s="1560"/>
      <c r="DC648" s="1558">
        <f t="shared" si="38"/>
        <v>0</v>
      </c>
      <c r="DD648" s="1559"/>
      <c r="DE648" s="1559"/>
      <c r="DF648" s="1559"/>
      <c r="DG648" s="1560"/>
      <c r="DH648" s="1558">
        <f t="shared" si="39"/>
        <v>0</v>
      </c>
      <c r="DI648" s="1559"/>
      <c r="DJ648" s="1559"/>
      <c r="DK648" s="1559"/>
      <c r="DL648" s="1560"/>
      <c r="DM648" s="1558">
        <f t="shared" si="40"/>
        <v>0</v>
      </c>
      <c r="DN648" s="1559"/>
      <c r="DO648" s="1559"/>
      <c r="DP648" s="1559"/>
      <c r="DQ648" s="1560"/>
      <c r="DR648" s="1558">
        <f t="shared" si="41"/>
        <v>0</v>
      </c>
      <c r="DS648" s="1559"/>
      <c r="DT648" s="1559"/>
      <c r="DU648" s="1559"/>
      <c r="DV648" s="1560"/>
      <c r="DX648" s="1553" t="e">
        <f t="shared" si="29"/>
        <v>#VALUE!</v>
      </c>
      <c r="DY648" s="1553"/>
      <c r="DZ648" s="1553"/>
      <c r="EA648" s="1553"/>
      <c r="EB648" s="1553"/>
      <c r="EC648" s="1553" t="e">
        <f t="shared" si="24"/>
        <v>#VALUE!</v>
      </c>
      <c r="ED648" s="1553"/>
      <c r="EE648" s="1553"/>
      <c r="EF648" s="1553"/>
      <c r="EG648" s="1553"/>
      <c r="EH648" s="1553" t="e">
        <f t="shared" si="25"/>
        <v>#VALUE!</v>
      </c>
      <c r="EI648" s="1553"/>
      <c r="EJ648" s="1553"/>
      <c r="EK648" s="1553"/>
      <c r="EL648" s="1553"/>
      <c r="EM648" s="1553" t="e">
        <f t="shared" si="26"/>
        <v>#VALUE!</v>
      </c>
      <c r="EN648" s="1553"/>
      <c r="EO648" s="1553"/>
      <c r="EP648" s="1553"/>
      <c r="EQ648" s="1553"/>
      <c r="ER648" s="1553" t="e">
        <f t="shared" si="27"/>
        <v>#VALUE!</v>
      </c>
      <c r="ES648" s="1553"/>
      <c r="ET648" s="1553"/>
      <c r="EU648" s="1553"/>
      <c r="EV648" s="1553"/>
      <c r="EW648" s="1553" t="e">
        <f t="shared" si="28"/>
        <v>#VALUE!</v>
      </c>
      <c r="EX648" s="1553"/>
      <c r="EY648" s="1553"/>
      <c r="EZ648" s="1553"/>
      <c r="FA648" s="1553"/>
    </row>
    <row r="649" spans="1:157" ht="12.95" customHeight="1">
      <c r="A649" s="22"/>
      <c r="B649" t="s">
        <v>20</v>
      </c>
      <c r="N649" s="1484" t="s">
        <v>554</v>
      </c>
      <c r="O649" s="1484"/>
      <c r="T649" s="22"/>
      <c r="U649" t="s">
        <v>20</v>
      </c>
      <c r="AG649" s="1484" t="s">
        <v>554</v>
      </c>
      <c r="AH649" s="1484"/>
      <c r="AZ649" s="34"/>
      <c r="BA649" s="34"/>
      <c r="BB649" s="34"/>
      <c r="BC649" s="34"/>
      <c r="BD649" s="34"/>
      <c r="BE649" s="34"/>
      <c r="BF649" s="34"/>
      <c r="BG649" s="34"/>
      <c r="BH649" s="34"/>
      <c r="BI649" s="34"/>
      <c r="BJ649" s="34"/>
      <c r="BK649" s="34"/>
      <c r="BL649" s="34"/>
      <c r="BM649" s="34"/>
      <c r="BN649" s="1558">
        <f t="shared" si="30"/>
        <v>0</v>
      </c>
      <c r="BO649" s="1559"/>
      <c r="BP649" s="1559"/>
      <c r="BQ649" s="1559"/>
      <c r="BR649" s="1560"/>
      <c r="BS649" s="1564">
        <f t="shared" si="31"/>
        <v>0</v>
      </c>
      <c r="BT649" s="1564"/>
      <c r="BU649" s="1564"/>
      <c r="BV649" s="1564"/>
      <c r="BW649" s="1564"/>
      <c r="BX649" s="1564">
        <f t="shared" si="32"/>
        <v>0</v>
      </c>
      <c r="BY649" s="1564"/>
      <c r="BZ649" s="1564"/>
      <c r="CA649" s="1564"/>
      <c r="CB649" s="1564"/>
      <c r="CC649" s="1564">
        <f t="shared" si="33"/>
        <v>0</v>
      </c>
      <c r="CD649" s="1564"/>
      <c r="CE649" s="1564"/>
      <c r="CF649" s="1564"/>
      <c r="CG649" s="1564"/>
      <c r="CH649" s="1564">
        <f t="shared" si="34"/>
        <v>0</v>
      </c>
      <c r="CI649" s="1564"/>
      <c r="CJ649" s="1564"/>
      <c r="CK649" s="1564"/>
      <c r="CL649" s="1564"/>
      <c r="CM649" s="1564">
        <f t="shared" si="35"/>
        <v>0</v>
      </c>
      <c r="CN649" s="1564"/>
      <c r="CO649" s="1564"/>
      <c r="CP649" s="1564"/>
      <c r="CQ649" s="1564"/>
      <c r="CR649" s="6"/>
      <c r="CS649" s="1558">
        <f t="shared" si="36"/>
        <v>0</v>
      </c>
      <c r="CT649" s="1559"/>
      <c r="CU649" s="1559"/>
      <c r="CV649" s="1559"/>
      <c r="CW649" s="1560"/>
      <c r="CX649" s="1558">
        <f t="shared" si="37"/>
        <v>0</v>
      </c>
      <c r="CY649" s="1559"/>
      <c r="CZ649" s="1559"/>
      <c r="DA649" s="1559"/>
      <c r="DB649" s="1560"/>
      <c r="DC649" s="1558">
        <f t="shared" si="38"/>
        <v>0</v>
      </c>
      <c r="DD649" s="1559"/>
      <c r="DE649" s="1559"/>
      <c r="DF649" s="1559"/>
      <c r="DG649" s="1560"/>
      <c r="DH649" s="1558">
        <f t="shared" si="39"/>
        <v>0</v>
      </c>
      <c r="DI649" s="1559"/>
      <c r="DJ649" s="1559"/>
      <c r="DK649" s="1559"/>
      <c r="DL649" s="1560"/>
      <c r="DM649" s="1558">
        <f t="shared" si="40"/>
        <v>0</v>
      </c>
      <c r="DN649" s="1559"/>
      <c r="DO649" s="1559"/>
      <c r="DP649" s="1559"/>
      <c r="DQ649" s="1560"/>
      <c r="DR649" s="1558">
        <f t="shared" si="41"/>
        <v>0</v>
      </c>
      <c r="DS649" s="1559"/>
      <c r="DT649" s="1559"/>
      <c r="DU649" s="1559"/>
      <c r="DV649" s="1560"/>
      <c r="DX649" s="1553" t="e">
        <f t="shared" si="29"/>
        <v>#VALUE!</v>
      </c>
      <c r="DY649" s="1553"/>
      <c r="DZ649" s="1553"/>
      <c r="EA649" s="1553"/>
      <c r="EB649" s="1553"/>
      <c r="EC649" s="1553" t="e">
        <f t="shared" si="24"/>
        <v>#VALUE!</v>
      </c>
      <c r="ED649" s="1553"/>
      <c r="EE649" s="1553"/>
      <c r="EF649" s="1553"/>
      <c r="EG649" s="1553"/>
      <c r="EH649" s="1553" t="e">
        <f t="shared" si="25"/>
        <v>#VALUE!</v>
      </c>
      <c r="EI649" s="1553"/>
      <c r="EJ649" s="1553"/>
      <c r="EK649" s="1553"/>
      <c r="EL649" s="1553"/>
      <c r="EM649" s="1553" t="e">
        <f t="shared" si="26"/>
        <v>#VALUE!</v>
      </c>
      <c r="EN649" s="1553"/>
      <c r="EO649" s="1553"/>
      <c r="EP649" s="1553"/>
      <c r="EQ649" s="1553"/>
      <c r="ER649" s="1553" t="e">
        <f t="shared" si="27"/>
        <v>#VALUE!</v>
      </c>
      <c r="ES649" s="1553"/>
      <c r="ET649" s="1553"/>
      <c r="EU649" s="1553"/>
      <c r="EV649" s="1553"/>
      <c r="EW649" s="1553" t="e">
        <f t="shared" si="28"/>
        <v>#VALUE!</v>
      </c>
      <c r="EX649" s="1553"/>
      <c r="EY649" s="1553"/>
      <c r="EZ649" s="1553"/>
      <c r="FA649" s="1553"/>
    </row>
    <row r="650" spans="1:157" ht="12.95" customHeight="1">
      <c r="A650" s="22"/>
      <c r="T650" s="22"/>
      <c r="AZ650" s="34"/>
      <c r="BA650" s="34"/>
      <c r="BB650" s="34"/>
      <c r="BC650" s="34"/>
      <c r="BD650" s="34"/>
      <c r="BE650" s="34"/>
      <c r="BF650" s="34"/>
      <c r="BG650" s="34"/>
      <c r="BH650" s="34"/>
      <c r="BI650" s="34"/>
      <c r="BJ650" s="34"/>
      <c r="BK650" s="34"/>
      <c r="BL650" s="34"/>
      <c r="BM650" s="34"/>
      <c r="BN650" s="1558">
        <f t="shared" si="30"/>
        <v>0</v>
      </c>
      <c r="BO650" s="1559"/>
      <c r="BP650" s="1559"/>
      <c r="BQ650" s="1559"/>
      <c r="BR650" s="1560"/>
      <c r="BS650" s="1564">
        <f t="shared" si="31"/>
        <v>0</v>
      </c>
      <c r="BT650" s="1564"/>
      <c r="BU650" s="1564"/>
      <c r="BV650" s="1564"/>
      <c r="BW650" s="1564"/>
      <c r="BX650" s="1564">
        <f t="shared" si="32"/>
        <v>0</v>
      </c>
      <c r="BY650" s="1564"/>
      <c r="BZ650" s="1564"/>
      <c r="CA650" s="1564"/>
      <c r="CB650" s="1564"/>
      <c r="CC650" s="1564">
        <f t="shared" si="33"/>
        <v>0</v>
      </c>
      <c r="CD650" s="1564"/>
      <c r="CE650" s="1564"/>
      <c r="CF650" s="1564"/>
      <c r="CG650" s="1564"/>
      <c r="CH650" s="1564">
        <f t="shared" si="34"/>
        <v>0</v>
      </c>
      <c r="CI650" s="1564"/>
      <c r="CJ650" s="1564"/>
      <c r="CK650" s="1564"/>
      <c r="CL650" s="1564"/>
      <c r="CM650" s="1564">
        <f t="shared" si="35"/>
        <v>0</v>
      </c>
      <c r="CN650" s="1564"/>
      <c r="CO650" s="1564"/>
      <c r="CP650" s="1564"/>
      <c r="CQ650" s="1564"/>
      <c r="CR650" s="6"/>
      <c r="CS650" s="1558">
        <f t="shared" si="36"/>
        <v>0</v>
      </c>
      <c r="CT650" s="1559"/>
      <c r="CU650" s="1559"/>
      <c r="CV650" s="1559"/>
      <c r="CW650" s="1560"/>
      <c r="CX650" s="1558">
        <f t="shared" si="37"/>
        <v>0</v>
      </c>
      <c r="CY650" s="1559"/>
      <c r="CZ650" s="1559"/>
      <c r="DA650" s="1559"/>
      <c r="DB650" s="1560"/>
      <c r="DC650" s="1558">
        <f t="shared" si="38"/>
        <v>0</v>
      </c>
      <c r="DD650" s="1559"/>
      <c r="DE650" s="1559"/>
      <c r="DF650" s="1559"/>
      <c r="DG650" s="1560"/>
      <c r="DH650" s="1558">
        <f t="shared" si="39"/>
        <v>0</v>
      </c>
      <c r="DI650" s="1559"/>
      <c r="DJ650" s="1559"/>
      <c r="DK650" s="1559"/>
      <c r="DL650" s="1560"/>
      <c r="DM650" s="1558">
        <f t="shared" si="40"/>
        <v>0</v>
      </c>
      <c r="DN650" s="1559"/>
      <c r="DO650" s="1559"/>
      <c r="DP650" s="1559"/>
      <c r="DQ650" s="1560"/>
      <c r="DR650" s="1558">
        <f t="shared" si="41"/>
        <v>0</v>
      </c>
      <c r="DS650" s="1559"/>
      <c r="DT650" s="1559"/>
      <c r="DU650" s="1559"/>
      <c r="DV650" s="1560"/>
      <c r="DX650" s="1553" t="e">
        <f t="shared" si="29"/>
        <v>#VALUE!</v>
      </c>
      <c r="DY650" s="1553"/>
      <c r="DZ650" s="1553"/>
      <c r="EA650" s="1553"/>
      <c r="EB650" s="1553"/>
      <c r="EC650" s="1553" t="e">
        <f t="shared" si="24"/>
        <v>#VALUE!</v>
      </c>
      <c r="ED650" s="1553"/>
      <c r="EE650" s="1553"/>
      <c r="EF650" s="1553"/>
      <c r="EG650" s="1553"/>
      <c r="EH650" s="1553" t="e">
        <f t="shared" si="25"/>
        <v>#VALUE!</v>
      </c>
      <c r="EI650" s="1553"/>
      <c r="EJ650" s="1553"/>
      <c r="EK650" s="1553"/>
      <c r="EL650" s="1553"/>
      <c r="EM650" s="1553" t="e">
        <f t="shared" si="26"/>
        <v>#VALUE!</v>
      </c>
      <c r="EN650" s="1553"/>
      <c r="EO650" s="1553"/>
      <c r="EP650" s="1553"/>
      <c r="EQ650" s="1553"/>
      <c r="ER650" s="1553" t="e">
        <f t="shared" si="27"/>
        <v>#VALUE!</v>
      </c>
      <c r="ES650" s="1553"/>
      <c r="ET650" s="1553"/>
      <c r="EU650" s="1553"/>
      <c r="EV650" s="1553"/>
      <c r="EW650" s="1553" t="e">
        <f t="shared" si="28"/>
        <v>#VALUE!</v>
      </c>
      <c r="EX650" s="1553"/>
      <c r="EY650" s="1553"/>
      <c r="EZ650" s="1553"/>
      <c r="FA650" s="1553"/>
    </row>
    <row r="651" spans="1:157" ht="12.95" customHeight="1">
      <c r="A651" s="55" t="s">
        <v>119</v>
      </c>
      <c r="B651" t="s">
        <v>472</v>
      </c>
      <c r="G651" s="1499" t="str">
        <f>C629</f>
        <v>LACDA AHTF</v>
      </c>
      <c r="H651" s="1499"/>
      <c r="I651" s="1499"/>
      <c r="J651" s="1499"/>
      <c r="K651" s="1499"/>
      <c r="L651" s="1499"/>
      <c r="M651" s="1499"/>
      <c r="N651" s="1499"/>
      <c r="O651" s="1499"/>
      <c r="P651" s="1499"/>
      <c r="Q651" s="1499"/>
      <c r="R651" s="1499"/>
      <c r="T651" s="55" t="s">
        <v>590</v>
      </c>
      <c r="U651" t="s">
        <v>472</v>
      </c>
      <c r="Z651" s="1499" t="str">
        <f>C630</f>
        <v>SGVRHT AHTF</v>
      </c>
      <c r="AA651" s="1499"/>
      <c r="AB651" s="1499"/>
      <c r="AC651" s="1499"/>
      <c r="AD651" s="1499"/>
      <c r="AE651" s="1499"/>
      <c r="AF651" s="1499"/>
      <c r="AG651" s="1499"/>
      <c r="AH651" s="1499"/>
      <c r="AI651" s="1499"/>
      <c r="AJ651" s="1499"/>
      <c r="AK651" s="1499"/>
      <c r="AZ651" s="34"/>
      <c r="BA651" s="34"/>
      <c r="BB651" s="34"/>
      <c r="BC651" s="34"/>
      <c r="BD651" s="34"/>
      <c r="BE651" s="34"/>
      <c r="BF651" s="34"/>
      <c r="BG651" s="34"/>
      <c r="BH651" s="34"/>
      <c r="BI651" s="34"/>
      <c r="BJ651" s="34"/>
      <c r="BK651" s="34"/>
      <c r="BL651" s="34"/>
      <c r="BM651" s="34"/>
      <c r="BN651" s="1558">
        <f t="shared" si="30"/>
        <v>0</v>
      </c>
      <c r="BO651" s="1559"/>
      <c r="BP651" s="1559"/>
      <c r="BQ651" s="1559"/>
      <c r="BR651" s="1560"/>
      <c r="BS651" s="1564">
        <f t="shared" si="31"/>
        <v>0</v>
      </c>
      <c r="BT651" s="1564"/>
      <c r="BU651" s="1564"/>
      <c r="BV651" s="1564"/>
      <c r="BW651" s="1564"/>
      <c r="BX651" s="1564">
        <f t="shared" si="32"/>
        <v>0</v>
      </c>
      <c r="BY651" s="1564"/>
      <c r="BZ651" s="1564"/>
      <c r="CA651" s="1564"/>
      <c r="CB651" s="1564"/>
      <c r="CC651" s="1564">
        <f t="shared" si="33"/>
        <v>0</v>
      </c>
      <c r="CD651" s="1564"/>
      <c r="CE651" s="1564"/>
      <c r="CF651" s="1564"/>
      <c r="CG651" s="1564"/>
      <c r="CH651" s="1564">
        <f t="shared" si="34"/>
        <v>0</v>
      </c>
      <c r="CI651" s="1564"/>
      <c r="CJ651" s="1564"/>
      <c r="CK651" s="1564"/>
      <c r="CL651" s="1564"/>
      <c r="CM651" s="1564">
        <f t="shared" si="35"/>
        <v>0</v>
      </c>
      <c r="CN651" s="1564"/>
      <c r="CO651" s="1564"/>
      <c r="CP651" s="1564"/>
      <c r="CQ651" s="1564"/>
      <c r="CR651" s="6"/>
      <c r="CS651" s="1558">
        <f t="shared" si="36"/>
        <v>0</v>
      </c>
      <c r="CT651" s="1559"/>
      <c r="CU651" s="1559"/>
      <c r="CV651" s="1559"/>
      <c r="CW651" s="1560"/>
      <c r="CX651" s="1558">
        <f t="shared" si="37"/>
        <v>0</v>
      </c>
      <c r="CY651" s="1559"/>
      <c r="CZ651" s="1559"/>
      <c r="DA651" s="1559"/>
      <c r="DB651" s="1560"/>
      <c r="DC651" s="1558">
        <f t="shared" si="38"/>
        <v>0</v>
      </c>
      <c r="DD651" s="1559"/>
      <c r="DE651" s="1559"/>
      <c r="DF651" s="1559"/>
      <c r="DG651" s="1560"/>
      <c r="DH651" s="1558">
        <f t="shared" si="39"/>
        <v>0</v>
      </c>
      <c r="DI651" s="1559"/>
      <c r="DJ651" s="1559"/>
      <c r="DK651" s="1559"/>
      <c r="DL651" s="1560"/>
      <c r="DM651" s="1558">
        <f t="shared" si="40"/>
        <v>0</v>
      </c>
      <c r="DN651" s="1559"/>
      <c r="DO651" s="1559"/>
      <c r="DP651" s="1559"/>
      <c r="DQ651" s="1560"/>
      <c r="DR651" s="1558">
        <f t="shared" si="41"/>
        <v>0</v>
      </c>
      <c r="DS651" s="1559"/>
      <c r="DT651" s="1559"/>
      <c r="DU651" s="1559"/>
      <c r="DV651" s="1560"/>
      <c r="DX651" s="1553" t="e">
        <f t="shared" si="29"/>
        <v>#VALUE!</v>
      </c>
      <c r="DY651" s="1553"/>
      <c r="DZ651" s="1553"/>
      <c r="EA651" s="1553"/>
      <c r="EB651" s="1553"/>
      <c r="EC651" s="1553" t="e">
        <f t="shared" si="24"/>
        <v>#VALUE!</v>
      </c>
      <c r="ED651" s="1553"/>
      <c r="EE651" s="1553"/>
      <c r="EF651" s="1553"/>
      <c r="EG651" s="1553"/>
      <c r="EH651" s="1553" t="e">
        <f t="shared" si="25"/>
        <v>#VALUE!</v>
      </c>
      <c r="EI651" s="1553"/>
      <c r="EJ651" s="1553"/>
      <c r="EK651" s="1553"/>
      <c r="EL651" s="1553"/>
      <c r="EM651" s="1553" t="e">
        <f t="shared" si="26"/>
        <v>#VALUE!</v>
      </c>
      <c r="EN651" s="1553"/>
      <c r="EO651" s="1553"/>
      <c r="EP651" s="1553"/>
      <c r="EQ651" s="1553"/>
      <c r="ER651" s="1553" t="e">
        <f t="shared" si="27"/>
        <v>#VALUE!</v>
      </c>
      <c r="ES651" s="1553"/>
      <c r="ET651" s="1553"/>
      <c r="EU651" s="1553"/>
      <c r="EV651" s="1553"/>
      <c r="EW651" s="1553" t="e">
        <f t="shared" si="28"/>
        <v>#VALUE!</v>
      </c>
      <c r="EX651" s="1553"/>
      <c r="EY651" s="1553"/>
      <c r="EZ651" s="1553"/>
      <c r="FA651" s="1553"/>
    </row>
    <row r="652" spans="1:157" ht="12.95" customHeight="1">
      <c r="A652" s="22"/>
      <c r="B652" t="s">
        <v>85</v>
      </c>
      <c r="G652" s="1486" t="s">
        <v>2799</v>
      </c>
      <c r="H652" s="1486"/>
      <c r="I652" s="1486"/>
      <c r="J652" s="1486"/>
      <c r="K652" s="1486"/>
      <c r="L652" s="1486"/>
      <c r="M652" s="1486"/>
      <c r="N652" s="1486"/>
      <c r="O652" s="1486"/>
      <c r="P652" s="1486"/>
      <c r="Q652" s="1486"/>
      <c r="R652" s="1486"/>
      <c r="T652" s="22"/>
      <c r="U652" t="s">
        <v>85</v>
      </c>
      <c r="Z652" s="1486" t="s">
        <v>2754</v>
      </c>
      <c r="AA652" s="1486"/>
      <c r="AB652" s="1486"/>
      <c r="AC652" s="1486"/>
      <c r="AD652" s="1486"/>
      <c r="AE652" s="1486"/>
      <c r="AF652" s="1486"/>
      <c r="AG652" s="1486"/>
      <c r="AH652" s="1486"/>
      <c r="AI652" s="1486"/>
      <c r="AJ652" s="1486"/>
      <c r="AK652" s="1486"/>
      <c r="AZ652" s="34"/>
      <c r="BA652" s="34"/>
      <c r="BB652" s="34"/>
      <c r="BC652" s="34"/>
      <c r="BD652" s="34"/>
      <c r="BE652" s="34"/>
      <c r="BF652" s="34"/>
      <c r="BG652" s="34"/>
      <c r="BH652" s="34"/>
      <c r="BI652" s="34"/>
      <c r="BJ652" s="34"/>
      <c r="BK652" s="34"/>
      <c r="BL652" s="34"/>
      <c r="BM652" s="34"/>
      <c r="BN652" s="1558">
        <f t="shared" si="30"/>
        <v>0</v>
      </c>
      <c r="BO652" s="1559"/>
      <c r="BP652" s="1559"/>
      <c r="BQ652" s="1559"/>
      <c r="BR652" s="1560"/>
      <c r="BS652" s="1564">
        <f t="shared" si="31"/>
        <v>0</v>
      </c>
      <c r="BT652" s="1564"/>
      <c r="BU652" s="1564"/>
      <c r="BV652" s="1564"/>
      <c r="BW652" s="1564"/>
      <c r="BX652" s="1564">
        <f t="shared" si="32"/>
        <v>0</v>
      </c>
      <c r="BY652" s="1564"/>
      <c r="BZ652" s="1564"/>
      <c r="CA652" s="1564"/>
      <c r="CB652" s="1564"/>
      <c r="CC652" s="1564">
        <f t="shared" si="33"/>
        <v>0</v>
      </c>
      <c r="CD652" s="1564"/>
      <c r="CE652" s="1564"/>
      <c r="CF652" s="1564"/>
      <c r="CG652" s="1564"/>
      <c r="CH652" s="1564">
        <f t="shared" si="34"/>
        <v>0</v>
      </c>
      <c r="CI652" s="1564"/>
      <c r="CJ652" s="1564"/>
      <c r="CK652" s="1564"/>
      <c r="CL652" s="1564"/>
      <c r="CM652" s="1564">
        <f t="shared" si="35"/>
        <v>0</v>
      </c>
      <c r="CN652" s="1564"/>
      <c r="CO652" s="1564"/>
      <c r="CP652" s="1564"/>
      <c r="CQ652" s="1564"/>
      <c r="CR652" s="6"/>
      <c r="CS652" s="1558">
        <f t="shared" si="36"/>
        <v>0</v>
      </c>
      <c r="CT652" s="1559"/>
      <c r="CU652" s="1559"/>
      <c r="CV652" s="1559"/>
      <c r="CW652" s="1560"/>
      <c r="CX652" s="1558">
        <f t="shared" si="37"/>
        <v>0</v>
      </c>
      <c r="CY652" s="1559"/>
      <c r="CZ652" s="1559"/>
      <c r="DA652" s="1559"/>
      <c r="DB652" s="1560"/>
      <c r="DC652" s="1558">
        <f t="shared" si="38"/>
        <v>0</v>
      </c>
      <c r="DD652" s="1559"/>
      <c r="DE652" s="1559"/>
      <c r="DF652" s="1559"/>
      <c r="DG652" s="1560"/>
      <c r="DH652" s="1558">
        <f t="shared" si="39"/>
        <v>0</v>
      </c>
      <c r="DI652" s="1559"/>
      <c r="DJ652" s="1559"/>
      <c r="DK652" s="1559"/>
      <c r="DL652" s="1560"/>
      <c r="DM652" s="1558">
        <f t="shared" si="40"/>
        <v>0</v>
      </c>
      <c r="DN652" s="1559"/>
      <c r="DO652" s="1559"/>
      <c r="DP652" s="1559"/>
      <c r="DQ652" s="1560"/>
      <c r="DR652" s="1558">
        <f t="shared" si="41"/>
        <v>0</v>
      </c>
      <c r="DS652" s="1559"/>
      <c r="DT652" s="1559"/>
      <c r="DU652" s="1559"/>
      <c r="DV652" s="1560"/>
      <c r="DX652" s="1553" t="e">
        <f t="shared" si="29"/>
        <v>#VALUE!</v>
      </c>
      <c r="DY652" s="1553"/>
      <c r="DZ652" s="1553"/>
      <c r="EA652" s="1553"/>
      <c r="EB652" s="1553"/>
      <c r="EC652" s="1553" t="e">
        <f t="shared" si="24"/>
        <v>#VALUE!</v>
      </c>
      <c r="ED652" s="1553"/>
      <c r="EE652" s="1553"/>
      <c r="EF652" s="1553"/>
      <c r="EG652" s="1553"/>
      <c r="EH652" s="1553" t="e">
        <f t="shared" si="25"/>
        <v>#VALUE!</v>
      </c>
      <c r="EI652" s="1553"/>
      <c r="EJ652" s="1553"/>
      <c r="EK652" s="1553"/>
      <c r="EL652" s="1553"/>
      <c r="EM652" s="1553" t="e">
        <f t="shared" si="26"/>
        <v>#VALUE!</v>
      </c>
      <c r="EN652" s="1553"/>
      <c r="EO652" s="1553"/>
      <c r="EP652" s="1553"/>
      <c r="EQ652" s="1553"/>
      <c r="ER652" s="1553" t="e">
        <f t="shared" si="27"/>
        <v>#VALUE!</v>
      </c>
      <c r="ES652" s="1553"/>
      <c r="ET652" s="1553"/>
      <c r="EU652" s="1553"/>
      <c r="EV652" s="1553"/>
      <c r="EW652" s="1553" t="e">
        <f t="shared" si="28"/>
        <v>#VALUE!</v>
      </c>
      <c r="EX652" s="1553"/>
      <c r="EY652" s="1553"/>
      <c r="EZ652" s="1553"/>
      <c r="FA652" s="1553"/>
    </row>
    <row r="653" spans="1:157" ht="12.95" customHeight="1">
      <c r="A653" s="22"/>
      <c r="B653" t="s">
        <v>589</v>
      </c>
      <c r="G653" s="1514" t="s">
        <v>2644</v>
      </c>
      <c r="H653" s="1514"/>
      <c r="I653" s="1514"/>
      <c r="J653" s="1514"/>
      <c r="K653" s="1514"/>
      <c r="L653" s="1514"/>
      <c r="M653" s="1514"/>
      <c r="N653" s="1514"/>
      <c r="O653" s="1514"/>
      <c r="P653" s="1514"/>
      <c r="Q653" s="1514"/>
      <c r="R653" s="1514"/>
      <c r="T653" s="22"/>
      <c r="U653" t="s">
        <v>589</v>
      </c>
      <c r="Z653" s="1514" t="s">
        <v>2755</v>
      </c>
      <c r="AA653" s="1514"/>
      <c r="AB653" s="1514"/>
      <c r="AC653" s="1514"/>
      <c r="AD653" s="1514"/>
      <c r="AE653" s="1514"/>
      <c r="AF653" s="1514"/>
      <c r="AG653" s="1514"/>
      <c r="AH653" s="1514"/>
      <c r="AI653" s="1514"/>
      <c r="AJ653" s="1514"/>
      <c r="AK653" s="1514"/>
      <c r="AZ653" s="34"/>
      <c r="BA653" s="34"/>
      <c r="BB653" s="34"/>
      <c r="BC653" s="34"/>
      <c r="BD653" s="34"/>
      <c r="BE653" s="34"/>
      <c r="BF653" s="34"/>
      <c r="BG653" s="34"/>
      <c r="BH653" s="34"/>
      <c r="BI653" s="34"/>
      <c r="BJ653" s="34"/>
      <c r="BK653" s="34"/>
      <c r="BL653" s="34"/>
      <c r="BM653" s="34"/>
      <c r="BN653" s="1558">
        <f t="shared" si="30"/>
        <v>0</v>
      </c>
      <c r="BO653" s="1559"/>
      <c r="BP653" s="1559"/>
      <c r="BQ653" s="1559"/>
      <c r="BR653" s="1560"/>
      <c r="BS653" s="1564">
        <f t="shared" si="31"/>
        <v>0</v>
      </c>
      <c r="BT653" s="1564"/>
      <c r="BU653" s="1564"/>
      <c r="BV653" s="1564"/>
      <c r="BW653" s="1564"/>
      <c r="BX653" s="1564">
        <f t="shared" si="32"/>
        <v>0</v>
      </c>
      <c r="BY653" s="1564"/>
      <c r="BZ653" s="1564"/>
      <c r="CA653" s="1564"/>
      <c r="CB653" s="1564"/>
      <c r="CC653" s="1564">
        <f t="shared" si="33"/>
        <v>0</v>
      </c>
      <c r="CD653" s="1564"/>
      <c r="CE653" s="1564"/>
      <c r="CF653" s="1564"/>
      <c r="CG653" s="1564"/>
      <c r="CH653" s="1564">
        <f t="shared" si="34"/>
        <v>0</v>
      </c>
      <c r="CI653" s="1564"/>
      <c r="CJ653" s="1564"/>
      <c r="CK653" s="1564"/>
      <c r="CL653" s="1564"/>
      <c r="CM653" s="1564">
        <f t="shared" si="35"/>
        <v>0</v>
      </c>
      <c r="CN653" s="1564"/>
      <c r="CO653" s="1564"/>
      <c r="CP653" s="1564"/>
      <c r="CQ653" s="1564"/>
      <c r="CR653" s="6"/>
      <c r="CS653" s="1558">
        <f t="shared" si="36"/>
        <v>0</v>
      </c>
      <c r="CT653" s="1559"/>
      <c r="CU653" s="1559"/>
      <c r="CV653" s="1559"/>
      <c r="CW653" s="1560"/>
      <c r="CX653" s="1558">
        <f t="shared" si="37"/>
        <v>0</v>
      </c>
      <c r="CY653" s="1559"/>
      <c r="CZ653" s="1559"/>
      <c r="DA653" s="1559"/>
      <c r="DB653" s="1560"/>
      <c r="DC653" s="1558">
        <f t="shared" si="38"/>
        <v>0</v>
      </c>
      <c r="DD653" s="1559"/>
      <c r="DE653" s="1559"/>
      <c r="DF653" s="1559"/>
      <c r="DG653" s="1560"/>
      <c r="DH653" s="1558">
        <f t="shared" si="39"/>
        <v>0</v>
      </c>
      <c r="DI653" s="1559"/>
      <c r="DJ653" s="1559"/>
      <c r="DK653" s="1559"/>
      <c r="DL653" s="1560"/>
      <c r="DM653" s="1558">
        <f t="shared" si="40"/>
        <v>0</v>
      </c>
      <c r="DN653" s="1559"/>
      <c r="DO653" s="1559"/>
      <c r="DP653" s="1559"/>
      <c r="DQ653" s="1560"/>
      <c r="DR653" s="1558">
        <f t="shared" si="41"/>
        <v>0</v>
      </c>
      <c r="DS653" s="1559"/>
      <c r="DT653" s="1559"/>
      <c r="DU653" s="1559"/>
      <c r="DV653" s="1560"/>
      <c r="DX653" s="1553" t="e">
        <f t="shared" si="29"/>
        <v>#VALUE!</v>
      </c>
      <c r="DY653" s="1553"/>
      <c r="DZ653" s="1553"/>
      <c r="EA653" s="1553"/>
      <c r="EB653" s="1553"/>
      <c r="EC653" s="1553" t="e">
        <f t="shared" si="24"/>
        <v>#VALUE!</v>
      </c>
      <c r="ED653" s="1553"/>
      <c r="EE653" s="1553"/>
      <c r="EF653" s="1553"/>
      <c r="EG653" s="1553"/>
      <c r="EH653" s="1553" t="e">
        <f t="shared" si="25"/>
        <v>#VALUE!</v>
      </c>
      <c r="EI653" s="1553"/>
      <c r="EJ653" s="1553"/>
      <c r="EK653" s="1553"/>
      <c r="EL653" s="1553"/>
      <c r="EM653" s="1553" t="e">
        <f t="shared" si="26"/>
        <v>#VALUE!</v>
      </c>
      <c r="EN653" s="1553"/>
      <c r="EO653" s="1553"/>
      <c r="EP653" s="1553"/>
      <c r="EQ653" s="1553"/>
      <c r="ER653" s="1553" t="e">
        <f t="shared" si="27"/>
        <v>#VALUE!</v>
      </c>
      <c r="ES653" s="1553"/>
      <c r="ET653" s="1553"/>
      <c r="EU653" s="1553"/>
      <c r="EV653" s="1553"/>
      <c r="EW653" s="1553" t="e">
        <f t="shared" si="28"/>
        <v>#VALUE!</v>
      </c>
      <c r="EX653" s="1553"/>
      <c r="EY653" s="1553"/>
      <c r="EZ653" s="1553"/>
      <c r="FA653" s="1553"/>
    </row>
    <row r="654" spans="1:157" ht="12.95" customHeight="1">
      <c r="A654" s="22"/>
      <c r="B654" t="s">
        <v>17</v>
      </c>
      <c r="G654" s="1514" t="s">
        <v>2689</v>
      </c>
      <c r="H654" s="1514"/>
      <c r="I654" s="1514"/>
      <c r="J654" s="1514"/>
      <c r="K654" s="1514"/>
      <c r="L654" s="1514"/>
      <c r="M654" s="1514"/>
      <c r="N654" s="1514"/>
      <c r="O654" s="1514"/>
      <c r="P654" s="1514"/>
      <c r="Q654" s="1514"/>
      <c r="R654" s="1514"/>
      <c r="T654" s="22"/>
      <c r="U654" t="s">
        <v>17</v>
      </c>
      <c r="Z654" s="1514" t="s">
        <v>2756</v>
      </c>
      <c r="AA654" s="1514"/>
      <c r="AB654" s="1514"/>
      <c r="AC654" s="1514"/>
      <c r="AD654" s="1514"/>
      <c r="AE654" s="1514"/>
      <c r="AF654" s="1514"/>
      <c r="AG654" s="1514"/>
      <c r="AH654" s="1514"/>
      <c r="AI654" s="1514"/>
      <c r="AJ654" s="1514"/>
      <c r="AK654" s="1514"/>
      <c r="AZ654" s="34"/>
      <c r="BA654" s="34"/>
      <c r="BB654" s="34"/>
      <c r="BC654" s="34"/>
      <c r="BD654" s="34"/>
      <c r="BE654" s="34"/>
      <c r="BF654" s="34"/>
      <c r="BG654" s="34"/>
      <c r="BH654" s="34"/>
      <c r="BI654" s="34"/>
      <c r="BJ654" s="34"/>
      <c r="BK654" s="34"/>
      <c r="BL654" s="34"/>
      <c r="BM654" s="34"/>
      <c r="BN654" s="1558">
        <f t="shared" si="30"/>
        <v>0</v>
      </c>
      <c r="BO654" s="1559"/>
      <c r="BP654" s="1559"/>
      <c r="BQ654" s="1559"/>
      <c r="BR654" s="1560"/>
      <c r="BS654" s="1564">
        <f t="shared" si="31"/>
        <v>0</v>
      </c>
      <c r="BT654" s="1564"/>
      <c r="BU654" s="1564"/>
      <c r="BV654" s="1564"/>
      <c r="BW654" s="1564"/>
      <c r="BX654" s="1564">
        <f t="shared" si="32"/>
        <v>0</v>
      </c>
      <c r="BY654" s="1564"/>
      <c r="BZ654" s="1564"/>
      <c r="CA654" s="1564"/>
      <c r="CB654" s="1564"/>
      <c r="CC654" s="1564">
        <f t="shared" si="33"/>
        <v>0</v>
      </c>
      <c r="CD654" s="1564"/>
      <c r="CE654" s="1564"/>
      <c r="CF654" s="1564"/>
      <c r="CG654" s="1564"/>
      <c r="CH654" s="1564">
        <f t="shared" si="34"/>
        <v>0</v>
      </c>
      <c r="CI654" s="1564"/>
      <c r="CJ654" s="1564"/>
      <c r="CK654" s="1564"/>
      <c r="CL654" s="1564"/>
      <c r="CM654" s="1564">
        <f t="shared" si="35"/>
        <v>0</v>
      </c>
      <c r="CN654" s="1564"/>
      <c r="CO654" s="1564"/>
      <c r="CP654" s="1564"/>
      <c r="CQ654" s="1564"/>
      <c r="CR654" s="6"/>
      <c r="CS654" s="1558">
        <f t="shared" si="36"/>
        <v>0</v>
      </c>
      <c r="CT654" s="1559"/>
      <c r="CU654" s="1559"/>
      <c r="CV654" s="1559"/>
      <c r="CW654" s="1560"/>
      <c r="CX654" s="1558">
        <f t="shared" si="37"/>
        <v>0</v>
      </c>
      <c r="CY654" s="1559"/>
      <c r="CZ654" s="1559"/>
      <c r="DA654" s="1559"/>
      <c r="DB654" s="1560"/>
      <c r="DC654" s="1558">
        <f t="shared" si="38"/>
        <v>0</v>
      </c>
      <c r="DD654" s="1559"/>
      <c r="DE654" s="1559"/>
      <c r="DF654" s="1559"/>
      <c r="DG654" s="1560"/>
      <c r="DH654" s="1558">
        <f t="shared" si="39"/>
        <v>0</v>
      </c>
      <c r="DI654" s="1559"/>
      <c r="DJ654" s="1559"/>
      <c r="DK654" s="1559"/>
      <c r="DL654" s="1560"/>
      <c r="DM654" s="1558">
        <f t="shared" si="40"/>
        <v>0</v>
      </c>
      <c r="DN654" s="1559"/>
      <c r="DO654" s="1559"/>
      <c r="DP654" s="1559"/>
      <c r="DQ654" s="1560"/>
      <c r="DR654" s="1558">
        <f t="shared" si="41"/>
        <v>0</v>
      </c>
      <c r="DS654" s="1559"/>
      <c r="DT654" s="1559"/>
      <c r="DU654" s="1559"/>
      <c r="DV654" s="1560"/>
      <c r="DX654" s="1553" t="e">
        <f t="shared" si="29"/>
        <v>#VALUE!</v>
      </c>
      <c r="DY654" s="1553"/>
      <c r="DZ654" s="1553"/>
      <c r="EA654" s="1553"/>
      <c r="EB654" s="1553"/>
      <c r="EC654" s="1553" t="e">
        <f t="shared" si="24"/>
        <v>#VALUE!</v>
      </c>
      <c r="ED654" s="1553"/>
      <c r="EE654" s="1553"/>
      <c r="EF654" s="1553"/>
      <c r="EG654" s="1553"/>
      <c r="EH654" s="1553" t="e">
        <f t="shared" si="25"/>
        <v>#VALUE!</v>
      </c>
      <c r="EI654" s="1553"/>
      <c r="EJ654" s="1553"/>
      <c r="EK654" s="1553"/>
      <c r="EL654" s="1553"/>
      <c r="EM654" s="1553" t="e">
        <f t="shared" si="26"/>
        <v>#VALUE!</v>
      </c>
      <c r="EN654" s="1553"/>
      <c r="EO654" s="1553"/>
      <c r="EP654" s="1553"/>
      <c r="EQ654" s="1553"/>
      <c r="ER654" s="1553" t="e">
        <f t="shared" si="27"/>
        <v>#VALUE!</v>
      </c>
      <c r="ES654" s="1553"/>
      <c r="ET654" s="1553"/>
      <c r="EU654" s="1553"/>
      <c r="EV654" s="1553"/>
      <c r="EW654" s="1553" t="e">
        <f t="shared" si="28"/>
        <v>#VALUE!</v>
      </c>
      <c r="EX654" s="1553"/>
      <c r="EY654" s="1553"/>
      <c r="EZ654" s="1553"/>
      <c r="FA654" s="1553"/>
    </row>
    <row r="655" spans="1:157" ht="12.95" customHeight="1">
      <c r="A655" s="22"/>
      <c r="B655" t="s">
        <v>317</v>
      </c>
      <c r="G655" s="1498" t="s">
        <v>2690</v>
      </c>
      <c r="H655" s="1498"/>
      <c r="I655" s="1498"/>
      <c r="J655" s="1498"/>
      <c r="K655" s="1498"/>
      <c r="L655" s="1498"/>
      <c r="O655" s="33" t="s">
        <v>207</v>
      </c>
      <c r="P655" s="1517"/>
      <c r="Q655" s="1517"/>
      <c r="R655" s="1517"/>
      <c r="T655" s="22"/>
      <c r="U655" t="s">
        <v>317</v>
      </c>
      <c r="Z655" s="1498" t="s">
        <v>2757</v>
      </c>
      <c r="AA655" s="1498"/>
      <c r="AB655" s="1498"/>
      <c r="AC655" s="1498"/>
      <c r="AD655" s="1498"/>
      <c r="AE655" s="1498"/>
      <c r="AH655" s="33" t="s">
        <v>207</v>
      </c>
      <c r="AI655" s="1517"/>
      <c r="AJ655" s="1517"/>
      <c r="AK655" s="1517"/>
      <c r="AZ655" s="34"/>
      <c r="BA655" s="34"/>
      <c r="BB655" s="34"/>
      <c r="BC655" s="34"/>
      <c r="BD655" s="34"/>
      <c r="BE655" s="34"/>
      <c r="BF655" s="34"/>
      <c r="BG655" s="34"/>
      <c r="BH655" s="34"/>
      <c r="BI655" s="34"/>
      <c r="BJ655" s="34"/>
      <c r="BK655" s="34"/>
      <c r="BL655" s="34"/>
      <c r="BM655" s="34"/>
      <c r="BN655" s="1572">
        <f>SUM(BN645:BR654)</f>
        <v>0</v>
      </c>
      <c r="BO655" s="1660"/>
      <c r="BP655" s="1660"/>
      <c r="BQ655" s="1660"/>
      <c r="BR655" s="1573"/>
      <c r="BS655" s="1550">
        <f>SUM(BS645:BW654)</f>
        <v>0</v>
      </c>
      <c r="BT655" s="1551"/>
      <c r="BU655" s="1551"/>
      <c r="BV655" s="1551"/>
      <c r="BW655" s="1552"/>
      <c r="BX655" s="1550">
        <f>SUM(BX645:CB654)</f>
        <v>0</v>
      </c>
      <c r="BY655" s="1551"/>
      <c r="BZ655" s="1551"/>
      <c r="CA655" s="1551"/>
      <c r="CB655" s="1552"/>
      <c r="CC655" s="1550">
        <f>SUM(CC645:CG654)</f>
        <v>0</v>
      </c>
      <c r="CD655" s="1551"/>
      <c r="CE655" s="1551"/>
      <c r="CF655" s="1551"/>
      <c r="CG655" s="1552"/>
      <c r="CH655" s="1550">
        <f>SUM(CH645:CL654)</f>
        <v>0</v>
      </c>
      <c r="CI655" s="1551"/>
      <c r="CJ655" s="1551"/>
      <c r="CK655" s="1551"/>
      <c r="CL655" s="1552"/>
      <c r="CM655" s="1550">
        <f>SUM(CM645:CQ654)</f>
        <v>0</v>
      </c>
      <c r="CN655" s="1551"/>
      <c r="CO655" s="1551"/>
      <c r="CP655" s="1551"/>
      <c r="CQ655" s="1552"/>
      <c r="CR655" s="1047"/>
      <c r="CS655" s="1565">
        <f>SUM(CS645:CW654)</f>
        <v>0</v>
      </c>
      <c r="CT655" s="1565"/>
      <c r="CU655" s="1565"/>
      <c r="CV655" s="1565"/>
      <c r="CW655" s="1565"/>
      <c r="CX655" s="1565">
        <f>SUM(CX645:DB654)</f>
        <v>0</v>
      </c>
      <c r="CY655" s="1565"/>
      <c r="CZ655" s="1565"/>
      <c r="DA655" s="1565"/>
      <c r="DB655" s="1565"/>
      <c r="DC655" s="1565">
        <f>SUM(DC645:DG654)</f>
        <v>0</v>
      </c>
      <c r="DD655" s="1565"/>
      <c r="DE655" s="1565"/>
      <c r="DF655" s="1565"/>
      <c r="DG655" s="1565"/>
      <c r="DH655" s="1565">
        <f>SUM(DH645:DL654)</f>
        <v>0</v>
      </c>
      <c r="DI655" s="1565"/>
      <c r="DJ655" s="1565"/>
      <c r="DK655" s="1565"/>
      <c r="DL655" s="1565"/>
      <c r="DM655" s="1565">
        <f>SUM(DM645:DQ654)</f>
        <v>0</v>
      </c>
      <c r="DN655" s="1565"/>
      <c r="DO655" s="1565"/>
      <c r="DP655" s="1565"/>
      <c r="DQ655" s="1565"/>
      <c r="DR655" s="1565">
        <f>SUM(DR645:DV654)</f>
        <v>0</v>
      </c>
      <c r="DS655" s="1565"/>
      <c r="DT655" s="1565"/>
      <c r="DU655" s="1565"/>
      <c r="DV655" s="1565"/>
      <c r="DX655" s="1553" t="e">
        <f t="shared" si="29"/>
        <v>#VALUE!</v>
      </c>
      <c r="DY655" s="1553"/>
      <c r="DZ655" s="1553"/>
      <c r="EA655" s="1553"/>
      <c r="EB655" s="1553"/>
      <c r="EC655" s="1553" t="e">
        <f t="shared" si="24"/>
        <v>#VALUE!</v>
      </c>
      <c r="ED655" s="1553"/>
      <c r="EE655" s="1553"/>
      <c r="EF655" s="1553"/>
      <c r="EG655" s="1553"/>
      <c r="EH655" s="1553" t="e">
        <f t="shared" si="25"/>
        <v>#VALUE!</v>
      </c>
      <c r="EI655" s="1553"/>
      <c r="EJ655" s="1553"/>
      <c r="EK655" s="1553"/>
      <c r="EL655" s="1553"/>
      <c r="EM655" s="1553" t="e">
        <f t="shared" si="26"/>
        <v>#VALUE!</v>
      </c>
      <c r="EN655" s="1553"/>
      <c r="EO655" s="1553"/>
      <c r="EP655" s="1553"/>
      <c r="EQ655" s="1553"/>
      <c r="ER655" s="1553" t="e">
        <f t="shared" si="27"/>
        <v>#VALUE!</v>
      </c>
      <c r="ES655" s="1553"/>
      <c r="ET655" s="1553"/>
      <c r="EU655" s="1553"/>
      <c r="EV655" s="1553"/>
      <c r="EW655" s="1553" t="e">
        <f t="shared" si="28"/>
        <v>#VALUE!</v>
      </c>
      <c r="EX655" s="1553"/>
      <c r="EY655" s="1553"/>
      <c r="EZ655" s="1553"/>
      <c r="FA655" s="1553"/>
    </row>
    <row r="656" spans="1:157" ht="12.95" customHeight="1">
      <c r="A656" s="22"/>
      <c r="B656" t="s">
        <v>18</v>
      </c>
      <c r="H656" s="1486" t="s">
        <v>2787</v>
      </c>
      <c r="I656" s="1486"/>
      <c r="J656" s="1486"/>
      <c r="K656" s="1486"/>
      <c r="L656" s="1486"/>
      <c r="M656" s="1486"/>
      <c r="N656" s="1486"/>
      <c r="O656" s="1486"/>
      <c r="P656" s="1486"/>
      <c r="Q656" s="1486"/>
      <c r="R656" s="1486"/>
      <c r="T656" s="22"/>
      <c r="U656" t="s">
        <v>18</v>
      </c>
      <c r="AA656" s="1486" t="s">
        <v>2787</v>
      </c>
      <c r="AB656" s="1486"/>
      <c r="AC656" s="1486"/>
      <c r="AD656" s="1486"/>
      <c r="AE656" s="1486"/>
      <c r="AF656" s="1486"/>
      <c r="AG656" s="1486"/>
      <c r="AH656" s="1486"/>
      <c r="AI656" s="1486"/>
      <c r="AJ656" s="1486"/>
      <c r="AK656" s="1486"/>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553" t="e">
        <f t="shared" si="29"/>
        <v>#VALUE!</v>
      </c>
      <c r="DY656" s="1553"/>
      <c r="DZ656" s="1553"/>
      <c r="EA656" s="1553"/>
      <c r="EB656" s="1553"/>
      <c r="EC656" s="1553" t="e">
        <f t="shared" si="24"/>
        <v>#VALUE!</v>
      </c>
      <c r="ED656" s="1553"/>
      <c r="EE656" s="1553"/>
      <c r="EF656" s="1553"/>
      <c r="EG656" s="1553"/>
      <c r="EH656" s="1553" t="e">
        <f t="shared" si="25"/>
        <v>#VALUE!</v>
      </c>
      <c r="EI656" s="1553"/>
      <c r="EJ656" s="1553"/>
      <c r="EK656" s="1553"/>
      <c r="EL656" s="1553"/>
      <c r="EM656" s="1553" t="e">
        <f t="shared" si="26"/>
        <v>#VALUE!</v>
      </c>
      <c r="EN656" s="1553"/>
      <c r="EO656" s="1553"/>
      <c r="EP656" s="1553"/>
      <c r="EQ656" s="1553"/>
      <c r="ER656" s="1553" t="e">
        <f t="shared" si="27"/>
        <v>#VALUE!</v>
      </c>
      <c r="ES656" s="1553"/>
      <c r="ET656" s="1553"/>
      <c r="EU656" s="1553"/>
      <c r="EV656" s="1553"/>
      <c r="EW656" s="1553" t="e">
        <f t="shared" si="28"/>
        <v>#VALUE!</v>
      </c>
      <c r="EX656" s="1553"/>
      <c r="EY656" s="1553"/>
      <c r="EZ656" s="1553"/>
      <c r="FA656" s="1553"/>
    </row>
    <row r="657" spans="1:157" ht="12.95" customHeight="1">
      <c r="A657" s="22"/>
      <c r="B657" t="s">
        <v>20</v>
      </c>
      <c r="N657" s="1484" t="s">
        <v>554</v>
      </c>
      <c r="O657" s="1484"/>
      <c r="T657" s="22"/>
      <c r="U657" t="s">
        <v>20</v>
      </c>
      <c r="AG657" s="1484" t="s">
        <v>554</v>
      </c>
      <c r="AH657" s="1484"/>
      <c r="AZ657" s="34"/>
      <c r="BA657" s="34"/>
      <c r="BB657" s="34"/>
      <c r="BC657" s="34"/>
      <c r="BD657" s="34"/>
      <c r="BE657" s="34"/>
      <c r="BF657" s="34"/>
      <c r="BG657" s="34"/>
      <c r="BH657" s="34"/>
      <c r="BI657" s="34"/>
      <c r="BJ657" s="34"/>
      <c r="BK657" s="34"/>
      <c r="BL657" s="34"/>
      <c r="BM657" s="34"/>
      <c r="CR657" s="3"/>
      <c r="CS657" s="895">
        <f>BN655+BS655+BX655+CC655+CH655+CM655</f>
        <v>0</v>
      </c>
      <c r="CT657" s="57" t="s">
        <v>2051</v>
      </c>
      <c r="CU657" s="3"/>
      <c r="CV657" s="3"/>
      <c r="CW657" s="3"/>
      <c r="CX657" s="3"/>
      <c r="CY657" s="3"/>
      <c r="CZ657" s="3"/>
      <c r="DA657" s="3"/>
      <c r="DB657" s="3"/>
      <c r="DC657" s="3"/>
      <c r="DD657" s="3"/>
      <c r="DE657" s="3"/>
      <c r="DF657" s="3"/>
      <c r="DQ657" s="56" t="s">
        <v>2060</v>
      </c>
      <c r="DR657" s="1553">
        <f>SUM(CS655:DV655)</f>
        <v>0</v>
      </c>
      <c r="DS657" s="1553"/>
      <c r="DT657" s="1553"/>
      <c r="DU657" s="1553"/>
      <c r="DV657" s="1553"/>
      <c r="DX657" s="1553" t="e">
        <f t="shared" si="29"/>
        <v>#VALUE!</v>
      </c>
      <c r="DY657" s="1553"/>
      <c r="DZ657" s="1553"/>
      <c r="EA657" s="1553"/>
      <c r="EB657" s="1553"/>
      <c r="EC657" s="1553" t="e">
        <f t="shared" si="24"/>
        <v>#VALUE!</v>
      </c>
      <c r="ED657" s="1553"/>
      <c r="EE657" s="1553"/>
      <c r="EF657" s="1553"/>
      <c r="EG657" s="1553"/>
      <c r="EH657" s="1553" t="e">
        <f t="shared" si="25"/>
        <v>#VALUE!</v>
      </c>
      <c r="EI657" s="1553"/>
      <c r="EJ657" s="1553"/>
      <c r="EK657" s="1553"/>
      <c r="EL657" s="1553"/>
      <c r="EM657" s="1553" t="e">
        <f t="shared" si="26"/>
        <v>#VALUE!</v>
      </c>
      <c r="EN657" s="1553"/>
      <c r="EO657" s="1553"/>
      <c r="EP657" s="1553"/>
      <c r="EQ657" s="1553"/>
      <c r="ER657" s="1553" t="e">
        <f t="shared" si="27"/>
        <v>#VALUE!</v>
      </c>
      <c r="ES657" s="1553"/>
      <c r="ET657" s="1553"/>
      <c r="EU657" s="1553"/>
      <c r="EV657" s="1553"/>
      <c r="EW657" s="1553" t="e">
        <f t="shared" si="28"/>
        <v>#VALUE!</v>
      </c>
      <c r="EX657" s="1553"/>
      <c r="EY657" s="1553"/>
      <c r="EZ657" s="1553"/>
      <c r="FA657" s="1553"/>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1744</v>
      </c>
      <c r="CU658" s="3"/>
      <c r="CV658" s="3"/>
      <c r="CW658" s="3"/>
      <c r="CX658" s="3"/>
      <c r="CY658" s="3"/>
      <c r="CZ658" s="3"/>
      <c r="DA658" s="3"/>
      <c r="DB658" s="3"/>
      <c r="DC658" s="3"/>
      <c r="DD658" s="3"/>
      <c r="DE658" s="3"/>
      <c r="DF658" s="3"/>
      <c r="DX658" s="1553" t="e">
        <f t="shared" ref="DX658:DX667" si="42">DX620*(BN620/$BN$632)</f>
        <v>#VALUE!</v>
      </c>
      <c r="DY658" s="1553"/>
      <c r="DZ658" s="1553"/>
      <c r="EA658" s="1553"/>
      <c r="EB658" s="1553"/>
      <c r="EC658" s="1553" t="e">
        <f t="shared" ref="EC658:EC667" si="43">EC620*(BS620/$BS$632)</f>
        <v>#VALUE!</v>
      </c>
      <c r="ED658" s="1553"/>
      <c r="EE658" s="1553"/>
      <c r="EF658" s="1553"/>
      <c r="EG658" s="1553"/>
      <c r="EH658" s="1553" t="e">
        <f t="shared" ref="EH658:EH667" si="44">EH620*(BX620/$BX$632)</f>
        <v>#VALUE!</v>
      </c>
      <c r="EI658" s="1553"/>
      <c r="EJ658" s="1553"/>
      <c r="EK658" s="1553"/>
      <c r="EL658" s="1553"/>
      <c r="EM658" s="1553" t="e">
        <f t="shared" ref="EM658:EM667" si="45">EM620*(CC620/$CC$632)</f>
        <v>#VALUE!</v>
      </c>
      <c r="EN658" s="1553"/>
      <c r="EO658" s="1553"/>
      <c r="EP658" s="1553"/>
      <c r="EQ658" s="1553"/>
      <c r="ER658" s="1553" t="e">
        <f t="shared" ref="ER658:ER667" si="46">ER620*(CH620/$CH$632)</f>
        <v>#VALUE!</v>
      </c>
      <c r="ES658" s="1553"/>
      <c r="ET658" s="1553"/>
      <c r="EU658" s="1553"/>
      <c r="EV658" s="1553"/>
      <c r="EW658" s="1553" t="e">
        <f t="shared" ref="EW658:EW667" si="47">EW620*(CM620/$CM$632)</f>
        <v>#VALUE!</v>
      </c>
      <c r="EX658" s="1553"/>
      <c r="EY658" s="1553"/>
      <c r="EZ658" s="1553"/>
      <c r="FA658" s="1553"/>
    </row>
    <row r="659" spans="1:157" ht="12.95" customHeight="1">
      <c r="A659" s="55" t="s">
        <v>773</v>
      </c>
      <c r="B659" t="s">
        <v>472</v>
      </c>
      <c r="G659" s="1499" t="str">
        <f>C631</f>
        <v>Deferred Developer Fee</v>
      </c>
      <c r="H659" s="1499"/>
      <c r="I659" s="1499"/>
      <c r="J659" s="1499"/>
      <c r="K659" s="1499"/>
      <c r="L659" s="1499"/>
      <c r="M659" s="1499"/>
      <c r="N659" s="1499"/>
      <c r="O659" s="1499"/>
      <c r="P659" s="1499"/>
      <c r="Q659" s="1499"/>
      <c r="R659" s="1499"/>
      <c r="T659" s="55" t="s">
        <v>593</v>
      </c>
      <c r="U659" t="s">
        <v>472</v>
      </c>
      <c r="Z659" s="1499" t="str">
        <f>C632</f>
        <v>Project NOI</v>
      </c>
      <c r="AA659" s="1499"/>
      <c r="AB659" s="1499"/>
      <c r="AC659" s="1499"/>
      <c r="AD659" s="1499"/>
      <c r="AE659" s="1499"/>
      <c r="AF659" s="1499"/>
      <c r="AG659" s="1499"/>
      <c r="AH659" s="1499"/>
      <c r="AI659" s="1499"/>
      <c r="AJ659" s="1499"/>
      <c r="AK659" s="1499"/>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553" t="e">
        <f t="shared" si="42"/>
        <v>#VALUE!</v>
      </c>
      <c r="DY659" s="1553"/>
      <c r="DZ659" s="1553"/>
      <c r="EA659" s="1553"/>
      <c r="EB659" s="1553"/>
      <c r="EC659" s="1553" t="e">
        <f t="shared" si="43"/>
        <v>#VALUE!</v>
      </c>
      <c r="ED659" s="1553"/>
      <c r="EE659" s="1553"/>
      <c r="EF659" s="1553"/>
      <c r="EG659" s="1553"/>
      <c r="EH659" s="1553" t="e">
        <f t="shared" si="44"/>
        <v>#VALUE!</v>
      </c>
      <c r="EI659" s="1553"/>
      <c r="EJ659" s="1553"/>
      <c r="EK659" s="1553"/>
      <c r="EL659" s="1553"/>
      <c r="EM659" s="1553" t="e">
        <f t="shared" si="45"/>
        <v>#VALUE!</v>
      </c>
      <c r="EN659" s="1553"/>
      <c r="EO659" s="1553"/>
      <c r="EP659" s="1553"/>
      <c r="EQ659" s="1553"/>
      <c r="ER659" s="1553" t="e">
        <f t="shared" si="46"/>
        <v>#VALUE!</v>
      </c>
      <c r="ES659" s="1553"/>
      <c r="ET659" s="1553"/>
      <c r="EU659" s="1553"/>
      <c r="EV659" s="1553"/>
      <c r="EW659" s="1553" t="e">
        <f t="shared" si="47"/>
        <v>#VALUE!</v>
      </c>
      <c r="EX659" s="1553"/>
      <c r="EY659" s="1553"/>
      <c r="EZ659" s="1553"/>
      <c r="FA659" s="1553"/>
    </row>
    <row r="660" spans="1:157" ht="12.95" customHeight="1">
      <c r="A660" s="22"/>
      <c r="B660" t="s">
        <v>85</v>
      </c>
      <c r="G660" s="1486" t="s">
        <v>2763</v>
      </c>
      <c r="H660" s="1486"/>
      <c r="I660" s="1486"/>
      <c r="J660" s="1486"/>
      <c r="K660" s="1486"/>
      <c r="L660" s="1486"/>
      <c r="M660" s="1486"/>
      <c r="N660" s="1486"/>
      <c r="O660" s="1486"/>
      <c r="P660" s="1486"/>
      <c r="Q660" s="1486"/>
      <c r="R660" s="1486"/>
      <c r="T660" s="22"/>
      <c r="U660" t="s">
        <v>85</v>
      </c>
      <c r="Z660" s="1486" t="s">
        <v>2763</v>
      </c>
      <c r="AA660" s="1486"/>
      <c r="AB660" s="1486"/>
      <c r="AC660" s="1486"/>
      <c r="AD660" s="1486"/>
      <c r="AE660" s="1486"/>
      <c r="AF660" s="1486"/>
      <c r="AG660" s="1486"/>
      <c r="AH660" s="1486"/>
      <c r="AI660" s="1486"/>
      <c r="AJ660" s="1486"/>
      <c r="AK660" s="1486"/>
      <c r="AZ660" s="34"/>
      <c r="BA660" s="34"/>
      <c r="BB660" s="34"/>
      <c r="BC660" s="34"/>
      <c r="BD660" s="34"/>
      <c r="BE660" s="34"/>
      <c r="BF660" s="34"/>
      <c r="BG660" s="34"/>
      <c r="BH660" s="34"/>
      <c r="BI660" s="34"/>
      <c r="BJ660" s="34"/>
      <c r="BK660" s="34"/>
      <c r="BL660" s="34"/>
      <c r="BM660" s="34"/>
      <c r="BN660" s="1550">
        <f>BN632+BN641+BN655</f>
        <v>0</v>
      </c>
      <c r="BO660" s="1551"/>
      <c r="BP660" s="1551"/>
      <c r="BQ660" s="1551"/>
      <c r="BR660" s="1552"/>
      <c r="BS660" s="1550">
        <f>BS632+BS641+BS655</f>
        <v>30</v>
      </c>
      <c r="BT660" s="1551"/>
      <c r="BU660" s="1551"/>
      <c r="BV660" s="1551"/>
      <c r="BW660" s="1552"/>
      <c r="BX660" s="1550">
        <f>BX632+BX641+BX655</f>
        <v>20</v>
      </c>
      <c r="BY660" s="1551"/>
      <c r="BZ660" s="1551"/>
      <c r="CA660" s="1551"/>
      <c r="CB660" s="1552"/>
      <c r="CC660" s="1550">
        <f>CC632+CC641+CC655</f>
        <v>0</v>
      </c>
      <c r="CD660" s="1551"/>
      <c r="CE660" s="1551"/>
      <c r="CF660" s="1551"/>
      <c r="CG660" s="1552"/>
      <c r="CH660" s="1550">
        <f>CH632+CH641+CH655</f>
        <v>0</v>
      </c>
      <c r="CI660" s="1551"/>
      <c r="CJ660" s="1551"/>
      <c r="CK660" s="1551"/>
      <c r="CL660" s="1552"/>
      <c r="CM660" s="1561">
        <f>CM655+CM641+CM632</f>
        <v>0</v>
      </c>
      <c r="CN660" s="1562"/>
      <c r="CO660" s="1562"/>
      <c r="CP660" s="1562"/>
      <c r="CQ660" s="1563"/>
      <c r="CR660" s="3"/>
      <c r="CS660" s="895">
        <f>CS634+CS658</f>
        <v>68</v>
      </c>
      <c r="CT660" s="57" t="s">
        <v>2056</v>
      </c>
      <c r="CU660" s="3"/>
      <c r="CV660" s="3"/>
      <c r="CW660" s="3"/>
      <c r="CX660" s="3"/>
      <c r="CY660" s="3"/>
      <c r="CZ660" s="3"/>
      <c r="DA660" s="3"/>
      <c r="DB660" s="3"/>
      <c r="DC660" s="3"/>
      <c r="DD660" s="3"/>
      <c r="DE660" s="3"/>
      <c r="DF660" s="3"/>
      <c r="DX660" s="1553" t="e">
        <f t="shared" si="42"/>
        <v>#VALUE!</v>
      </c>
      <c r="DY660" s="1553"/>
      <c r="DZ660" s="1553"/>
      <c r="EA660" s="1553"/>
      <c r="EB660" s="1553"/>
      <c r="EC660" s="1553" t="e">
        <f t="shared" si="43"/>
        <v>#VALUE!</v>
      </c>
      <c r="ED660" s="1553"/>
      <c r="EE660" s="1553"/>
      <c r="EF660" s="1553"/>
      <c r="EG660" s="1553"/>
      <c r="EH660" s="1553" t="e">
        <f t="shared" si="44"/>
        <v>#VALUE!</v>
      </c>
      <c r="EI660" s="1553"/>
      <c r="EJ660" s="1553"/>
      <c r="EK660" s="1553"/>
      <c r="EL660" s="1553"/>
      <c r="EM660" s="1553" t="e">
        <f t="shared" si="45"/>
        <v>#VALUE!</v>
      </c>
      <c r="EN660" s="1553"/>
      <c r="EO660" s="1553"/>
      <c r="EP660" s="1553"/>
      <c r="EQ660" s="1553"/>
      <c r="ER660" s="1553" t="e">
        <f t="shared" si="46"/>
        <v>#VALUE!</v>
      </c>
      <c r="ES660" s="1553"/>
      <c r="ET660" s="1553"/>
      <c r="EU660" s="1553"/>
      <c r="EV660" s="1553"/>
      <c r="EW660" s="1553" t="e">
        <f t="shared" si="47"/>
        <v>#VALUE!</v>
      </c>
      <c r="EX660" s="1553"/>
      <c r="EY660" s="1553"/>
      <c r="EZ660" s="1553"/>
      <c r="FA660" s="1553"/>
    </row>
    <row r="661" spans="1:157" ht="12.95" customHeight="1">
      <c r="A661" s="22"/>
      <c r="B661" t="s">
        <v>589</v>
      </c>
      <c r="G661" s="1486" t="s">
        <v>2652</v>
      </c>
      <c r="H661" s="1486"/>
      <c r="I661" s="1486"/>
      <c r="J661" s="1486"/>
      <c r="K661" s="1486"/>
      <c r="L661" s="1486"/>
      <c r="M661" s="1486"/>
      <c r="N661" s="1486"/>
      <c r="O661" s="1486"/>
      <c r="P661" s="1486"/>
      <c r="Q661" s="1486"/>
      <c r="R661" s="1486"/>
      <c r="T661" s="22"/>
      <c r="U661" t="s">
        <v>589</v>
      </c>
      <c r="Z661" s="1514" t="s">
        <v>2652</v>
      </c>
      <c r="AA661" s="1514"/>
      <c r="AB661" s="1514"/>
      <c r="AC661" s="1514"/>
      <c r="AD661" s="1514"/>
      <c r="AE661" s="1514"/>
      <c r="AF661" s="1514"/>
      <c r="AG661" s="1514"/>
      <c r="AH661" s="1514"/>
      <c r="AI661" s="1514"/>
      <c r="AJ661" s="1514"/>
      <c r="AK661" s="1514"/>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553" t="e">
        <f t="shared" si="42"/>
        <v>#VALUE!</v>
      </c>
      <c r="DY661" s="1553"/>
      <c r="DZ661" s="1553"/>
      <c r="EA661" s="1553"/>
      <c r="EB661" s="1553"/>
      <c r="EC661" s="1553" t="e">
        <f t="shared" si="43"/>
        <v>#VALUE!</v>
      </c>
      <c r="ED661" s="1553"/>
      <c r="EE661" s="1553"/>
      <c r="EF661" s="1553"/>
      <c r="EG661" s="1553"/>
      <c r="EH661" s="1553" t="e">
        <f t="shared" si="44"/>
        <v>#VALUE!</v>
      </c>
      <c r="EI661" s="1553"/>
      <c r="EJ661" s="1553"/>
      <c r="EK661" s="1553"/>
      <c r="EL661" s="1553"/>
      <c r="EM661" s="1553" t="e">
        <f t="shared" si="45"/>
        <v>#VALUE!</v>
      </c>
      <c r="EN661" s="1553"/>
      <c r="EO661" s="1553"/>
      <c r="EP661" s="1553"/>
      <c r="EQ661" s="1553"/>
      <c r="ER661" s="1553" t="e">
        <f t="shared" si="46"/>
        <v>#VALUE!</v>
      </c>
      <c r="ES661" s="1553"/>
      <c r="ET661" s="1553"/>
      <c r="EU661" s="1553"/>
      <c r="EV661" s="1553"/>
      <c r="EW661" s="1553" t="e">
        <f t="shared" si="47"/>
        <v>#VALUE!</v>
      </c>
      <c r="EX661" s="1553"/>
      <c r="EY661" s="1553"/>
      <c r="EZ661" s="1553"/>
      <c r="FA661" s="1553"/>
    </row>
    <row r="662" spans="1:157" ht="12.95" customHeight="1">
      <c r="A662" s="22"/>
      <c r="B662" t="s">
        <v>17</v>
      </c>
      <c r="G662" s="1486" t="s">
        <v>2654</v>
      </c>
      <c r="H662" s="1486"/>
      <c r="I662" s="1486"/>
      <c r="J662" s="1486"/>
      <c r="K662" s="1486"/>
      <c r="L662" s="1486"/>
      <c r="M662" s="1486"/>
      <c r="N662" s="1486"/>
      <c r="O662" s="1486"/>
      <c r="P662" s="1486"/>
      <c r="Q662" s="1486"/>
      <c r="R662" s="1486"/>
      <c r="T662" s="22"/>
      <c r="U662" t="s">
        <v>17</v>
      </c>
      <c r="Z662" s="1514" t="s">
        <v>2654</v>
      </c>
      <c r="AA662" s="1514"/>
      <c r="AB662" s="1514"/>
      <c r="AC662" s="1514"/>
      <c r="AD662" s="1514"/>
      <c r="AE662" s="1514"/>
      <c r="AF662" s="1514"/>
      <c r="AG662" s="1514"/>
      <c r="AH662" s="1514"/>
      <c r="AI662" s="1514"/>
      <c r="AJ662" s="1514"/>
      <c r="AK662" s="1514"/>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553" t="e">
        <f t="shared" si="42"/>
        <v>#VALUE!</v>
      </c>
      <c r="DY662" s="1553"/>
      <c r="DZ662" s="1553"/>
      <c r="EA662" s="1553"/>
      <c r="EB662" s="1553"/>
      <c r="EC662" s="1553" t="e">
        <f t="shared" si="43"/>
        <v>#VALUE!</v>
      </c>
      <c r="ED662" s="1553"/>
      <c r="EE662" s="1553"/>
      <c r="EF662" s="1553"/>
      <c r="EG662" s="1553"/>
      <c r="EH662" s="1553" t="e">
        <f t="shared" si="44"/>
        <v>#VALUE!</v>
      </c>
      <c r="EI662" s="1553"/>
      <c r="EJ662" s="1553"/>
      <c r="EK662" s="1553"/>
      <c r="EL662" s="1553"/>
      <c r="EM662" s="1553" t="e">
        <f t="shared" si="45"/>
        <v>#VALUE!</v>
      </c>
      <c r="EN662" s="1553"/>
      <c r="EO662" s="1553"/>
      <c r="EP662" s="1553"/>
      <c r="EQ662" s="1553"/>
      <c r="ER662" s="1553" t="e">
        <f t="shared" si="46"/>
        <v>#VALUE!</v>
      </c>
      <c r="ES662" s="1553"/>
      <c r="ET662" s="1553"/>
      <c r="EU662" s="1553"/>
      <c r="EV662" s="1553"/>
      <c r="EW662" s="1553" t="e">
        <f t="shared" si="47"/>
        <v>#VALUE!</v>
      </c>
      <c r="EX662" s="1553"/>
      <c r="EY662" s="1553"/>
      <c r="EZ662" s="1553"/>
      <c r="FA662" s="1553"/>
    </row>
    <row r="663" spans="1:157" ht="12.95" customHeight="1">
      <c r="A663" s="22"/>
      <c r="B663" t="s">
        <v>317</v>
      </c>
      <c r="G663" s="1498" t="s">
        <v>2655</v>
      </c>
      <c r="H663" s="1498"/>
      <c r="I663" s="1498"/>
      <c r="J663" s="1498"/>
      <c r="K663" s="1498"/>
      <c r="L663" s="1498"/>
      <c r="O663" s="33" t="s">
        <v>207</v>
      </c>
      <c r="P663" s="1517"/>
      <c r="Q663" s="1517"/>
      <c r="R663" s="1517"/>
      <c r="T663" s="22"/>
      <c r="U663" t="s">
        <v>317</v>
      </c>
      <c r="Z663" s="1498" t="s">
        <v>2655</v>
      </c>
      <c r="AA663" s="1498"/>
      <c r="AB663" s="1498"/>
      <c r="AC663" s="1498"/>
      <c r="AD663" s="1498"/>
      <c r="AE663" s="1498"/>
      <c r="AH663" s="33" t="s">
        <v>207</v>
      </c>
      <c r="AI663" s="1517"/>
      <c r="AJ663" s="1517"/>
      <c r="AK663" s="1517"/>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553" t="e">
        <f t="shared" si="42"/>
        <v>#VALUE!</v>
      </c>
      <c r="DY663" s="1553"/>
      <c r="DZ663" s="1553"/>
      <c r="EA663" s="1553"/>
      <c r="EB663" s="1553"/>
      <c r="EC663" s="1553" t="e">
        <f t="shared" si="43"/>
        <v>#VALUE!</v>
      </c>
      <c r="ED663" s="1553"/>
      <c r="EE663" s="1553"/>
      <c r="EF663" s="1553"/>
      <c r="EG663" s="1553"/>
      <c r="EH663" s="1553" t="e">
        <f t="shared" si="44"/>
        <v>#VALUE!</v>
      </c>
      <c r="EI663" s="1553"/>
      <c r="EJ663" s="1553"/>
      <c r="EK663" s="1553"/>
      <c r="EL663" s="1553"/>
      <c r="EM663" s="1553" t="e">
        <f t="shared" si="45"/>
        <v>#VALUE!</v>
      </c>
      <c r="EN663" s="1553"/>
      <c r="EO663" s="1553"/>
      <c r="EP663" s="1553"/>
      <c r="EQ663" s="1553"/>
      <c r="ER663" s="1553" t="e">
        <f t="shared" si="46"/>
        <v>#VALUE!</v>
      </c>
      <c r="ES663" s="1553"/>
      <c r="ET663" s="1553"/>
      <c r="EU663" s="1553"/>
      <c r="EV663" s="1553"/>
      <c r="EW663" s="1553" t="e">
        <f t="shared" si="47"/>
        <v>#VALUE!</v>
      </c>
      <c r="EX663" s="1553"/>
      <c r="EY663" s="1553"/>
      <c r="EZ663" s="1553"/>
      <c r="FA663" s="1553"/>
    </row>
    <row r="664" spans="1:157" ht="12.95" customHeight="1">
      <c r="A664" s="22"/>
      <c r="B664" t="s">
        <v>18</v>
      </c>
      <c r="H664" s="1486" t="s">
        <v>1852</v>
      </c>
      <c r="I664" s="1486"/>
      <c r="J664" s="1486"/>
      <c r="K664" s="1486"/>
      <c r="L664" s="1486"/>
      <c r="M664" s="1486"/>
      <c r="N664" s="1486"/>
      <c r="O664" s="1486"/>
      <c r="P664" s="1486"/>
      <c r="Q664" s="1486"/>
      <c r="R664" s="1486"/>
      <c r="T664" s="22"/>
      <c r="U664" t="s">
        <v>18</v>
      </c>
      <c r="AA664" s="1486" t="s">
        <v>2788</v>
      </c>
      <c r="AB664" s="1486"/>
      <c r="AC664" s="1486"/>
      <c r="AD664" s="1486"/>
      <c r="AE664" s="1486"/>
      <c r="AF664" s="1486"/>
      <c r="AG664" s="1486"/>
      <c r="AH664" s="1486"/>
      <c r="AI664" s="1486"/>
      <c r="AJ664" s="1486"/>
      <c r="AK664" s="1486"/>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553" t="e">
        <f t="shared" si="42"/>
        <v>#VALUE!</v>
      </c>
      <c r="DY664" s="1553"/>
      <c r="DZ664" s="1553"/>
      <c r="EA664" s="1553"/>
      <c r="EB664" s="1553"/>
      <c r="EC664" s="1553" t="e">
        <f t="shared" si="43"/>
        <v>#VALUE!</v>
      </c>
      <c r="ED664" s="1553"/>
      <c r="EE664" s="1553"/>
      <c r="EF664" s="1553"/>
      <c r="EG664" s="1553"/>
      <c r="EH664" s="1553" t="e">
        <f t="shared" si="44"/>
        <v>#VALUE!</v>
      </c>
      <c r="EI664" s="1553"/>
      <c r="EJ664" s="1553"/>
      <c r="EK664" s="1553"/>
      <c r="EL664" s="1553"/>
      <c r="EM664" s="1553" t="e">
        <f t="shared" si="45"/>
        <v>#VALUE!</v>
      </c>
      <c r="EN664" s="1553"/>
      <c r="EO664" s="1553"/>
      <c r="EP664" s="1553"/>
      <c r="EQ664" s="1553"/>
      <c r="ER664" s="1553" t="e">
        <f t="shared" si="46"/>
        <v>#VALUE!</v>
      </c>
      <c r="ES664" s="1553"/>
      <c r="ET664" s="1553"/>
      <c r="EU664" s="1553"/>
      <c r="EV664" s="1553"/>
      <c r="EW664" s="1553" t="e">
        <f t="shared" si="47"/>
        <v>#VALUE!</v>
      </c>
      <c r="EX664" s="1553"/>
      <c r="EY664" s="1553"/>
      <c r="EZ664" s="1553"/>
      <c r="FA664" s="1553"/>
    </row>
    <row r="665" spans="1:157" ht="12.95" customHeight="1">
      <c r="A665" s="22"/>
      <c r="B665" t="s">
        <v>20</v>
      </c>
      <c r="N665" s="1484" t="s">
        <v>554</v>
      </c>
      <c r="O665" s="1484"/>
      <c r="T665" s="22"/>
      <c r="U665" t="s">
        <v>20</v>
      </c>
      <c r="AG665" s="1484" t="s">
        <v>554</v>
      </c>
      <c r="AH665" s="1484"/>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553" t="e">
        <f t="shared" si="42"/>
        <v>#VALUE!</v>
      </c>
      <c r="DY665" s="1553"/>
      <c r="DZ665" s="1553"/>
      <c r="EA665" s="1553"/>
      <c r="EB665" s="1553"/>
      <c r="EC665" s="1553" t="e">
        <f t="shared" si="43"/>
        <v>#VALUE!</v>
      </c>
      <c r="ED665" s="1553"/>
      <c r="EE665" s="1553"/>
      <c r="EF665" s="1553"/>
      <c r="EG665" s="1553"/>
      <c r="EH665" s="1553" t="e">
        <f t="shared" si="44"/>
        <v>#VALUE!</v>
      </c>
      <c r="EI665" s="1553"/>
      <c r="EJ665" s="1553"/>
      <c r="EK665" s="1553"/>
      <c r="EL665" s="1553"/>
      <c r="EM665" s="1553" t="e">
        <f t="shared" si="45"/>
        <v>#VALUE!</v>
      </c>
      <c r="EN665" s="1553"/>
      <c r="EO665" s="1553"/>
      <c r="EP665" s="1553"/>
      <c r="EQ665" s="1553"/>
      <c r="ER665" s="1553" t="e">
        <f t="shared" si="46"/>
        <v>#VALUE!</v>
      </c>
      <c r="ES665" s="1553"/>
      <c r="ET665" s="1553"/>
      <c r="EU665" s="1553"/>
      <c r="EV665" s="1553"/>
      <c r="EW665" s="1553" t="e">
        <f t="shared" si="47"/>
        <v>#VALUE!</v>
      </c>
      <c r="EX665" s="1553"/>
      <c r="EY665" s="1553"/>
      <c r="EZ665" s="1553"/>
      <c r="FA665" s="1553"/>
    </row>
    <row r="666" spans="1:157" ht="12.95" customHeight="1">
      <c r="A666" s="22"/>
      <c r="T666" s="22"/>
      <c r="AZ666" s="3"/>
      <c r="BA666" s="166" t="s">
        <v>658</v>
      </c>
      <c r="BB666" s="3"/>
      <c r="BC666" s="3"/>
      <c r="BD666" s="3"/>
      <c r="BE666" s="3"/>
      <c r="BF666" s="218"/>
      <c r="BG666" s="219" t="s">
        <v>911</v>
      </c>
      <c r="BH666" s="218"/>
      <c r="BI666" s="218"/>
      <c r="BJ666" s="3"/>
      <c r="BK666" s="3"/>
      <c r="BL666" s="3"/>
      <c r="BM666" s="3"/>
      <c r="BN666" s="3"/>
      <c r="BO666" s="3"/>
      <c r="BT666" s="219" t="s">
        <v>1741</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553" t="e">
        <f t="shared" si="42"/>
        <v>#VALUE!</v>
      </c>
      <c r="DY666" s="1553"/>
      <c r="DZ666" s="1553"/>
      <c r="EA666" s="1553"/>
      <c r="EB666" s="1553"/>
      <c r="EC666" s="1553" t="e">
        <f t="shared" si="43"/>
        <v>#VALUE!</v>
      </c>
      <c r="ED666" s="1553"/>
      <c r="EE666" s="1553"/>
      <c r="EF666" s="1553"/>
      <c r="EG666" s="1553"/>
      <c r="EH666" s="1553" t="e">
        <f t="shared" si="44"/>
        <v>#VALUE!</v>
      </c>
      <c r="EI666" s="1553"/>
      <c r="EJ666" s="1553"/>
      <c r="EK666" s="1553"/>
      <c r="EL666" s="1553"/>
      <c r="EM666" s="1553" t="e">
        <f t="shared" si="45"/>
        <v>#VALUE!</v>
      </c>
      <c r="EN666" s="1553"/>
      <c r="EO666" s="1553"/>
      <c r="EP666" s="1553"/>
      <c r="EQ666" s="1553"/>
      <c r="ER666" s="1553" t="e">
        <f t="shared" si="46"/>
        <v>#VALUE!</v>
      </c>
      <c r="ES666" s="1553"/>
      <c r="ET666" s="1553"/>
      <c r="EU666" s="1553"/>
      <c r="EV666" s="1553"/>
      <c r="EW666" s="1553" t="e">
        <f t="shared" si="47"/>
        <v>#VALUE!</v>
      </c>
      <c r="EX666" s="1553"/>
      <c r="EY666" s="1553"/>
      <c r="EZ666" s="1553"/>
      <c r="FA666" s="1553"/>
    </row>
    <row r="667" spans="1:157" ht="12.95" customHeight="1">
      <c r="A667" s="55" t="s">
        <v>464</v>
      </c>
      <c r="B667" t="s">
        <v>472</v>
      </c>
      <c r="G667" s="1499">
        <f>C633</f>
        <v>0</v>
      </c>
      <c r="H667" s="1499"/>
      <c r="I667" s="1499"/>
      <c r="J667" s="1499"/>
      <c r="K667" s="1499"/>
      <c r="L667" s="1499"/>
      <c r="M667" s="1499"/>
      <c r="N667" s="1499"/>
      <c r="O667" s="1499"/>
      <c r="P667" s="1499"/>
      <c r="Q667" s="1499"/>
      <c r="R667" s="1499"/>
      <c r="T667" s="55" t="s">
        <v>465</v>
      </c>
      <c r="U667" t="s">
        <v>472</v>
      </c>
      <c r="Z667" s="1499">
        <f>C634</f>
        <v>0</v>
      </c>
      <c r="AA667" s="1499"/>
      <c r="AB667" s="1499"/>
      <c r="AC667" s="1499"/>
      <c r="AD667" s="1499"/>
      <c r="AE667" s="1499"/>
      <c r="AF667" s="1499"/>
      <c r="AG667" s="1499"/>
      <c r="AH667" s="1499"/>
      <c r="AI667" s="1499"/>
      <c r="AJ667" s="1499"/>
      <c r="AK667" s="1499"/>
      <c r="AZ667" s="3"/>
      <c r="BA667" s="118">
        <f t="shared" ref="BA667:BA699" si="48">IF($G718=0,"N/A",VLOOKUP($T$189,TC_Rent,(MATCH($B718,bedrooms,FALSE))))</f>
        <v>2364</v>
      </c>
      <c r="BB667" s="3"/>
      <c r="BC667" s="3"/>
      <c r="BD667" s="3"/>
      <c r="BE667" s="3"/>
      <c r="BF667" s="218"/>
      <c r="BG667" s="313" t="s">
        <v>912</v>
      </c>
      <c r="BH667" s="318" t="s">
        <v>913</v>
      </c>
      <c r="BI667" s="317" t="s">
        <v>914</v>
      </c>
      <c r="BJ667" s="3"/>
      <c r="BK667" s="3"/>
      <c r="BL667" s="3"/>
      <c r="BM667" s="3"/>
      <c r="BN667" s="3"/>
      <c r="BO667" s="3"/>
      <c r="BT667" s="313" t="s">
        <v>912</v>
      </c>
      <c r="BU667" s="318" t="s">
        <v>913</v>
      </c>
      <c r="BV667" s="317"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553" t="e">
        <f t="shared" si="42"/>
        <v>#VALUE!</v>
      </c>
      <c r="DY667" s="1553"/>
      <c r="DZ667" s="1553"/>
      <c r="EA667" s="1553"/>
      <c r="EB667" s="1553"/>
      <c r="EC667" s="1553" t="e">
        <f t="shared" si="43"/>
        <v>#VALUE!</v>
      </c>
      <c r="ED667" s="1553"/>
      <c r="EE667" s="1553"/>
      <c r="EF667" s="1553"/>
      <c r="EG667" s="1553"/>
      <c r="EH667" s="1553" t="e">
        <f t="shared" si="44"/>
        <v>#VALUE!</v>
      </c>
      <c r="EI667" s="1553"/>
      <c r="EJ667" s="1553"/>
      <c r="EK667" s="1553"/>
      <c r="EL667" s="1553"/>
      <c r="EM667" s="1553" t="e">
        <f t="shared" si="45"/>
        <v>#VALUE!</v>
      </c>
      <c r="EN667" s="1553"/>
      <c r="EO667" s="1553"/>
      <c r="EP667" s="1553"/>
      <c r="EQ667" s="1553"/>
      <c r="ER667" s="1553" t="e">
        <f t="shared" si="46"/>
        <v>#VALUE!</v>
      </c>
      <c r="ES667" s="1553"/>
      <c r="ET667" s="1553"/>
      <c r="EU667" s="1553"/>
      <c r="EV667" s="1553"/>
      <c r="EW667" s="1553" t="e">
        <f t="shared" si="47"/>
        <v>#VALUE!</v>
      </c>
      <c r="EX667" s="1553"/>
      <c r="EY667" s="1553"/>
      <c r="EZ667" s="1553"/>
      <c r="FA667" s="1553"/>
    </row>
    <row r="668" spans="1:157" ht="12.95" customHeight="1">
      <c r="A668" s="22"/>
      <c r="B668" t="s">
        <v>85</v>
      </c>
      <c r="G668" s="1486"/>
      <c r="H668" s="1486"/>
      <c r="I668" s="1486"/>
      <c r="J668" s="1486"/>
      <c r="K668" s="1486"/>
      <c r="L668" s="1486"/>
      <c r="M668" s="1486"/>
      <c r="N668" s="1486"/>
      <c r="O668" s="1486"/>
      <c r="P668" s="1486"/>
      <c r="Q668" s="1486"/>
      <c r="R668" s="1486"/>
      <c r="T668" s="22"/>
      <c r="U668" t="s">
        <v>85</v>
      </c>
      <c r="Z668" s="1486"/>
      <c r="AA668" s="1486"/>
      <c r="AB668" s="1486"/>
      <c r="AC668" s="1486"/>
      <c r="AD668" s="1486"/>
      <c r="AE668" s="1486"/>
      <c r="AF668" s="1486"/>
      <c r="AG668" s="1486"/>
      <c r="AH668" s="1486"/>
      <c r="AI668" s="1486"/>
      <c r="AJ668" s="1486"/>
      <c r="AK668" s="1486"/>
      <c r="AZ668" s="3"/>
      <c r="BA668" s="118">
        <f t="shared" si="48"/>
        <v>2836</v>
      </c>
      <c r="BB668" s="3"/>
      <c r="BC668" s="3"/>
      <c r="BD668" s="3"/>
      <c r="BE668" s="3"/>
      <c r="BF668" s="218"/>
      <c r="BG668" s="315">
        <f t="shared" ref="BG668:BG700" si="49">G718</f>
        <v>20</v>
      </c>
      <c r="BH668" s="319">
        <f t="shared" ref="BH668:BH702" si="50">IF($BG$703=0,0,BG668/$BG$703)</f>
        <v>0.40816326530612246</v>
      </c>
      <c r="BI668" s="320">
        <f t="shared" ref="BI668:BI691" si="51">IF(BH668=0,"",BH668*AC718)</f>
        <v>0.12244897959183673</v>
      </c>
      <c r="BJ668" s="3"/>
      <c r="BK668" s="3"/>
      <c r="BL668" s="3"/>
      <c r="BM668" s="3"/>
      <c r="BN668" s="3"/>
      <c r="BO668" s="3"/>
      <c r="BT668" s="315">
        <f t="shared" ref="BT668:BT700" si="52">G718</f>
        <v>20</v>
      </c>
      <c r="BU668" s="319">
        <f t="shared" ref="BU668:BU702" si="53">IF($BT$703=0,0,BT668/$BT$703)</f>
        <v>0.40816326530612246</v>
      </c>
      <c r="BV668" s="320">
        <f t="shared" ref="BV668:BV700" si="54">IF(BU668=0,"",BU668*AH718)</f>
        <v>0.12241444801270762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553" t="e">
        <f>DX630*(BN630/$BN$632)</f>
        <v>#VALUE!</v>
      </c>
      <c r="DY668" s="1553"/>
      <c r="DZ668" s="1553"/>
      <c r="EA668" s="1553"/>
      <c r="EB668" s="1553"/>
      <c r="EC668" s="1553" t="e">
        <f>EC630*(BS630/$BS$632)</f>
        <v>#VALUE!</v>
      </c>
      <c r="ED668" s="1553"/>
      <c r="EE668" s="1553"/>
      <c r="EF668" s="1553"/>
      <c r="EG668" s="1553"/>
      <c r="EH668" s="1553" t="e">
        <f>EH630*(BX630/$BX$632)</f>
        <v>#VALUE!</v>
      </c>
      <c r="EI668" s="1553"/>
      <c r="EJ668" s="1553"/>
      <c r="EK668" s="1553"/>
      <c r="EL668" s="1553"/>
      <c r="EM668" s="1553" t="e">
        <f>EM630*(CC630/$CC$632)</f>
        <v>#VALUE!</v>
      </c>
      <c r="EN668" s="1553"/>
      <c r="EO668" s="1553"/>
      <c r="EP668" s="1553"/>
      <c r="EQ668" s="1553"/>
      <c r="ER668" s="1553" t="e">
        <f>ER630*(CH630/$CH$632)</f>
        <v>#VALUE!</v>
      </c>
      <c r="ES668" s="1553"/>
      <c r="ET668" s="1553"/>
      <c r="EU668" s="1553"/>
      <c r="EV668" s="1553"/>
      <c r="EW668" s="1553" t="e">
        <f>EW630*(CM630/$CM$632)</f>
        <v>#VALUE!</v>
      </c>
      <c r="EX668" s="1553"/>
      <c r="EY668" s="1553"/>
      <c r="EZ668" s="1553"/>
      <c r="FA668" s="1553"/>
    </row>
    <row r="669" spans="1:157" ht="12.95" customHeight="1">
      <c r="A669" s="22"/>
      <c r="B669" t="s">
        <v>589</v>
      </c>
      <c r="G669" s="1486"/>
      <c r="H669" s="1486"/>
      <c r="I669" s="1486"/>
      <c r="J669" s="1486"/>
      <c r="K669" s="1486"/>
      <c r="L669" s="1486"/>
      <c r="M669" s="1486"/>
      <c r="N669" s="1486"/>
      <c r="O669" s="1486"/>
      <c r="P669" s="1486"/>
      <c r="Q669" s="1486"/>
      <c r="R669" s="1486"/>
      <c r="T669" s="22"/>
      <c r="U669" t="s">
        <v>589</v>
      </c>
      <c r="Z669" s="1514"/>
      <c r="AA669" s="1514"/>
      <c r="AB669" s="1514"/>
      <c r="AC669" s="1514"/>
      <c r="AD669" s="1514"/>
      <c r="AE669" s="1514"/>
      <c r="AF669" s="1514"/>
      <c r="AG669" s="1514"/>
      <c r="AH669" s="1514"/>
      <c r="AI669" s="1514"/>
      <c r="AJ669" s="1514"/>
      <c r="AK669" s="1514"/>
      <c r="AZ669" s="3"/>
      <c r="BA669" s="118">
        <f t="shared" si="48"/>
        <v>2364</v>
      </c>
      <c r="BB669" s="3"/>
      <c r="BC669" s="3"/>
      <c r="BD669" s="3"/>
      <c r="BE669" s="3"/>
      <c r="BF669" s="218"/>
      <c r="BG669" s="316">
        <f t="shared" si="49"/>
        <v>15</v>
      </c>
      <c r="BH669" s="319">
        <f t="shared" si="50"/>
        <v>0.30612244897959184</v>
      </c>
      <c r="BI669" s="320">
        <f t="shared" si="51"/>
        <v>9.1836734693877556E-2</v>
      </c>
      <c r="BJ669" s="3"/>
      <c r="BK669" s="3"/>
      <c r="BL669" s="3"/>
      <c r="BM669" s="3"/>
      <c r="BN669" s="3"/>
      <c r="BO669" s="3"/>
      <c r="BT669" s="316">
        <f t="shared" si="52"/>
        <v>15</v>
      </c>
      <c r="BU669" s="319">
        <f t="shared" si="53"/>
        <v>0.30612244897959184</v>
      </c>
      <c r="BV669" s="320">
        <f t="shared" si="54"/>
        <v>9.1858323018911364E-2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553" t="e">
        <f>DX631*(BN631/$BN$632)</f>
        <v>#VALUE!</v>
      </c>
      <c r="DY669" s="1553"/>
      <c r="DZ669" s="1553"/>
      <c r="EA669" s="1553"/>
      <c r="EB669" s="1553"/>
      <c r="EC669" s="1553" t="e">
        <f>EC631*(BS631/$BS$632)</f>
        <v>#VALUE!</v>
      </c>
      <c r="ED669" s="1553"/>
      <c r="EE669" s="1553"/>
      <c r="EF669" s="1553"/>
      <c r="EG669" s="1553"/>
      <c r="EH669" s="1553" t="e">
        <f>EH631*(BX631/$BX$632)</f>
        <v>#VALUE!</v>
      </c>
      <c r="EI669" s="1553"/>
      <c r="EJ669" s="1553"/>
      <c r="EK669" s="1553"/>
      <c r="EL669" s="1553"/>
      <c r="EM669" s="1553" t="e">
        <f>EM631*(CC631/$CC$632)</f>
        <v>#VALUE!</v>
      </c>
      <c r="EN669" s="1553"/>
      <c r="EO669" s="1553"/>
      <c r="EP669" s="1553"/>
      <c r="EQ669" s="1553"/>
      <c r="ER669" s="1553" t="e">
        <f>ER631*(CH631/$CH$632)</f>
        <v>#VALUE!</v>
      </c>
      <c r="ES669" s="1553"/>
      <c r="ET669" s="1553"/>
      <c r="EU669" s="1553"/>
      <c r="EV669" s="1553"/>
      <c r="EW669" s="1553" t="e">
        <f>EW631*(CM631/$CM$632)</f>
        <v>#VALUE!</v>
      </c>
      <c r="EX669" s="1553"/>
      <c r="EY669" s="1553"/>
      <c r="EZ669" s="1553"/>
      <c r="FA669" s="1553"/>
    </row>
    <row r="670" spans="1:157" ht="12.95" customHeight="1">
      <c r="A670" s="22"/>
      <c r="B670" t="s">
        <v>17</v>
      </c>
      <c r="G670" s="1486"/>
      <c r="H670" s="1486"/>
      <c r="I670" s="1486"/>
      <c r="J670" s="1486"/>
      <c r="K670" s="1486"/>
      <c r="L670" s="1486"/>
      <c r="M670" s="1486"/>
      <c r="N670" s="1486"/>
      <c r="O670" s="1486"/>
      <c r="P670" s="1486"/>
      <c r="Q670" s="1486"/>
      <c r="R670" s="1486"/>
      <c r="T670" s="22"/>
      <c r="U670" t="s">
        <v>17</v>
      </c>
      <c r="Z670" s="1514"/>
      <c r="AA670" s="1514"/>
      <c r="AB670" s="1514"/>
      <c r="AC670" s="1514"/>
      <c r="AD670" s="1514"/>
      <c r="AE670" s="1514"/>
      <c r="AF670" s="1514"/>
      <c r="AG670" s="1514"/>
      <c r="AH670" s="1514"/>
      <c r="AI670" s="1514"/>
      <c r="AJ670" s="1514"/>
      <c r="AK670" s="1514"/>
      <c r="AZ670" s="3"/>
      <c r="BA670" s="118">
        <f t="shared" si="48"/>
        <v>2836</v>
      </c>
      <c r="BB670" s="3"/>
      <c r="BC670" s="3"/>
      <c r="BD670" s="3"/>
      <c r="BE670" s="3"/>
      <c r="BF670" s="218"/>
      <c r="BG670" s="316">
        <f t="shared" si="49"/>
        <v>10</v>
      </c>
      <c r="BH670" s="319">
        <f t="shared" si="50"/>
        <v>0.20408163265306123</v>
      </c>
      <c r="BI670" s="320">
        <f t="shared" si="51"/>
        <v>0.10204081632653061</v>
      </c>
      <c r="BJ670" s="3"/>
      <c r="BK670" s="3"/>
      <c r="BL670" s="3"/>
      <c r="BM670" s="3"/>
      <c r="BN670" s="3"/>
      <c r="BO670" s="3"/>
      <c r="BT670" s="316">
        <f t="shared" si="52"/>
        <v>10</v>
      </c>
      <c r="BU670" s="319">
        <f t="shared" si="53"/>
        <v>0.20408163265306123</v>
      </c>
      <c r="BV670" s="320">
        <f t="shared" si="54"/>
        <v>0.10204081632653061</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553">
        <f>SUMIF(DX635:EB669,"&gt;0")</f>
        <v>0</v>
      </c>
      <c r="DY670" s="1553"/>
      <c r="DZ670" s="1553"/>
      <c r="EA670" s="1553"/>
      <c r="EB670" s="1553"/>
      <c r="EC670" s="1553">
        <f>SUMIF(EC635:EG669,"&gt;0")</f>
        <v>785.66666666666663</v>
      </c>
      <c r="ED670" s="1553"/>
      <c r="EE670" s="1553"/>
      <c r="EF670" s="1553"/>
      <c r="EG670" s="1553"/>
      <c r="EH670" s="1553">
        <f>SUMIF(EH635:EL669,"&gt;0")</f>
        <v>867.36842105263145</v>
      </c>
      <c r="EI670" s="1553"/>
      <c r="EJ670" s="1553"/>
      <c r="EK670" s="1553"/>
      <c r="EL670" s="1553"/>
      <c r="EM670" s="1553">
        <f>SUMIF(EM635:EQ669,"&gt;0")</f>
        <v>0</v>
      </c>
      <c r="EN670" s="1553"/>
      <c r="EO670" s="1553"/>
      <c r="EP670" s="1553"/>
      <c r="EQ670" s="1553"/>
      <c r="ER670" s="1553">
        <f>SUMIF(ER635:EV669,"&gt;0")</f>
        <v>0</v>
      </c>
      <c r="ES670" s="1553"/>
      <c r="ET670" s="1553"/>
      <c r="EU670" s="1553"/>
      <c r="EV670" s="1553"/>
      <c r="EW670" s="1553">
        <f>SUMIF(EW635:FA669,"&gt;0")</f>
        <v>0</v>
      </c>
      <c r="EX670" s="1553"/>
      <c r="EY670" s="1553"/>
      <c r="EZ670" s="1553"/>
      <c r="FA670" s="1553"/>
    </row>
    <row r="671" spans="1:157" ht="12.95" customHeight="1">
      <c r="A671" s="22"/>
      <c r="B671" t="s">
        <v>317</v>
      </c>
      <c r="G671" s="1498"/>
      <c r="H671" s="1498"/>
      <c r="I671" s="1498"/>
      <c r="J671" s="1498"/>
      <c r="K671" s="1498"/>
      <c r="L671" s="1498"/>
      <c r="O671" s="33" t="s">
        <v>207</v>
      </c>
      <c r="P671" s="1517"/>
      <c r="Q671" s="1517"/>
      <c r="R671" s="1517"/>
      <c r="T671" s="22"/>
      <c r="U671" t="s">
        <v>317</v>
      </c>
      <c r="Z671" s="1498"/>
      <c r="AA671" s="1498"/>
      <c r="AB671" s="1498"/>
      <c r="AC671" s="1498"/>
      <c r="AD671" s="1498"/>
      <c r="AE671" s="1498"/>
      <c r="AH671" s="33" t="s">
        <v>207</v>
      </c>
      <c r="AI671" s="1517"/>
      <c r="AJ671" s="1517"/>
      <c r="AK671" s="1517"/>
      <c r="AZ671" s="3"/>
      <c r="BA671" s="118" t="str">
        <f t="shared" si="48"/>
        <v>N/A</v>
      </c>
      <c r="BB671" s="3"/>
      <c r="BC671" s="3"/>
      <c r="BD671" s="3"/>
      <c r="BE671" s="3"/>
      <c r="BF671" s="218"/>
      <c r="BG671" s="316">
        <f t="shared" si="49"/>
        <v>4</v>
      </c>
      <c r="BH671" s="319">
        <f t="shared" si="50"/>
        <v>8.1632653061224483E-2</v>
      </c>
      <c r="BI671" s="320">
        <f t="shared" si="51"/>
        <v>4.0816326530612242E-2</v>
      </c>
      <c r="BJ671" s="3"/>
      <c r="BK671" s="3"/>
      <c r="BL671" s="3"/>
      <c r="BM671" s="3"/>
      <c r="BN671" s="3"/>
      <c r="BO671" s="3"/>
      <c r="BT671" s="316">
        <f t="shared" si="52"/>
        <v>4</v>
      </c>
      <c r="BU671" s="319">
        <f t="shared" si="53"/>
        <v>8.1632653061224483E-2</v>
      </c>
      <c r="BV671" s="320">
        <f t="shared" si="54"/>
        <v>4.0816326530612242E-2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86"/>
      <c r="I672" s="1486"/>
      <c r="J672" s="1486"/>
      <c r="K672" s="1486"/>
      <c r="L672" s="1486"/>
      <c r="M672" s="1486"/>
      <c r="N672" s="1486"/>
      <c r="O672" s="1486"/>
      <c r="P672" s="1486"/>
      <c r="Q672" s="1486"/>
      <c r="R672" s="1486"/>
      <c r="T672" s="22"/>
      <c r="U672" t="s">
        <v>18</v>
      </c>
      <c r="AA672" s="1486"/>
      <c r="AB672" s="1486"/>
      <c r="AC672" s="1486"/>
      <c r="AD672" s="1486"/>
      <c r="AE672" s="1486"/>
      <c r="AF672" s="1486"/>
      <c r="AG672" s="1486"/>
      <c r="AH672" s="1486"/>
      <c r="AI672" s="1486"/>
      <c r="AJ672" s="1486"/>
      <c r="AK672" s="1486"/>
      <c r="AZ672" s="3"/>
      <c r="BA672" s="118" t="str">
        <f t="shared" si="48"/>
        <v>N/A</v>
      </c>
      <c r="BB672" s="3"/>
      <c r="BC672" s="3"/>
      <c r="BD672" s="3"/>
      <c r="BE672" s="3"/>
      <c r="BF672" s="218"/>
      <c r="BG672" s="316">
        <f t="shared" si="49"/>
        <v>0</v>
      </c>
      <c r="BH672" s="319">
        <f t="shared" si="50"/>
        <v>0</v>
      </c>
      <c r="BI672" s="320" t="str">
        <f t="shared" si="51"/>
        <v/>
      </c>
      <c r="BJ672" s="3"/>
      <c r="BK672" s="3"/>
      <c r="BL672" s="3"/>
      <c r="BM672" s="3"/>
      <c r="BN672" s="3"/>
      <c r="BO672" s="3"/>
      <c r="BT672" s="316">
        <f t="shared" si="52"/>
        <v>0</v>
      </c>
      <c r="BU672" s="319">
        <f t="shared" si="53"/>
        <v>0</v>
      </c>
      <c r="BV672" s="320" t="str">
        <f t="shared" si="54"/>
        <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484" t="s">
        <v>678</v>
      </c>
      <c r="O673" s="1484"/>
      <c r="T673" s="22"/>
      <c r="U673" t="s">
        <v>20</v>
      </c>
      <c r="AG673" s="1484" t="s">
        <v>678</v>
      </c>
      <c r="AH673" s="1484"/>
      <c r="AZ673" s="3"/>
      <c r="BA673" s="118" t="str">
        <f t="shared" si="48"/>
        <v>N/A</v>
      </c>
      <c r="BB673" s="3"/>
      <c r="BC673" s="3"/>
      <c r="BD673" s="3"/>
      <c r="BE673" s="3"/>
      <c r="BF673" s="218"/>
      <c r="BG673" s="316">
        <f t="shared" si="49"/>
        <v>0</v>
      </c>
      <c r="BH673" s="319">
        <f t="shared" si="50"/>
        <v>0</v>
      </c>
      <c r="BI673" s="320" t="str">
        <f t="shared" si="51"/>
        <v/>
      </c>
      <c r="BJ673" s="3"/>
      <c r="BK673" s="3"/>
      <c r="BL673" s="3"/>
      <c r="BM673" s="3"/>
      <c r="BN673" s="3"/>
      <c r="BO673" s="3"/>
      <c r="BT673" s="316">
        <f t="shared" si="52"/>
        <v>0</v>
      </c>
      <c r="BU673" s="319">
        <f t="shared" si="53"/>
        <v>0</v>
      </c>
      <c r="BV673" s="320" t="str">
        <f t="shared" si="54"/>
        <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t="str">
        <f t="shared" si="48"/>
        <v>N/A</v>
      </c>
      <c r="BB674" s="3"/>
      <c r="BC674" s="3"/>
      <c r="BD674" s="3"/>
      <c r="BE674" s="3"/>
      <c r="BF674" s="218"/>
      <c r="BG674" s="316">
        <f t="shared" si="49"/>
        <v>0</v>
      </c>
      <c r="BH674" s="319">
        <f t="shared" si="50"/>
        <v>0</v>
      </c>
      <c r="BI674" s="320" t="str">
        <f t="shared" si="51"/>
        <v/>
      </c>
      <c r="BJ674" s="3"/>
      <c r="BK674" s="3"/>
      <c r="BL674" s="3"/>
      <c r="BM674" s="3"/>
      <c r="BN674" s="3"/>
      <c r="BO674" s="3"/>
      <c r="BT674" s="316">
        <f t="shared" si="52"/>
        <v>0</v>
      </c>
      <c r="BU674" s="319">
        <f t="shared" si="53"/>
        <v>0</v>
      </c>
      <c r="BV674" s="320" t="str">
        <f t="shared" si="54"/>
        <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470</v>
      </c>
      <c r="B675" t="s">
        <v>472</v>
      </c>
      <c r="G675" s="1499">
        <f>C635</f>
        <v>0</v>
      </c>
      <c r="H675" s="1499"/>
      <c r="I675" s="1499"/>
      <c r="J675" s="1499"/>
      <c r="K675" s="1499"/>
      <c r="L675" s="1499"/>
      <c r="M675" s="1499"/>
      <c r="N675" s="1499"/>
      <c r="O675" s="1499"/>
      <c r="P675" s="1499"/>
      <c r="Q675" s="1499"/>
      <c r="R675" s="1499"/>
      <c r="T675" s="55" t="s">
        <v>655</v>
      </c>
      <c r="U675" t="s">
        <v>472</v>
      </c>
      <c r="Z675" s="1499">
        <f>C636</f>
        <v>0</v>
      </c>
      <c r="AA675" s="1499"/>
      <c r="AB675" s="1499"/>
      <c r="AC675" s="1499"/>
      <c r="AD675" s="1499"/>
      <c r="AE675" s="1499"/>
      <c r="AF675" s="1499"/>
      <c r="AG675" s="1499"/>
      <c r="AH675" s="1499"/>
      <c r="AI675" s="1499"/>
      <c r="AJ675" s="1499"/>
      <c r="AK675" s="1499"/>
      <c r="AZ675" s="3"/>
      <c r="BA675" s="118" t="str">
        <f t="shared" si="48"/>
        <v>N/A</v>
      </c>
      <c r="BB675" s="3"/>
      <c r="BC675" s="3"/>
      <c r="BD675" s="3"/>
      <c r="BE675" s="3"/>
      <c r="BF675" s="218"/>
      <c r="BG675" s="316">
        <f t="shared" si="49"/>
        <v>0</v>
      </c>
      <c r="BH675" s="319">
        <f t="shared" si="50"/>
        <v>0</v>
      </c>
      <c r="BI675" s="320" t="str">
        <f t="shared" si="51"/>
        <v/>
      </c>
      <c r="BJ675" s="3"/>
      <c r="BK675" s="3"/>
      <c r="BL675" s="3"/>
      <c r="BM675" s="3"/>
      <c r="BN675" s="3"/>
      <c r="BO675" s="3"/>
      <c r="BT675" s="316">
        <f t="shared" si="52"/>
        <v>0</v>
      </c>
      <c r="BU675" s="319">
        <f t="shared" si="53"/>
        <v>0</v>
      </c>
      <c r="BV675" s="320" t="str">
        <f t="shared" si="54"/>
        <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486"/>
      <c r="H676" s="1486"/>
      <c r="I676" s="1486"/>
      <c r="J676" s="1486"/>
      <c r="K676" s="1486"/>
      <c r="L676" s="1486"/>
      <c r="M676" s="1486"/>
      <c r="N676" s="1486"/>
      <c r="O676" s="1486"/>
      <c r="P676" s="1486"/>
      <c r="Q676" s="1486"/>
      <c r="R676" s="1486"/>
      <c r="T676" s="22"/>
      <c r="U676" t="s">
        <v>85</v>
      </c>
      <c r="Z676" s="1486"/>
      <c r="AA676" s="1486"/>
      <c r="AB676" s="1486"/>
      <c r="AC676" s="1486"/>
      <c r="AD676" s="1486"/>
      <c r="AE676" s="1486"/>
      <c r="AF676" s="1486"/>
      <c r="AG676" s="1486"/>
      <c r="AH676" s="1486"/>
      <c r="AI676" s="1486"/>
      <c r="AJ676" s="1486"/>
      <c r="AK676" s="1486"/>
      <c r="AZ676" s="3"/>
      <c r="BA676" s="118" t="str">
        <f t="shared" si="48"/>
        <v>N/A</v>
      </c>
      <c r="BB676" s="3"/>
      <c r="BC676" s="3"/>
      <c r="BD676" s="3"/>
      <c r="BE676" s="3"/>
      <c r="BF676" s="218"/>
      <c r="BG676" s="316">
        <f t="shared" si="49"/>
        <v>0</v>
      </c>
      <c r="BH676" s="319">
        <f t="shared" si="50"/>
        <v>0</v>
      </c>
      <c r="BI676" s="320" t="str">
        <f t="shared" si="51"/>
        <v/>
      </c>
      <c r="BJ676" s="3"/>
      <c r="BK676" s="3"/>
      <c r="BL676" s="3"/>
      <c r="BM676" s="3"/>
      <c r="BN676" s="3"/>
      <c r="BO676" s="3"/>
      <c r="BT676" s="316">
        <f t="shared" si="52"/>
        <v>0</v>
      </c>
      <c r="BU676" s="319">
        <f t="shared" si="53"/>
        <v>0</v>
      </c>
      <c r="BV676" s="320" t="str">
        <f t="shared" si="54"/>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589</v>
      </c>
      <c r="G677" s="1486"/>
      <c r="H677" s="1486"/>
      <c r="I677" s="1486"/>
      <c r="J677" s="1486"/>
      <c r="K677" s="1486"/>
      <c r="L677" s="1486"/>
      <c r="M677" s="1486"/>
      <c r="N677" s="1486"/>
      <c r="O677" s="1486"/>
      <c r="P677" s="1486"/>
      <c r="Q677" s="1486"/>
      <c r="R677" s="1486"/>
      <c r="T677" s="22"/>
      <c r="U677" t="s">
        <v>589</v>
      </c>
      <c r="Z677" s="1514"/>
      <c r="AA677" s="1514"/>
      <c r="AB677" s="1514"/>
      <c r="AC677" s="1514"/>
      <c r="AD677" s="1514"/>
      <c r="AE677" s="1514"/>
      <c r="AF677" s="1514"/>
      <c r="AG677" s="1514"/>
      <c r="AH677" s="1514"/>
      <c r="AI677" s="1514"/>
      <c r="AJ677" s="1514"/>
      <c r="AK677" s="1514"/>
      <c r="AZ677" s="3"/>
      <c r="BA677" s="118" t="str">
        <f t="shared" si="48"/>
        <v>N/A</v>
      </c>
      <c r="BB677" s="3"/>
      <c r="BC677" s="3"/>
      <c r="BD677" s="3"/>
      <c r="BE677" s="3"/>
      <c r="BF677" s="218"/>
      <c r="BG677" s="316">
        <f t="shared" si="49"/>
        <v>0</v>
      </c>
      <c r="BH677" s="319">
        <f t="shared" si="50"/>
        <v>0</v>
      </c>
      <c r="BI677" s="320" t="str">
        <f t="shared" si="51"/>
        <v/>
      </c>
      <c r="BJ677" s="3"/>
      <c r="BK677" s="3"/>
      <c r="BL677" s="3"/>
      <c r="BM677" s="3"/>
      <c r="BN677" s="3"/>
      <c r="BO677" s="3"/>
      <c r="BT677" s="316">
        <f t="shared" si="52"/>
        <v>0</v>
      </c>
      <c r="BU677" s="319">
        <f t="shared" si="53"/>
        <v>0</v>
      </c>
      <c r="BV677" s="320"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486"/>
      <c r="H678" s="1486"/>
      <c r="I678" s="1486"/>
      <c r="J678" s="1486"/>
      <c r="K678" s="1486"/>
      <c r="L678" s="1486"/>
      <c r="M678" s="1486"/>
      <c r="N678" s="1486"/>
      <c r="O678" s="1486"/>
      <c r="P678" s="1486"/>
      <c r="Q678" s="1486"/>
      <c r="R678" s="1486"/>
      <c r="T678" s="22"/>
      <c r="U678" t="s">
        <v>17</v>
      </c>
      <c r="Z678" s="1514"/>
      <c r="AA678" s="1514"/>
      <c r="AB678" s="1514"/>
      <c r="AC678" s="1514"/>
      <c r="AD678" s="1514"/>
      <c r="AE678" s="1514"/>
      <c r="AF678" s="1514"/>
      <c r="AG678" s="1514"/>
      <c r="AH678" s="1514"/>
      <c r="AI678" s="1514"/>
      <c r="AJ678" s="1514"/>
      <c r="AK678" s="1514"/>
      <c r="AZ678" s="3"/>
      <c r="BA678" s="118" t="str">
        <f t="shared" si="48"/>
        <v>N/A</v>
      </c>
      <c r="BB678" s="3"/>
      <c r="BC678" s="3"/>
      <c r="BD678" s="3"/>
      <c r="BE678" s="3"/>
      <c r="BF678" s="218"/>
      <c r="BG678" s="316">
        <f t="shared" si="49"/>
        <v>0</v>
      </c>
      <c r="BH678" s="319">
        <f t="shared" si="50"/>
        <v>0</v>
      </c>
      <c r="BI678" s="320" t="str">
        <f t="shared" si="51"/>
        <v/>
      </c>
      <c r="BJ678" s="3"/>
      <c r="BK678" s="3"/>
      <c r="BL678" s="3"/>
      <c r="BM678" s="3"/>
      <c r="BN678" s="3"/>
      <c r="BO678" s="3"/>
      <c r="BT678" s="316">
        <f t="shared" si="52"/>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498"/>
      <c r="H679" s="1498"/>
      <c r="I679" s="1498"/>
      <c r="J679" s="1498"/>
      <c r="K679" s="1498"/>
      <c r="L679" s="1498"/>
      <c r="O679" s="33" t="s">
        <v>207</v>
      </c>
      <c r="P679" s="1517"/>
      <c r="Q679" s="1517"/>
      <c r="R679" s="1517"/>
      <c r="T679" s="22"/>
      <c r="U679" t="s">
        <v>317</v>
      </c>
      <c r="Z679" s="1498"/>
      <c r="AA679" s="1498"/>
      <c r="AB679" s="1498"/>
      <c r="AC679" s="1498"/>
      <c r="AD679" s="1498"/>
      <c r="AE679" s="1498"/>
      <c r="AH679" s="33" t="s">
        <v>207</v>
      </c>
      <c r="AI679" s="1517"/>
      <c r="AJ679" s="1517"/>
      <c r="AK679" s="1517"/>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486"/>
      <c r="I680" s="1486"/>
      <c r="J680" s="1486"/>
      <c r="K680" s="1486"/>
      <c r="L680" s="1486"/>
      <c r="M680" s="1486"/>
      <c r="N680" s="1486"/>
      <c r="O680" s="1486"/>
      <c r="P680" s="1486"/>
      <c r="Q680" s="1486"/>
      <c r="R680" s="1486"/>
      <c r="T680" s="22"/>
      <c r="U680" t="s">
        <v>18</v>
      </c>
      <c r="AA680" s="1486"/>
      <c r="AB680" s="1486"/>
      <c r="AC680" s="1486"/>
      <c r="AD680" s="1486"/>
      <c r="AE680" s="1486"/>
      <c r="AF680" s="1486"/>
      <c r="AG680" s="1486"/>
      <c r="AH680" s="1486"/>
      <c r="AI680" s="1486"/>
      <c r="AJ680" s="1486"/>
      <c r="AK680" s="1486"/>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484" t="s">
        <v>678</v>
      </c>
      <c r="O681" s="1484"/>
      <c r="T681" s="22"/>
      <c r="U681" t="s">
        <v>20</v>
      </c>
      <c r="AG681" s="1484" t="s">
        <v>678</v>
      </c>
      <c r="AH681" s="1484"/>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472</v>
      </c>
      <c r="G683" s="1499">
        <f>C637</f>
        <v>0</v>
      </c>
      <c r="H683" s="1499"/>
      <c r="I683" s="1499"/>
      <c r="J683" s="1499"/>
      <c r="K683" s="1499"/>
      <c r="L683" s="1499"/>
      <c r="M683" s="1499"/>
      <c r="N683" s="1499"/>
      <c r="O683" s="1499"/>
      <c r="P683" s="1499"/>
      <c r="Q683" s="1499"/>
      <c r="R683" s="1499"/>
      <c r="T683" s="55" t="s">
        <v>364</v>
      </c>
      <c r="U683" t="s">
        <v>472</v>
      </c>
      <c r="Z683" s="1499">
        <f>C638</f>
        <v>0</v>
      </c>
      <c r="AA683" s="1499"/>
      <c r="AB683" s="1499"/>
      <c r="AC683" s="1499"/>
      <c r="AD683" s="1499"/>
      <c r="AE683" s="1499"/>
      <c r="AF683" s="1499"/>
      <c r="AG683" s="1499"/>
      <c r="AH683" s="1499"/>
      <c r="AI683" s="1499"/>
      <c r="AJ683" s="1499"/>
      <c r="AK683" s="1499"/>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486"/>
      <c r="H684" s="1486"/>
      <c r="I684" s="1486"/>
      <c r="J684" s="1486"/>
      <c r="K684" s="1486"/>
      <c r="L684" s="1486"/>
      <c r="M684" s="1486"/>
      <c r="N684" s="1486"/>
      <c r="O684" s="1486"/>
      <c r="P684" s="1486"/>
      <c r="Q684" s="1486"/>
      <c r="R684" s="1486"/>
      <c r="T684" s="22"/>
      <c r="U684" t="s">
        <v>85</v>
      </c>
      <c r="Z684" s="1486"/>
      <c r="AA684" s="1486"/>
      <c r="AB684" s="1486"/>
      <c r="AC684" s="1486"/>
      <c r="AD684" s="1486"/>
      <c r="AE684" s="1486"/>
      <c r="AF684" s="1486"/>
      <c r="AG684" s="1486"/>
      <c r="AH684" s="1486"/>
      <c r="AI684" s="1486"/>
      <c r="AJ684" s="1486"/>
      <c r="AK684" s="1486"/>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589</v>
      </c>
      <c r="G685" s="1486"/>
      <c r="H685" s="1486"/>
      <c r="I685" s="1486"/>
      <c r="J685" s="1486"/>
      <c r="K685" s="1486"/>
      <c r="L685" s="1486"/>
      <c r="M685" s="1486"/>
      <c r="N685" s="1486"/>
      <c r="O685" s="1486"/>
      <c r="P685" s="1486"/>
      <c r="Q685" s="1486"/>
      <c r="R685" s="1486"/>
      <c r="U685" t="s">
        <v>589</v>
      </c>
      <c r="Z685" s="1514"/>
      <c r="AA685" s="1514"/>
      <c r="AB685" s="1514"/>
      <c r="AC685" s="1514"/>
      <c r="AD685" s="1514"/>
      <c r="AE685" s="1514"/>
      <c r="AF685" s="1514"/>
      <c r="AG685" s="1514"/>
      <c r="AH685" s="1514"/>
      <c r="AI685" s="1514"/>
      <c r="AJ685" s="1514"/>
      <c r="AK685" s="1514"/>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486"/>
      <c r="H686" s="1486"/>
      <c r="I686" s="1486"/>
      <c r="J686" s="1486"/>
      <c r="K686" s="1486"/>
      <c r="L686" s="1486"/>
      <c r="M686" s="1486"/>
      <c r="N686" s="1486"/>
      <c r="O686" s="1486"/>
      <c r="P686" s="1486"/>
      <c r="Q686" s="1486"/>
      <c r="R686" s="1486"/>
      <c r="U686" t="s">
        <v>17</v>
      </c>
      <c r="Z686" s="1514"/>
      <c r="AA686" s="1514"/>
      <c r="AB686" s="1514"/>
      <c r="AC686" s="1514"/>
      <c r="AD686" s="1514"/>
      <c r="AE686" s="1514"/>
      <c r="AF686" s="1514"/>
      <c r="AG686" s="1514"/>
      <c r="AH686" s="1514"/>
      <c r="AI686" s="1514"/>
      <c r="AJ686" s="1514"/>
      <c r="AK686" s="1514"/>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498"/>
      <c r="H687" s="1498"/>
      <c r="I687" s="1498"/>
      <c r="J687" s="1498"/>
      <c r="K687" s="1498"/>
      <c r="L687" s="1498"/>
      <c r="O687" s="33" t="s">
        <v>207</v>
      </c>
      <c r="P687" s="1517"/>
      <c r="Q687" s="1517"/>
      <c r="R687" s="1517"/>
      <c r="U687" t="s">
        <v>317</v>
      </c>
      <c r="Z687" s="1498"/>
      <c r="AA687" s="1498"/>
      <c r="AB687" s="1498"/>
      <c r="AC687" s="1498"/>
      <c r="AD687" s="1498"/>
      <c r="AE687" s="1498"/>
      <c r="AH687" s="33" t="s">
        <v>207</v>
      </c>
      <c r="AI687" s="1517"/>
      <c r="AJ687" s="1517"/>
      <c r="AK687" s="1517"/>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486"/>
      <c r="I688" s="1486"/>
      <c r="J688" s="1486"/>
      <c r="K688" s="1486"/>
      <c r="L688" s="1486"/>
      <c r="M688" s="1486"/>
      <c r="N688" s="1486"/>
      <c r="O688" s="1486"/>
      <c r="P688" s="1486"/>
      <c r="Q688" s="1486"/>
      <c r="R688" s="1486"/>
      <c r="U688" t="s">
        <v>18</v>
      </c>
      <c r="AA688" s="1486"/>
      <c r="AB688" s="1486"/>
      <c r="AC688" s="1486"/>
      <c r="AD688" s="1486"/>
      <c r="AE688" s="1486"/>
      <c r="AF688" s="1486"/>
      <c r="AG688" s="1486"/>
      <c r="AH688" s="1486"/>
      <c r="AI688" s="1486"/>
      <c r="AJ688" s="1486"/>
      <c r="AK688" s="1486"/>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484" t="s">
        <v>678</v>
      </c>
      <c r="O689" s="1484"/>
      <c r="U689" t="s">
        <v>20</v>
      </c>
      <c r="AG689" s="1484" t="s">
        <v>678</v>
      </c>
      <c r="AH689" s="1484"/>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585</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484" t="s">
        <v>554</v>
      </c>
      <c r="AF693" s="1484"/>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484" t="s">
        <v>554</v>
      </c>
      <c r="AF694" s="1484"/>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940</v>
      </c>
      <c r="E695" s="135"/>
      <c r="F695" s="135"/>
      <c r="G695" s="135"/>
      <c r="H695" s="135"/>
      <c r="AE695" s="1557">
        <v>45405</v>
      </c>
      <c r="AF695" s="1557"/>
      <c r="AG695" s="1557"/>
      <c r="AH695" s="1557"/>
      <c r="AI695" s="1557"/>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1003</v>
      </c>
      <c r="E696" s="135"/>
      <c r="F696" s="135"/>
      <c r="G696" s="135"/>
      <c r="H696" s="135"/>
      <c r="AE696" s="1548">
        <v>45511</v>
      </c>
      <c r="AF696" s="1548"/>
      <c r="AG696" s="1548"/>
      <c r="AH696" s="1548"/>
      <c r="AI696" s="1548"/>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826</v>
      </c>
      <c r="E698" s="135"/>
      <c r="F698" s="135"/>
      <c r="G698" s="135"/>
      <c r="H698" s="135"/>
      <c r="AE698" s="1557">
        <v>45603</v>
      </c>
      <c r="AF698" s="1557"/>
      <c r="AG698" s="1557"/>
      <c r="AH698" s="1557"/>
      <c r="AI698" s="1557"/>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797">
        <v>0.5454</v>
      </c>
      <c r="AF699" s="1797"/>
      <c r="AG699" s="1797"/>
      <c r="AH699" s="1797"/>
      <c r="AI699" s="1797"/>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499" t="str">
        <f>H335</f>
        <v>County of Los Angeles</v>
      </c>
      <c r="X700" s="1499"/>
      <c r="Y700" s="1499"/>
      <c r="Z700" s="1499"/>
      <c r="AA700" s="1499"/>
      <c r="AB700" s="1499"/>
      <c r="AC700" s="1499"/>
      <c r="AD700" s="1499"/>
      <c r="AE700" s="1499"/>
      <c r="AF700" s="1499"/>
      <c r="AG700" s="1499"/>
      <c r="AH700" s="1499"/>
      <c r="AI700" s="1499"/>
      <c r="AJ700" s="1499"/>
      <c r="AK700" s="1499"/>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484" t="s">
        <v>678</v>
      </c>
      <c r="AF702" s="1484"/>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445</v>
      </c>
      <c r="E703" s="135"/>
      <c r="F703" s="135"/>
      <c r="G703" s="135"/>
      <c r="H703" s="135"/>
      <c r="W703" s="1486"/>
      <c r="X703" s="1486"/>
      <c r="Y703" s="1486"/>
      <c r="Z703" s="1486"/>
      <c r="AA703" s="1486"/>
      <c r="AB703" s="1486"/>
      <c r="AC703" s="1486"/>
      <c r="AD703" s="1486"/>
      <c r="AE703" s="1486"/>
      <c r="AF703" s="1486"/>
      <c r="AG703" s="1486"/>
      <c r="AH703" s="1486"/>
      <c r="AI703" s="1486"/>
      <c r="AJ703" s="1486"/>
      <c r="AK703" s="1486"/>
      <c r="AZ703" s="34"/>
      <c r="BA703" s="34"/>
      <c r="BB703" s="34"/>
      <c r="BC703" s="34"/>
      <c r="BD703" s="34"/>
      <c r="BE703" s="3"/>
      <c r="BF703" s="312" t="s">
        <v>915</v>
      </c>
      <c r="BG703" s="321">
        <f>SUM(BG668:BG702)</f>
        <v>49</v>
      </c>
      <c r="BH703" s="322">
        <f>SUM(BH668:BH702)</f>
        <v>1</v>
      </c>
      <c r="BI703" s="322">
        <f>SUM(BI668:BI702)</f>
        <v>0.35714285714285715</v>
      </c>
      <c r="BN703" s="3"/>
      <c r="BO703" s="3"/>
      <c r="BT703" s="893">
        <f>SUM(BT668:BT702)</f>
        <v>49</v>
      </c>
      <c r="BU703" s="322">
        <f>SUM(BU668:BU702)</f>
        <v>1</v>
      </c>
      <c r="BV703" s="322">
        <f>SUM(BV668:BV702)</f>
        <v>0.35712991388876186</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486"/>
      <c r="K704" s="1486"/>
      <c r="L704" s="1486"/>
      <c r="M704" s="1486"/>
      <c r="N704" s="1486"/>
      <c r="O704" s="1486"/>
      <c r="P704" s="1486"/>
      <c r="Q704" s="1486"/>
      <c r="R704" s="1486"/>
      <c r="S704" s="1486"/>
      <c r="T704" s="1486"/>
      <c r="U704" s="1486"/>
      <c r="V704" s="1486"/>
      <c r="W704" s="1486"/>
      <c r="X704" s="1486"/>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498"/>
      <c r="K705" s="1498"/>
      <c r="L705" s="1498"/>
      <c r="M705" s="1498"/>
      <c r="N705" s="1498"/>
      <c r="O705" s="1498"/>
      <c r="P705" s="4" t="s">
        <v>207</v>
      </c>
      <c r="Q705" s="4"/>
      <c r="R705" s="1517"/>
      <c r="S705" s="1517"/>
      <c r="T705" s="1517"/>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446</v>
      </c>
      <c r="W706" s="1486" t="s">
        <v>308</v>
      </c>
      <c r="X706" s="1486"/>
      <c r="Y706" s="1486"/>
      <c r="Z706" s="1486"/>
      <c r="AA706" s="1486"/>
      <c r="AB706" s="1486"/>
      <c r="AC706" s="1486"/>
      <c r="AD706" s="1486"/>
      <c r="AE706" s="1486"/>
      <c r="AF706" s="1486"/>
      <c r="AG706" s="1486"/>
      <c r="AH706" s="1486"/>
      <c r="AI706" s="1486"/>
      <c r="AJ706" s="1486"/>
      <c r="AK706" s="1486"/>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486" t="s">
        <v>335</v>
      </c>
      <c r="F707" s="1486"/>
      <c r="G707" s="1486"/>
      <c r="H707" s="1486"/>
      <c r="I707" s="1486"/>
      <c r="J707" s="1486"/>
      <c r="K707" s="1486"/>
      <c r="L707" s="1486"/>
      <c r="M707" s="1486"/>
      <c r="N707" s="1486"/>
      <c r="O707" s="1486"/>
      <c r="P707" s="1486"/>
      <c r="Q707" s="1486"/>
      <c r="R707" s="1486"/>
      <c r="S707" s="1486"/>
      <c r="T707" s="1486"/>
      <c r="U707" s="1486"/>
      <c r="V707" s="1486"/>
      <c r="W707" s="1486"/>
      <c r="X707" s="1486"/>
      <c r="Y707" s="1486"/>
      <c r="Z707" s="1486"/>
      <c r="AA707" s="1486"/>
      <c r="AB707" s="1486"/>
      <c r="AC707" s="1486"/>
      <c r="AD707" s="1486"/>
      <c r="AE707" s="1486"/>
      <c r="AF707" s="1486"/>
      <c r="AG707" s="1486"/>
      <c r="AH707" s="1486"/>
      <c r="AI707" s="1486"/>
      <c r="AJ707" s="1486"/>
      <c r="AK707" s="1486"/>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3" t="s">
        <v>95</v>
      </c>
      <c r="B709" s="1273"/>
      <c r="C709" s="1273"/>
      <c r="D709" s="1273"/>
      <c r="E709" s="1273"/>
      <c r="F709" s="1273"/>
      <c r="G709" s="1273"/>
      <c r="H709" s="1273"/>
      <c r="I709" s="1273"/>
      <c r="J709" s="1273"/>
      <c r="K709" s="1273"/>
      <c r="L709" s="1273"/>
      <c r="M709" s="1273"/>
      <c r="N709" s="1273"/>
      <c r="O709" s="1273"/>
      <c r="P709" s="1273"/>
      <c r="Q709" s="1273"/>
      <c r="R709" s="1273"/>
      <c r="S709" s="1273"/>
      <c r="T709" s="1273"/>
      <c r="U709" s="1273"/>
      <c r="V709" s="1273"/>
      <c r="W709" s="1273"/>
      <c r="X709" s="1273"/>
      <c r="Y709" s="1273"/>
      <c r="Z709" s="1273"/>
      <c r="AA709" s="1273"/>
      <c r="AB709" s="1273"/>
      <c r="AC709" s="1273"/>
      <c r="AD709" s="1273"/>
      <c r="AE709" s="1273"/>
      <c r="AF709" s="1273"/>
      <c r="AG709" s="1273"/>
      <c r="AH709" s="1273"/>
      <c r="AI709" s="1273"/>
      <c r="AJ709" s="1273"/>
      <c r="AK709" s="1273"/>
      <c r="AL709" s="1273"/>
      <c r="AM709" s="1273"/>
      <c r="AN709" s="1273"/>
      <c r="AO709" s="1273"/>
      <c r="AP709" s="1273"/>
      <c r="AQ709" s="1273"/>
      <c r="AR709" s="1273"/>
      <c r="AS709" s="1273"/>
      <c r="AT709" s="1273"/>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3"/>
      <c r="B710" s="1273"/>
      <c r="C710" s="1273"/>
      <c r="D710" s="1273"/>
      <c r="E710" s="1273"/>
      <c r="F710" s="1273"/>
      <c r="G710" s="1273"/>
      <c r="H710" s="1273"/>
      <c r="I710" s="1273"/>
      <c r="J710" s="1273"/>
      <c r="K710" s="1273"/>
      <c r="L710" s="1273"/>
      <c r="M710" s="1273"/>
      <c r="N710" s="1273"/>
      <c r="O710" s="1273"/>
      <c r="P710" s="1273"/>
      <c r="Q710" s="1273"/>
      <c r="R710" s="1273"/>
      <c r="S710" s="1273"/>
      <c r="T710" s="1273"/>
      <c r="U710" s="1273"/>
      <c r="V710" s="1273"/>
      <c r="W710" s="1273"/>
      <c r="X710" s="1273"/>
      <c r="Y710" s="1273"/>
      <c r="Z710" s="1273"/>
      <c r="AA710" s="1273"/>
      <c r="AB710" s="1273"/>
      <c r="AC710" s="1273"/>
      <c r="AD710" s="1273"/>
      <c r="AE710" s="1273"/>
      <c r="AF710" s="1273"/>
      <c r="AG710" s="1273"/>
      <c r="AH710" s="1273"/>
      <c r="AI710" s="1273"/>
      <c r="AJ710" s="1273"/>
      <c r="AK710" s="1273"/>
      <c r="AL710" s="1273"/>
      <c r="AM710" s="1273"/>
      <c r="AN710" s="1273"/>
      <c r="AO710" s="1273"/>
      <c r="AP710" s="1273"/>
      <c r="AQ710" s="1273"/>
      <c r="AR710" s="1273"/>
      <c r="AS710" s="1273"/>
      <c r="AT710" s="1273"/>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3"/>
      <c r="B711" s="1273"/>
      <c r="C711" s="1273"/>
      <c r="D711" s="1273"/>
      <c r="E711" s="1273"/>
      <c r="F711" s="1273"/>
      <c r="G711" s="1273"/>
      <c r="H711" s="1273"/>
      <c r="I711" s="1273"/>
      <c r="J711" s="1273"/>
      <c r="K711" s="1273"/>
      <c r="L711" s="1273"/>
      <c r="M711" s="1273"/>
      <c r="N711" s="1273"/>
      <c r="O711" s="1273"/>
      <c r="P711" s="1273"/>
      <c r="Q711" s="1273"/>
      <c r="R711" s="1273"/>
      <c r="S711" s="1273"/>
      <c r="T711" s="1273"/>
      <c r="U711" s="1273"/>
      <c r="V711" s="1273"/>
      <c r="W711" s="1273"/>
      <c r="X711" s="1273"/>
      <c r="Y711" s="1273"/>
      <c r="Z711" s="1273"/>
      <c r="AA711" s="1273"/>
      <c r="AB711" s="1273"/>
      <c r="AC711" s="1273"/>
      <c r="AD711" s="1273"/>
      <c r="AE711" s="1273"/>
      <c r="AF711" s="1273"/>
      <c r="AG711" s="1273"/>
      <c r="AH711" s="1273"/>
      <c r="AI711" s="1273"/>
      <c r="AJ711" s="1273"/>
      <c r="AK711" s="1273"/>
      <c r="AL711" s="1273"/>
      <c r="AM711" s="1273"/>
      <c r="AN711" s="1273"/>
      <c r="AO711" s="1273"/>
      <c r="AP711" s="1273"/>
      <c r="AQ711" s="1273"/>
      <c r="AR711" s="1273"/>
      <c r="AS711" s="1273"/>
      <c r="AT711" s="1273"/>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549" t="s">
        <v>390</v>
      </c>
      <c r="C714" s="1540"/>
      <c r="D714" s="1540"/>
      <c r="E714" s="1540"/>
      <c r="F714" s="1541"/>
      <c r="G714" s="1549" t="s">
        <v>286</v>
      </c>
      <c r="H714" s="1540"/>
      <c r="I714" s="1540"/>
      <c r="J714" s="1541"/>
      <c r="K714" s="1787" t="s">
        <v>1869</v>
      </c>
      <c r="L714" s="1788"/>
      <c r="M714" s="1788"/>
      <c r="N714" s="1789"/>
      <c r="O714" s="1549" t="s">
        <v>456</v>
      </c>
      <c r="P714" s="1540"/>
      <c r="Q714" s="1540"/>
      <c r="R714" s="1540"/>
      <c r="S714" s="1541"/>
      <c r="T714" s="1539" t="s">
        <v>2253</v>
      </c>
      <c r="U714" s="1540"/>
      <c r="V714" s="1540"/>
      <c r="W714" s="1541"/>
      <c r="X714" s="1539" t="s">
        <v>2255</v>
      </c>
      <c r="Y714" s="1540"/>
      <c r="Z714" s="1540"/>
      <c r="AA714" s="1540"/>
      <c r="AB714" s="1541"/>
      <c r="AC714" s="1539" t="s">
        <v>2254</v>
      </c>
      <c r="AD714" s="1540"/>
      <c r="AE714" s="1540"/>
      <c r="AF714" s="1540"/>
      <c r="AG714" s="1541"/>
      <c r="AH714" s="1539" t="s">
        <v>2256</v>
      </c>
      <c r="AI714" s="1540"/>
      <c r="AJ714" s="1541"/>
      <c r="AK714" s="1539" t="s">
        <v>2290</v>
      </c>
      <c r="AL714" s="1540"/>
      <c r="AM714" s="1540"/>
      <c r="AN714" s="1540"/>
      <c r="AO714" s="1541"/>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542"/>
      <c r="C715" s="1543"/>
      <c r="D715" s="1543"/>
      <c r="E715" s="1543"/>
      <c r="F715" s="1544"/>
      <c r="G715" s="1542"/>
      <c r="H715" s="1543"/>
      <c r="I715" s="1543"/>
      <c r="J715" s="1544"/>
      <c r="K715" s="1790"/>
      <c r="L715" s="1791"/>
      <c r="M715" s="1791"/>
      <c r="N715" s="1792"/>
      <c r="O715" s="1542"/>
      <c r="P715" s="1543"/>
      <c r="Q715" s="1543"/>
      <c r="R715" s="1543"/>
      <c r="S715" s="1544"/>
      <c r="T715" s="1542"/>
      <c r="U715" s="1543"/>
      <c r="V715" s="1543"/>
      <c r="W715" s="1544"/>
      <c r="X715" s="1542"/>
      <c r="Y715" s="1543"/>
      <c r="Z715" s="1543"/>
      <c r="AA715" s="1543"/>
      <c r="AB715" s="1544"/>
      <c r="AC715" s="1542"/>
      <c r="AD715" s="1543"/>
      <c r="AE715" s="1543"/>
      <c r="AF715" s="1543"/>
      <c r="AG715" s="1544"/>
      <c r="AH715" s="1542"/>
      <c r="AI715" s="1543"/>
      <c r="AJ715" s="1544"/>
      <c r="AK715" s="1542"/>
      <c r="AL715" s="1543"/>
      <c r="AM715" s="1543"/>
      <c r="AN715" s="1543"/>
      <c r="AO715" s="1544"/>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542"/>
      <c r="C716" s="1543"/>
      <c r="D716" s="1543"/>
      <c r="E716" s="1543"/>
      <c r="F716" s="1544"/>
      <c r="G716" s="1542"/>
      <c r="H716" s="1543"/>
      <c r="I716" s="1543"/>
      <c r="J716" s="1544"/>
      <c r="K716" s="1790"/>
      <c r="L716" s="1791"/>
      <c r="M716" s="1791"/>
      <c r="N716" s="1792"/>
      <c r="O716" s="1542"/>
      <c r="P716" s="1543"/>
      <c r="Q716" s="1543"/>
      <c r="R716" s="1543"/>
      <c r="S716" s="1544"/>
      <c r="T716" s="1542"/>
      <c r="U716" s="1543"/>
      <c r="V716" s="1543"/>
      <c r="W716" s="1544"/>
      <c r="X716" s="1542"/>
      <c r="Y716" s="1543"/>
      <c r="Z716" s="1543"/>
      <c r="AA716" s="1543"/>
      <c r="AB716" s="1544"/>
      <c r="AC716" s="1542"/>
      <c r="AD716" s="1543"/>
      <c r="AE716" s="1543"/>
      <c r="AF716" s="1543"/>
      <c r="AG716" s="1544"/>
      <c r="AH716" s="1542"/>
      <c r="AI716" s="1543"/>
      <c r="AJ716" s="1544"/>
      <c r="AK716" s="1542"/>
      <c r="AL716" s="1543"/>
      <c r="AM716" s="1543"/>
      <c r="AN716" s="1543"/>
      <c r="AO716" s="1544"/>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545"/>
      <c r="C717" s="1546"/>
      <c r="D717" s="1546"/>
      <c r="E717" s="1546"/>
      <c r="F717" s="1547"/>
      <c r="G717" s="1545"/>
      <c r="H717" s="1546"/>
      <c r="I717" s="1546"/>
      <c r="J717" s="1547"/>
      <c r="K717" s="1790"/>
      <c r="L717" s="1791"/>
      <c r="M717" s="1791"/>
      <c r="N717" s="1792"/>
      <c r="O717" s="1545"/>
      <c r="P717" s="1546"/>
      <c r="Q717" s="1546"/>
      <c r="R717" s="1546"/>
      <c r="S717" s="1547"/>
      <c r="T717" s="1545"/>
      <c r="U717" s="1546"/>
      <c r="V717" s="1546"/>
      <c r="W717" s="1547"/>
      <c r="X717" s="1545"/>
      <c r="Y717" s="1546"/>
      <c r="Z717" s="1546"/>
      <c r="AA717" s="1546"/>
      <c r="AB717" s="1547"/>
      <c r="AC717" s="1545"/>
      <c r="AD717" s="1546"/>
      <c r="AE717" s="1546"/>
      <c r="AF717" s="1546"/>
      <c r="AG717" s="1547"/>
      <c r="AH717" s="1545"/>
      <c r="AI717" s="1546"/>
      <c r="AJ717" s="1547"/>
      <c r="AK717" s="1545"/>
      <c r="AL717" s="1546"/>
      <c r="AM717" s="1546"/>
      <c r="AN717" s="1546"/>
      <c r="AO717" s="1547"/>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90" t="s">
        <v>326</v>
      </c>
      <c r="C718" s="1391"/>
      <c r="D718" s="1391"/>
      <c r="E718" s="1391"/>
      <c r="F718" s="1392"/>
      <c r="G718" s="1459">
        <v>20</v>
      </c>
      <c r="H718" s="1460"/>
      <c r="I718" s="1460"/>
      <c r="J718" s="1461"/>
      <c r="K718" s="1428">
        <v>603</v>
      </c>
      <c r="L718" s="1429"/>
      <c r="M718" s="1429"/>
      <c r="N718" s="1430"/>
      <c r="O718" s="1425">
        <f>709-T718</f>
        <v>628</v>
      </c>
      <c r="P718" s="1426"/>
      <c r="Q718" s="1426"/>
      <c r="R718" s="1426"/>
      <c r="S718" s="1427"/>
      <c r="T718" s="1425">
        <f>Q832</f>
        <v>81</v>
      </c>
      <c r="U718" s="1426"/>
      <c r="V718" s="1426"/>
      <c r="W718" s="1427"/>
      <c r="X718" s="1554">
        <f t="shared" ref="X718:X741" si="59">O718+T718</f>
        <v>709</v>
      </c>
      <c r="Y718" s="1555"/>
      <c r="Z718" s="1555"/>
      <c r="AA718" s="1555"/>
      <c r="AB718" s="1556"/>
      <c r="AC718" s="1418">
        <v>0.3</v>
      </c>
      <c r="AD718" s="1419"/>
      <c r="AE718" s="1419"/>
      <c r="AF718" s="1419"/>
      <c r="AG718" s="1420"/>
      <c r="AH718" s="1462">
        <f t="shared" ref="AH718:AH751" si="60">IF($AC718&gt;0,($X718/$BA667), "")</f>
        <v>0.29991539763113367</v>
      </c>
      <c r="AI718" s="1463"/>
      <c r="AJ718" s="1464"/>
      <c r="AK718" s="1390" t="s">
        <v>1068</v>
      </c>
      <c r="AL718" s="1391"/>
      <c r="AM718" s="1391"/>
      <c r="AN718" s="1391"/>
      <c r="AO718" s="1392"/>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90" t="s">
        <v>163</v>
      </c>
      <c r="C719" s="1391"/>
      <c r="D719" s="1391"/>
      <c r="E719" s="1391"/>
      <c r="F719" s="1392"/>
      <c r="G719" s="1459">
        <v>15</v>
      </c>
      <c r="H719" s="1460"/>
      <c r="I719" s="1460"/>
      <c r="J719" s="1461"/>
      <c r="K719" s="1428">
        <v>783</v>
      </c>
      <c r="L719" s="1429"/>
      <c r="M719" s="1429"/>
      <c r="N719" s="1430"/>
      <c r="O719" s="1425">
        <f>851-T719</f>
        <v>748</v>
      </c>
      <c r="P719" s="1426"/>
      <c r="Q719" s="1426"/>
      <c r="R719" s="1426"/>
      <c r="S719" s="1427"/>
      <c r="T719" s="1425">
        <f>U832</f>
        <v>103</v>
      </c>
      <c r="U719" s="1426"/>
      <c r="V719" s="1426"/>
      <c r="W719" s="1427"/>
      <c r="X719" s="1554">
        <f t="shared" si="59"/>
        <v>851</v>
      </c>
      <c r="Y719" s="1555"/>
      <c r="Z719" s="1555"/>
      <c r="AA719" s="1555"/>
      <c r="AB719" s="1556"/>
      <c r="AC719" s="1418">
        <v>0.3</v>
      </c>
      <c r="AD719" s="1419"/>
      <c r="AE719" s="1419"/>
      <c r="AF719" s="1419"/>
      <c r="AG719" s="1420"/>
      <c r="AH719" s="1462">
        <f t="shared" si="60"/>
        <v>0.30007052186177713</v>
      </c>
      <c r="AI719" s="1463"/>
      <c r="AJ719" s="1464"/>
      <c r="AK719" s="1390" t="s">
        <v>1068</v>
      </c>
      <c r="AL719" s="1391"/>
      <c r="AM719" s="1391"/>
      <c r="AN719" s="1391"/>
      <c r="AO719" s="1392"/>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90" t="s">
        <v>326</v>
      </c>
      <c r="C720" s="1391"/>
      <c r="D720" s="1391"/>
      <c r="E720" s="1391"/>
      <c r="F720" s="1392"/>
      <c r="G720" s="1459">
        <v>10</v>
      </c>
      <c r="H720" s="1460"/>
      <c r="I720" s="1460"/>
      <c r="J720" s="1461"/>
      <c r="K720" s="1428">
        <v>603</v>
      </c>
      <c r="L720" s="1429"/>
      <c r="M720" s="1429"/>
      <c r="N720" s="1430"/>
      <c r="O720" s="1425">
        <f>1182-T720</f>
        <v>1101</v>
      </c>
      <c r="P720" s="1426"/>
      <c r="Q720" s="1426"/>
      <c r="R720" s="1426"/>
      <c r="S720" s="1427"/>
      <c r="T720" s="1425">
        <f>T718</f>
        <v>81</v>
      </c>
      <c r="U720" s="1426"/>
      <c r="V720" s="1426"/>
      <c r="W720" s="1427"/>
      <c r="X720" s="1554">
        <f t="shared" si="59"/>
        <v>1182</v>
      </c>
      <c r="Y720" s="1555"/>
      <c r="Z720" s="1555"/>
      <c r="AA720" s="1555"/>
      <c r="AB720" s="1556"/>
      <c r="AC720" s="1418">
        <v>0.5</v>
      </c>
      <c r="AD720" s="1419"/>
      <c r="AE720" s="1419"/>
      <c r="AF720" s="1419"/>
      <c r="AG720" s="1420"/>
      <c r="AH720" s="1462">
        <f t="shared" si="60"/>
        <v>0.5</v>
      </c>
      <c r="AI720" s="1463"/>
      <c r="AJ720" s="1464"/>
      <c r="AK720" s="1390" t="s">
        <v>600</v>
      </c>
      <c r="AL720" s="1391"/>
      <c r="AM720" s="1391"/>
      <c r="AN720" s="1391"/>
      <c r="AO720" s="1392"/>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90" t="s">
        <v>163</v>
      </c>
      <c r="C721" s="1391"/>
      <c r="D721" s="1391"/>
      <c r="E721" s="1391"/>
      <c r="F721" s="1392"/>
      <c r="G721" s="1459">
        <v>4</v>
      </c>
      <c r="H721" s="1460"/>
      <c r="I721" s="1460"/>
      <c r="J721" s="1461"/>
      <c r="K721" s="1428">
        <v>783</v>
      </c>
      <c r="L721" s="1429"/>
      <c r="M721" s="1429"/>
      <c r="N721" s="1430"/>
      <c r="O721" s="1425">
        <f>1418-T721</f>
        <v>1315</v>
      </c>
      <c r="P721" s="1426"/>
      <c r="Q721" s="1426"/>
      <c r="R721" s="1426"/>
      <c r="S721" s="1427"/>
      <c r="T721" s="1425">
        <f>T719</f>
        <v>103</v>
      </c>
      <c r="U721" s="1426"/>
      <c r="V721" s="1426"/>
      <c r="W721" s="1427"/>
      <c r="X721" s="1554">
        <f t="shared" si="59"/>
        <v>1418</v>
      </c>
      <c r="Y721" s="1555"/>
      <c r="Z721" s="1555"/>
      <c r="AA721" s="1555"/>
      <c r="AB721" s="1556"/>
      <c r="AC721" s="1418">
        <v>0.5</v>
      </c>
      <c r="AD721" s="1419"/>
      <c r="AE721" s="1419"/>
      <c r="AF721" s="1419"/>
      <c r="AG721" s="1420"/>
      <c r="AH721" s="1462">
        <f t="shared" si="60"/>
        <v>0.5</v>
      </c>
      <c r="AI721" s="1463"/>
      <c r="AJ721" s="1464"/>
      <c r="AK721" s="1390" t="s">
        <v>600</v>
      </c>
      <c r="AL721" s="1391"/>
      <c r="AM721" s="1391"/>
      <c r="AN721" s="1391"/>
      <c r="AO721" s="1392"/>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90"/>
      <c r="C722" s="1391"/>
      <c r="D722" s="1391"/>
      <c r="E722" s="1391"/>
      <c r="F722" s="1392"/>
      <c r="G722" s="1459"/>
      <c r="H722" s="1460"/>
      <c r="I722" s="1460"/>
      <c r="J722" s="1461"/>
      <c r="K722" s="1428"/>
      <c r="L722" s="1429"/>
      <c r="M722" s="1429"/>
      <c r="N722" s="1430"/>
      <c r="O722" s="1425"/>
      <c r="P722" s="1426"/>
      <c r="Q722" s="1426"/>
      <c r="R722" s="1426"/>
      <c r="S722" s="1427"/>
      <c r="T722" s="1425"/>
      <c r="U722" s="1426"/>
      <c r="V722" s="1426"/>
      <c r="W722" s="1427"/>
      <c r="X722" s="1554">
        <f t="shared" si="59"/>
        <v>0</v>
      </c>
      <c r="Y722" s="1555"/>
      <c r="Z722" s="1555"/>
      <c r="AA722" s="1555"/>
      <c r="AB722" s="1556"/>
      <c r="AC722" s="1418"/>
      <c r="AD722" s="1419"/>
      <c r="AE722" s="1419"/>
      <c r="AF722" s="1419"/>
      <c r="AG722" s="1420"/>
      <c r="AH722" s="1462" t="str">
        <f t="shared" si="60"/>
        <v/>
      </c>
      <c r="AI722" s="1463"/>
      <c r="AJ722" s="1464"/>
      <c r="AK722" s="1390" t="s">
        <v>600</v>
      </c>
      <c r="AL722" s="1391"/>
      <c r="AM722" s="1391"/>
      <c r="AN722" s="1391"/>
      <c r="AO722" s="1392"/>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90"/>
      <c r="C723" s="1391"/>
      <c r="D723" s="1391"/>
      <c r="E723" s="1391"/>
      <c r="F723" s="1392"/>
      <c r="G723" s="1459"/>
      <c r="H723" s="1460"/>
      <c r="I723" s="1460"/>
      <c r="J723" s="1461"/>
      <c r="K723" s="1428"/>
      <c r="L723" s="1429"/>
      <c r="M723" s="1429"/>
      <c r="N723" s="1430"/>
      <c r="O723" s="1425"/>
      <c r="P723" s="1426"/>
      <c r="Q723" s="1426"/>
      <c r="R723" s="1426"/>
      <c r="S723" s="1427"/>
      <c r="T723" s="1425"/>
      <c r="U723" s="1426"/>
      <c r="V723" s="1426"/>
      <c r="W723" s="1427"/>
      <c r="X723" s="1554">
        <f t="shared" si="59"/>
        <v>0</v>
      </c>
      <c r="Y723" s="1555"/>
      <c r="Z723" s="1555"/>
      <c r="AA723" s="1555"/>
      <c r="AB723" s="1556"/>
      <c r="AC723" s="1418"/>
      <c r="AD723" s="1419"/>
      <c r="AE723" s="1419"/>
      <c r="AF723" s="1419"/>
      <c r="AG723" s="1420"/>
      <c r="AH723" s="1462" t="str">
        <f t="shared" si="60"/>
        <v/>
      </c>
      <c r="AI723" s="1463"/>
      <c r="AJ723" s="1464"/>
      <c r="AK723" s="1390" t="s">
        <v>600</v>
      </c>
      <c r="AL723" s="1391"/>
      <c r="AM723" s="1391"/>
      <c r="AN723" s="1391"/>
      <c r="AO723" s="1392"/>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90"/>
      <c r="C724" s="1391"/>
      <c r="D724" s="1391"/>
      <c r="E724" s="1391"/>
      <c r="F724" s="1392"/>
      <c r="G724" s="1459"/>
      <c r="H724" s="1460"/>
      <c r="I724" s="1460"/>
      <c r="J724" s="1461"/>
      <c r="K724" s="1428"/>
      <c r="L724" s="1429"/>
      <c r="M724" s="1429"/>
      <c r="N724" s="1430"/>
      <c r="O724" s="1425"/>
      <c r="P724" s="1426"/>
      <c r="Q724" s="1426"/>
      <c r="R724" s="1426"/>
      <c r="S724" s="1427"/>
      <c r="T724" s="1425"/>
      <c r="U724" s="1426"/>
      <c r="V724" s="1426"/>
      <c r="W724" s="1427"/>
      <c r="X724" s="1554">
        <f t="shared" si="59"/>
        <v>0</v>
      </c>
      <c r="Y724" s="1555"/>
      <c r="Z724" s="1555"/>
      <c r="AA724" s="1555"/>
      <c r="AB724" s="1556"/>
      <c r="AC724" s="1418"/>
      <c r="AD724" s="1419"/>
      <c r="AE724" s="1419"/>
      <c r="AF724" s="1419"/>
      <c r="AG724" s="1420"/>
      <c r="AH724" s="1462" t="str">
        <f t="shared" si="60"/>
        <v/>
      </c>
      <c r="AI724" s="1463"/>
      <c r="AJ724" s="1464"/>
      <c r="AK724" s="1390" t="s">
        <v>600</v>
      </c>
      <c r="AL724" s="1391"/>
      <c r="AM724" s="1391"/>
      <c r="AN724" s="1391"/>
      <c r="AO724" s="1392"/>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90"/>
      <c r="C725" s="1391"/>
      <c r="D725" s="1391"/>
      <c r="E725" s="1391"/>
      <c r="F725" s="1392"/>
      <c r="G725" s="1459"/>
      <c r="H725" s="1460"/>
      <c r="I725" s="1460"/>
      <c r="J725" s="1461"/>
      <c r="K725" s="1428"/>
      <c r="L725" s="1429"/>
      <c r="M725" s="1429"/>
      <c r="N725" s="1430"/>
      <c r="O725" s="1425"/>
      <c r="P725" s="1426"/>
      <c r="Q725" s="1426"/>
      <c r="R725" s="1426"/>
      <c r="S725" s="1427"/>
      <c r="T725" s="1425"/>
      <c r="U725" s="1426"/>
      <c r="V725" s="1426"/>
      <c r="W725" s="1427"/>
      <c r="X725" s="1554">
        <f t="shared" si="59"/>
        <v>0</v>
      </c>
      <c r="Y725" s="1555"/>
      <c r="Z725" s="1555"/>
      <c r="AA725" s="1555"/>
      <c r="AB725" s="1556"/>
      <c r="AC725" s="1418"/>
      <c r="AD725" s="1419"/>
      <c r="AE725" s="1419"/>
      <c r="AF725" s="1419"/>
      <c r="AG725" s="1420"/>
      <c r="AH725" s="1462" t="str">
        <f t="shared" si="60"/>
        <v/>
      </c>
      <c r="AI725" s="1463"/>
      <c r="AJ725" s="1464"/>
      <c r="AK725" s="1390" t="s">
        <v>600</v>
      </c>
      <c r="AL725" s="1391"/>
      <c r="AM725" s="1391"/>
      <c r="AN725" s="1391"/>
      <c r="AO725" s="1392"/>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90"/>
      <c r="C726" s="1391"/>
      <c r="D726" s="1391"/>
      <c r="E726" s="1391"/>
      <c r="F726" s="1392"/>
      <c r="G726" s="1459"/>
      <c r="H726" s="1460"/>
      <c r="I726" s="1460"/>
      <c r="J726" s="1461"/>
      <c r="K726" s="1428"/>
      <c r="L726" s="1429"/>
      <c r="M726" s="1429"/>
      <c r="N726" s="1430"/>
      <c r="O726" s="1425"/>
      <c r="P726" s="1426"/>
      <c r="Q726" s="1426"/>
      <c r="R726" s="1426"/>
      <c r="S726" s="1427"/>
      <c r="T726" s="1425"/>
      <c r="U726" s="1426"/>
      <c r="V726" s="1426"/>
      <c r="W726" s="1427"/>
      <c r="X726" s="1554">
        <f t="shared" si="59"/>
        <v>0</v>
      </c>
      <c r="Y726" s="1555"/>
      <c r="Z726" s="1555"/>
      <c r="AA726" s="1555"/>
      <c r="AB726" s="1556"/>
      <c r="AC726" s="1418"/>
      <c r="AD726" s="1419"/>
      <c r="AE726" s="1419"/>
      <c r="AF726" s="1419"/>
      <c r="AG726" s="1420"/>
      <c r="AH726" s="1462" t="str">
        <f t="shared" si="60"/>
        <v/>
      </c>
      <c r="AI726" s="1463"/>
      <c r="AJ726" s="1464"/>
      <c r="AK726" s="1390" t="s">
        <v>600</v>
      </c>
      <c r="AL726" s="1391"/>
      <c r="AM726" s="1391"/>
      <c r="AN726" s="1391"/>
      <c r="AO726" s="1392"/>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90"/>
      <c r="C727" s="1391"/>
      <c r="D727" s="1391"/>
      <c r="E727" s="1391"/>
      <c r="F727" s="1392"/>
      <c r="G727" s="1459"/>
      <c r="H727" s="1460"/>
      <c r="I727" s="1460"/>
      <c r="J727" s="1461"/>
      <c r="K727" s="1428"/>
      <c r="L727" s="1429"/>
      <c r="M727" s="1429"/>
      <c r="N727" s="1430"/>
      <c r="O727" s="1425"/>
      <c r="P727" s="1426"/>
      <c r="Q727" s="1426"/>
      <c r="R727" s="1426"/>
      <c r="S727" s="1427"/>
      <c r="T727" s="1425"/>
      <c r="U727" s="1426"/>
      <c r="V727" s="1426"/>
      <c r="W727" s="1427"/>
      <c r="X727" s="1554">
        <f t="shared" si="59"/>
        <v>0</v>
      </c>
      <c r="Y727" s="1555"/>
      <c r="Z727" s="1555"/>
      <c r="AA727" s="1555"/>
      <c r="AB727" s="1556"/>
      <c r="AC727" s="1418"/>
      <c r="AD727" s="1419"/>
      <c r="AE727" s="1419"/>
      <c r="AF727" s="1419"/>
      <c r="AG727" s="1420"/>
      <c r="AH727" s="1462" t="str">
        <f t="shared" si="60"/>
        <v/>
      </c>
      <c r="AI727" s="1463"/>
      <c r="AJ727" s="1464"/>
      <c r="AK727" s="1390" t="s">
        <v>600</v>
      </c>
      <c r="AL727" s="1391"/>
      <c r="AM727" s="1391"/>
      <c r="AN727" s="1391"/>
      <c r="AO727" s="1392"/>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90"/>
      <c r="C728" s="1391"/>
      <c r="D728" s="1391"/>
      <c r="E728" s="1391"/>
      <c r="F728" s="1392"/>
      <c r="G728" s="1459"/>
      <c r="H728" s="1460"/>
      <c r="I728" s="1460"/>
      <c r="J728" s="1461"/>
      <c r="K728" s="1428"/>
      <c r="L728" s="1429"/>
      <c r="M728" s="1429"/>
      <c r="N728" s="1430"/>
      <c r="O728" s="1425"/>
      <c r="P728" s="1426"/>
      <c r="Q728" s="1426"/>
      <c r="R728" s="1426"/>
      <c r="S728" s="1427"/>
      <c r="T728" s="1425"/>
      <c r="U728" s="1426"/>
      <c r="V728" s="1426"/>
      <c r="W728" s="1427"/>
      <c r="X728" s="1554">
        <f t="shared" si="59"/>
        <v>0</v>
      </c>
      <c r="Y728" s="1555"/>
      <c r="Z728" s="1555"/>
      <c r="AA728" s="1555"/>
      <c r="AB728" s="1556"/>
      <c r="AC728" s="1418"/>
      <c r="AD728" s="1419"/>
      <c r="AE728" s="1419"/>
      <c r="AF728" s="1419"/>
      <c r="AG728" s="1420"/>
      <c r="AH728" s="1462" t="str">
        <f t="shared" si="60"/>
        <v/>
      </c>
      <c r="AI728" s="1463"/>
      <c r="AJ728" s="1464"/>
      <c r="AK728" s="1390" t="s">
        <v>600</v>
      </c>
      <c r="AL728" s="1391"/>
      <c r="AM728" s="1391"/>
      <c r="AN728" s="1391"/>
      <c r="AO728" s="1392"/>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90"/>
      <c r="C729" s="1391"/>
      <c r="D729" s="1391"/>
      <c r="E729" s="1391"/>
      <c r="F729" s="1392"/>
      <c r="G729" s="1459"/>
      <c r="H729" s="1460"/>
      <c r="I729" s="1460"/>
      <c r="J729" s="1461"/>
      <c r="K729" s="1428"/>
      <c r="L729" s="1429"/>
      <c r="M729" s="1429"/>
      <c r="N729" s="1430"/>
      <c r="O729" s="1425"/>
      <c r="P729" s="1426"/>
      <c r="Q729" s="1426"/>
      <c r="R729" s="1426"/>
      <c r="S729" s="1427"/>
      <c r="T729" s="1425"/>
      <c r="U729" s="1426"/>
      <c r="V729" s="1426"/>
      <c r="W729" s="1427"/>
      <c r="X729" s="1554">
        <f t="shared" si="59"/>
        <v>0</v>
      </c>
      <c r="Y729" s="1555"/>
      <c r="Z729" s="1555"/>
      <c r="AA729" s="1555"/>
      <c r="AB729" s="1556"/>
      <c r="AC729" s="1418"/>
      <c r="AD729" s="1419"/>
      <c r="AE729" s="1419"/>
      <c r="AF729" s="1419"/>
      <c r="AG729" s="1420"/>
      <c r="AH729" s="1462" t="str">
        <f t="shared" si="60"/>
        <v/>
      </c>
      <c r="AI729" s="1463"/>
      <c r="AJ729" s="1464"/>
      <c r="AK729" s="1390" t="s">
        <v>600</v>
      </c>
      <c r="AL729" s="1391"/>
      <c r="AM729" s="1391"/>
      <c r="AN729" s="1391"/>
      <c r="AO729" s="1392"/>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90"/>
      <c r="C730" s="1391"/>
      <c r="D730" s="1391"/>
      <c r="E730" s="1391"/>
      <c r="F730" s="1392"/>
      <c r="G730" s="1459"/>
      <c r="H730" s="1460"/>
      <c r="I730" s="1460"/>
      <c r="J730" s="1461"/>
      <c r="K730" s="1428"/>
      <c r="L730" s="1429"/>
      <c r="M730" s="1429"/>
      <c r="N730" s="1430"/>
      <c r="O730" s="1425"/>
      <c r="P730" s="1426"/>
      <c r="Q730" s="1426"/>
      <c r="R730" s="1426"/>
      <c r="S730" s="1427"/>
      <c r="T730" s="1425"/>
      <c r="U730" s="1426"/>
      <c r="V730" s="1426"/>
      <c r="W730" s="1427"/>
      <c r="X730" s="1554">
        <f t="shared" si="59"/>
        <v>0</v>
      </c>
      <c r="Y730" s="1555"/>
      <c r="Z730" s="1555"/>
      <c r="AA730" s="1555"/>
      <c r="AB730" s="1556"/>
      <c r="AC730" s="1418"/>
      <c r="AD730" s="1419"/>
      <c r="AE730" s="1419"/>
      <c r="AF730" s="1419"/>
      <c r="AG730" s="1420"/>
      <c r="AH730" s="1462" t="str">
        <f t="shared" si="60"/>
        <v/>
      </c>
      <c r="AI730" s="1463"/>
      <c r="AJ730" s="1464"/>
      <c r="AK730" s="1390" t="s">
        <v>600</v>
      </c>
      <c r="AL730" s="1391"/>
      <c r="AM730" s="1391"/>
      <c r="AN730" s="1391"/>
      <c r="AO730" s="1392"/>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90"/>
      <c r="C731" s="1391"/>
      <c r="D731" s="1391"/>
      <c r="E731" s="1391"/>
      <c r="F731" s="1392"/>
      <c r="G731" s="1459"/>
      <c r="H731" s="1460"/>
      <c r="I731" s="1460"/>
      <c r="J731" s="1461"/>
      <c r="K731" s="1428"/>
      <c r="L731" s="1429"/>
      <c r="M731" s="1429"/>
      <c r="N731" s="1430"/>
      <c r="O731" s="1425"/>
      <c r="P731" s="1426"/>
      <c r="Q731" s="1426"/>
      <c r="R731" s="1426"/>
      <c r="S731" s="1427"/>
      <c r="T731" s="1425"/>
      <c r="U731" s="1426"/>
      <c r="V731" s="1426"/>
      <c r="W731" s="1427"/>
      <c r="X731" s="1554">
        <f t="shared" si="59"/>
        <v>0</v>
      </c>
      <c r="Y731" s="1555"/>
      <c r="Z731" s="1555"/>
      <c r="AA731" s="1555"/>
      <c r="AB731" s="1556"/>
      <c r="AC731" s="1418"/>
      <c r="AD731" s="1419"/>
      <c r="AE731" s="1419"/>
      <c r="AF731" s="1419"/>
      <c r="AG731" s="1420"/>
      <c r="AH731" s="1462" t="str">
        <f t="shared" si="60"/>
        <v/>
      </c>
      <c r="AI731" s="1463"/>
      <c r="AJ731" s="1464"/>
      <c r="AK731" s="1390" t="s">
        <v>600</v>
      </c>
      <c r="AL731" s="1391"/>
      <c r="AM731" s="1391"/>
      <c r="AN731" s="1391"/>
      <c r="AO731" s="1392"/>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90"/>
      <c r="C732" s="1391"/>
      <c r="D732" s="1391"/>
      <c r="E732" s="1391"/>
      <c r="F732" s="1392"/>
      <c r="G732" s="1459"/>
      <c r="H732" s="1460"/>
      <c r="I732" s="1460"/>
      <c r="J732" s="1461"/>
      <c r="K732" s="1428"/>
      <c r="L732" s="1429"/>
      <c r="M732" s="1429"/>
      <c r="N732" s="1430"/>
      <c r="O732" s="1425"/>
      <c r="P732" s="1426"/>
      <c r="Q732" s="1426"/>
      <c r="R732" s="1426"/>
      <c r="S732" s="1427"/>
      <c r="T732" s="1425"/>
      <c r="U732" s="1426"/>
      <c r="V732" s="1426"/>
      <c r="W732" s="1427"/>
      <c r="X732" s="1554">
        <f t="shared" si="59"/>
        <v>0</v>
      </c>
      <c r="Y732" s="1555"/>
      <c r="Z732" s="1555"/>
      <c r="AA732" s="1555"/>
      <c r="AB732" s="1556"/>
      <c r="AC732" s="1418"/>
      <c r="AD732" s="1419"/>
      <c r="AE732" s="1419"/>
      <c r="AF732" s="1419"/>
      <c r="AG732" s="1420"/>
      <c r="AH732" s="1462" t="str">
        <f t="shared" si="60"/>
        <v/>
      </c>
      <c r="AI732" s="1463"/>
      <c r="AJ732" s="1464"/>
      <c r="AK732" s="1390" t="s">
        <v>600</v>
      </c>
      <c r="AL732" s="1391"/>
      <c r="AM732" s="1391"/>
      <c r="AN732" s="1391"/>
      <c r="AO732" s="1392"/>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90"/>
      <c r="C733" s="1391"/>
      <c r="D733" s="1391"/>
      <c r="E733" s="1391"/>
      <c r="F733" s="1392"/>
      <c r="G733" s="1459"/>
      <c r="H733" s="1460"/>
      <c r="I733" s="1460"/>
      <c r="J733" s="1461"/>
      <c r="K733" s="1428"/>
      <c r="L733" s="1429"/>
      <c r="M733" s="1429"/>
      <c r="N733" s="1430"/>
      <c r="O733" s="1425"/>
      <c r="P733" s="1426"/>
      <c r="Q733" s="1426"/>
      <c r="R733" s="1426"/>
      <c r="S733" s="1427"/>
      <c r="T733" s="1425"/>
      <c r="U733" s="1426"/>
      <c r="V733" s="1426"/>
      <c r="W733" s="1427"/>
      <c r="X733" s="1554">
        <f t="shared" si="59"/>
        <v>0</v>
      </c>
      <c r="Y733" s="1555"/>
      <c r="Z733" s="1555"/>
      <c r="AA733" s="1555"/>
      <c r="AB733" s="1556"/>
      <c r="AC733" s="1418"/>
      <c r="AD733" s="1419"/>
      <c r="AE733" s="1419"/>
      <c r="AF733" s="1419"/>
      <c r="AG733" s="1420"/>
      <c r="AH733" s="1462" t="str">
        <f t="shared" si="60"/>
        <v/>
      </c>
      <c r="AI733" s="1463"/>
      <c r="AJ733" s="1464"/>
      <c r="AK733" s="1390" t="s">
        <v>600</v>
      </c>
      <c r="AL733" s="1391"/>
      <c r="AM733" s="1391"/>
      <c r="AN733" s="1391"/>
      <c r="AO733" s="1392"/>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90"/>
      <c r="C734" s="1391"/>
      <c r="D734" s="1391"/>
      <c r="E734" s="1391"/>
      <c r="F734" s="1392"/>
      <c r="G734" s="1459"/>
      <c r="H734" s="1460"/>
      <c r="I734" s="1460"/>
      <c r="J734" s="1461"/>
      <c r="K734" s="1428"/>
      <c r="L734" s="1429"/>
      <c r="M734" s="1429"/>
      <c r="N734" s="1430"/>
      <c r="O734" s="1425"/>
      <c r="P734" s="1426"/>
      <c r="Q734" s="1426"/>
      <c r="R734" s="1426"/>
      <c r="S734" s="1427"/>
      <c r="T734" s="1425"/>
      <c r="U734" s="1426"/>
      <c r="V734" s="1426"/>
      <c r="W734" s="1427"/>
      <c r="X734" s="1554">
        <f t="shared" si="59"/>
        <v>0</v>
      </c>
      <c r="Y734" s="1555"/>
      <c r="Z734" s="1555"/>
      <c r="AA734" s="1555"/>
      <c r="AB734" s="1556"/>
      <c r="AC734" s="1418"/>
      <c r="AD734" s="1419"/>
      <c r="AE734" s="1419"/>
      <c r="AF734" s="1419"/>
      <c r="AG734" s="1420"/>
      <c r="AH734" s="1462" t="str">
        <f t="shared" si="60"/>
        <v/>
      </c>
      <c r="AI734" s="1463"/>
      <c r="AJ734" s="1464"/>
      <c r="AK734" s="1390" t="s">
        <v>600</v>
      </c>
      <c r="AL734" s="1391"/>
      <c r="AM734" s="1391"/>
      <c r="AN734" s="1391"/>
      <c r="AO734" s="1392"/>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90"/>
      <c r="C735" s="1391"/>
      <c r="D735" s="1391"/>
      <c r="E735" s="1391"/>
      <c r="F735" s="1392"/>
      <c r="G735" s="1459"/>
      <c r="H735" s="1460"/>
      <c r="I735" s="1460"/>
      <c r="J735" s="1461"/>
      <c r="K735" s="1428"/>
      <c r="L735" s="1429"/>
      <c r="M735" s="1429"/>
      <c r="N735" s="1430"/>
      <c r="O735" s="1425"/>
      <c r="P735" s="1426"/>
      <c r="Q735" s="1426"/>
      <c r="R735" s="1426"/>
      <c r="S735" s="1427"/>
      <c r="T735" s="1425"/>
      <c r="U735" s="1426"/>
      <c r="V735" s="1426"/>
      <c r="W735" s="1427"/>
      <c r="X735" s="1554">
        <f t="shared" si="59"/>
        <v>0</v>
      </c>
      <c r="Y735" s="1555"/>
      <c r="Z735" s="1555"/>
      <c r="AA735" s="1555"/>
      <c r="AB735" s="1556"/>
      <c r="AC735" s="1418"/>
      <c r="AD735" s="1419"/>
      <c r="AE735" s="1419"/>
      <c r="AF735" s="1419"/>
      <c r="AG735" s="1420"/>
      <c r="AH735" s="1462" t="str">
        <f t="shared" si="60"/>
        <v/>
      </c>
      <c r="AI735" s="1463"/>
      <c r="AJ735" s="1464"/>
      <c r="AK735" s="1390" t="s">
        <v>600</v>
      </c>
      <c r="AL735" s="1391"/>
      <c r="AM735" s="1391"/>
      <c r="AN735" s="1391"/>
      <c r="AO735" s="1392"/>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90"/>
      <c r="C736" s="1391"/>
      <c r="D736" s="1391"/>
      <c r="E736" s="1391"/>
      <c r="F736" s="1392"/>
      <c r="G736" s="1459"/>
      <c r="H736" s="1460"/>
      <c r="I736" s="1460"/>
      <c r="J736" s="1461"/>
      <c r="K736" s="1428"/>
      <c r="L736" s="1429"/>
      <c r="M736" s="1429"/>
      <c r="N736" s="1430"/>
      <c r="O736" s="1425"/>
      <c r="P736" s="1426"/>
      <c r="Q736" s="1426"/>
      <c r="R736" s="1426"/>
      <c r="S736" s="1427"/>
      <c r="T736" s="1425"/>
      <c r="U736" s="1426"/>
      <c r="V736" s="1426"/>
      <c r="W736" s="1427"/>
      <c r="X736" s="1554">
        <f t="shared" si="59"/>
        <v>0</v>
      </c>
      <c r="Y736" s="1555"/>
      <c r="Z736" s="1555"/>
      <c r="AA736" s="1555"/>
      <c r="AB736" s="1556"/>
      <c r="AC736" s="1418"/>
      <c r="AD736" s="1419"/>
      <c r="AE736" s="1419"/>
      <c r="AF736" s="1419"/>
      <c r="AG736" s="1420"/>
      <c r="AH736" s="1462" t="str">
        <f t="shared" si="60"/>
        <v/>
      </c>
      <c r="AI736" s="1463"/>
      <c r="AJ736" s="1464"/>
      <c r="AK736" s="1390" t="s">
        <v>600</v>
      </c>
      <c r="AL736" s="1391"/>
      <c r="AM736" s="1391"/>
      <c r="AN736" s="1391"/>
      <c r="AO736" s="1392"/>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90"/>
      <c r="C737" s="1391"/>
      <c r="D737" s="1391"/>
      <c r="E737" s="1391"/>
      <c r="F737" s="1392"/>
      <c r="G737" s="1459"/>
      <c r="H737" s="1460"/>
      <c r="I737" s="1460"/>
      <c r="J737" s="1461"/>
      <c r="K737" s="1428"/>
      <c r="L737" s="1429"/>
      <c r="M737" s="1429"/>
      <c r="N737" s="1430"/>
      <c r="O737" s="1425"/>
      <c r="P737" s="1426"/>
      <c r="Q737" s="1426"/>
      <c r="R737" s="1426"/>
      <c r="S737" s="1427"/>
      <c r="T737" s="1425"/>
      <c r="U737" s="1426"/>
      <c r="V737" s="1426"/>
      <c r="W737" s="1427"/>
      <c r="X737" s="1554">
        <f t="shared" si="59"/>
        <v>0</v>
      </c>
      <c r="Y737" s="1555"/>
      <c r="Z737" s="1555"/>
      <c r="AA737" s="1555"/>
      <c r="AB737" s="1556"/>
      <c r="AC737" s="1418"/>
      <c r="AD737" s="1419"/>
      <c r="AE737" s="1419"/>
      <c r="AF737" s="1419"/>
      <c r="AG737" s="1420"/>
      <c r="AH737" s="1462" t="str">
        <f t="shared" si="60"/>
        <v/>
      </c>
      <c r="AI737" s="1463"/>
      <c r="AJ737" s="1464"/>
      <c r="AK737" s="1390" t="s">
        <v>600</v>
      </c>
      <c r="AL737" s="1391"/>
      <c r="AM737" s="1391"/>
      <c r="AN737" s="1391"/>
      <c r="AO737" s="1392"/>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90"/>
      <c r="C738" s="1391"/>
      <c r="D738" s="1391"/>
      <c r="E738" s="1391"/>
      <c r="F738" s="1392"/>
      <c r="G738" s="1459"/>
      <c r="H738" s="1460"/>
      <c r="I738" s="1460"/>
      <c r="J738" s="1461"/>
      <c r="K738" s="1428"/>
      <c r="L738" s="1429"/>
      <c r="M738" s="1429"/>
      <c r="N738" s="1430"/>
      <c r="O738" s="1425"/>
      <c r="P738" s="1426"/>
      <c r="Q738" s="1426"/>
      <c r="R738" s="1426"/>
      <c r="S738" s="1427"/>
      <c r="T738" s="1425"/>
      <c r="U738" s="1426"/>
      <c r="V738" s="1426"/>
      <c r="W738" s="1427"/>
      <c r="X738" s="1554">
        <f t="shared" si="59"/>
        <v>0</v>
      </c>
      <c r="Y738" s="1555"/>
      <c r="Z738" s="1555"/>
      <c r="AA738" s="1555"/>
      <c r="AB738" s="1556"/>
      <c r="AC738" s="1418"/>
      <c r="AD738" s="1419"/>
      <c r="AE738" s="1419"/>
      <c r="AF738" s="1419"/>
      <c r="AG738" s="1420"/>
      <c r="AH738" s="1462" t="str">
        <f t="shared" si="60"/>
        <v/>
      </c>
      <c r="AI738" s="1463"/>
      <c r="AJ738" s="1464"/>
      <c r="AK738" s="1390" t="s">
        <v>600</v>
      </c>
      <c r="AL738" s="1391"/>
      <c r="AM738" s="1391"/>
      <c r="AN738" s="1391"/>
      <c r="AO738" s="1392"/>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90"/>
      <c r="C739" s="1391"/>
      <c r="D739" s="1391"/>
      <c r="E739" s="1391"/>
      <c r="F739" s="1392"/>
      <c r="G739" s="1459"/>
      <c r="H739" s="1460"/>
      <c r="I739" s="1460"/>
      <c r="J739" s="1461"/>
      <c r="K739" s="1428"/>
      <c r="L739" s="1429"/>
      <c r="M739" s="1429"/>
      <c r="N739" s="1430"/>
      <c r="O739" s="1425"/>
      <c r="P739" s="1426"/>
      <c r="Q739" s="1426"/>
      <c r="R739" s="1426"/>
      <c r="S739" s="1427"/>
      <c r="T739" s="1425"/>
      <c r="U739" s="1426"/>
      <c r="V739" s="1426"/>
      <c r="W739" s="1427"/>
      <c r="X739" s="1554">
        <f t="shared" si="59"/>
        <v>0</v>
      </c>
      <c r="Y739" s="1555"/>
      <c r="Z739" s="1555"/>
      <c r="AA739" s="1555"/>
      <c r="AB739" s="1556"/>
      <c r="AC739" s="1418"/>
      <c r="AD739" s="1419"/>
      <c r="AE739" s="1419"/>
      <c r="AF739" s="1419"/>
      <c r="AG739" s="1420"/>
      <c r="AH739" s="1462" t="str">
        <f t="shared" si="60"/>
        <v/>
      </c>
      <c r="AI739" s="1463"/>
      <c r="AJ739" s="1464"/>
      <c r="AK739" s="1390" t="s">
        <v>600</v>
      </c>
      <c r="AL739" s="1391"/>
      <c r="AM739" s="1391"/>
      <c r="AN739" s="1391"/>
      <c r="AO739" s="1392"/>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90"/>
      <c r="C740" s="1391"/>
      <c r="D740" s="1391"/>
      <c r="E740" s="1391"/>
      <c r="F740" s="1392"/>
      <c r="G740" s="1459"/>
      <c r="H740" s="1460"/>
      <c r="I740" s="1460"/>
      <c r="J740" s="1461"/>
      <c r="K740" s="1428"/>
      <c r="L740" s="1429"/>
      <c r="M740" s="1429"/>
      <c r="N740" s="1430"/>
      <c r="O740" s="1425"/>
      <c r="P740" s="1426"/>
      <c r="Q740" s="1426"/>
      <c r="R740" s="1426"/>
      <c r="S740" s="1427"/>
      <c r="T740" s="1425"/>
      <c r="U740" s="1426"/>
      <c r="V740" s="1426"/>
      <c r="W740" s="1427"/>
      <c r="X740" s="1554">
        <f t="shared" si="59"/>
        <v>0</v>
      </c>
      <c r="Y740" s="1555"/>
      <c r="Z740" s="1555"/>
      <c r="AA740" s="1555"/>
      <c r="AB740" s="1556"/>
      <c r="AC740" s="1418"/>
      <c r="AD740" s="1419"/>
      <c r="AE740" s="1419"/>
      <c r="AF740" s="1419"/>
      <c r="AG740" s="1420"/>
      <c r="AH740" s="1462" t="str">
        <f t="shared" si="60"/>
        <v/>
      </c>
      <c r="AI740" s="1463"/>
      <c r="AJ740" s="1464"/>
      <c r="AK740" s="1390" t="s">
        <v>600</v>
      </c>
      <c r="AL740" s="1391"/>
      <c r="AM740" s="1391"/>
      <c r="AN740" s="1391"/>
      <c r="AO740" s="1392"/>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90"/>
      <c r="C741" s="1391"/>
      <c r="D741" s="1391"/>
      <c r="E741" s="1391"/>
      <c r="F741" s="1392"/>
      <c r="G741" s="1459"/>
      <c r="H741" s="1460"/>
      <c r="I741" s="1460"/>
      <c r="J741" s="1461"/>
      <c r="K741" s="1428"/>
      <c r="L741" s="1429"/>
      <c r="M741" s="1429"/>
      <c r="N741" s="1430"/>
      <c r="O741" s="1425"/>
      <c r="P741" s="1426"/>
      <c r="Q741" s="1426"/>
      <c r="R741" s="1426"/>
      <c r="S741" s="1427"/>
      <c r="T741" s="1425"/>
      <c r="U741" s="1426"/>
      <c r="V741" s="1426"/>
      <c r="W741" s="1427"/>
      <c r="X741" s="1554">
        <f t="shared" si="59"/>
        <v>0</v>
      </c>
      <c r="Y741" s="1555"/>
      <c r="Z741" s="1555"/>
      <c r="AA741" s="1555"/>
      <c r="AB741" s="1556"/>
      <c r="AC741" s="1418"/>
      <c r="AD741" s="1419"/>
      <c r="AE741" s="1419"/>
      <c r="AF741" s="1419"/>
      <c r="AG741" s="1420"/>
      <c r="AH741" s="1462" t="str">
        <f t="shared" si="60"/>
        <v/>
      </c>
      <c r="AI741" s="1463"/>
      <c r="AJ741" s="1464"/>
      <c r="AK741" s="1390" t="s">
        <v>600</v>
      </c>
      <c r="AL741" s="1391"/>
      <c r="AM741" s="1391"/>
      <c r="AN741" s="1391"/>
      <c r="AO741" s="1392"/>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90"/>
      <c r="C742" s="1391"/>
      <c r="D742" s="1391"/>
      <c r="E742" s="1391"/>
      <c r="F742" s="1392"/>
      <c r="G742" s="1459"/>
      <c r="H742" s="1460"/>
      <c r="I742" s="1460"/>
      <c r="J742" s="1461"/>
      <c r="K742" s="1428"/>
      <c r="L742" s="1429"/>
      <c r="M742" s="1429"/>
      <c r="N742" s="1430"/>
      <c r="O742" s="1425"/>
      <c r="P742" s="1426"/>
      <c r="Q742" s="1426"/>
      <c r="R742" s="1426"/>
      <c r="S742" s="1427"/>
      <c r="T742" s="1425"/>
      <c r="U742" s="1426"/>
      <c r="V742" s="1426"/>
      <c r="W742" s="1427"/>
      <c r="X742" s="1554">
        <f t="shared" ref="X742:X751" si="61">O742+T742</f>
        <v>0</v>
      </c>
      <c r="Y742" s="1555"/>
      <c r="Z742" s="1555"/>
      <c r="AA742" s="1555"/>
      <c r="AB742" s="1556"/>
      <c r="AC742" s="1418"/>
      <c r="AD742" s="1419"/>
      <c r="AE742" s="1419"/>
      <c r="AF742" s="1419"/>
      <c r="AG742" s="1420"/>
      <c r="AH742" s="1462" t="str">
        <f t="shared" si="60"/>
        <v/>
      </c>
      <c r="AI742" s="1463"/>
      <c r="AJ742" s="1464"/>
      <c r="AK742" s="1390" t="s">
        <v>600</v>
      </c>
      <c r="AL742" s="1391"/>
      <c r="AM742" s="1391"/>
      <c r="AN742" s="1391"/>
      <c r="AO742" s="1392"/>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90"/>
      <c r="C743" s="1391"/>
      <c r="D743" s="1391"/>
      <c r="E743" s="1391"/>
      <c r="F743" s="1392"/>
      <c r="G743" s="1459"/>
      <c r="H743" s="1460"/>
      <c r="I743" s="1460"/>
      <c r="J743" s="1461"/>
      <c r="K743" s="1428"/>
      <c r="L743" s="1429"/>
      <c r="M743" s="1429"/>
      <c r="N743" s="1430"/>
      <c r="O743" s="1425"/>
      <c r="P743" s="1426"/>
      <c r="Q743" s="1426"/>
      <c r="R743" s="1426"/>
      <c r="S743" s="1427"/>
      <c r="T743" s="1425"/>
      <c r="U743" s="1426"/>
      <c r="V743" s="1426"/>
      <c r="W743" s="1427"/>
      <c r="X743" s="1554">
        <f t="shared" si="61"/>
        <v>0</v>
      </c>
      <c r="Y743" s="1555"/>
      <c r="Z743" s="1555"/>
      <c r="AA743" s="1555"/>
      <c r="AB743" s="1556"/>
      <c r="AC743" s="1418"/>
      <c r="AD743" s="1419"/>
      <c r="AE743" s="1419"/>
      <c r="AF743" s="1419"/>
      <c r="AG743" s="1420"/>
      <c r="AH743" s="1462" t="str">
        <f t="shared" si="60"/>
        <v/>
      </c>
      <c r="AI743" s="1463"/>
      <c r="AJ743" s="1464"/>
      <c r="AK743" s="1390" t="s">
        <v>600</v>
      </c>
      <c r="AL743" s="1391"/>
      <c r="AM743" s="1391"/>
      <c r="AN743" s="1391"/>
      <c r="AO743" s="1392"/>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90"/>
      <c r="C744" s="1391"/>
      <c r="D744" s="1391"/>
      <c r="E744" s="1391"/>
      <c r="F744" s="1392"/>
      <c r="G744" s="1459"/>
      <c r="H744" s="1460"/>
      <c r="I744" s="1460"/>
      <c r="J744" s="1461"/>
      <c r="K744" s="1428"/>
      <c r="L744" s="1429"/>
      <c r="M744" s="1429"/>
      <c r="N744" s="1430"/>
      <c r="O744" s="1425"/>
      <c r="P744" s="1426"/>
      <c r="Q744" s="1426"/>
      <c r="R744" s="1426"/>
      <c r="S744" s="1427"/>
      <c r="T744" s="1425"/>
      <c r="U744" s="1426"/>
      <c r="V744" s="1426"/>
      <c r="W744" s="1427"/>
      <c r="X744" s="1554">
        <f t="shared" si="61"/>
        <v>0</v>
      </c>
      <c r="Y744" s="1555"/>
      <c r="Z744" s="1555"/>
      <c r="AA744" s="1555"/>
      <c r="AB744" s="1556"/>
      <c r="AC744" s="1418"/>
      <c r="AD744" s="1419"/>
      <c r="AE744" s="1419"/>
      <c r="AF744" s="1419"/>
      <c r="AG744" s="1420"/>
      <c r="AH744" s="1462" t="str">
        <f t="shared" si="60"/>
        <v/>
      </c>
      <c r="AI744" s="1463"/>
      <c r="AJ744" s="1464"/>
      <c r="AK744" s="1390" t="s">
        <v>600</v>
      </c>
      <c r="AL744" s="1391"/>
      <c r="AM744" s="1391"/>
      <c r="AN744" s="1391"/>
      <c r="AO744" s="1392"/>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90"/>
      <c r="C745" s="1391"/>
      <c r="D745" s="1391"/>
      <c r="E745" s="1391"/>
      <c r="F745" s="1392"/>
      <c r="G745" s="1459"/>
      <c r="H745" s="1460"/>
      <c r="I745" s="1460"/>
      <c r="J745" s="1461"/>
      <c r="K745" s="1428"/>
      <c r="L745" s="1429"/>
      <c r="M745" s="1429"/>
      <c r="N745" s="1430"/>
      <c r="O745" s="1425"/>
      <c r="P745" s="1426"/>
      <c r="Q745" s="1426"/>
      <c r="R745" s="1426"/>
      <c r="S745" s="1427"/>
      <c r="T745" s="1425"/>
      <c r="U745" s="1426"/>
      <c r="V745" s="1426"/>
      <c r="W745" s="1427"/>
      <c r="X745" s="1554">
        <f t="shared" si="61"/>
        <v>0</v>
      </c>
      <c r="Y745" s="1555"/>
      <c r="Z745" s="1555"/>
      <c r="AA745" s="1555"/>
      <c r="AB745" s="1556"/>
      <c r="AC745" s="1418"/>
      <c r="AD745" s="1419"/>
      <c r="AE745" s="1419"/>
      <c r="AF745" s="1419"/>
      <c r="AG745" s="1420"/>
      <c r="AH745" s="1462" t="str">
        <f t="shared" si="60"/>
        <v/>
      </c>
      <c r="AI745" s="1463"/>
      <c r="AJ745" s="1464"/>
      <c r="AK745" s="1390" t="s">
        <v>600</v>
      </c>
      <c r="AL745" s="1391"/>
      <c r="AM745" s="1391"/>
      <c r="AN745" s="1391"/>
      <c r="AO745" s="1392"/>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90"/>
      <c r="C746" s="1391"/>
      <c r="D746" s="1391"/>
      <c r="E746" s="1391"/>
      <c r="F746" s="1392"/>
      <c r="G746" s="1459"/>
      <c r="H746" s="1460"/>
      <c r="I746" s="1460"/>
      <c r="J746" s="1461"/>
      <c r="K746" s="1428"/>
      <c r="L746" s="1429"/>
      <c r="M746" s="1429"/>
      <c r="N746" s="1430"/>
      <c r="O746" s="1425"/>
      <c r="P746" s="1426"/>
      <c r="Q746" s="1426"/>
      <c r="R746" s="1426"/>
      <c r="S746" s="1427"/>
      <c r="T746" s="1425"/>
      <c r="U746" s="1426"/>
      <c r="V746" s="1426"/>
      <c r="W746" s="1427"/>
      <c r="X746" s="1554">
        <f t="shared" si="61"/>
        <v>0</v>
      </c>
      <c r="Y746" s="1555"/>
      <c r="Z746" s="1555"/>
      <c r="AA746" s="1555"/>
      <c r="AB746" s="1556"/>
      <c r="AC746" s="1418"/>
      <c r="AD746" s="1419"/>
      <c r="AE746" s="1419"/>
      <c r="AF746" s="1419"/>
      <c r="AG746" s="1420"/>
      <c r="AH746" s="1462" t="str">
        <f t="shared" si="60"/>
        <v/>
      </c>
      <c r="AI746" s="1463"/>
      <c r="AJ746" s="1464"/>
      <c r="AK746" s="1390" t="s">
        <v>600</v>
      </c>
      <c r="AL746" s="1391"/>
      <c r="AM746" s="1391"/>
      <c r="AN746" s="1391"/>
      <c r="AO746" s="1392"/>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90"/>
      <c r="C747" s="1391"/>
      <c r="D747" s="1391"/>
      <c r="E747" s="1391"/>
      <c r="F747" s="1392"/>
      <c r="G747" s="1459"/>
      <c r="H747" s="1460"/>
      <c r="I747" s="1460"/>
      <c r="J747" s="1461"/>
      <c r="K747" s="1428"/>
      <c r="L747" s="1429"/>
      <c r="M747" s="1429"/>
      <c r="N747" s="1430"/>
      <c r="O747" s="1425"/>
      <c r="P747" s="1426"/>
      <c r="Q747" s="1426"/>
      <c r="R747" s="1426"/>
      <c r="S747" s="1427"/>
      <c r="T747" s="1425"/>
      <c r="U747" s="1426"/>
      <c r="V747" s="1426"/>
      <c r="W747" s="1427"/>
      <c r="X747" s="1554">
        <f t="shared" si="61"/>
        <v>0</v>
      </c>
      <c r="Y747" s="1555"/>
      <c r="Z747" s="1555"/>
      <c r="AA747" s="1555"/>
      <c r="AB747" s="1556"/>
      <c r="AC747" s="1418"/>
      <c r="AD747" s="1419"/>
      <c r="AE747" s="1419"/>
      <c r="AF747" s="1419"/>
      <c r="AG747" s="1420"/>
      <c r="AH747" s="1462" t="str">
        <f t="shared" si="60"/>
        <v/>
      </c>
      <c r="AI747" s="1463"/>
      <c r="AJ747" s="1464"/>
      <c r="AK747" s="1390" t="s">
        <v>600</v>
      </c>
      <c r="AL747" s="1391"/>
      <c r="AM747" s="1391"/>
      <c r="AN747" s="1391"/>
      <c r="AO747" s="1392"/>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90"/>
      <c r="C748" s="1391"/>
      <c r="D748" s="1391"/>
      <c r="E748" s="1391"/>
      <c r="F748" s="1392"/>
      <c r="G748" s="1459"/>
      <c r="H748" s="1460"/>
      <c r="I748" s="1460"/>
      <c r="J748" s="1461"/>
      <c r="K748" s="1428"/>
      <c r="L748" s="1429"/>
      <c r="M748" s="1429"/>
      <c r="N748" s="1430"/>
      <c r="O748" s="1425"/>
      <c r="P748" s="1426"/>
      <c r="Q748" s="1426"/>
      <c r="R748" s="1426"/>
      <c r="S748" s="1427"/>
      <c r="T748" s="1425"/>
      <c r="U748" s="1426"/>
      <c r="V748" s="1426"/>
      <c r="W748" s="1427"/>
      <c r="X748" s="1554">
        <f t="shared" si="61"/>
        <v>0</v>
      </c>
      <c r="Y748" s="1555"/>
      <c r="Z748" s="1555"/>
      <c r="AA748" s="1555"/>
      <c r="AB748" s="1556"/>
      <c r="AC748" s="1418"/>
      <c r="AD748" s="1419"/>
      <c r="AE748" s="1419"/>
      <c r="AF748" s="1419"/>
      <c r="AG748" s="1420"/>
      <c r="AH748" s="1462" t="str">
        <f t="shared" si="60"/>
        <v/>
      </c>
      <c r="AI748" s="1463"/>
      <c r="AJ748" s="1464"/>
      <c r="AK748" s="1390" t="s">
        <v>600</v>
      </c>
      <c r="AL748" s="1391"/>
      <c r="AM748" s="1391"/>
      <c r="AN748" s="1391"/>
      <c r="AO748" s="1392"/>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90"/>
      <c r="C749" s="1391"/>
      <c r="D749" s="1391"/>
      <c r="E749" s="1391"/>
      <c r="F749" s="1392"/>
      <c r="G749" s="1459"/>
      <c r="H749" s="1460"/>
      <c r="I749" s="1460"/>
      <c r="J749" s="1461"/>
      <c r="K749" s="1428"/>
      <c r="L749" s="1429"/>
      <c r="M749" s="1429"/>
      <c r="N749" s="1430"/>
      <c r="O749" s="1425"/>
      <c r="P749" s="1426"/>
      <c r="Q749" s="1426"/>
      <c r="R749" s="1426"/>
      <c r="S749" s="1427"/>
      <c r="T749" s="1425"/>
      <c r="U749" s="1426"/>
      <c r="V749" s="1426"/>
      <c r="W749" s="1427"/>
      <c r="X749" s="1554">
        <f t="shared" si="61"/>
        <v>0</v>
      </c>
      <c r="Y749" s="1555"/>
      <c r="Z749" s="1555"/>
      <c r="AA749" s="1555"/>
      <c r="AB749" s="1556"/>
      <c r="AC749" s="1418"/>
      <c r="AD749" s="1419"/>
      <c r="AE749" s="1419"/>
      <c r="AF749" s="1419"/>
      <c r="AG749" s="1420"/>
      <c r="AH749" s="1462" t="str">
        <f t="shared" si="60"/>
        <v/>
      </c>
      <c r="AI749" s="1463"/>
      <c r="AJ749" s="1464"/>
      <c r="AK749" s="1390" t="s">
        <v>600</v>
      </c>
      <c r="AL749" s="1391"/>
      <c r="AM749" s="1391"/>
      <c r="AN749" s="1391"/>
      <c r="AO749" s="1392"/>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90"/>
      <c r="C750" s="1391"/>
      <c r="D750" s="1391"/>
      <c r="E750" s="1391"/>
      <c r="F750" s="1392"/>
      <c r="G750" s="1459"/>
      <c r="H750" s="1460"/>
      <c r="I750" s="1460"/>
      <c r="J750" s="1461"/>
      <c r="K750" s="1428"/>
      <c r="L750" s="1429"/>
      <c r="M750" s="1429"/>
      <c r="N750" s="1430"/>
      <c r="O750" s="1425"/>
      <c r="P750" s="1426"/>
      <c r="Q750" s="1426"/>
      <c r="R750" s="1426"/>
      <c r="S750" s="1427"/>
      <c r="T750" s="1425"/>
      <c r="U750" s="1426"/>
      <c r="V750" s="1426"/>
      <c r="W750" s="1427"/>
      <c r="X750" s="1554">
        <f t="shared" si="61"/>
        <v>0</v>
      </c>
      <c r="Y750" s="1555"/>
      <c r="Z750" s="1555"/>
      <c r="AA750" s="1555"/>
      <c r="AB750" s="1556"/>
      <c r="AC750" s="1418"/>
      <c r="AD750" s="1419"/>
      <c r="AE750" s="1419"/>
      <c r="AF750" s="1419"/>
      <c r="AG750" s="1420"/>
      <c r="AH750" s="1462" t="str">
        <f t="shared" si="60"/>
        <v/>
      </c>
      <c r="AI750" s="1463"/>
      <c r="AJ750" s="1464"/>
      <c r="AK750" s="1390" t="s">
        <v>600</v>
      </c>
      <c r="AL750" s="1391"/>
      <c r="AM750" s="1391"/>
      <c r="AN750" s="1391"/>
      <c r="AO750" s="1392"/>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90"/>
      <c r="C751" s="1391"/>
      <c r="D751" s="1391"/>
      <c r="E751" s="1391"/>
      <c r="F751" s="1392"/>
      <c r="G751" s="1459"/>
      <c r="H751" s="1460"/>
      <c r="I751" s="1460"/>
      <c r="J751" s="1461"/>
      <c r="K751" s="1428"/>
      <c r="L751" s="1429"/>
      <c r="M751" s="1429"/>
      <c r="N751" s="1430"/>
      <c r="O751" s="1425"/>
      <c r="P751" s="1426"/>
      <c r="Q751" s="1426"/>
      <c r="R751" s="1426"/>
      <c r="S751" s="1427"/>
      <c r="T751" s="1425"/>
      <c r="U751" s="1426"/>
      <c r="V751" s="1426"/>
      <c r="W751" s="1427"/>
      <c r="X751" s="1554">
        <f t="shared" si="61"/>
        <v>0</v>
      </c>
      <c r="Y751" s="1555"/>
      <c r="Z751" s="1555"/>
      <c r="AA751" s="1555"/>
      <c r="AB751" s="1556"/>
      <c r="AC751" s="1418"/>
      <c r="AD751" s="1419"/>
      <c r="AE751" s="1419"/>
      <c r="AF751" s="1419"/>
      <c r="AG751" s="1420"/>
      <c r="AH751" s="1462" t="str">
        <f t="shared" si="60"/>
        <v/>
      </c>
      <c r="AI751" s="1463"/>
      <c r="AJ751" s="1464"/>
      <c r="AK751" s="1390" t="s">
        <v>600</v>
      </c>
      <c r="AL751" s="1391"/>
      <c r="AM751" s="1391"/>
      <c r="AN751" s="1391"/>
      <c r="AO751" s="1392"/>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90"/>
      <c r="C752" s="1391"/>
      <c r="D752" s="1391"/>
      <c r="E752" s="1391"/>
      <c r="F752" s="1392"/>
      <c r="G752" s="1459"/>
      <c r="H752" s="1460"/>
      <c r="I752" s="1460"/>
      <c r="J752" s="1461"/>
      <c r="K752" s="1428"/>
      <c r="L752" s="1429"/>
      <c r="M752" s="1429"/>
      <c r="N752" s="1430"/>
      <c r="O752" s="1425"/>
      <c r="P752" s="1426"/>
      <c r="Q752" s="1426"/>
      <c r="R752" s="1426"/>
      <c r="S752" s="1427"/>
      <c r="T752" s="1425"/>
      <c r="U752" s="1426"/>
      <c r="V752" s="1426"/>
      <c r="W752" s="1427"/>
      <c r="X752" s="1554">
        <f>O752+T752</f>
        <v>0</v>
      </c>
      <c r="Y752" s="1555"/>
      <c r="Z752" s="1555"/>
      <c r="AA752" s="1555"/>
      <c r="AB752" s="1556"/>
      <c r="AC752" s="1418"/>
      <c r="AD752" s="1419"/>
      <c r="AE752" s="1419"/>
      <c r="AF752" s="1419"/>
      <c r="AG752" s="1420"/>
      <c r="AH752" s="1462" t="str">
        <f>IF($AC752&gt;0,($X752/$BA701), "")</f>
        <v/>
      </c>
      <c r="AI752" s="1463"/>
      <c r="AJ752" s="1464"/>
      <c r="AK752" s="1390" t="s">
        <v>600</v>
      </c>
      <c r="AL752" s="1391"/>
      <c r="AM752" s="1391"/>
      <c r="AN752" s="1391"/>
      <c r="AO752" s="1392"/>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664" t="s">
        <v>125</v>
      </c>
      <c r="C753" s="1665"/>
      <c r="D753" s="1665"/>
      <c r="E753" s="1665"/>
      <c r="F753" s="1666"/>
      <c r="G753" s="1661">
        <f>SUM(G718:G752)</f>
        <v>49</v>
      </c>
      <c r="H753" s="1662"/>
      <c r="I753" s="1662"/>
      <c r="J753" s="1663"/>
      <c r="K753" s="937" t="s">
        <v>124</v>
      </c>
      <c r="L753" s="5"/>
      <c r="M753" s="5"/>
      <c r="N753" s="46"/>
      <c r="O753" s="1554">
        <f>SUMPRODUCT(G718:G752,O718:O752)</f>
        <v>40050</v>
      </c>
      <c r="P753" s="1555"/>
      <c r="Q753" s="1555"/>
      <c r="R753" s="1555"/>
      <c r="S753" s="1556"/>
      <c r="T753"/>
      <c r="U753"/>
      <c r="V753"/>
      <c r="W753"/>
      <c r="X753" s="939" t="s">
        <v>916</v>
      </c>
      <c r="Y753" s="938"/>
      <c r="Z753" s="938"/>
      <c r="AA753" s="938"/>
      <c r="AB753" s="940"/>
      <c r="AC753" s="1667">
        <f>BI703</f>
        <v>0.35714285714285715</v>
      </c>
      <c r="AD753" s="1668"/>
      <c r="AE753" s="1668"/>
      <c r="AF753" s="1668"/>
      <c r="AG753" s="1669"/>
      <c r="AH753" s="1667">
        <f>IFERROR(BV703,"")</f>
        <v>0.35712991388876186</v>
      </c>
      <c r="AI753" s="1668"/>
      <c r="AJ753" s="1669"/>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755" t="s">
        <v>2184</v>
      </c>
      <c r="C754" s="1755"/>
      <c r="D754" s="1755"/>
      <c r="E754" s="1755"/>
      <c r="F754" s="1755"/>
      <c r="G754" s="1755"/>
      <c r="H754" s="1755"/>
      <c r="I754" s="1755"/>
      <c r="J754" s="1755"/>
      <c r="K754" s="1755"/>
      <c r="L754" s="1755"/>
      <c r="M754" s="1755"/>
      <c r="N754" s="1755"/>
      <c r="O754" s="1755"/>
      <c r="P754" s="1755"/>
      <c r="Q754" s="1755"/>
      <c r="R754" s="1755"/>
      <c r="S754" s="1755"/>
      <c r="T754" s="1755"/>
      <c r="U754" s="1755"/>
      <c r="V754" s="1755"/>
      <c r="W754" s="1755"/>
      <c r="X754" s="1755"/>
      <c r="Y754" s="1755"/>
      <c r="Z754" s="1755"/>
      <c r="AA754" s="1755"/>
      <c r="AB754" s="1755"/>
      <c r="AC754" s="1755"/>
      <c r="AD754" s="1755"/>
      <c r="AE754" s="1755"/>
      <c r="AF754" s="1755"/>
      <c r="AG754" s="1755"/>
      <c r="AH754" s="1755"/>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755"/>
      <c r="C755" s="1755"/>
      <c r="D755" s="1755"/>
      <c r="E755" s="1755"/>
      <c r="F755" s="1755"/>
      <c r="G755" s="1755"/>
      <c r="H755" s="1755"/>
      <c r="I755" s="1755"/>
      <c r="J755" s="1755"/>
      <c r="K755" s="1755"/>
      <c r="L755" s="1755"/>
      <c r="M755" s="1755"/>
      <c r="N755" s="1755"/>
      <c r="O755" s="1755"/>
      <c r="P755" s="1755"/>
      <c r="Q755" s="1755"/>
      <c r="R755" s="1755"/>
      <c r="S755" s="1755"/>
      <c r="T755" s="1755"/>
      <c r="U755" s="1755"/>
      <c r="V755" s="1755"/>
      <c r="W755" s="1755"/>
      <c r="X755" s="1755"/>
      <c r="Y755" s="1755"/>
      <c r="Z755" s="1755"/>
      <c r="AA755" s="1755"/>
      <c r="AB755" s="1755"/>
      <c r="AC755" s="1755"/>
      <c r="AD755" s="1755"/>
      <c r="AE755" s="1755"/>
      <c r="AF755" s="1755"/>
      <c r="AG755" s="1755"/>
      <c r="AH755" s="1755"/>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2182</v>
      </c>
      <c r="D756" s="1067"/>
      <c r="E756" s="1067"/>
      <c r="F756" s="1067"/>
      <c r="G756" s="1068"/>
      <c r="H756" s="1068"/>
      <c r="I756" s="1068"/>
      <c r="J756" s="1068"/>
      <c r="K756" s="1067"/>
      <c r="L756" s="1067"/>
      <c r="M756" s="1067"/>
      <c r="N756" s="1067"/>
      <c r="O756" s="1567">
        <f>CS634</f>
        <v>68</v>
      </c>
      <c r="P756" s="1567"/>
      <c r="Q756" s="1567"/>
      <c r="R756" s="1567"/>
      <c r="S756" s="1004"/>
      <c r="T756" s="1004"/>
      <c r="U756" s="118" t="s">
        <v>2183</v>
      </c>
      <c r="V756" s="1067"/>
      <c r="W756" s="1067"/>
      <c r="X756" s="1067"/>
      <c r="Y756" s="1068"/>
      <c r="Z756" s="1068"/>
      <c r="AA756" s="1068"/>
      <c r="AB756" s="1068"/>
      <c r="AC756" s="1067"/>
      <c r="AD756" s="1067"/>
      <c r="AE756" s="1067"/>
      <c r="AF756" s="1067"/>
      <c r="AG756" s="1753">
        <v>50</v>
      </c>
      <c r="AH756" s="1753"/>
      <c r="AI756" s="1753"/>
      <c r="AJ756" s="1753"/>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458" t="str">
        <f>IF(G753&lt;&gt;AG440,"! Total Low-Income Units in the Unit Mix Table above does not match the number of Total Low-Income Units on row #"&amp;TEXT(ROW(D440),"#"),"")</f>
        <v/>
      </c>
      <c r="D757" s="1458"/>
      <c r="E757" s="1458"/>
      <c r="F757" s="1458"/>
      <c r="G757" s="1458"/>
      <c r="H757" s="1458"/>
      <c r="I757" s="1458"/>
      <c r="J757" s="1458"/>
      <c r="K757" s="1458"/>
      <c r="L757" s="1458"/>
      <c r="M757" s="1458"/>
      <c r="N757" s="1458"/>
      <c r="O757" s="1458"/>
      <c r="P757" s="1458"/>
      <c r="Q757" s="1458"/>
      <c r="R757" s="1458"/>
      <c r="S757" s="1458"/>
      <c r="T757" s="1458"/>
      <c r="U757" s="1458"/>
      <c r="V757" s="1458"/>
      <c r="W757" s="1458"/>
      <c r="X757" s="1458"/>
      <c r="Y757" s="1458"/>
      <c r="Z757" s="1458"/>
      <c r="AA757" s="1458"/>
      <c r="AB757" s="1458"/>
      <c r="AC757" s="1458"/>
      <c r="AD757" s="1458"/>
      <c r="AE757" s="1458"/>
      <c r="AF757" s="1458"/>
      <c r="AG757" s="1458"/>
      <c r="AH757" s="1458"/>
      <c r="AI757" s="1458"/>
      <c r="AJ757" s="1458"/>
      <c r="AK757" s="1458"/>
      <c r="AL757" s="1458"/>
      <c r="AM757" s="1458"/>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458"/>
      <c r="D758" s="1458"/>
      <c r="E758" s="1458"/>
      <c r="F758" s="1458"/>
      <c r="G758" s="1458"/>
      <c r="H758" s="1458"/>
      <c r="I758" s="1458"/>
      <c r="J758" s="1458"/>
      <c r="K758" s="1458"/>
      <c r="L758" s="1458"/>
      <c r="M758" s="1458"/>
      <c r="N758" s="1458"/>
      <c r="O758" s="1458"/>
      <c r="P758" s="1458"/>
      <c r="Q758" s="1458"/>
      <c r="R758" s="1458"/>
      <c r="S758" s="1458"/>
      <c r="T758" s="1458"/>
      <c r="U758" s="1458"/>
      <c r="V758" s="1458"/>
      <c r="W758" s="1458"/>
      <c r="X758" s="1458"/>
      <c r="Y758" s="1458"/>
      <c r="Z758" s="1458"/>
      <c r="AA758" s="1458"/>
      <c r="AB758" s="1458"/>
      <c r="AC758" s="1458"/>
      <c r="AD758" s="1458"/>
      <c r="AE758" s="1458"/>
      <c r="AF758" s="1458"/>
      <c r="AG758" s="1458"/>
      <c r="AH758" s="1458"/>
      <c r="AI758" s="1458"/>
      <c r="AJ758" s="1458"/>
      <c r="AK758" s="1458"/>
      <c r="AL758" s="1458"/>
      <c r="AM758" s="1458"/>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2181</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754" t="s">
        <v>600</v>
      </c>
      <c r="AE759" s="1754"/>
      <c r="AF759" s="1754"/>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2406</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9" t="s">
        <v>2407</v>
      </c>
      <c r="D763" s="1279"/>
      <c r="E763" s="1279"/>
      <c r="F763" s="1279"/>
      <c r="G763" s="1279"/>
      <c r="H763" s="1279"/>
      <c r="I763" s="1279"/>
      <c r="J763" s="1279"/>
      <c r="K763" s="1279"/>
      <c r="L763" s="1279"/>
      <c r="M763" s="1279"/>
      <c r="N763" s="1279"/>
      <c r="O763" s="1279"/>
      <c r="P763" s="1279"/>
      <c r="Q763" s="1279"/>
      <c r="R763" s="1279"/>
      <c r="S763" s="1279"/>
      <c r="T763" s="1279"/>
      <c r="U763" s="1279"/>
      <c r="V763" s="1279"/>
      <c r="W763" s="1279"/>
      <c r="X763" s="1279"/>
      <c r="Y763" s="1279"/>
      <c r="Z763" s="1279"/>
      <c r="AA763" s="1279"/>
      <c r="AB763" s="1279"/>
      <c r="AC763" s="1279"/>
      <c r="AD763" s="1279"/>
      <c r="AE763" s="1279"/>
      <c r="AF763" s="1279"/>
      <c r="AG763" s="1279"/>
      <c r="AH763" s="1279"/>
      <c r="AI763" s="1279"/>
      <c r="AJ763" s="1279"/>
      <c r="AK763" s="1279"/>
      <c r="AL763" s="1279"/>
      <c r="AM763" s="1279"/>
      <c r="AN763" s="1279"/>
      <c r="AO763" s="1279"/>
      <c r="AP763" s="1279"/>
      <c r="AQ763" s="1279"/>
      <c r="AR763" s="1279"/>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9"/>
      <c r="D764" s="1279"/>
      <c r="E764" s="1279"/>
      <c r="F764" s="1279"/>
      <c r="G764" s="1279"/>
      <c r="H764" s="1279"/>
      <c r="I764" s="1279"/>
      <c r="J764" s="1279"/>
      <c r="K764" s="1279"/>
      <c r="L764" s="1279"/>
      <c r="M764" s="1279"/>
      <c r="N764" s="1279"/>
      <c r="O764" s="1279"/>
      <c r="P764" s="1279"/>
      <c r="Q764" s="1279"/>
      <c r="R764" s="1279"/>
      <c r="S764" s="1279"/>
      <c r="T764" s="1279"/>
      <c r="U764" s="1279"/>
      <c r="V764" s="1279"/>
      <c r="W764" s="1279"/>
      <c r="X764" s="1279"/>
      <c r="Y764" s="1279"/>
      <c r="Z764" s="1279"/>
      <c r="AA764" s="1279"/>
      <c r="AB764" s="1279"/>
      <c r="AC764" s="1279"/>
      <c r="AD764" s="1279"/>
      <c r="AE764" s="1279"/>
      <c r="AF764" s="1279"/>
      <c r="AG764" s="1279"/>
      <c r="AH764" s="1279"/>
      <c r="AI764" s="1279"/>
      <c r="AJ764" s="1279"/>
      <c r="AK764" s="1279"/>
      <c r="AL764" s="1279"/>
      <c r="AM764" s="1279"/>
      <c r="AN764" s="1279"/>
      <c r="AO764" s="1279"/>
      <c r="AP764" s="1279"/>
      <c r="AQ764" s="1279"/>
      <c r="AR764" s="1279"/>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9"/>
      <c r="D765" s="1279"/>
      <c r="E765" s="1279"/>
      <c r="F765" s="1279"/>
      <c r="G765" s="1279"/>
      <c r="H765" s="1279"/>
      <c r="I765" s="1279"/>
      <c r="J765" s="1279"/>
      <c r="K765" s="1279"/>
      <c r="L765" s="1279"/>
      <c r="M765" s="1279"/>
      <c r="N765" s="1279"/>
      <c r="O765" s="1279"/>
      <c r="P765" s="1279"/>
      <c r="Q765" s="1279"/>
      <c r="R765" s="1279"/>
      <c r="S765" s="1279"/>
      <c r="T765" s="1279"/>
      <c r="U765" s="1279"/>
      <c r="V765" s="1279"/>
      <c r="W765" s="1279"/>
      <c r="X765" s="1279"/>
      <c r="Y765" s="1279"/>
      <c r="Z765" s="1279"/>
      <c r="AA765" s="1279"/>
      <c r="AB765" s="1279"/>
      <c r="AC765" s="1279"/>
      <c r="AD765" s="1279"/>
      <c r="AE765" s="1279"/>
      <c r="AF765" s="1279"/>
      <c r="AG765" s="1279"/>
      <c r="AH765" s="1279"/>
      <c r="AI765" s="1279"/>
      <c r="AJ765" s="1279"/>
      <c r="AK765" s="1279"/>
      <c r="AL765" s="1279"/>
      <c r="AM765" s="1279"/>
      <c r="AN765" s="1279"/>
      <c r="AO765" s="1279"/>
      <c r="AP765" s="1279"/>
      <c r="AQ765" s="1279"/>
      <c r="AR765" s="1279"/>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9" t="s">
        <v>2408</v>
      </c>
      <c r="D766" s="1279"/>
      <c r="E766" s="1279"/>
      <c r="F766" s="1279"/>
      <c r="G766" s="1279"/>
      <c r="H766" s="1279"/>
      <c r="I766" s="1279"/>
      <c r="J766" s="1279"/>
      <c r="K766" s="1279"/>
      <c r="L766" s="1279"/>
      <c r="M766" s="1279"/>
      <c r="N766" s="1279"/>
      <c r="O766" s="1279"/>
      <c r="P766" s="1279"/>
      <c r="Q766" s="1279"/>
      <c r="R766" s="1279"/>
      <c r="S766" s="1279"/>
      <c r="T766" s="1279"/>
      <c r="U766" s="1279"/>
      <c r="V766" s="1279"/>
      <c r="W766" s="1279"/>
      <c r="X766" s="1279"/>
      <c r="Y766" s="1279"/>
      <c r="Z766" s="1279"/>
      <c r="AA766" s="1279"/>
      <c r="AB766" s="1279"/>
      <c r="AC766" s="1279"/>
      <c r="AD766" s="1279"/>
      <c r="AE766" s="1279"/>
      <c r="AF766" s="1279"/>
      <c r="AG766" s="1279"/>
      <c r="AH766" s="1279"/>
      <c r="AI766" s="1279"/>
      <c r="AJ766" s="1279"/>
      <c r="AK766" s="1279"/>
      <c r="AL766" s="1279"/>
      <c r="AM766" s="1279"/>
      <c r="AN766" s="1279"/>
      <c r="AO766" s="1279"/>
      <c r="AP766" s="1279"/>
      <c r="AQ766" s="1279"/>
      <c r="AR766" s="1279"/>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9"/>
      <c r="D767" s="1279"/>
      <c r="E767" s="1279"/>
      <c r="F767" s="1279"/>
      <c r="G767" s="1279"/>
      <c r="H767" s="1279"/>
      <c r="I767" s="1279"/>
      <c r="J767" s="1279"/>
      <c r="K767" s="1279"/>
      <c r="L767" s="1279"/>
      <c r="M767" s="1279"/>
      <c r="N767" s="1279"/>
      <c r="O767" s="1279"/>
      <c r="P767" s="1279"/>
      <c r="Q767" s="1279"/>
      <c r="R767" s="1279"/>
      <c r="S767" s="1279"/>
      <c r="T767" s="1279"/>
      <c r="U767" s="1279"/>
      <c r="V767" s="1279"/>
      <c r="W767" s="1279"/>
      <c r="X767" s="1279"/>
      <c r="Y767" s="1279"/>
      <c r="Z767" s="1279"/>
      <c r="AA767" s="1279"/>
      <c r="AB767" s="1279"/>
      <c r="AC767" s="1279"/>
      <c r="AD767" s="1279"/>
      <c r="AE767" s="1279"/>
      <c r="AF767" s="1279"/>
      <c r="AG767" s="1279"/>
      <c r="AH767" s="1279"/>
      <c r="AI767" s="1279"/>
      <c r="AJ767" s="1279"/>
      <c r="AK767" s="1279"/>
      <c r="AL767" s="1279"/>
      <c r="AM767" s="1279"/>
      <c r="AN767" s="1279"/>
      <c r="AO767" s="1279"/>
      <c r="AP767" s="1279"/>
      <c r="AQ767" s="1279"/>
      <c r="AR767" s="1279"/>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9"/>
      <c r="D768" s="1279"/>
      <c r="E768" s="1279"/>
      <c r="F768" s="1279"/>
      <c r="G768" s="1279"/>
      <c r="H768" s="1279"/>
      <c r="I768" s="1279"/>
      <c r="J768" s="1279"/>
      <c r="K768" s="1279"/>
      <c r="L768" s="1279"/>
      <c r="M768" s="1279"/>
      <c r="N768" s="1279"/>
      <c r="O768" s="1279"/>
      <c r="P768" s="1279"/>
      <c r="Q768" s="1279"/>
      <c r="R768" s="1279"/>
      <c r="S768" s="1279"/>
      <c r="T768" s="1279"/>
      <c r="U768" s="1279"/>
      <c r="V768" s="1279"/>
      <c r="W768" s="1279"/>
      <c r="X768" s="1279"/>
      <c r="Y768" s="1279"/>
      <c r="Z768" s="1279"/>
      <c r="AA768" s="1279"/>
      <c r="AB768" s="1279"/>
      <c r="AC768" s="1279"/>
      <c r="AD768" s="1279"/>
      <c r="AE768" s="1279"/>
      <c r="AF768" s="1279"/>
      <c r="AG768" s="1279"/>
      <c r="AH768" s="1279"/>
      <c r="AI768" s="1279"/>
      <c r="AJ768" s="1279"/>
      <c r="AK768" s="1279"/>
      <c r="AL768" s="1279"/>
      <c r="AM768" s="1279"/>
      <c r="AN768" s="1279"/>
      <c r="AO768" s="1279"/>
      <c r="AP768" s="1279"/>
      <c r="AQ768" s="1279"/>
      <c r="AR768" s="1279"/>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549" t="s">
        <v>390</v>
      </c>
      <c r="K769" s="1540"/>
      <c r="L769" s="1540"/>
      <c r="M769" s="1540"/>
      <c r="N769" s="1541"/>
      <c r="O769" s="1421" t="s">
        <v>286</v>
      </c>
      <c r="P769" s="1421"/>
      <c r="Q769" s="1421"/>
      <c r="R769" s="1421"/>
      <c r="S769" s="1421"/>
      <c r="T769" s="1787" t="s">
        <v>1869</v>
      </c>
      <c r="U769" s="1788"/>
      <c r="V769" s="1788"/>
      <c r="W769" s="1789"/>
      <c r="X769" s="1549" t="s">
        <v>456</v>
      </c>
      <c r="Y769" s="1540"/>
      <c r="Z769" s="1540"/>
      <c r="AA769" s="1540"/>
      <c r="AB769" s="1541"/>
      <c r="AC769" s="1549" t="s">
        <v>287</v>
      </c>
      <c r="AD769" s="1540"/>
      <c r="AE769" s="1540"/>
      <c r="AF769" s="1540"/>
      <c r="AG769" s="1541"/>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542"/>
      <c r="K770" s="1543"/>
      <c r="L770" s="1543"/>
      <c r="M770" s="1543"/>
      <c r="N770" s="1544"/>
      <c r="O770" s="1421"/>
      <c r="P770" s="1421"/>
      <c r="Q770" s="1421"/>
      <c r="R770" s="1421"/>
      <c r="S770" s="1421"/>
      <c r="T770" s="1790"/>
      <c r="U770" s="1791"/>
      <c r="V770" s="1791"/>
      <c r="W770" s="1792"/>
      <c r="X770" s="1542"/>
      <c r="Y770" s="1543"/>
      <c r="Z770" s="1543"/>
      <c r="AA770" s="1543"/>
      <c r="AB770" s="1544"/>
      <c r="AC770" s="1542"/>
      <c r="AD770" s="1543"/>
      <c r="AE770" s="1543"/>
      <c r="AF770" s="1543"/>
      <c r="AG770" s="1544"/>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542"/>
      <c r="K771" s="1543"/>
      <c r="L771" s="1543"/>
      <c r="M771" s="1543"/>
      <c r="N771" s="1544"/>
      <c r="O771" s="1421"/>
      <c r="P771" s="1421"/>
      <c r="Q771" s="1421"/>
      <c r="R771" s="1421"/>
      <c r="S771" s="1421"/>
      <c r="T771" s="1790"/>
      <c r="U771" s="1791"/>
      <c r="V771" s="1791"/>
      <c r="W771" s="1792"/>
      <c r="X771" s="1542"/>
      <c r="Y771" s="1543"/>
      <c r="Z771" s="1543"/>
      <c r="AA771" s="1543"/>
      <c r="AB771" s="1544"/>
      <c r="AC771" s="1542"/>
      <c r="AD771" s="1543"/>
      <c r="AE771" s="1543"/>
      <c r="AF771" s="1543"/>
      <c r="AG771" s="1544"/>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545"/>
      <c r="K772" s="1546"/>
      <c r="L772" s="1546"/>
      <c r="M772" s="1546"/>
      <c r="N772" s="1547"/>
      <c r="O772" s="1421"/>
      <c r="P772" s="1421"/>
      <c r="Q772" s="1421"/>
      <c r="R772" s="1421"/>
      <c r="S772" s="1421"/>
      <c r="T772" s="1793"/>
      <c r="U772" s="1794"/>
      <c r="V772" s="1794"/>
      <c r="W772" s="1795"/>
      <c r="X772" s="1545"/>
      <c r="Y772" s="1546"/>
      <c r="Z772" s="1546"/>
      <c r="AA772" s="1546"/>
      <c r="AB772" s="1547"/>
      <c r="AC772" s="1545"/>
      <c r="AD772" s="1546"/>
      <c r="AE772" s="1546"/>
      <c r="AF772" s="1546"/>
      <c r="AG772" s="1547"/>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90" t="s">
        <v>163</v>
      </c>
      <c r="K773" s="1391"/>
      <c r="L773" s="1391"/>
      <c r="M773" s="1391"/>
      <c r="N773" s="1392"/>
      <c r="O773" s="1659">
        <v>1</v>
      </c>
      <c r="P773" s="1659"/>
      <c r="Q773" s="1659"/>
      <c r="R773" s="1659"/>
      <c r="S773" s="1659"/>
      <c r="T773" s="1428">
        <v>783</v>
      </c>
      <c r="U773" s="1429"/>
      <c r="V773" s="1429"/>
      <c r="W773" s="1430"/>
      <c r="X773" s="1425"/>
      <c r="Y773" s="1426"/>
      <c r="Z773" s="1426"/>
      <c r="AA773" s="1426"/>
      <c r="AB773" s="1427"/>
      <c r="AC773" s="1554">
        <f>X773*O773</f>
        <v>0</v>
      </c>
      <c r="AD773" s="1555"/>
      <c r="AE773" s="1555"/>
      <c r="AF773" s="1555"/>
      <c r="AG773" s="1556"/>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90"/>
      <c r="K774" s="1391"/>
      <c r="L774" s="1391"/>
      <c r="M774" s="1391"/>
      <c r="N774" s="1392"/>
      <c r="O774" s="1659"/>
      <c r="P774" s="1659"/>
      <c r="Q774" s="1659"/>
      <c r="R774" s="1659"/>
      <c r="S774" s="1659"/>
      <c r="T774" s="1428"/>
      <c r="U774" s="1429"/>
      <c r="V774" s="1429"/>
      <c r="W774" s="1430"/>
      <c r="X774" s="1425"/>
      <c r="Y774" s="1426"/>
      <c r="Z774" s="1426"/>
      <c r="AA774" s="1426"/>
      <c r="AB774" s="1427"/>
      <c r="AC774" s="1554">
        <f>X774*O774</f>
        <v>0</v>
      </c>
      <c r="AD774" s="1555"/>
      <c r="AE774" s="1555"/>
      <c r="AF774" s="1555"/>
      <c r="AG774" s="1556"/>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90"/>
      <c r="K775" s="1391"/>
      <c r="L775" s="1391"/>
      <c r="M775" s="1391"/>
      <c r="N775" s="1392"/>
      <c r="O775" s="1659"/>
      <c r="P775" s="1659"/>
      <c r="Q775" s="1659"/>
      <c r="R775" s="1659"/>
      <c r="S775" s="1659"/>
      <c r="T775" s="1428"/>
      <c r="U775" s="1429"/>
      <c r="V775" s="1429"/>
      <c r="W775" s="1430"/>
      <c r="X775" s="1425"/>
      <c r="Y775" s="1426"/>
      <c r="Z775" s="1426"/>
      <c r="AA775" s="1426"/>
      <c r="AB775" s="1427"/>
      <c r="AC775" s="1554">
        <f>X775*O775</f>
        <v>0</v>
      </c>
      <c r="AD775" s="1555"/>
      <c r="AE775" s="1555"/>
      <c r="AF775" s="1555"/>
      <c r="AG775" s="1556"/>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90"/>
      <c r="K776" s="1391"/>
      <c r="L776" s="1391"/>
      <c r="M776" s="1391"/>
      <c r="N776" s="1392"/>
      <c r="O776" s="1659"/>
      <c r="P776" s="1659"/>
      <c r="Q776" s="1659"/>
      <c r="R776" s="1659"/>
      <c r="S776" s="1659"/>
      <c r="T776" s="1428"/>
      <c r="U776" s="1429"/>
      <c r="V776" s="1429"/>
      <c r="W776" s="1430"/>
      <c r="X776" s="1425"/>
      <c r="Y776" s="1426"/>
      <c r="Z776" s="1426"/>
      <c r="AA776" s="1426"/>
      <c r="AB776" s="1427"/>
      <c r="AC776" s="1554">
        <f>X776*O776</f>
        <v>0</v>
      </c>
      <c r="AD776" s="1555"/>
      <c r="AE776" s="1555"/>
      <c r="AF776" s="1555"/>
      <c r="AG776" s="1556"/>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664" t="s">
        <v>125</v>
      </c>
      <c r="K777" s="1665"/>
      <c r="L777" s="1665"/>
      <c r="M777" s="1665"/>
      <c r="N777" s="1666"/>
      <c r="O777" s="1572">
        <f>SUM(O773:S776)</f>
        <v>1</v>
      </c>
      <c r="P777" s="1660"/>
      <c r="Q777" s="1660"/>
      <c r="R777" s="1660"/>
      <c r="S777" s="1573"/>
      <c r="X777" s="1664" t="s">
        <v>124</v>
      </c>
      <c r="Y777" s="1665"/>
      <c r="Z777" s="1665"/>
      <c r="AA777" s="1665"/>
      <c r="AB777" s="1666"/>
      <c r="AC777" s="1554">
        <f>SUM(AC773:AG776)</f>
        <v>0</v>
      </c>
      <c r="AD777" s="1555"/>
      <c r="AE777" s="1555"/>
      <c r="AF777" s="1555"/>
      <c r="AG777" s="1556"/>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702" t="s">
        <v>678</v>
      </c>
      <c r="K779" s="1702"/>
      <c r="L779" s="56"/>
      <c r="M779" s="35" t="s">
        <v>997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2409</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549" t="s">
        <v>390</v>
      </c>
      <c r="K783" s="1540"/>
      <c r="L783" s="1540"/>
      <c r="M783" s="1540"/>
      <c r="N783" s="1541"/>
      <c r="O783" s="1421" t="s">
        <v>286</v>
      </c>
      <c r="P783" s="1421"/>
      <c r="Q783" s="1421"/>
      <c r="R783" s="1421"/>
      <c r="S783" s="1421"/>
      <c r="T783" s="1787" t="s">
        <v>1869</v>
      </c>
      <c r="U783" s="1788"/>
      <c r="V783" s="1788"/>
      <c r="W783" s="1789"/>
      <c r="X783" s="1549" t="s">
        <v>456</v>
      </c>
      <c r="Y783" s="1540"/>
      <c r="Z783" s="1540"/>
      <c r="AA783" s="1540"/>
      <c r="AB783" s="1541"/>
      <c r="AC783" s="1549" t="s">
        <v>287</v>
      </c>
      <c r="AD783" s="1540"/>
      <c r="AE783" s="1540"/>
      <c r="AF783" s="1540"/>
      <c r="AG783" s="154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542"/>
      <c r="K784" s="1543"/>
      <c r="L784" s="1543"/>
      <c r="M784" s="1543"/>
      <c r="N784" s="1544"/>
      <c r="O784" s="1421"/>
      <c r="P784" s="1421"/>
      <c r="Q784" s="1421"/>
      <c r="R784" s="1421"/>
      <c r="S784" s="1421"/>
      <c r="T784" s="1790"/>
      <c r="U784" s="1791"/>
      <c r="V784" s="1791"/>
      <c r="W784" s="1792"/>
      <c r="X784" s="1542"/>
      <c r="Y784" s="1543"/>
      <c r="Z784" s="1543"/>
      <c r="AA784" s="1543"/>
      <c r="AB784" s="1544"/>
      <c r="AC784" s="1542"/>
      <c r="AD784" s="1543"/>
      <c r="AE784" s="1543"/>
      <c r="AF784" s="1543"/>
      <c r="AG784" s="1544"/>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542"/>
      <c r="K785" s="1543"/>
      <c r="L785" s="1543"/>
      <c r="M785" s="1543"/>
      <c r="N785" s="1544"/>
      <c r="O785" s="1421"/>
      <c r="P785" s="1421"/>
      <c r="Q785" s="1421"/>
      <c r="R785" s="1421"/>
      <c r="S785" s="1421"/>
      <c r="T785" s="1790"/>
      <c r="U785" s="1791"/>
      <c r="V785" s="1791"/>
      <c r="W785" s="1792"/>
      <c r="X785" s="1542"/>
      <c r="Y785" s="1543"/>
      <c r="Z785" s="1543"/>
      <c r="AA785" s="1543"/>
      <c r="AB785" s="1544"/>
      <c r="AC785" s="1542"/>
      <c r="AD785" s="1543"/>
      <c r="AE785" s="1543"/>
      <c r="AF785" s="1543"/>
      <c r="AG785" s="1544"/>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545"/>
      <c r="K786" s="1546"/>
      <c r="L786" s="1546"/>
      <c r="M786" s="1546"/>
      <c r="N786" s="1547"/>
      <c r="O786" s="1421"/>
      <c r="P786" s="1421"/>
      <c r="Q786" s="1421"/>
      <c r="R786" s="1421"/>
      <c r="S786" s="1421"/>
      <c r="T786" s="1793"/>
      <c r="U786" s="1794"/>
      <c r="V786" s="1794"/>
      <c r="W786" s="1795"/>
      <c r="X786" s="1545"/>
      <c r="Y786" s="1546"/>
      <c r="Z786" s="1546"/>
      <c r="AA786" s="1546"/>
      <c r="AB786" s="1547"/>
      <c r="AC786" s="1545"/>
      <c r="AD786" s="1546"/>
      <c r="AE786" s="1546"/>
      <c r="AF786" s="1546"/>
      <c r="AG786" s="1547"/>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90"/>
      <c r="K787" s="1391"/>
      <c r="L787" s="1391"/>
      <c r="M787" s="1391"/>
      <c r="N787" s="1392"/>
      <c r="O787" s="1659"/>
      <c r="P787" s="1659"/>
      <c r="Q787" s="1659"/>
      <c r="R787" s="1659"/>
      <c r="S787" s="1659"/>
      <c r="T787" s="1428"/>
      <c r="U787" s="1429"/>
      <c r="V787" s="1429"/>
      <c r="W787" s="1430"/>
      <c r="X787" s="1425"/>
      <c r="Y787" s="1426"/>
      <c r="Z787" s="1426"/>
      <c r="AA787" s="1426"/>
      <c r="AB787" s="1427"/>
      <c r="AC787" s="1554">
        <f t="shared" ref="AC787:AC796" si="62">X787*O787</f>
        <v>0</v>
      </c>
      <c r="AD787" s="1555"/>
      <c r="AE787" s="1555"/>
      <c r="AF787" s="1555"/>
      <c r="AG787" s="155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90"/>
      <c r="K788" s="1391"/>
      <c r="L788" s="1391"/>
      <c r="M788" s="1391"/>
      <c r="N788" s="1392"/>
      <c r="O788" s="1659"/>
      <c r="P788" s="1659"/>
      <c r="Q788" s="1659"/>
      <c r="R788" s="1659"/>
      <c r="S788" s="1659"/>
      <c r="T788" s="1428"/>
      <c r="U788" s="1429"/>
      <c r="V788" s="1429"/>
      <c r="W788" s="1430"/>
      <c r="X788" s="1425"/>
      <c r="Y788" s="1426"/>
      <c r="Z788" s="1426"/>
      <c r="AA788" s="1426"/>
      <c r="AB788" s="1427"/>
      <c r="AC788" s="1554">
        <f t="shared" si="62"/>
        <v>0</v>
      </c>
      <c r="AD788" s="1555"/>
      <c r="AE788" s="1555"/>
      <c r="AF788" s="1555"/>
      <c r="AG788" s="1556"/>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90"/>
      <c r="K789" s="1391"/>
      <c r="L789" s="1391"/>
      <c r="M789" s="1391"/>
      <c r="N789" s="1392"/>
      <c r="O789" s="1659"/>
      <c r="P789" s="1659"/>
      <c r="Q789" s="1659"/>
      <c r="R789" s="1659"/>
      <c r="S789" s="1659"/>
      <c r="T789" s="1428"/>
      <c r="U789" s="1429"/>
      <c r="V789" s="1429"/>
      <c r="W789" s="1430"/>
      <c r="X789" s="1425"/>
      <c r="Y789" s="1426"/>
      <c r="Z789" s="1426"/>
      <c r="AA789" s="1426"/>
      <c r="AB789" s="1427"/>
      <c r="AC789" s="1554">
        <f t="shared" si="62"/>
        <v>0</v>
      </c>
      <c r="AD789" s="1555"/>
      <c r="AE789" s="1555"/>
      <c r="AF789" s="1555"/>
      <c r="AG789" s="1556"/>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90"/>
      <c r="K790" s="1391"/>
      <c r="L790" s="1391"/>
      <c r="M790" s="1391"/>
      <c r="N790" s="1392"/>
      <c r="O790" s="1659"/>
      <c r="P790" s="1659"/>
      <c r="Q790" s="1659"/>
      <c r="R790" s="1659"/>
      <c r="S790" s="1659"/>
      <c r="T790" s="1428"/>
      <c r="U790" s="1429"/>
      <c r="V790" s="1429"/>
      <c r="W790" s="1430"/>
      <c r="X790" s="1425"/>
      <c r="Y790" s="1426"/>
      <c r="Z790" s="1426"/>
      <c r="AA790" s="1426"/>
      <c r="AB790" s="1427"/>
      <c r="AC790" s="1554">
        <f t="shared" si="62"/>
        <v>0</v>
      </c>
      <c r="AD790" s="1555"/>
      <c r="AE790" s="1555"/>
      <c r="AF790" s="1555"/>
      <c r="AG790" s="1556"/>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90"/>
      <c r="K791" s="1391"/>
      <c r="L791" s="1391"/>
      <c r="M791" s="1391"/>
      <c r="N791" s="1392"/>
      <c r="O791" s="1659"/>
      <c r="P791" s="1659"/>
      <c r="Q791" s="1659"/>
      <c r="R791" s="1659"/>
      <c r="S791" s="1659"/>
      <c r="T791" s="1428"/>
      <c r="U791" s="1429"/>
      <c r="V791" s="1429"/>
      <c r="W791" s="1430"/>
      <c r="X791" s="1425"/>
      <c r="Y791" s="1426"/>
      <c r="Z791" s="1426"/>
      <c r="AA791" s="1426"/>
      <c r="AB791" s="1427"/>
      <c r="AC791" s="1554">
        <f t="shared" si="62"/>
        <v>0</v>
      </c>
      <c r="AD791" s="1555"/>
      <c r="AE791" s="1555"/>
      <c r="AF791" s="1555"/>
      <c r="AG791" s="1556"/>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90"/>
      <c r="K792" s="1391"/>
      <c r="L792" s="1391"/>
      <c r="M792" s="1391"/>
      <c r="N792" s="1392"/>
      <c r="O792" s="1659"/>
      <c r="P792" s="1659"/>
      <c r="Q792" s="1659"/>
      <c r="R792" s="1659"/>
      <c r="S792" s="1659"/>
      <c r="T792" s="1428"/>
      <c r="U792" s="1429"/>
      <c r="V792" s="1429"/>
      <c r="W792" s="1430"/>
      <c r="X792" s="1425"/>
      <c r="Y792" s="1426"/>
      <c r="Z792" s="1426"/>
      <c r="AA792" s="1426"/>
      <c r="AB792" s="1427"/>
      <c r="AC792" s="1554">
        <f t="shared" si="62"/>
        <v>0</v>
      </c>
      <c r="AD792" s="1555"/>
      <c r="AE792" s="1555"/>
      <c r="AF792" s="1555"/>
      <c r="AG792" s="1556"/>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90"/>
      <c r="K793" s="1391"/>
      <c r="L793" s="1391"/>
      <c r="M793" s="1391"/>
      <c r="N793" s="1392"/>
      <c r="O793" s="1659"/>
      <c r="P793" s="1659"/>
      <c r="Q793" s="1659"/>
      <c r="R793" s="1659"/>
      <c r="S793" s="1659"/>
      <c r="T793" s="1428"/>
      <c r="U793" s="1429"/>
      <c r="V793" s="1429"/>
      <c r="W793" s="1430"/>
      <c r="X793" s="1425"/>
      <c r="Y793" s="1426"/>
      <c r="Z793" s="1426"/>
      <c r="AA793" s="1426"/>
      <c r="AB793" s="1427"/>
      <c r="AC793" s="1554">
        <f t="shared" si="62"/>
        <v>0</v>
      </c>
      <c r="AD793" s="1555"/>
      <c r="AE793" s="1555"/>
      <c r="AF793" s="1555"/>
      <c r="AG793" s="1556"/>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90"/>
      <c r="K794" s="1391"/>
      <c r="L794" s="1391"/>
      <c r="M794" s="1391"/>
      <c r="N794" s="1392"/>
      <c r="O794" s="1659"/>
      <c r="P794" s="1659"/>
      <c r="Q794" s="1659"/>
      <c r="R794" s="1659"/>
      <c r="S794" s="1659"/>
      <c r="T794" s="1428"/>
      <c r="U794" s="1429"/>
      <c r="V794" s="1429"/>
      <c r="W794" s="1430"/>
      <c r="X794" s="1425"/>
      <c r="Y794" s="1426"/>
      <c r="Z794" s="1426"/>
      <c r="AA794" s="1426"/>
      <c r="AB794" s="1427"/>
      <c r="AC794" s="1554">
        <f t="shared" si="62"/>
        <v>0</v>
      </c>
      <c r="AD794" s="1555"/>
      <c r="AE794" s="1555"/>
      <c r="AF794" s="1555"/>
      <c r="AG794" s="1556"/>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90"/>
      <c r="K795" s="1391"/>
      <c r="L795" s="1391"/>
      <c r="M795" s="1391"/>
      <c r="N795" s="1392"/>
      <c r="O795" s="1659"/>
      <c r="P795" s="1659"/>
      <c r="Q795" s="1659"/>
      <c r="R795" s="1659"/>
      <c r="S795" s="1659"/>
      <c r="T795" s="1428"/>
      <c r="U795" s="1429"/>
      <c r="V795" s="1429"/>
      <c r="W795" s="1430"/>
      <c r="X795" s="1425"/>
      <c r="Y795" s="1426"/>
      <c r="Z795" s="1426"/>
      <c r="AA795" s="1426"/>
      <c r="AB795" s="1427"/>
      <c r="AC795" s="1554">
        <f t="shared" si="62"/>
        <v>0</v>
      </c>
      <c r="AD795" s="1555"/>
      <c r="AE795" s="1555"/>
      <c r="AF795" s="1555"/>
      <c r="AG795" s="1556"/>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90"/>
      <c r="K796" s="1391"/>
      <c r="L796" s="1391"/>
      <c r="M796" s="1391"/>
      <c r="N796" s="1392"/>
      <c r="O796" s="1659"/>
      <c r="P796" s="1659"/>
      <c r="Q796" s="1659"/>
      <c r="R796" s="1659"/>
      <c r="S796" s="1659"/>
      <c r="T796" s="1428"/>
      <c r="U796" s="1429"/>
      <c r="V796" s="1429"/>
      <c r="W796" s="1430"/>
      <c r="X796" s="1425"/>
      <c r="Y796" s="1426"/>
      <c r="Z796" s="1426"/>
      <c r="AA796" s="1426"/>
      <c r="AB796" s="1427"/>
      <c r="AC796" s="1554">
        <f t="shared" si="62"/>
        <v>0</v>
      </c>
      <c r="AD796" s="1555"/>
      <c r="AE796" s="1555"/>
      <c r="AF796" s="1555"/>
      <c r="AG796" s="1556"/>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709" t="s">
        <v>478</v>
      </c>
      <c r="BO796" s="1710"/>
      <c r="BP796" s="3"/>
      <c r="BQ796" s="3"/>
      <c r="BR796" s="3"/>
      <c r="BS796" s="14" t="s">
        <v>643</v>
      </c>
      <c r="BT796" s="14"/>
      <c r="BU796" s="14"/>
      <c r="BV796" s="14"/>
      <c r="BW796" s="14"/>
      <c r="BX796" s="14"/>
      <c r="BY796" s="14"/>
      <c r="BZ796" s="14"/>
      <c r="CA796" s="14"/>
      <c r="CB796" s="1706" t="str">
        <f>T189</f>
        <v>Los Angeles</v>
      </c>
      <c r="CC796" s="1707"/>
      <c r="CD796" s="1707"/>
      <c r="CE796" s="1707"/>
      <c r="CF796" s="1707"/>
      <c r="CG796" s="1707"/>
      <c r="CH796" s="1708"/>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664" t="s">
        <v>125</v>
      </c>
      <c r="K797" s="1665"/>
      <c r="L797" s="1665"/>
      <c r="M797" s="1665"/>
      <c r="N797" s="1666"/>
      <c r="O797" s="1565">
        <f>SUM(O787:S796)</f>
        <v>0</v>
      </c>
      <c r="P797" s="1565"/>
      <c r="Q797" s="1565"/>
      <c r="R797" s="1565"/>
      <c r="S797" s="1565"/>
      <c r="T797"/>
      <c r="U797"/>
      <c r="V797"/>
      <c r="W797"/>
      <c r="X797" s="937" t="s">
        <v>124</v>
      </c>
      <c r="Y797" s="11"/>
      <c r="Z797" s="11"/>
      <c r="AA797" s="11"/>
      <c r="AB797" s="944"/>
      <c r="AC797" s="1554">
        <f>SUM(AC787:AG796)</f>
        <v>0</v>
      </c>
      <c r="AD797" s="1555"/>
      <c r="AE797" s="1555"/>
      <c r="AF797" s="1555"/>
      <c r="AG797" s="1556"/>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72" t="str">
        <f>IF(O797&lt;&gt;AG438,"! Total market rate units in the Unit Mix Table above does not match the number of  market rate units on row #"&amp;TEXT(ROW(D438),"#"),"")</f>
        <v/>
      </c>
      <c r="D798" s="1472"/>
      <c r="E798" s="1472"/>
      <c r="F798" s="1472"/>
      <c r="G798" s="1472"/>
      <c r="H798" s="1472"/>
      <c r="I798" s="1472"/>
      <c r="J798" s="1472"/>
      <c r="K798" s="1472"/>
      <c r="L798" s="1472"/>
      <c r="M798" s="1472"/>
      <c r="N798" s="1472"/>
      <c r="O798" s="1472"/>
      <c r="P798" s="1472"/>
      <c r="Q798" s="1472"/>
      <c r="R798" s="1472"/>
      <c r="S798" s="1472"/>
      <c r="T798" s="1472"/>
      <c r="U798" s="1472"/>
      <c r="V798" s="1472"/>
      <c r="W798" s="1472"/>
      <c r="X798" s="1472"/>
      <c r="Y798" s="1472"/>
      <c r="Z798" s="1472"/>
      <c r="AA798" s="1472"/>
      <c r="AB798" s="1472"/>
      <c r="AC798" s="1472"/>
      <c r="AD798" s="1472"/>
      <c r="AE798" s="1472"/>
      <c r="AF798" s="1472"/>
      <c r="AG798" s="1472"/>
      <c r="AH798" s="1472"/>
      <c r="AI798" s="1472"/>
      <c r="AJ798" s="1472"/>
      <c r="AK798" s="1472"/>
      <c r="AL798" s="1472"/>
      <c r="AM798" s="1472"/>
      <c r="AN798" s="1472"/>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72"/>
      <c r="D799" s="1472"/>
      <c r="E799" s="1472"/>
      <c r="F799" s="1472"/>
      <c r="G799" s="1472"/>
      <c r="H799" s="1472"/>
      <c r="I799" s="1472"/>
      <c r="J799" s="1472"/>
      <c r="K799" s="1472"/>
      <c r="L799" s="1472"/>
      <c r="M799" s="1472"/>
      <c r="N799" s="1472"/>
      <c r="O799" s="1472"/>
      <c r="P799" s="1472"/>
      <c r="Q799" s="1472"/>
      <c r="R799" s="1472"/>
      <c r="S799" s="1472"/>
      <c r="T799" s="1472"/>
      <c r="U799" s="1472"/>
      <c r="V799" s="1472"/>
      <c r="W799" s="1472"/>
      <c r="X799" s="1472"/>
      <c r="Y799" s="1472"/>
      <c r="Z799" s="1472"/>
      <c r="AA799" s="1472"/>
      <c r="AB799" s="1472"/>
      <c r="AC799" s="1472"/>
      <c r="AD799" s="1472"/>
      <c r="AE799" s="1472"/>
      <c r="AF799" s="1472"/>
      <c r="AG799" s="1472"/>
      <c r="AH799" s="1472"/>
      <c r="AI799" s="1472"/>
      <c r="AJ799" s="1472"/>
      <c r="AK799" s="1472"/>
      <c r="AL799" s="1472"/>
      <c r="AM799" s="1472"/>
      <c r="AN799" s="1472"/>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2635</v>
      </c>
      <c r="BP799" s="32"/>
      <c r="BQ799" s="32"/>
      <c r="BR799" s="32"/>
      <c r="BS799" s="32"/>
      <c r="BT799" s="32"/>
      <c r="BU799" s="14"/>
      <c r="BV799" s="31" t="s">
        <v>2636</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67">
        <f>O753+AC777+AC797</f>
        <v>40050</v>
      </c>
      <c r="Z800" s="1767"/>
      <c r="AA800" s="1767"/>
      <c r="AB800" s="1767"/>
      <c r="AC800" s="1767"/>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67">
        <f>(O753+AC777+AC797)*12</f>
        <v>480600</v>
      </c>
      <c r="Z801" s="1767"/>
      <c r="AA801" s="1767"/>
      <c r="AB801" s="1767"/>
      <c r="AC801" s="1767"/>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671">
        <v>35</v>
      </c>
      <c r="AA806" s="1672"/>
      <c r="AB806" s="1672"/>
      <c r="AC806" s="1672"/>
      <c r="AD806" s="1672"/>
      <c r="AE806" s="1673"/>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51">
        <v>473390</v>
      </c>
      <c r="BQ806" s="351">
        <v>545814</v>
      </c>
      <c r="BR806" s="351">
        <v>658400</v>
      </c>
      <c r="BS806" s="351">
        <v>842752</v>
      </c>
      <c r="BT806" s="351">
        <v>938878</v>
      </c>
      <c r="BU806" s="14"/>
      <c r="BV806" s="23" t="s">
        <v>645</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786">
        <v>20</v>
      </c>
      <c r="AA807" s="1672"/>
      <c r="AB807" s="1672"/>
      <c r="AC807" s="1672"/>
      <c r="AD807" s="1672"/>
      <c r="AE807" s="1673"/>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9">
        <v>352022</v>
      </c>
      <c r="BQ807" s="349">
        <v>405878</v>
      </c>
      <c r="BR807" s="349">
        <v>489600</v>
      </c>
      <c r="BS807" s="349">
        <v>626688</v>
      </c>
      <c r="BT807" s="349">
        <v>698170</v>
      </c>
      <c r="BU807" s="14"/>
      <c r="BV807" s="23" t="s">
        <v>646</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85">
        <v>53328</v>
      </c>
      <c r="AA808" s="1443"/>
      <c r="AB808" s="1443"/>
      <c r="AC808" s="1443"/>
      <c r="AD808" s="1443"/>
      <c r="AE808" s="1444"/>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574">
        <f>'Subsidy Contract Calculation'!J40</f>
        <v>659580</v>
      </c>
      <c r="AA809" s="1575"/>
      <c r="AB809" s="1575"/>
      <c r="AC809" s="1575"/>
      <c r="AD809" s="1575"/>
      <c r="AE809" s="1576"/>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9">
        <v>319236</v>
      </c>
      <c r="BQ809" s="349">
        <v>368076</v>
      </c>
      <c r="BR809" s="349">
        <v>444000</v>
      </c>
      <c r="BS809" s="349">
        <v>568320</v>
      </c>
      <c r="BT809" s="349">
        <v>633144</v>
      </c>
      <c r="BU809" s="14"/>
      <c r="BV809" s="23" t="s">
        <v>669</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51">
        <v>352022</v>
      </c>
      <c r="BQ810" s="351">
        <v>405878</v>
      </c>
      <c r="BR810" s="351">
        <v>489600</v>
      </c>
      <c r="BS810" s="351">
        <v>626688</v>
      </c>
      <c r="BT810" s="351">
        <v>698170</v>
      </c>
      <c r="BU810" s="14"/>
      <c r="BV810" s="23" t="s">
        <v>670</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9">
        <v>352022</v>
      </c>
      <c r="BQ811" s="349">
        <v>405878</v>
      </c>
      <c r="BR811" s="349">
        <v>489600</v>
      </c>
      <c r="BS811" s="349">
        <v>626688</v>
      </c>
      <c r="BT811" s="349">
        <v>698170</v>
      </c>
      <c r="BU811" s="14"/>
      <c r="BV811" s="23" t="s">
        <v>671</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51">
        <v>473390</v>
      </c>
      <c r="BQ812" s="351">
        <v>545814</v>
      </c>
      <c r="BR812" s="351">
        <v>658400</v>
      </c>
      <c r="BS812" s="351">
        <v>842752</v>
      </c>
      <c r="BT812" s="351">
        <v>938878</v>
      </c>
      <c r="BU812" s="14"/>
      <c r="BV812" s="23" t="s">
        <v>672</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68">
        <v>7200</v>
      </c>
      <c r="AA813" s="1569"/>
      <c r="AB813" s="1569"/>
      <c r="AC813" s="1569"/>
      <c r="AD813" s="1569"/>
      <c r="AE813" s="1570"/>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9">
        <v>352022</v>
      </c>
      <c r="BQ813" s="349">
        <v>405878</v>
      </c>
      <c r="BR813" s="349">
        <v>489600</v>
      </c>
      <c r="BS813" s="349">
        <v>626688</v>
      </c>
      <c r="BT813" s="349">
        <v>698170</v>
      </c>
      <c r="BU813" s="14"/>
      <c r="BV813" s="23" t="s">
        <v>673</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68"/>
      <c r="AA814" s="1569"/>
      <c r="AB814" s="1569"/>
      <c r="AC814" s="1569"/>
      <c r="AD814" s="1569"/>
      <c r="AE814" s="1570"/>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51">
        <v>331890</v>
      </c>
      <c r="BQ814" s="351">
        <v>382666</v>
      </c>
      <c r="BR814" s="351">
        <v>461600</v>
      </c>
      <c r="BS814" s="351">
        <v>590848</v>
      </c>
      <c r="BT814" s="351">
        <v>658242</v>
      </c>
      <c r="BU814" s="14"/>
      <c r="BV814" s="23" t="s">
        <v>674</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68"/>
      <c r="AA815" s="1569"/>
      <c r="AB815" s="1569"/>
      <c r="AC815" s="1569"/>
      <c r="AD815" s="1569"/>
      <c r="AE815" s="1570"/>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9">
        <v>307732</v>
      </c>
      <c r="BQ815" s="349">
        <v>354812</v>
      </c>
      <c r="BR815" s="349">
        <v>428000</v>
      </c>
      <c r="BS815" s="349">
        <v>547840</v>
      </c>
      <c r="BT815" s="349">
        <v>610328</v>
      </c>
      <c r="BU815" s="14"/>
      <c r="BV815" s="23" t="s">
        <v>676</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55" t="s">
        <v>335</v>
      </c>
      <c r="Q816" s="1656"/>
      <c r="R816" s="1656"/>
      <c r="S816" s="1656"/>
      <c r="T816" s="1656"/>
      <c r="U816" s="1656"/>
      <c r="V816" s="1656"/>
      <c r="W816" s="1656"/>
      <c r="X816" s="1656"/>
      <c r="Y816" s="1657"/>
      <c r="Z816" s="1568"/>
      <c r="AA816" s="1569"/>
      <c r="AB816" s="1569"/>
      <c r="AC816" s="1569"/>
      <c r="AD816" s="1569"/>
      <c r="AE816" s="1570"/>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51">
        <v>352022</v>
      </c>
      <c r="BQ816" s="351">
        <v>405878</v>
      </c>
      <c r="BR816" s="351">
        <v>489600</v>
      </c>
      <c r="BS816" s="351">
        <v>626688</v>
      </c>
      <c r="BT816" s="351">
        <v>698170</v>
      </c>
      <c r="BU816" s="14"/>
      <c r="BV816" s="23" t="s">
        <v>679</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574">
        <f>SUM(Z813:AE816)</f>
        <v>7200</v>
      </c>
      <c r="AA817" s="1575"/>
      <c r="AB817" s="1575"/>
      <c r="AC817" s="1575"/>
      <c r="AD817" s="1575"/>
      <c r="AE817" s="1576"/>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9">
        <v>352022</v>
      </c>
      <c r="BQ817" s="349">
        <v>405878</v>
      </c>
      <c r="BR817" s="349">
        <v>489600</v>
      </c>
      <c r="BS817" s="349">
        <v>626688</v>
      </c>
      <c r="BT817" s="349">
        <v>698170</v>
      </c>
      <c r="BU817" s="14"/>
      <c r="BV817" s="23" t="s">
        <v>680</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574">
        <f>Z817+Y801+Z809</f>
        <v>1147380</v>
      </c>
      <c r="AA818" s="1575"/>
      <c r="AB818" s="1575"/>
      <c r="AC818" s="1575"/>
      <c r="AD818" s="1575"/>
      <c r="AE818" s="1576"/>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51">
        <v>314634</v>
      </c>
      <c r="BQ818" s="351">
        <v>362770</v>
      </c>
      <c r="BR818" s="351">
        <v>437600</v>
      </c>
      <c r="BS818" s="351">
        <v>560128</v>
      </c>
      <c r="BT818" s="351">
        <v>624018</v>
      </c>
      <c r="BU818" s="14"/>
      <c r="BV818" s="23" t="s">
        <v>682</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9">
        <v>352022</v>
      </c>
      <c r="BQ819" s="349">
        <v>405878</v>
      </c>
      <c r="BR819" s="349">
        <v>489600</v>
      </c>
      <c r="BS819" s="349">
        <v>626688</v>
      </c>
      <c r="BT819" s="349">
        <v>698170</v>
      </c>
      <c r="BU819" s="14"/>
      <c r="BV819" s="23" t="s">
        <v>683</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648" t="s">
        <v>126</v>
      </c>
      <c r="N823" s="1648"/>
      <c r="O823" s="1648"/>
      <c r="P823" s="1784"/>
      <c r="Q823" s="1670" t="s">
        <v>291</v>
      </c>
      <c r="R823" s="1670"/>
      <c r="S823" s="1670"/>
      <c r="T823" s="1670"/>
      <c r="U823" s="1670" t="s">
        <v>292</v>
      </c>
      <c r="V823" s="1670"/>
      <c r="W823" s="1670"/>
      <c r="X823" s="1670"/>
      <c r="Y823" s="1670" t="s">
        <v>293</v>
      </c>
      <c r="Z823" s="1670"/>
      <c r="AA823" s="1670"/>
      <c r="AB823" s="1670"/>
      <c r="AC823" s="1670" t="s">
        <v>362</v>
      </c>
      <c r="AD823" s="1670"/>
      <c r="AE823" s="1670"/>
      <c r="AF823" s="1670"/>
      <c r="AG823" s="1796" t="s">
        <v>336</v>
      </c>
      <c r="AH823" s="1796"/>
      <c r="AI823" s="1796"/>
      <c r="AJ823" s="1796"/>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611"/>
      <c r="N824" s="1611"/>
      <c r="O824" s="1611"/>
      <c r="P824" s="1612"/>
      <c r="Q824" s="1670"/>
      <c r="R824" s="1670"/>
      <c r="S824" s="1670"/>
      <c r="T824" s="1670"/>
      <c r="U824" s="1670"/>
      <c r="V824" s="1670"/>
      <c r="W824" s="1670"/>
      <c r="X824" s="1670"/>
      <c r="Y824" s="1670"/>
      <c r="Z824" s="1670"/>
      <c r="AA824" s="1670"/>
      <c r="AB824" s="1670"/>
      <c r="AC824" s="1670"/>
      <c r="AD824" s="1670"/>
      <c r="AE824" s="1670"/>
      <c r="AF824" s="1670"/>
      <c r="AG824" s="1796"/>
      <c r="AH824" s="1796"/>
      <c r="AI824" s="1796"/>
      <c r="AJ824" s="1796"/>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756" t="s">
        <v>40</v>
      </c>
      <c r="D825" s="1499"/>
      <c r="E825" s="1499"/>
      <c r="F825" s="1499"/>
      <c r="G825" s="1499"/>
      <c r="H825" s="1499"/>
      <c r="I825" s="48"/>
      <c r="J825" s="48"/>
      <c r="K825" s="48"/>
      <c r="L825" s="49"/>
      <c r="M825" s="1658"/>
      <c r="N825" s="1658"/>
      <c r="O825" s="1658"/>
      <c r="P825" s="1658"/>
      <c r="Q825" s="1658">
        <v>22</v>
      </c>
      <c r="R825" s="1658"/>
      <c r="S825" s="1658"/>
      <c r="T825" s="1658"/>
      <c r="U825" s="1658">
        <v>29</v>
      </c>
      <c r="V825" s="1658"/>
      <c r="W825" s="1658"/>
      <c r="X825" s="1658"/>
      <c r="Y825" s="1658"/>
      <c r="Z825" s="1658"/>
      <c r="AA825" s="1658"/>
      <c r="AB825" s="1658"/>
      <c r="AC825" s="1518"/>
      <c r="AD825" s="1519"/>
      <c r="AE825" s="1519"/>
      <c r="AF825" s="1520"/>
      <c r="AG825" s="1518"/>
      <c r="AH825" s="1519"/>
      <c r="AI825" s="1519"/>
      <c r="AJ825" s="1520"/>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674" t="s">
        <v>41</v>
      </c>
      <c r="D826" s="1675"/>
      <c r="E826" s="1675"/>
      <c r="F826" s="1675"/>
      <c r="G826" s="1675"/>
      <c r="H826" s="1675"/>
      <c r="I826" s="5"/>
      <c r="J826" s="5"/>
      <c r="K826" s="5"/>
      <c r="L826" s="46"/>
      <c r="M826" s="1658"/>
      <c r="N826" s="1658"/>
      <c r="O826" s="1658"/>
      <c r="P826" s="1658"/>
      <c r="Q826" s="1658"/>
      <c r="R826" s="1658"/>
      <c r="S826" s="1658"/>
      <c r="T826" s="1658"/>
      <c r="U826" s="1658"/>
      <c r="V826" s="1658"/>
      <c r="W826" s="1658"/>
      <c r="X826" s="1658"/>
      <c r="Y826" s="1658"/>
      <c r="Z826" s="1658"/>
      <c r="AA826" s="1658"/>
      <c r="AB826" s="1658"/>
      <c r="AC826" s="1518"/>
      <c r="AD826" s="1519"/>
      <c r="AE826" s="1519"/>
      <c r="AF826" s="1520"/>
      <c r="AG826" s="1518"/>
      <c r="AH826" s="1519"/>
      <c r="AI826" s="1519"/>
      <c r="AJ826" s="1520"/>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674" t="s">
        <v>42</v>
      </c>
      <c r="D827" s="1675"/>
      <c r="E827" s="1675"/>
      <c r="F827" s="1675"/>
      <c r="G827" s="1675"/>
      <c r="H827" s="1675"/>
      <c r="I827" s="60"/>
      <c r="J827" s="60"/>
      <c r="K827" s="60"/>
      <c r="L827" s="61"/>
      <c r="M827" s="1658"/>
      <c r="N827" s="1658"/>
      <c r="O827" s="1658"/>
      <c r="P827" s="1658"/>
      <c r="Q827" s="1658">
        <v>11</v>
      </c>
      <c r="R827" s="1658"/>
      <c r="S827" s="1658"/>
      <c r="T827" s="1658"/>
      <c r="U827" s="1658">
        <v>15</v>
      </c>
      <c r="V827" s="1658"/>
      <c r="W827" s="1658"/>
      <c r="X827" s="1658"/>
      <c r="Y827" s="1658"/>
      <c r="Z827" s="1658"/>
      <c r="AA827" s="1658"/>
      <c r="AB827" s="1658"/>
      <c r="AC827" s="1518"/>
      <c r="AD827" s="1519"/>
      <c r="AE827" s="1519"/>
      <c r="AF827" s="1520"/>
      <c r="AG827" s="1518"/>
      <c r="AH827" s="1519"/>
      <c r="AI827" s="1519"/>
      <c r="AJ827" s="1520"/>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674" t="s">
        <v>772</v>
      </c>
      <c r="D828" s="1675"/>
      <c r="E828" s="1675"/>
      <c r="F828" s="1675"/>
      <c r="G828" s="1675"/>
      <c r="H828" s="1675"/>
      <c r="I828" s="60"/>
      <c r="J828" s="60"/>
      <c r="K828" s="60"/>
      <c r="L828" s="61"/>
      <c r="M828" s="1658"/>
      <c r="N828" s="1658"/>
      <c r="O828" s="1658"/>
      <c r="P828" s="1658"/>
      <c r="Q828" s="1658"/>
      <c r="R828" s="1658"/>
      <c r="S828" s="1658"/>
      <c r="T828" s="1658"/>
      <c r="U828" s="1658"/>
      <c r="V828" s="1658"/>
      <c r="W828" s="1658"/>
      <c r="X828" s="1658"/>
      <c r="Y828" s="1658"/>
      <c r="Z828" s="1658"/>
      <c r="AA828" s="1658"/>
      <c r="AB828" s="1658"/>
      <c r="AC828" s="1518"/>
      <c r="AD828" s="1519"/>
      <c r="AE828" s="1519"/>
      <c r="AF828" s="1520"/>
      <c r="AG828" s="1518"/>
      <c r="AH828" s="1519"/>
      <c r="AI828" s="1519"/>
      <c r="AJ828" s="1520"/>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674" t="s">
        <v>468</v>
      </c>
      <c r="D829" s="1675"/>
      <c r="E829" s="1675"/>
      <c r="F829" s="1675"/>
      <c r="G829" s="1675"/>
      <c r="H829" s="1675"/>
      <c r="I829" s="60"/>
      <c r="J829" s="60"/>
      <c r="K829" s="60"/>
      <c r="L829" s="61"/>
      <c r="M829" s="1658"/>
      <c r="N829" s="1658"/>
      <c r="O829" s="1658"/>
      <c r="P829" s="1658"/>
      <c r="Q829" s="1658">
        <v>33</v>
      </c>
      <c r="R829" s="1658"/>
      <c r="S829" s="1658"/>
      <c r="T829" s="1658"/>
      <c r="U829" s="1658">
        <v>40</v>
      </c>
      <c r="V829" s="1658"/>
      <c r="W829" s="1658"/>
      <c r="X829" s="1658"/>
      <c r="Y829" s="1658"/>
      <c r="Z829" s="1658"/>
      <c r="AA829" s="1658"/>
      <c r="AB829" s="1658"/>
      <c r="AC829" s="1518"/>
      <c r="AD829" s="1519"/>
      <c r="AE829" s="1519"/>
      <c r="AF829" s="1520"/>
      <c r="AG829" s="1518"/>
      <c r="AH829" s="1519"/>
      <c r="AI829" s="1519"/>
      <c r="AJ829" s="1520"/>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690" t="s">
        <v>793</v>
      </c>
      <c r="D830" s="1675"/>
      <c r="E830" s="1675"/>
      <c r="F830" s="1675"/>
      <c r="G830" s="1675"/>
      <c r="H830" s="1675"/>
      <c r="I830" s="60"/>
      <c r="J830" s="60"/>
      <c r="K830" s="60"/>
      <c r="L830" s="61"/>
      <c r="M830" s="1658"/>
      <c r="N830" s="1658"/>
      <c r="O830" s="1658"/>
      <c r="P830" s="1658"/>
      <c r="Q830" s="1658"/>
      <c r="R830" s="1658"/>
      <c r="S830" s="1658"/>
      <c r="T830" s="1658"/>
      <c r="U830" s="1658"/>
      <c r="V830" s="1658"/>
      <c r="W830" s="1658"/>
      <c r="X830" s="1658"/>
      <c r="Y830" s="1658"/>
      <c r="Z830" s="1658"/>
      <c r="AA830" s="1658"/>
      <c r="AB830" s="1658"/>
      <c r="AC830" s="1518"/>
      <c r="AD830" s="1519"/>
      <c r="AE830" s="1519"/>
      <c r="AF830" s="1520"/>
      <c r="AG830" s="1518"/>
      <c r="AH830" s="1519"/>
      <c r="AI830" s="1519"/>
      <c r="AJ830" s="1520"/>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655" t="s">
        <v>2765</v>
      </c>
      <c r="G831" s="1656"/>
      <c r="H831" s="1656"/>
      <c r="I831" s="1656"/>
      <c r="J831" s="1656"/>
      <c r="K831" s="1656"/>
      <c r="L831" s="1656"/>
      <c r="M831" s="1658"/>
      <c r="N831" s="1658"/>
      <c r="O831" s="1658"/>
      <c r="P831" s="1658"/>
      <c r="Q831" s="1658">
        <v>15</v>
      </c>
      <c r="R831" s="1658"/>
      <c r="S831" s="1658"/>
      <c r="T831" s="1658"/>
      <c r="U831" s="1658">
        <v>19</v>
      </c>
      <c r="V831" s="1658"/>
      <c r="W831" s="1658"/>
      <c r="X831" s="1658"/>
      <c r="Y831" s="1658"/>
      <c r="Z831" s="1658"/>
      <c r="AA831" s="1658"/>
      <c r="AB831" s="1658"/>
      <c r="AC831" s="1518"/>
      <c r="AD831" s="1519"/>
      <c r="AE831" s="1519"/>
      <c r="AF831" s="1520"/>
      <c r="AG831" s="1518"/>
      <c r="AH831" s="1519"/>
      <c r="AI831" s="1519"/>
      <c r="AJ831" s="1520"/>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664" t="s">
        <v>124</v>
      </c>
      <c r="D832" s="1665"/>
      <c r="E832" s="1665"/>
      <c r="F832" s="1665"/>
      <c r="G832" s="1665"/>
      <c r="H832" s="1665"/>
      <c r="I832" s="1665"/>
      <c r="J832" s="1665"/>
      <c r="K832" s="1665"/>
      <c r="L832" s="1666"/>
      <c r="M832" s="1776">
        <f>SUM(M825:P831)</f>
        <v>0</v>
      </c>
      <c r="N832" s="1776"/>
      <c r="O832" s="1776"/>
      <c r="P832" s="1776"/>
      <c r="Q832" s="1776">
        <f>SUM(Q825:T831)</f>
        <v>81</v>
      </c>
      <c r="R832" s="1776"/>
      <c r="S832" s="1776"/>
      <c r="T832" s="1776"/>
      <c r="U832" s="1776">
        <f>SUM(U825:X831)</f>
        <v>103</v>
      </c>
      <c r="V832" s="1776"/>
      <c r="W832" s="1776"/>
      <c r="X832" s="1776"/>
      <c r="Y832" s="1776">
        <f>SUM(Y825:AB831)</f>
        <v>0</v>
      </c>
      <c r="Z832" s="1776"/>
      <c r="AA832" s="1776"/>
      <c r="AB832" s="1776"/>
      <c r="AC832" s="1776">
        <f>SUM(AC825:AF831)</f>
        <v>0</v>
      </c>
      <c r="AD832" s="1776"/>
      <c r="AE832" s="1776"/>
      <c r="AF832" s="1776"/>
      <c r="AG832" s="1776">
        <f>SUM(AG825:AJ831)</f>
        <v>0</v>
      </c>
      <c r="AH832" s="1776"/>
      <c r="AI832" s="1776"/>
      <c r="AJ832" s="1776"/>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712" t="s">
        <v>2766</v>
      </c>
      <c r="D837" s="1713"/>
      <c r="E837" s="1713"/>
      <c r="F837" s="1713"/>
      <c r="G837" s="1713"/>
      <c r="H837" s="1713"/>
      <c r="I837" s="1713"/>
      <c r="J837" s="1713"/>
      <c r="K837" s="1713"/>
      <c r="L837" s="1713"/>
      <c r="M837" s="1713"/>
      <c r="N837" s="1713"/>
      <c r="O837" s="1713"/>
      <c r="P837" s="1713"/>
      <c r="Q837" s="1713"/>
      <c r="R837" s="1713"/>
      <c r="S837" s="1713"/>
      <c r="T837" s="1713"/>
      <c r="U837" s="1713"/>
      <c r="V837" s="1713"/>
      <c r="W837" s="1713"/>
      <c r="X837" s="1713"/>
      <c r="Y837" s="1713"/>
      <c r="Z837" s="1713"/>
      <c r="AA837" s="1713"/>
      <c r="AB837" s="1713"/>
      <c r="AC837" s="1713"/>
      <c r="AD837" s="1713"/>
      <c r="AE837" s="1713"/>
      <c r="AF837" s="1713"/>
      <c r="AG837" s="1713"/>
      <c r="AH837" s="1713"/>
      <c r="AI837" s="1713"/>
      <c r="AJ837" s="1714"/>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1262</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9">
        <v>331890</v>
      </c>
      <c r="BQ839" s="349">
        <v>382666</v>
      </c>
      <c r="BR839" s="349">
        <v>461600</v>
      </c>
      <c r="BS839" s="349">
        <v>590848</v>
      </c>
      <c r="BT839" s="349">
        <v>658242</v>
      </c>
      <c r="BV839" s="23" t="s">
        <v>644</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51">
        <v>352022</v>
      </c>
      <c r="BQ840" s="351">
        <v>405878</v>
      </c>
      <c r="BR840" s="351">
        <v>489600</v>
      </c>
      <c r="BS840" s="351">
        <v>626688</v>
      </c>
      <c r="BT840" s="351">
        <v>698170</v>
      </c>
      <c r="BV840" s="23" t="s">
        <v>698</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711">
        <f>ROUNDDOWN(BC939*2,2)</f>
        <v>0</v>
      </c>
      <c r="BJ841" s="1711"/>
      <c r="BK841" s="1711"/>
      <c r="BL841" s="1711"/>
      <c r="BO841" s="23" t="s">
        <v>699</v>
      </c>
      <c r="BP841" s="349">
        <v>314634</v>
      </c>
      <c r="BQ841" s="349">
        <v>362770</v>
      </c>
      <c r="BR841" s="349">
        <v>437600</v>
      </c>
      <c r="BS841" s="349">
        <v>560128</v>
      </c>
      <c r="BT841" s="349">
        <v>624018</v>
      </c>
      <c r="BV841" s="23" t="s">
        <v>699</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571">
        <v>2000</v>
      </c>
      <c r="X842" s="1571"/>
      <c r="Y842" s="1571"/>
      <c r="Z842" s="1571"/>
      <c r="AA842" s="1571"/>
      <c r="AB842" s="1571"/>
      <c r="AC842" s="1571"/>
      <c r="AD842"/>
      <c r="AE842"/>
      <c r="AF842"/>
      <c r="AG842"/>
      <c r="AH842"/>
      <c r="AI842"/>
      <c r="AJ842"/>
      <c r="AK842"/>
      <c r="AL842"/>
      <c r="AM842"/>
      <c r="AN842"/>
      <c r="AO842"/>
      <c r="AP842"/>
      <c r="AQ842"/>
      <c r="AR842"/>
      <c r="AS842"/>
      <c r="AT842"/>
      <c r="AU842"/>
      <c r="AV842"/>
      <c r="AW842"/>
      <c r="AX842"/>
      <c r="AY842"/>
      <c r="AZ842" s="30"/>
      <c r="BA842" s="30"/>
      <c r="BO842" s="23" t="s">
        <v>700</v>
      </c>
      <c r="BP842" s="351">
        <v>353173</v>
      </c>
      <c r="BQ842" s="351">
        <v>407205</v>
      </c>
      <c r="BR842" s="351">
        <v>491200</v>
      </c>
      <c r="BS842" s="351">
        <v>628736</v>
      </c>
      <c r="BT842" s="351">
        <v>700451</v>
      </c>
      <c r="BV842" s="23" t="s">
        <v>700</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571">
        <v>8000</v>
      </c>
      <c r="X843" s="1571"/>
      <c r="Y843" s="1571"/>
      <c r="Z843" s="1571"/>
      <c r="AA843" s="1571"/>
      <c r="AB843" s="1571"/>
      <c r="AC843" s="1571"/>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701</v>
      </c>
      <c r="BP843" s="349">
        <v>689665</v>
      </c>
      <c r="BQ843" s="349">
        <v>795177</v>
      </c>
      <c r="BR843" s="349">
        <v>959200</v>
      </c>
      <c r="BS843" s="349">
        <v>1227776</v>
      </c>
      <c r="BT843" s="349">
        <v>1367819</v>
      </c>
      <c r="BV843" s="23" t="s">
        <v>701</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571">
        <v>8000</v>
      </c>
      <c r="X844" s="1571"/>
      <c r="Y844" s="1571"/>
      <c r="Z844" s="1571"/>
      <c r="AA844" s="1571"/>
      <c r="AB844" s="1571"/>
      <c r="AC844" s="1571"/>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571">
        <v>20000</v>
      </c>
      <c r="X845" s="1571"/>
      <c r="Y845" s="1571"/>
      <c r="Z845" s="1571"/>
      <c r="AA845" s="1571"/>
      <c r="AB845" s="1571"/>
      <c r="AC845" s="1571"/>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655" t="s">
        <v>2767</v>
      </c>
      <c r="N846" s="1656"/>
      <c r="O846" s="1656"/>
      <c r="P846" s="1656"/>
      <c r="Q846" s="1656"/>
      <c r="R846" s="1656"/>
      <c r="S846" s="1656"/>
      <c r="T846" s="1656"/>
      <c r="U846" s="1656"/>
      <c r="V846" s="1657"/>
      <c r="W846" s="1571">
        <v>6000</v>
      </c>
      <c r="X846" s="1571"/>
      <c r="Y846" s="1571"/>
      <c r="Z846" s="1571"/>
      <c r="AA846" s="1571"/>
      <c r="AB846" s="1571"/>
      <c r="AC846" s="1571"/>
      <c r="AZ846" s="30">
        <f>IF(AJ1028&gt;1,0.05,0)</f>
        <v>0.05</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574">
        <f>SUM(W842:AC846)</f>
        <v>44000</v>
      </c>
      <c r="X847" s="1575"/>
      <c r="Y847" s="1575"/>
      <c r="Z847" s="1575"/>
      <c r="AA847" s="1575"/>
      <c r="AB847" s="1575"/>
      <c r="AC847" s="1576"/>
      <c r="AZ847" s="30"/>
      <c r="BA847" s="30"/>
      <c r="BB847" s="14"/>
      <c r="BC847" s="14"/>
      <c r="BD847" s="14"/>
      <c r="BE847" s="14"/>
      <c r="BF847" s="14"/>
      <c r="BG847" s="14"/>
      <c r="BH847" s="14"/>
      <c r="BI847" s="14"/>
      <c r="BJ847" s="14"/>
      <c r="BK847" s="14"/>
      <c r="BL847" s="14"/>
      <c r="BM847" s="14"/>
      <c r="BN847" s="14"/>
      <c r="BO847" s="23" t="s">
        <v>707</v>
      </c>
      <c r="BP847" s="349">
        <v>387110</v>
      </c>
      <c r="BQ847" s="349">
        <v>446334</v>
      </c>
      <c r="BR847" s="349">
        <v>538400</v>
      </c>
      <c r="BS847" s="349">
        <v>689152</v>
      </c>
      <c r="BT847" s="349">
        <v>767758</v>
      </c>
      <c r="BU847" s="14"/>
      <c r="BV847" s="23" t="s">
        <v>707</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705"/>
      <c r="BH848" s="1705"/>
      <c r="BI848" s="1705"/>
      <c r="BJ848" s="1705"/>
      <c r="BK848" s="1705"/>
      <c r="BL848" s="1705"/>
      <c r="BM848" s="14"/>
      <c r="BN848" s="14"/>
      <c r="BO848" s="23" t="s">
        <v>708</v>
      </c>
      <c r="BP848" s="350">
        <v>532060</v>
      </c>
      <c r="BQ848" s="350">
        <v>613460</v>
      </c>
      <c r="BR848" s="350">
        <v>740000</v>
      </c>
      <c r="BS848" s="350">
        <v>947200</v>
      </c>
      <c r="BT848" s="350">
        <v>1055240</v>
      </c>
      <c r="BU848" s="14"/>
      <c r="BV848" s="23" t="s">
        <v>708</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664" t="s">
        <v>346</v>
      </c>
      <c r="K849" s="1665"/>
      <c r="L849" s="1665"/>
      <c r="M849" s="1665"/>
      <c r="N849" s="1665"/>
      <c r="O849" s="1665"/>
      <c r="P849" s="1665"/>
      <c r="Q849" s="1665"/>
      <c r="R849" s="1665"/>
      <c r="S849" s="1665"/>
      <c r="T849" s="1665"/>
      <c r="U849" s="1665"/>
      <c r="V849" s="1666"/>
      <c r="W849" s="1568">
        <v>36000</v>
      </c>
      <c r="X849" s="1569"/>
      <c r="Y849" s="1569"/>
      <c r="Z849" s="1569"/>
      <c r="AA849" s="1569"/>
      <c r="AB849" s="1569"/>
      <c r="AC849" s="1570"/>
      <c r="AD849" s="567"/>
      <c r="AZ849" s="30"/>
      <c r="BA849" s="30"/>
      <c r="BB849" s="14"/>
      <c r="BC849" s="14"/>
      <c r="BD849" s="14"/>
      <c r="BE849" s="14"/>
      <c r="BF849" s="14"/>
      <c r="BG849" s="89"/>
      <c r="BH849" s="89"/>
      <c r="BI849" s="89"/>
      <c r="BJ849" s="89"/>
      <c r="BK849" s="89"/>
      <c r="BL849" s="89"/>
      <c r="BM849" s="14"/>
      <c r="BN849" s="14"/>
      <c r="BO849" s="23" t="s">
        <v>709</v>
      </c>
      <c r="BP849" s="349">
        <v>387110</v>
      </c>
      <c r="BQ849" s="349">
        <v>446334</v>
      </c>
      <c r="BR849" s="349">
        <v>538400</v>
      </c>
      <c r="BS849" s="349">
        <v>689152</v>
      </c>
      <c r="BT849" s="349">
        <v>767758</v>
      </c>
      <c r="BU849" s="14"/>
      <c r="BV849" s="23" t="s">
        <v>709</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710</v>
      </c>
      <c r="BP850" s="351">
        <v>319236</v>
      </c>
      <c r="BQ850" s="351">
        <v>368076</v>
      </c>
      <c r="BR850" s="351">
        <v>444000</v>
      </c>
      <c r="BS850" s="351">
        <v>568320</v>
      </c>
      <c r="BT850" s="351">
        <v>633144</v>
      </c>
      <c r="BU850" s="14"/>
      <c r="BV850" s="23" t="s">
        <v>710</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570</v>
      </c>
      <c r="J851" s="45" t="s">
        <v>353</v>
      </c>
      <c r="K851" s="5"/>
      <c r="L851" s="5"/>
      <c r="M851" s="5"/>
      <c r="N851" s="5"/>
      <c r="O851" s="5"/>
      <c r="P851" s="5"/>
      <c r="Q851" s="5"/>
      <c r="R851" s="5"/>
      <c r="S851" s="5"/>
      <c r="T851" s="5"/>
      <c r="U851" s="5"/>
      <c r="V851" s="46"/>
      <c r="W851" s="1703"/>
      <c r="X851" s="1703"/>
      <c r="Y851" s="1703"/>
      <c r="Z851" s="1703"/>
      <c r="AA851" s="1703"/>
      <c r="AB851" s="1703"/>
      <c r="AC851" s="1703"/>
      <c r="AZ851" s="1781">
        <f>SUM(AZ818:AZ846)</f>
        <v>7.5000000000000011E-2</v>
      </c>
      <c r="BA851" s="1781"/>
      <c r="BB851" s="14"/>
      <c r="BC851" s="14"/>
      <c r="BD851" s="14"/>
      <c r="BE851" s="14"/>
      <c r="BF851" s="14"/>
      <c r="BG851" s="14"/>
      <c r="BH851" s="14"/>
      <c r="BI851" s="14"/>
      <c r="BJ851" s="14"/>
      <c r="BK851" s="14"/>
      <c r="BL851" s="14"/>
      <c r="BM851" s="14"/>
      <c r="BN851" s="14"/>
      <c r="BO851" s="23" t="s">
        <v>711</v>
      </c>
      <c r="BP851" s="349">
        <v>352022</v>
      </c>
      <c r="BQ851" s="349">
        <v>405878</v>
      </c>
      <c r="BR851" s="349">
        <v>489600</v>
      </c>
      <c r="BS851" s="349">
        <v>626688</v>
      </c>
      <c r="BT851" s="349">
        <v>698170</v>
      </c>
      <c r="BU851" s="14"/>
      <c r="BV851" s="23" t="s">
        <v>711</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703">
        <v>20691</v>
      </c>
      <c r="X852" s="1703"/>
      <c r="Y852" s="1703"/>
      <c r="Z852" s="1703"/>
      <c r="AA852" s="1703"/>
      <c r="AB852" s="1703"/>
      <c r="AC852" s="1703"/>
      <c r="AZ852" s="30"/>
      <c r="BA852" s="30"/>
      <c r="BB852" s="14"/>
      <c r="BC852" s="14"/>
      <c r="BD852" s="14"/>
      <c r="BE852" s="14"/>
      <c r="BF852" s="14"/>
      <c r="BG852" s="14"/>
      <c r="BH852" s="14"/>
      <c r="BI852" s="14"/>
      <c r="BJ852" s="14"/>
      <c r="BK852" s="14"/>
      <c r="BL852" s="14"/>
      <c r="BM852" s="14"/>
      <c r="BN852" s="14"/>
      <c r="BO852" s="23" t="s">
        <v>712</v>
      </c>
      <c r="BP852" s="351">
        <v>352022</v>
      </c>
      <c r="BQ852" s="351">
        <v>405878</v>
      </c>
      <c r="BR852" s="351">
        <v>489600</v>
      </c>
      <c r="BS852" s="351">
        <v>626688</v>
      </c>
      <c r="BT852" s="351">
        <v>698170</v>
      </c>
      <c r="BU852" s="14"/>
      <c r="BV852" s="23" t="s">
        <v>712</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468</v>
      </c>
      <c r="K853" s="5"/>
      <c r="L853" s="5"/>
      <c r="M853" s="5"/>
      <c r="N853" s="5"/>
      <c r="O853" s="5"/>
      <c r="P853" s="5"/>
      <c r="Q853" s="5"/>
      <c r="R853" s="5"/>
      <c r="S853" s="5"/>
      <c r="T853" s="5"/>
      <c r="U853" s="5"/>
      <c r="V853" s="46"/>
      <c r="W853" s="1703">
        <v>25000</v>
      </c>
      <c r="X853" s="1703"/>
      <c r="Y853" s="1703"/>
      <c r="Z853" s="1703"/>
      <c r="AA853" s="1703"/>
      <c r="AB853" s="1703"/>
      <c r="AC853" s="1703"/>
      <c r="AZ853" s="30"/>
      <c r="BA853" s="30"/>
      <c r="BB853" s="14"/>
      <c r="BC853" s="14"/>
      <c r="BD853" s="14"/>
      <c r="BE853" s="14"/>
      <c r="BF853" s="14"/>
      <c r="BG853" s="14"/>
      <c r="BH853" s="14"/>
      <c r="BI853" s="14"/>
      <c r="BJ853" s="14"/>
      <c r="BK853" s="14"/>
      <c r="BL853" s="14"/>
      <c r="BM853" s="14"/>
      <c r="BN853" s="14"/>
      <c r="BO853" s="23" t="s">
        <v>713</v>
      </c>
      <c r="BP853" s="349">
        <v>384234</v>
      </c>
      <c r="BQ853" s="349">
        <v>443018</v>
      </c>
      <c r="BR853" s="349">
        <v>534400</v>
      </c>
      <c r="BS853" s="349">
        <v>684032</v>
      </c>
      <c r="BT853" s="349">
        <v>762054</v>
      </c>
      <c r="BU853" s="14"/>
      <c r="BV853" s="23" t="s">
        <v>713</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629</v>
      </c>
      <c r="K854" s="5"/>
      <c r="L854" s="5"/>
      <c r="M854" s="5"/>
      <c r="N854" s="5"/>
      <c r="O854" s="5"/>
      <c r="P854" s="5"/>
      <c r="Q854" s="5"/>
      <c r="R854" s="5"/>
      <c r="S854" s="5"/>
      <c r="T854" s="5"/>
      <c r="U854" s="5"/>
      <c r="V854" s="46"/>
      <c r="W854" s="1703">
        <v>22000</v>
      </c>
      <c r="X854" s="1703"/>
      <c r="Y854" s="1703"/>
      <c r="Z854" s="1703"/>
      <c r="AA854" s="1703"/>
      <c r="AB854" s="1703"/>
      <c r="AC854" s="1703"/>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760">
        <f>SUM(W851:AC854)</f>
        <v>67691</v>
      </c>
      <c r="X855" s="1760"/>
      <c r="Y855" s="1760"/>
      <c r="Z855" s="1760"/>
      <c r="AA855" s="1760"/>
      <c r="AB855" s="1760"/>
      <c r="AC855" s="1760"/>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628</v>
      </c>
      <c r="K857" s="5"/>
      <c r="L857" s="5"/>
      <c r="M857" s="5"/>
      <c r="N857" s="5"/>
      <c r="O857" s="5"/>
      <c r="P857" s="5"/>
      <c r="Q857" s="5"/>
      <c r="R857" s="5"/>
      <c r="S857" s="5"/>
      <c r="T857" s="5"/>
      <c r="U857" s="5"/>
      <c r="V857" s="46"/>
      <c r="W857" s="1699">
        <v>45000</v>
      </c>
      <c r="X857" s="1700"/>
      <c r="Y857" s="1700"/>
      <c r="Z857" s="1700"/>
      <c r="AA857" s="1700"/>
      <c r="AB857" s="1700"/>
      <c r="AC857" s="1701"/>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1769</v>
      </c>
      <c r="K858" s="5"/>
      <c r="L858" s="5"/>
      <c r="M858" s="5"/>
      <c r="N858" s="5"/>
      <c r="O858" s="5"/>
      <c r="P858" s="5"/>
      <c r="Q858" s="5"/>
      <c r="R858" s="5"/>
      <c r="S858" s="5"/>
      <c r="T858" s="1770">
        <v>2</v>
      </c>
      <c r="U858" s="1771"/>
      <c r="V858" s="1772"/>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627</v>
      </c>
      <c r="K859" s="5"/>
      <c r="L859" s="5"/>
      <c r="M859" s="5"/>
      <c r="N859" s="5"/>
      <c r="O859" s="5"/>
      <c r="P859" s="5"/>
      <c r="Q859" s="5"/>
      <c r="R859" s="5"/>
      <c r="S859" s="5"/>
      <c r="T859" s="5"/>
      <c r="U859" s="5"/>
      <c r="V859" s="46"/>
      <c r="W859" s="1699">
        <v>40000</v>
      </c>
      <c r="X859" s="1700"/>
      <c r="Y859" s="1700"/>
      <c r="Z859" s="1700"/>
      <c r="AA859" s="1700"/>
      <c r="AB859" s="1700"/>
      <c r="AC859" s="1701"/>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1770</v>
      </c>
      <c r="K860" s="5"/>
      <c r="L860" s="5"/>
      <c r="M860" s="5"/>
      <c r="N860" s="5"/>
      <c r="O860" s="5"/>
      <c r="P860" s="5"/>
      <c r="Q860" s="5"/>
      <c r="R860" s="5"/>
      <c r="S860" s="5"/>
      <c r="T860" s="1770">
        <v>1</v>
      </c>
      <c r="U860" s="1771"/>
      <c r="V860" s="1772"/>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655" t="s">
        <v>2768</v>
      </c>
      <c r="N861" s="1656"/>
      <c r="O861" s="1656"/>
      <c r="P861" s="1656"/>
      <c r="Q861" s="1656"/>
      <c r="R861" s="1656"/>
      <c r="S861" s="1656"/>
      <c r="T861" s="1656"/>
      <c r="U861" s="1656"/>
      <c r="V861" s="1657"/>
      <c r="W861" s="1699">
        <v>25000</v>
      </c>
      <c r="X861" s="1700"/>
      <c r="Y861" s="1700"/>
      <c r="Z861" s="1700"/>
      <c r="AA861" s="1700"/>
      <c r="AB861" s="1700"/>
      <c r="AC861" s="1701"/>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773">
        <f>SUM(W857:AC861)</f>
        <v>110000</v>
      </c>
      <c r="X862" s="1774"/>
      <c r="Y862" s="1774"/>
      <c r="Z862" s="1774"/>
      <c r="AA862" s="1774"/>
      <c r="AB862" s="1774"/>
      <c r="AC862" s="1775"/>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699">
        <v>17000</v>
      </c>
      <c r="X863" s="1700"/>
      <c r="Y863" s="1700"/>
      <c r="Z863" s="1700"/>
      <c r="AA863" s="1700"/>
      <c r="AB863" s="1700"/>
      <c r="AC863" s="1701"/>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626</v>
      </c>
      <c r="K865" s="5"/>
      <c r="L865" s="5"/>
      <c r="M865" s="5"/>
      <c r="N865" s="5"/>
      <c r="O865" s="5"/>
      <c r="P865" s="5"/>
      <c r="Q865" s="5"/>
      <c r="R865" s="5"/>
      <c r="S865" s="5"/>
      <c r="T865" s="5"/>
      <c r="U865" s="5"/>
      <c r="V865" s="46"/>
      <c r="W865" s="1571">
        <v>6000</v>
      </c>
      <c r="X865" s="1571"/>
      <c r="Y865" s="1571"/>
      <c r="Z865" s="1571"/>
      <c r="AA865" s="1571"/>
      <c r="AB865" s="1571"/>
      <c r="AC865" s="1571"/>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531</v>
      </c>
      <c r="K866" s="5"/>
      <c r="L866" s="5"/>
      <c r="M866" s="5"/>
      <c r="N866" s="5"/>
      <c r="O866" s="5"/>
      <c r="P866" s="5"/>
      <c r="Q866" s="5"/>
      <c r="R866" s="5"/>
      <c r="S866" s="5"/>
      <c r="T866" s="5"/>
      <c r="U866" s="5"/>
      <c r="V866" s="46"/>
      <c r="W866" s="1571">
        <v>38000</v>
      </c>
      <c r="X866" s="1571"/>
      <c r="Y866" s="1571"/>
      <c r="Z866" s="1571"/>
      <c r="AA866" s="1571"/>
      <c r="AB866" s="1571"/>
      <c r="AC866" s="1571"/>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530</v>
      </c>
      <c r="K867" s="5"/>
      <c r="L867" s="5"/>
      <c r="M867" s="5"/>
      <c r="N867" s="5"/>
      <c r="O867" s="5"/>
      <c r="P867" s="5"/>
      <c r="Q867" s="5"/>
      <c r="R867" s="5"/>
      <c r="S867" s="5"/>
      <c r="T867" s="5"/>
      <c r="U867" s="5"/>
      <c r="V867" s="46"/>
      <c r="W867" s="1571">
        <v>11000</v>
      </c>
      <c r="X867" s="1571"/>
      <c r="Y867" s="1571"/>
      <c r="Z867" s="1571"/>
      <c r="AA867" s="1571"/>
      <c r="AB867" s="1571"/>
      <c r="AC867" s="1571"/>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529</v>
      </c>
      <c r="K868" s="5"/>
      <c r="L868" s="5"/>
      <c r="M868" s="5"/>
      <c r="N868" s="5"/>
      <c r="O868" s="5"/>
      <c r="P868" s="5"/>
      <c r="Q868" s="5"/>
      <c r="R868" s="5"/>
      <c r="S868" s="5"/>
      <c r="T868" s="5"/>
      <c r="U868" s="5"/>
      <c r="V868" s="46"/>
      <c r="W868" s="1571">
        <v>12000</v>
      </c>
      <c r="X868" s="1571"/>
      <c r="Y868" s="1571"/>
      <c r="Z868" s="1571"/>
      <c r="AA868" s="1571"/>
      <c r="AB868" s="1571"/>
      <c r="AC868" s="1571"/>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528</v>
      </c>
      <c r="K869" s="5"/>
      <c r="L869" s="5"/>
      <c r="M869" s="5"/>
      <c r="N869" s="5"/>
      <c r="O869" s="5"/>
      <c r="P869" s="5"/>
      <c r="Q869" s="5"/>
      <c r="R869" s="5"/>
      <c r="S869" s="5"/>
      <c r="T869" s="5"/>
      <c r="U869" s="5"/>
      <c r="V869" s="46"/>
      <c r="W869" s="1571">
        <v>12000</v>
      </c>
      <c r="X869" s="1571"/>
      <c r="Y869" s="1571"/>
      <c r="Z869" s="1571"/>
      <c r="AA869" s="1571"/>
      <c r="AB869" s="1571"/>
      <c r="AC869" s="1571"/>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527</v>
      </c>
      <c r="K870" s="5"/>
      <c r="L870" s="5"/>
      <c r="M870" s="5"/>
      <c r="N870" s="5"/>
      <c r="O870" s="5"/>
      <c r="P870" s="5"/>
      <c r="Q870" s="5"/>
      <c r="R870" s="5"/>
      <c r="S870" s="5"/>
      <c r="T870" s="5"/>
      <c r="U870" s="5"/>
      <c r="V870" s="46"/>
      <c r="W870" s="1571">
        <v>8000</v>
      </c>
      <c r="X870" s="1571"/>
      <c r="Y870" s="1571"/>
      <c r="Z870" s="1571"/>
      <c r="AA870" s="1571"/>
      <c r="AB870" s="1571"/>
      <c r="AC870" s="1571"/>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655" t="s">
        <v>2769</v>
      </c>
      <c r="N871" s="1656"/>
      <c r="O871" s="1656"/>
      <c r="P871" s="1656"/>
      <c r="Q871" s="1656"/>
      <c r="R871" s="1656"/>
      <c r="S871" s="1656"/>
      <c r="T871" s="1656"/>
      <c r="U871" s="1656"/>
      <c r="V871" s="1657"/>
      <c r="W871" s="1571">
        <v>5900</v>
      </c>
      <c r="X871" s="1571"/>
      <c r="Y871" s="1571"/>
      <c r="Z871" s="1571"/>
      <c r="AA871" s="1571"/>
      <c r="AB871" s="1571"/>
      <c r="AC871" s="1571"/>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767">
        <f>SUM(W865:AC871)</f>
        <v>92900</v>
      </c>
      <c r="X872" s="1767"/>
      <c r="Y872" s="1767"/>
      <c r="Z872" s="1767"/>
      <c r="AA872" s="1767"/>
      <c r="AB872" s="1767"/>
      <c r="AC872" s="1767"/>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1351</v>
      </c>
      <c r="J874" s="45" t="s">
        <v>170</v>
      </c>
      <c r="K874" s="5"/>
      <c r="L874" s="5"/>
      <c r="M874" s="1655" t="s">
        <v>335</v>
      </c>
      <c r="N874" s="1656"/>
      <c r="O874" s="1656"/>
      <c r="P874" s="1656"/>
      <c r="Q874" s="1656"/>
      <c r="R874" s="1656"/>
      <c r="S874" s="1656"/>
      <c r="T874" s="1656"/>
      <c r="U874" s="1656"/>
      <c r="V874" s="1657"/>
      <c r="W874" s="1568"/>
      <c r="X874" s="1569"/>
      <c r="Y874" s="1569"/>
      <c r="Z874" s="1569"/>
      <c r="AA874" s="1569"/>
      <c r="AB874" s="1569"/>
      <c r="AC874" s="1570"/>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1352</v>
      </c>
      <c r="J875" s="45" t="s">
        <v>170</v>
      </c>
      <c r="K875" s="5"/>
      <c r="L875" s="5"/>
      <c r="M875" s="1655" t="s">
        <v>335</v>
      </c>
      <c r="N875" s="1656"/>
      <c r="O875" s="1656"/>
      <c r="P875" s="1656"/>
      <c r="Q875" s="1656"/>
      <c r="R875" s="1656"/>
      <c r="S875" s="1656"/>
      <c r="T875" s="1656"/>
      <c r="U875" s="1656"/>
      <c r="V875" s="1657"/>
      <c r="W875" s="1568"/>
      <c r="X875" s="1569"/>
      <c r="Y875" s="1569"/>
      <c r="Z875" s="1569"/>
      <c r="AA875" s="1569"/>
      <c r="AB875" s="1569"/>
      <c r="AC875" s="1570"/>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655" t="s">
        <v>335</v>
      </c>
      <c r="N876" s="1656"/>
      <c r="O876" s="1656"/>
      <c r="P876" s="1656"/>
      <c r="Q876" s="1656"/>
      <c r="R876" s="1656"/>
      <c r="S876" s="1656"/>
      <c r="T876" s="1656"/>
      <c r="U876" s="1656"/>
      <c r="V876" s="1657"/>
      <c r="W876" s="1568"/>
      <c r="X876" s="1569"/>
      <c r="Y876" s="1569"/>
      <c r="Z876" s="1569"/>
      <c r="AA876" s="1569"/>
      <c r="AB876" s="1569"/>
      <c r="AC876" s="1570"/>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655" t="s">
        <v>335</v>
      </c>
      <c r="N877" s="1656"/>
      <c r="O877" s="1656"/>
      <c r="P877" s="1656"/>
      <c r="Q877" s="1656"/>
      <c r="R877" s="1656"/>
      <c r="S877" s="1656"/>
      <c r="T877" s="1656"/>
      <c r="U877" s="1656"/>
      <c r="V877" s="1657"/>
      <c r="W877" s="1568"/>
      <c r="X877" s="1569"/>
      <c r="Y877" s="1569"/>
      <c r="Z877" s="1569"/>
      <c r="AA877" s="1569"/>
      <c r="AB877" s="1569"/>
      <c r="AC877" s="1570"/>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655" t="s">
        <v>335</v>
      </c>
      <c r="N878" s="1656"/>
      <c r="O878" s="1656"/>
      <c r="P878" s="1656"/>
      <c r="Q878" s="1656"/>
      <c r="R878" s="1656"/>
      <c r="S878" s="1656"/>
      <c r="T878" s="1656"/>
      <c r="U878" s="1656"/>
      <c r="V878" s="1657"/>
      <c r="W878" s="1568"/>
      <c r="X878" s="1569"/>
      <c r="Y878" s="1569"/>
      <c r="Z878" s="1569"/>
      <c r="AA878" s="1569"/>
      <c r="AB878" s="1569"/>
      <c r="AC878" s="1570"/>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574">
        <f>SUM(W874:AC878)</f>
        <v>0</v>
      </c>
      <c r="X879" s="1575"/>
      <c r="Y879" s="1575"/>
      <c r="Z879" s="1575"/>
      <c r="AA879" s="1575"/>
      <c r="AB879" s="1575"/>
      <c r="AC879" s="1576"/>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575">
        <f>W847+W855+W862+W863+W872+W879+W849</f>
        <v>367591</v>
      </c>
      <c r="AD883" s="1575"/>
      <c r="AE883" s="1575"/>
      <c r="AF883" s="1575"/>
      <c r="AG883" s="1575"/>
      <c r="AH883" s="1576"/>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520</v>
      </c>
      <c r="AC884" s="1768">
        <f>O797+O777+G753</f>
        <v>50</v>
      </c>
      <c r="AD884" s="1768"/>
      <c r="AE884" s="1768"/>
      <c r="AF884" s="1768"/>
      <c r="AG884" s="1768"/>
      <c r="AH884" s="1769"/>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697" t="s">
        <v>32</v>
      </c>
      <c r="F885" s="1697"/>
      <c r="G885" s="1697"/>
      <c r="H885" s="1697"/>
      <c r="I885" s="1697"/>
      <c r="J885" s="1697"/>
      <c r="K885" s="1697"/>
      <c r="L885" s="1697"/>
      <c r="M885" s="1697"/>
      <c r="N885" s="1697"/>
      <c r="O885" s="1697"/>
      <c r="P885" s="1697"/>
      <c r="Q885" s="1697"/>
      <c r="R885" s="1697"/>
      <c r="S885" s="1697"/>
      <c r="T885" s="1697"/>
      <c r="U885" s="1697"/>
      <c r="V885" s="1697"/>
      <c r="W885" s="1697"/>
      <c r="X885" s="1697"/>
      <c r="Y885" s="1697"/>
      <c r="Z885" s="1697"/>
      <c r="AA885" s="1697"/>
      <c r="AB885" s="1698"/>
      <c r="AC885" s="1767">
        <f>IF(ISERROR((ROUNDDOWN(AC883/AC884,0))),0,(ROUNDDOWN(AC883/AC884,0)))</f>
        <v>7351</v>
      </c>
      <c r="AD885" s="1767"/>
      <c r="AE885" s="1767"/>
      <c r="AF885" s="1767"/>
      <c r="AG885" s="1767"/>
      <c r="AH885" s="1767"/>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782">
        <f>(AC883+AC889+AC891+AC890+AF627)/4</f>
        <v>229758.75</v>
      </c>
      <c r="AD886" s="1783"/>
      <c r="AE886" s="1783"/>
      <c r="AF886" s="1783"/>
      <c r="AG886" s="1783"/>
      <c r="AH886" s="1783"/>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1266</v>
      </c>
      <c r="AC887" s="1570"/>
      <c r="AD887" s="1571"/>
      <c r="AE887" s="1571"/>
      <c r="AF887" s="1571"/>
      <c r="AG887" s="1571"/>
      <c r="AH887" s="1571"/>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569">
        <v>75000</v>
      </c>
      <c r="AD888" s="1569"/>
      <c r="AE888" s="1569"/>
      <c r="AF888" s="1569"/>
      <c r="AG888" s="1569"/>
      <c r="AH888" s="1570"/>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69">
        <v>18750</v>
      </c>
      <c r="AD889" s="1569"/>
      <c r="AE889" s="1569"/>
      <c r="AF889" s="1569"/>
      <c r="AG889" s="1569"/>
      <c r="AH889" s="1570"/>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1868</v>
      </c>
      <c r="AC890" s="1518">
        <f>7500+7150</f>
        <v>14650</v>
      </c>
      <c r="AD890" s="1519"/>
      <c r="AE890" s="1519"/>
      <c r="AF890" s="1519"/>
      <c r="AG890" s="1519"/>
      <c r="AH890" s="1520"/>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69">
        <v>9092</v>
      </c>
      <c r="AD891" s="1569"/>
      <c r="AE891" s="1569"/>
      <c r="AF891" s="1569"/>
      <c r="AG891" s="1569"/>
      <c r="AH891" s="1570"/>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1771</v>
      </c>
      <c r="AC892" s="1569"/>
      <c r="AD892" s="1569"/>
      <c r="AE892" s="1569"/>
      <c r="AF892" s="1569"/>
      <c r="AG892" s="1569"/>
      <c r="AH892" s="1570"/>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777" t="s">
        <v>976</v>
      </c>
      <c r="D893" s="1778"/>
      <c r="E893" s="1778"/>
      <c r="F893" s="1778"/>
      <c r="G893" s="1778"/>
      <c r="H893" s="1778"/>
      <c r="I893" s="1778"/>
      <c r="J893" s="1778"/>
      <c r="K893" s="1778"/>
      <c r="L893" s="1778"/>
      <c r="M893" s="1778"/>
      <c r="N893" s="1778"/>
      <c r="O893" s="1778"/>
      <c r="P893" s="1778"/>
      <c r="Q893" s="1778"/>
      <c r="R893" s="1778"/>
      <c r="S893" s="1778"/>
      <c r="T893" s="1778"/>
      <c r="U893" s="1778"/>
      <c r="V893" s="1778"/>
      <c r="W893" s="1778"/>
      <c r="X893" s="1778"/>
      <c r="Y893" s="1778"/>
      <c r="Z893" s="1778"/>
      <c r="AA893" s="1778"/>
      <c r="AB893" s="1779"/>
      <c r="AC893" s="1571"/>
      <c r="AD893" s="1571"/>
      <c r="AE893" s="1571"/>
      <c r="AF893" s="1571"/>
      <c r="AG893" s="1571"/>
      <c r="AH893" s="1571"/>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777" t="s">
        <v>976</v>
      </c>
      <c r="D894" s="1778"/>
      <c r="E894" s="1778"/>
      <c r="F894" s="1778"/>
      <c r="G894" s="1778"/>
      <c r="H894" s="1778"/>
      <c r="I894" s="1778"/>
      <c r="J894" s="1778"/>
      <c r="K894" s="1778"/>
      <c r="L894" s="1778"/>
      <c r="M894" s="1778"/>
      <c r="N894" s="1778"/>
      <c r="O894" s="1778"/>
      <c r="P894" s="1778"/>
      <c r="Q894" s="1778"/>
      <c r="R894" s="1778"/>
      <c r="S894" s="1778"/>
      <c r="T894" s="1778"/>
      <c r="U894" s="1778"/>
      <c r="V894" s="1778"/>
      <c r="W894" s="1778"/>
      <c r="X894" s="1778"/>
      <c r="Y894" s="1778"/>
      <c r="Z894" s="1778"/>
      <c r="AA894" s="1778"/>
      <c r="AB894" s="1779"/>
      <c r="AC894" s="1571"/>
      <c r="AD894" s="1571"/>
      <c r="AE894" s="1571"/>
      <c r="AF894" s="1571"/>
      <c r="AG894" s="1571"/>
      <c r="AH894" s="1571"/>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568"/>
      <c r="AA898" s="1569"/>
      <c r="AB898" s="1569"/>
      <c r="AC898" s="1569"/>
      <c r="AD898" s="1569"/>
      <c r="AE898" s="1570"/>
      <c r="AF898" s="567"/>
      <c r="AZ898" s="34"/>
      <c r="BB898" s="30"/>
      <c r="BC898" s="850"/>
      <c r="BD898" s="1763"/>
      <c r="BE898" s="1763"/>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568"/>
      <c r="AA899" s="1569"/>
      <c r="AB899" s="1569"/>
      <c r="AC899" s="1569"/>
      <c r="AD899" s="1569"/>
      <c r="AE899" s="1570"/>
      <c r="AZ899" s="34"/>
      <c r="BB899" s="30"/>
      <c r="BC899" s="850"/>
      <c r="BD899" s="1763"/>
      <c r="BE899" s="1763"/>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568"/>
      <c r="AA900" s="1569"/>
      <c r="AB900" s="1569"/>
      <c r="AC900" s="1569"/>
      <c r="AD900" s="1569"/>
      <c r="AE900" s="1570"/>
      <c r="AZ900" s="34"/>
      <c r="BB900" s="30"/>
      <c r="BC900" s="850"/>
      <c r="BD900" s="1705"/>
      <c r="BE900" s="1705"/>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574">
        <f>Z898-(Z899+Z900)</f>
        <v>0</v>
      </c>
      <c r="AA901" s="1575"/>
      <c r="AB901" s="1575"/>
      <c r="AC901" s="1575"/>
      <c r="AD901" s="1575"/>
      <c r="AE901" s="1576"/>
      <c r="AZ901" s="34"/>
      <c r="BB901" s="30"/>
      <c r="BC901" s="850"/>
      <c r="BD901" s="1705"/>
      <c r="BE901" s="1705"/>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705"/>
      <c r="BE902" s="1705"/>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763"/>
      <c r="BE903" s="1705"/>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80"/>
      <c r="BE904" s="1780"/>
      <c r="BF904" s="1780"/>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711"/>
      <c r="BE905" s="1711"/>
      <c r="BF905" s="1711"/>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1038</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705"/>
      <c r="BE906" s="1705"/>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763"/>
      <c r="BE907" s="1705"/>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438" t="s">
        <v>96</v>
      </c>
      <c r="B909" s="1438"/>
      <c r="C909" s="1438"/>
      <c r="D909" s="1438"/>
      <c r="E909" s="1438"/>
      <c r="F909" s="1438"/>
      <c r="G909" s="1438"/>
      <c r="H909" s="1438"/>
      <c r="I909" s="1438"/>
      <c r="J909" s="1438"/>
      <c r="K909" s="1438"/>
      <c r="L909" s="1438"/>
      <c r="M909" s="1438"/>
      <c r="N909" s="1438"/>
      <c r="O909" s="1438"/>
      <c r="P909" s="1438"/>
      <c r="Q909" s="1438"/>
      <c r="R909" s="1438"/>
      <c r="S909" s="1438"/>
      <c r="T909" s="1438"/>
      <c r="U909" s="1438"/>
      <c r="V909" s="1438"/>
      <c r="W909" s="1438"/>
      <c r="X909" s="1438"/>
      <c r="Y909" s="1438"/>
      <c r="Z909" s="1438"/>
      <c r="AA909" s="1438"/>
      <c r="AB909" s="1438"/>
      <c r="AC909" s="1438"/>
      <c r="AD909" s="1438"/>
      <c r="AE909" s="1438"/>
      <c r="AF909" s="1438"/>
      <c r="AG909" s="1438"/>
      <c r="AH909" s="1438"/>
      <c r="AI909" s="1438"/>
      <c r="AJ909" s="1438"/>
      <c r="AK909" s="1438"/>
      <c r="AL909" s="1438"/>
      <c r="AM909" s="1438"/>
      <c r="AN909" s="1438"/>
      <c r="AO909" s="1438"/>
      <c r="AP909" s="1438"/>
      <c r="AQ909" s="1438"/>
      <c r="AR909" s="1438"/>
      <c r="AS909" s="1438"/>
      <c r="AT909" s="1438"/>
      <c r="AZ909" s="34"/>
      <c r="BA909" s="34"/>
      <c r="BB909" s="30"/>
      <c r="BC909" s="30"/>
      <c r="BD909" s="1763"/>
      <c r="BE909" s="1705"/>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438"/>
      <c r="B910" s="1438"/>
      <c r="C910" s="1438"/>
      <c r="D910" s="1438"/>
      <c r="E910" s="1438"/>
      <c r="F910" s="1438"/>
      <c r="G910" s="1438"/>
      <c r="H910" s="1438"/>
      <c r="I910" s="1438"/>
      <c r="J910" s="1438"/>
      <c r="K910" s="1438"/>
      <c r="L910" s="1438"/>
      <c r="M910" s="1438"/>
      <c r="N910" s="1438"/>
      <c r="O910" s="1438"/>
      <c r="P910" s="1438"/>
      <c r="Q910" s="1438"/>
      <c r="R910" s="1438"/>
      <c r="S910" s="1438"/>
      <c r="T910" s="1438"/>
      <c r="U910" s="1438"/>
      <c r="V910" s="1438"/>
      <c r="W910" s="1438"/>
      <c r="X910" s="1438"/>
      <c r="Y910" s="1438"/>
      <c r="Z910" s="1438"/>
      <c r="AA910" s="1438"/>
      <c r="AB910" s="1438"/>
      <c r="AC910" s="1438"/>
      <c r="AD910" s="1438"/>
      <c r="AE910" s="1438"/>
      <c r="AF910" s="1438"/>
      <c r="AG910" s="1438"/>
      <c r="AH910" s="1438"/>
      <c r="AI910" s="1438"/>
      <c r="AJ910" s="1438"/>
      <c r="AK910" s="1438"/>
      <c r="AL910" s="1438"/>
      <c r="AM910" s="1438"/>
      <c r="AN910" s="1438"/>
      <c r="AO910" s="1438"/>
      <c r="AP910" s="1438"/>
      <c r="AQ910" s="1438"/>
      <c r="AR910" s="1438"/>
      <c r="AS910" s="1438"/>
      <c r="AT910" s="1438"/>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601" t="s">
        <v>802</v>
      </c>
      <c r="G914" s="1602"/>
      <c r="H914" s="1602"/>
      <c r="I914" s="1602"/>
      <c r="J914" s="1602"/>
      <c r="K914" s="1602"/>
      <c r="L914" s="1602"/>
      <c r="M914" s="1602"/>
      <c r="N914" s="1602"/>
      <c r="O914" s="1602"/>
      <c r="P914" s="1602"/>
      <c r="Q914" s="1602"/>
      <c r="R914" s="1602"/>
      <c r="S914" s="1602"/>
      <c r="T914" s="1603"/>
      <c r="U914" s="1647" t="s">
        <v>31</v>
      </c>
      <c r="V914" s="1648"/>
      <c r="W914" s="1648"/>
      <c r="X914" s="1648"/>
      <c r="Y914" s="1648"/>
      <c r="Z914" s="1648"/>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607" t="s">
        <v>828</v>
      </c>
      <c r="G915" s="1608"/>
      <c r="H915" s="1608"/>
      <c r="I915" s="1608"/>
      <c r="J915" s="1608"/>
      <c r="K915" s="1608"/>
      <c r="L915" s="1608"/>
      <c r="M915" s="1608"/>
      <c r="N915" s="1608"/>
      <c r="O915" s="1608"/>
      <c r="P915" s="1608"/>
      <c r="Q915" s="1608"/>
      <c r="R915" s="1608"/>
      <c r="S915" s="1608"/>
      <c r="T915" s="1609"/>
      <c r="U915" s="1607"/>
      <c r="V915" s="1608"/>
      <c r="W915" s="1608"/>
      <c r="X915" s="1608"/>
      <c r="Y915" s="1608"/>
      <c r="Z915" s="1608"/>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610"/>
      <c r="G916" s="1611"/>
      <c r="H916" s="1611"/>
      <c r="I916" s="1611"/>
      <c r="J916" s="1611"/>
      <c r="K916" s="1611"/>
      <c r="L916" s="1611"/>
      <c r="M916" s="1611"/>
      <c r="N916" s="1611"/>
      <c r="O916" s="1611"/>
      <c r="P916" s="1611"/>
      <c r="Q916" s="1611"/>
      <c r="R916" s="1611"/>
      <c r="S916" s="1611"/>
      <c r="T916" s="1612"/>
      <c r="U916" s="1610"/>
      <c r="V916" s="1611"/>
      <c r="W916" s="1611"/>
      <c r="X916" s="1611"/>
      <c r="Y916" s="1611"/>
      <c r="Z916" s="1611"/>
      <c r="AA916" s="108"/>
      <c r="AB916" s="1437" t="s">
        <v>392</v>
      </c>
      <c r="AC916" s="1437"/>
      <c r="AD916" s="1437"/>
      <c r="AE916" s="1437"/>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768</v>
      </c>
      <c r="G917" s="48"/>
      <c r="H917" s="48"/>
      <c r="I917" s="48"/>
      <c r="J917" s="48"/>
      <c r="K917" s="48"/>
      <c r="L917" s="48"/>
      <c r="M917" s="48"/>
      <c r="N917" s="48"/>
      <c r="O917" s="48"/>
      <c r="P917" s="48"/>
      <c r="Q917" s="48"/>
      <c r="R917" s="48"/>
      <c r="S917" s="48"/>
      <c r="T917" s="49"/>
      <c r="U917" s="1431" t="s">
        <v>554</v>
      </c>
      <c r="V917" s="1432"/>
      <c r="W917" s="1432"/>
      <c r="X917" s="1432"/>
      <c r="Y917" s="1432"/>
      <c r="Z917" s="1433"/>
      <c r="AA917" s="1434">
        <f>AO627</f>
        <v>7425000</v>
      </c>
      <c r="AB917" s="1435"/>
      <c r="AC917" s="1435"/>
      <c r="AD917" s="1435"/>
      <c r="AE917" s="1435"/>
      <c r="AF917" s="1436"/>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684</v>
      </c>
      <c r="G918" s="48"/>
      <c r="H918" s="48"/>
      <c r="I918" s="48"/>
      <c r="J918" s="48"/>
      <c r="K918" s="48"/>
      <c r="L918" s="48"/>
      <c r="M918" s="48"/>
      <c r="N918" s="48"/>
      <c r="O918" s="48"/>
      <c r="P918" s="48"/>
      <c r="Q918" s="48"/>
      <c r="R918" s="48"/>
      <c r="S918" s="48"/>
      <c r="T918" s="49"/>
      <c r="U918" s="1431" t="s">
        <v>600</v>
      </c>
      <c r="V918" s="1432"/>
      <c r="W918" s="1432"/>
      <c r="X918" s="1432"/>
      <c r="Y918" s="1432"/>
      <c r="Z918" s="1433"/>
      <c r="AA918" s="1434"/>
      <c r="AB918" s="1435"/>
      <c r="AC918" s="1435"/>
      <c r="AD918" s="1435"/>
      <c r="AE918" s="1435"/>
      <c r="AF918" s="1436"/>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811</v>
      </c>
      <c r="G919" s="5"/>
      <c r="H919" s="5"/>
      <c r="I919" s="5"/>
      <c r="J919" s="5"/>
      <c r="K919" s="5"/>
      <c r="L919" s="5"/>
      <c r="M919" s="5"/>
      <c r="N919" s="5"/>
      <c r="O919" s="5"/>
      <c r="P919" s="5"/>
      <c r="Q919" s="5"/>
      <c r="R919" s="5"/>
      <c r="S919" s="5"/>
      <c r="T919" s="46"/>
      <c r="U919" s="1431" t="s">
        <v>600</v>
      </c>
      <c r="V919" s="1432"/>
      <c r="W919" s="1432"/>
      <c r="X919" s="1432"/>
      <c r="Y919" s="1432"/>
      <c r="Z919" s="1433"/>
      <c r="AA919" s="1434"/>
      <c r="AB919" s="1435"/>
      <c r="AC919" s="1435"/>
      <c r="AD919" s="1435"/>
      <c r="AE919" s="1435"/>
      <c r="AF919" s="1436"/>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687</v>
      </c>
      <c r="G920" s="5"/>
      <c r="H920" s="5"/>
      <c r="I920" s="5"/>
      <c r="J920" s="5"/>
      <c r="K920" s="5"/>
      <c r="L920" s="5"/>
      <c r="M920" s="5"/>
      <c r="N920" s="5"/>
      <c r="O920" s="5"/>
      <c r="P920" s="5"/>
      <c r="Q920" s="5"/>
      <c r="R920" s="5"/>
      <c r="S920" s="5"/>
      <c r="T920" s="46"/>
      <c r="U920" s="1431" t="s">
        <v>600</v>
      </c>
      <c r="V920" s="1432"/>
      <c r="W920" s="1432"/>
      <c r="X920" s="1432"/>
      <c r="Y920" s="1432"/>
      <c r="Z920" s="1433"/>
      <c r="AA920" s="1434"/>
      <c r="AB920" s="1435"/>
      <c r="AC920" s="1435"/>
      <c r="AD920" s="1435"/>
      <c r="AE920" s="1435"/>
      <c r="AF920" s="1436"/>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796</v>
      </c>
      <c r="G921" s="5"/>
      <c r="H921" s="5"/>
      <c r="I921" s="5"/>
      <c r="J921" s="5"/>
      <c r="K921" s="5"/>
      <c r="L921" s="5"/>
      <c r="M921" s="5"/>
      <c r="N921" s="5"/>
      <c r="O921" s="5"/>
      <c r="P921" s="5"/>
      <c r="Q921" s="5"/>
      <c r="R921" s="5"/>
      <c r="S921" s="5"/>
      <c r="T921" s="46"/>
      <c r="U921" s="1431" t="s">
        <v>600</v>
      </c>
      <c r="V921" s="1432"/>
      <c r="W921" s="1432"/>
      <c r="X921" s="1432"/>
      <c r="Y921" s="1432"/>
      <c r="Z921" s="1433"/>
      <c r="AA921" s="1434"/>
      <c r="AB921" s="1435"/>
      <c r="AC921" s="1435"/>
      <c r="AD921" s="1435"/>
      <c r="AE921" s="1435"/>
      <c r="AF921" s="1436"/>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797</v>
      </c>
      <c r="G922" s="5"/>
      <c r="H922" s="5"/>
      <c r="I922" s="5"/>
      <c r="J922" s="5"/>
      <c r="K922" s="5"/>
      <c r="L922" s="5"/>
      <c r="M922" s="5"/>
      <c r="N922" s="5"/>
      <c r="O922" s="5"/>
      <c r="P922" s="5"/>
      <c r="Q922" s="5"/>
      <c r="R922" s="5"/>
      <c r="S922" s="5"/>
      <c r="T922" s="46"/>
      <c r="U922" s="1431" t="s">
        <v>600</v>
      </c>
      <c r="V922" s="1432"/>
      <c r="W922" s="1432"/>
      <c r="X922" s="1432"/>
      <c r="Y922" s="1432"/>
      <c r="Z922" s="1433"/>
      <c r="AA922" s="1434"/>
      <c r="AB922" s="1435"/>
      <c r="AC922" s="1435"/>
      <c r="AD922" s="1435"/>
      <c r="AE922" s="1435"/>
      <c r="AF922" s="1436"/>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798</v>
      </c>
      <c r="G923" s="5"/>
      <c r="H923" s="5"/>
      <c r="I923" s="5"/>
      <c r="J923" s="5"/>
      <c r="K923" s="5"/>
      <c r="L923" s="5"/>
      <c r="M923" s="5"/>
      <c r="N923" s="5"/>
      <c r="O923" s="5"/>
      <c r="P923" s="5"/>
      <c r="Q923" s="5"/>
      <c r="R923" s="5"/>
      <c r="S923" s="5"/>
      <c r="T923" s="46"/>
      <c r="U923" s="1431" t="s">
        <v>600</v>
      </c>
      <c r="V923" s="1432"/>
      <c r="W923" s="1432"/>
      <c r="X923" s="1432"/>
      <c r="Y923" s="1432"/>
      <c r="Z923" s="1433"/>
      <c r="AA923" s="1434"/>
      <c r="AB923" s="1435"/>
      <c r="AC923" s="1435"/>
      <c r="AD923" s="1435"/>
      <c r="AE923" s="1435"/>
      <c r="AF923" s="1436"/>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686</v>
      </c>
      <c r="G924" s="5"/>
      <c r="H924" s="5"/>
      <c r="I924" s="5"/>
      <c r="J924" s="5"/>
      <c r="K924" s="5"/>
      <c r="L924" s="5"/>
      <c r="M924" s="5"/>
      <c r="N924" s="5"/>
      <c r="O924" s="5"/>
      <c r="P924" s="5"/>
      <c r="Q924" s="5"/>
      <c r="R924" s="5"/>
      <c r="S924" s="5"/>
      <c r="T924" s="46"/>
      <c r="U924" s="1431" t="s">
        <v>600</v>
      </c>
      <c r="V924" s="1432"/>
      <c r="W924" s="1432"/>
      <c r="X924" s="1432"/>
      <c r="Y924" s="1432"/>
      <c r="Z924" s="1433"/>
      <c r="AA924" s="1434"/>
      <c r="AB924" s="1435"/>
      <c r="AC924" s="1435"/>
      <c r="AD924" s="1435"/>
      <c r="AE924" s="1435"/>
      <c r="AF924" s="1436"/>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13" t="s">
        <v>2558</v>
      </c>
      <c r="G925" s="1614"/>
      <c r="H925" s="1614"/>
      <c r="I925" s="1614"/>
      <c r="J925" s="1614"/>
      <c r="K925" s="1614"/>
      <c r="L925" s="1614"/>
      <c r="M925" s="1614"/>
      <c r="N925" s="1614"/>
      <c r="O925" s="1614"/>
      <c r="P925" s="1614"/>
      <c r="Q925" s="1614"/>
      <c r="R925" s="1614"/>
      <c r="S925" s="1614"/>
      <c r="T925" s="1615"/>
      <c r="U925" s="1431" t="s">
        <v>600</v>
      </c>
      <c r="V925" s="1432"/>
      <c r="W925" s="1432"/>
      <c r="X925" s="1432"/>
      <c r="Y925" s="1432"/>
      <c r="Z925" s="1433"/>
      <c r="AA925" s="1434"/>
      <c r="AB925" s="1435"/>
      <c r="AC925" s="1435"/>
      <c r="AD925" s="1435"/>
      <c r="AE925" s="1435"/>
      <c r="AF925" s="1436"/>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13" t="s">
        <v>688</v>
      </c>
      <c r="G926" s="1614"/>
      <c r="H926" s="1614"/>
      <c r="I926" s="1614"/>
      <c r="J926" s="1614"/>
      <c r="K926" s="1614"/>
      <c r="L926" s="1614"/>
      <c r="M926" s="1614"/>
      <c r="N926" s="1614"/>
      <c r="O926" s="1614"/>
      <c r="P926" s="1614"/>
      <c r="Q926" s="1614"/>
      <c r="R926" s="1614"/>
      <c r="S926" s="1614"/>
      <c r="T926" s="1615"/>
      <c r="U926" s="1431" t="s">
        <v>600</v>
      </c>
      <c r="V926" s="1432"/>
      <c r="W926" s="1432"/>
      <c r="X926" s="1432"/>
      <c r="Y926" s="1432"/>
      <c r="Z926" s="1433"/>
      <c r="AA926" s="1434"/>
      <c r="AB926" s="1435"/>
      <c r="AC926" s="1435"/>
      <c r="AD926" s="1435"/>
      <c r="AE926" s="1435"/>
      <c r="AF926" s="1436"/>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13" t="s">
        <v>2559</v>
      </c>
      <c r="G927" s="1614"/>
      <c r="H927" s="1614"/>
      <c r="I927" s="1614"/>
      <c r="J927" s="1614"/>
      <c r="K927" s="1614"/>
      <c r="L927" s="1614"/>
      <c r="M927" s="1614"/>
      <c r="N927" s="1614"/>
      <c r="O927" s="1614"/>
      <c r="P927" s="1614"/>
      <c r="Q927" s="1614"/>
      <c r="R927" s="1614"/>
      <c r="S927" s="1614"/>
      <c r="T927" s="1615"/>
      <c r="U927" s="1431" t="s">
        <v>600</v>
      </c>
      <c r="V927" s="1432"/>
      <c r="W927" s="1432"/>
      <c r="X927" s="1432"/>
      <c r="Y927" s="1432"/>
      <c r="Z927" s="1433"/>
      <c r="AA927" s="1434"/>
      <c r="AB927" s="1435"/>
      <c r="AC927" s="1435"/>
      <c r="AD927" s="1435"/>
      <c r="AE927" s="1435"/>
      <c r="AF927" s="1436"/>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13" t="s">
        <v>2560</v>
      </c>
      <c r="G928" s="1614"/>
      <c r="H928" s="1614"/>
      <c r="I928" s="1614"/>
      <c r="J928" s="1614"/>
      <c r="K928" s="1614"/>
      <c r="L928" s="1614"/>
      <c r="M928" s="1614"/>
      <c r="N928" s="1614"/>
      <c r="O928" s="1614"/>
      <c r="P928" s="1614"/>
      <c r="Q928" s="1614"/>
      <c r="R928" s="1614"/>
      <c r="S928" s="1614"/>
      <c r="T928" s="1615"/>
      <c r="U928" s="1431" t="s">
        <v>600</v>
      </c>
      <c r="V928" s="1432"/>
      <c r="W928" s="1432"/>
      <c r="X928" s="1432"/>
      <c r="Y928" s="1432"/>
      <c r="Z928" s="1433"/>
      <c r="AA928" s="1434"/>
      <c r="AB928" s="1435"/>
      <c r="AC928" s="1435"/>
      <c r="AD928" s="1435"/>
      <c r="AE928" s="1435"/>
      <c r="AF928" s="1436"/>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13" t="s">
        <v>2561</v>
      </c>
      <c r="G929" s="1614"/>
      <c r="H929" s="1614"/>
      <c r="I929" s="1614"/>
      <c r="J929" s="1614"/>
      <c r="K929" s="1614"/>
      <c r="L929" s="1614"/>
      <c r="M929" s="1614"/>
      <c r="N929" s="1614"/>
      <c r="O929" s="1614"/>
      <c r="P929" s="1614"/>
      <c r="Q929" s="1614"/>
      <c r="R929" s="1614"/>
      <c r="S929" s="1614"/>
      <c r="T929" s="1615"/>
      <c r="U929" s="1431" t="s">
        <v>600</v>
      </c>
      <c r="V929" s="1432"/>
      <c r="W929" s="1432"/>
      <c r="X929" s="1432"/>
      <c r="Y929" s="1432"/>
      <c r="Z929" s="1433"/>
      <c r="AA929" s="1434"/>
      <c r="AB929" s="1435"/>
      <c r="AC929" s="1435"/>
      <c r="AD929" s="1435"/>
      <c r="AE929" s="1435"/>
      <c r="AF929" s="1436"/>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13" t="s">
        <v>2562</v>
      </c>
      <c r="G930" s="1614"/>
      <c r="H930" s="1614"/>
      <c r="I930" s="1614"/>
      <c r="J930" s="1614"/>
      <c r="K930" s="1614"/>
      <c r="L930" s="1614"/>
      <c r="M930" s="1614"/>
      <c r="N930" s="1614"/>
      <c r="O930" s="1614"/>
      <c r="P930" s="1614"/>
      <c r="Q930" s="1614"/>
      <c r="R930" s="1614"/>
      <c r="S930" s="1614"/>
      <c r="T930" s="1615"/>
      <c r="U930" s="1431" t="s">
        <v>600</v>
      </c>
      <c r="V930" s="1432"/>
      <c r="W930" s="1432"/>
      <c r="X930" s="1432"/>
      <c r="Y930" s="1432"/>
      <c r="Z930" s="1433"/>
      <c r="AA930" s="1434"/>
      <c r="AB930" s="1435"/>
      <c r="AC930" s="1435"/>
      <c r="AD930" s="1435"/>
      <c r="AE930" s="1435"/>
      <c r="AF930" s="1436"/>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13" t="s">
        <v>2563</v>
      </c>
      <c r="G931" s="1614"/>
      <c r="H931" s="1614"/>
      <c r="I931" s="1614"/>
      <c r="J931" s="1614"/>
      <c r="K931" s="1614"/>
      <c r="L931" s="1614"/>
      <c r="M931" s="1614"/>
      <c r="N931" s="1614"/>
      <c r="O931" s="1614"/>
      <c r="P931" s="1614"/>
      <c r="Q931" s="1614"/>
      <c r="R931" s="1614"/>
      <c r="S931" s="1614"/>
      <c r="T931" s="1615"/>
      <c r="U931" s="1431" t="s">
        <v>600</v>
      </c>
      <c r="V931" s="1432"/>
      <c r="W931" s="1432"/>
      <c r="X931" s="1432"/>
      <c r="Y931" s="1432"/>
      <c r="Z931" s="1433"/>
      <c r="AA931" s="1434"/>
      <c r="AB931" s="1435"/>
      <c r="AC931" s="1435"/>
      <c r="AD931" s="1435"/>
      <c r="AE931" s="1435"/>
      <c r="AF931" s="1436"/>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685</v>
      </c>
      <c r="G932" s="5"/>
      <c r="H932" s="5"/>
      <c r="I932" s="5"/>
      <c r="J932" s="5"/>
      <c r="K932" s="5"/>
      <c r="L932" s="5"/>
      <c r="M932" s="5"/>
      <c r="N932" s="5"/>
      <c r="O932" s="5"/>
      <c r="P932" s="5"/>
      <c r="Q932" s="5"/>
      <c r="R932" s="5"/>
      <c r="S932" s="5"/>
      <c r="T932" s="46"/>
      <c r="U932" s="1431" t="s">
        <v>600</v>
      </c>
      <c r="V932" s="1432"/>
      <c r="W932" s="1432"/>
      <c r="X932" s="1432"/>
      <c r="Y932" s="1432"/>
      <c r="Z932" s="1433"/>
      <c r="AA932" s="1434"/>
      <c r="AB932" s="1435"/>
      <c r="AC932" s="1435"/>
      <c r="AD932" s="1435"/>
      <c r="AE932" s="1435"/>
      <c r="AF932" s="1436"/>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1388</v>
      </c>
      <c r="G933" s="5"/>
      <c r="H933" s="5"/>
      <c r="I933" s="5"/>
      <c r="J933" s="5"/>
      <c r="K933" s="5"/>
      <c r="L933" s="5"/>
      <c r="M933" s="5"/>
      <c r="N933" s="5"/>
      <c r="O933" s="5"/>
      <c r="P933" s="5"/>
      <c r="Q933" s="5"/>
      <c r="R933" s="5"/>
      <c r="S933" s="5"/>
      <c r="T933" s="46"/>
      <c r="U933" s="1431" t="s">
        <v>600</v>
      </c>
      <c r="V933" s="1432"/>
      <c r="W933" s="1432"/>
      <c r="X933" s="1432"/>
      <c r="Y933" s="1432"/>
      <c r="Z933" s="1433"/>
      <c r="AA933" s="1434"/>
      <c r="AB933" s="1435"/>
      <c r="AC933" s="1435"/>
      <c r="AD933" s="1435"/>
      <c r="AE933" s="1435"/>
      <c r="AF933" s="1436"/>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812</v>
      </c>
      <c r="G934" s="5"/>
      <c r="H934" s="5"/>
      <c r="I934" s="5"/>
      <c r="J934" s="5"/>
      <c r="K934" s="5"/>
      <c r="L934" s="5"/>
      <c r="M934" s="5"/>
      <c r="N934" s="5"/>
      <c r="O934" s="5"/>
      <c r="P934" s="5"/>
      <c r="Q934" s="5"/>
      <c r="R934" s="5"/>
      <c r="S934" s="5"/>
      <c r="T934" s="46"/>
      <c r="U934" s="1431" t="s">
        <v>600</v>
      </c>
      <c r="V934" s="1432"/>
      <c r="W934" s="1432"/>
      <c r="X934" s="1432"/>
      <c r="Y934" s="1432"/>
      <c r="Z934" s="1433"/>
      <c r="AA934" s="1434"/>
      <c r="AB934" s="1435"/>
      <c r="AC934" s="1435"/>
      <c r="AD934" s="1435"/>
      <c r="AE934" s="1435"/>
      <c r="AF934" s="1436"/>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764" t="s">
        <v>2567</v>
      </c>
      <c r="G935" s="1765"/>
      <c r="H935" s="1765"/>
      <c r="I935" s="1765"/>
      <c r="J935" s="1765"/>
      <c r="K935" s="1765"/>
      <c r="L935" s="1765"/>
      <c r="M935" s="1765"/>
      <c r="N935" s="1765"/>
      <c r="O935" s="1765"/>
      <c r="P935" s="1765"/>
      <c r="Q935" s="1765"/>
      <c r="R935" s="1765"/>
      <c r="S935" s="1765"/>
      <c r="T935" s="1766"/>
      <c r="U935" s="1431" t="s">
        <v>600</v>
      </c>
      <c r="V935" s="1432"/>
      <c r="W935" s="1432"/>
      <c r="X935" s="1432"/>
      <c r="Y935" s="1432"/>
      <c r="Z935" s="1433"/>
      <c r="AA935" s="1434"/>
      <c r="AB935" s="1435"/>
      <c r="AC935" s="1435"/>
      <c r="AD935" s="1435"/>
      <c r="AE935" s="1435"/>
      <c r="AF935" s="1436"/>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764" t="s">
        <v>2568</v>
      </c>
      <c r="G936" s="1765"/>
      <c r="H936" s="1765"/>
      <c r="I936" s="1765"/>
      <c r="J936" s="1765"/>
      <c r="K936" s="1765"/>
      <c r="L936" s="1765"/>
      <c r="M936" s="1765"/>
      <c r="N936" s="1765"/>
      <c r="O936" s="1765"/>
      <c r="P936" s="1765"/>
      <c r="Q936" s="1765"/>
      <c r="R936" s="1765"/>
      <c r="S936" s="1765"/>
      <c r="T936" s="1766"/>
      <c r="U936" s="1431" t="s">
        <v>600</v>
      </c>
      <c r="V936" s="1432"/>
      <c r="W936" s="1432"/>
      <c r="X936" s="1432"/>
      <c r="Y936" s="1432"/>
      <c r="Z936" s="1433"/>
      <c r="AA936" s="1434"/>
      <c r="AB936" s="1435"/>
      <c r="AC936" s="1435"/>
      <c r="AD936" s="1435"/>
      <c r="AE936" s="1435"/>
      <c r="AF936" s="1436"/>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13" t="s">
        <v>2564</v>
      </c>
      <c r="G937" s="1614"/>
      <c r="H937" s="1614"/>
      <c r="I937" s="1614"/>
      <c r="J937" s="1614"/>
      <c r="K937" s="1614"/>
      <c r="L937" s="1614"/>
      <c r="M937" s="1614"/>
      <c r="N937" s="1614"/>
      <c r="O937" s="1614"/>
      <c r="P937" s="1614"/>
      <c r="Q937" s="1614"/>
      <c r="R937" s="1614"/>
      <c r="S937" s="1614"/>
      <c r="T937" s="1615"/>
      <c r="U937" s="1431" t="s">
        <v>600</v>
      </c>
      <c r="V937" s="1432"/>
      <c r="W937" s="1432"/>
      <c r="X937" s="1432"/>
      <c r="Y937" s="1432"/>
      <c r="Z937" s="1433"/>
      <c r="AA937" s="1434"/>
      <c r="AB937" s="1435"/>
      <c r="AC937" s="1435"/>
      <c r="AD937" s="1435"/>
      <c r="AE937" s="1435"/>
      <c r="AF937" s="1436"/>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13" t="s">
        <v>2565</v>
      </c>
      <c r="G938" s="1614"/>
      <c r="H938" s="1614"/>
      <c r="I938" s="1614"/>
      <c r="J938" s="1614"/>
      <c r="K938" s="1614"/>
      <c r="L938" s="1614"/>
      <c r="M938" s="1614"/>
      <c r="N938" s="1614"/>
      <c r="O938" s="1614"/>
      <c r="P938" s="1614"/>
      <c r="Q938" s="1614"/>
      <c r="R938" s="1614"/>
      <c r="S938" s="1614"/>
      <c r="T938" s="1615"/>
      <c r="U938" s="1431" t="s">
        <v>600</v>
      </c>
      <c r="V938" s="1432"/>
      <c r="W938" s="1432"/>
      <c r="X938" s="1432"/>
      <c r="Y938" s="1432"/>
      <c r="Z938" s="1433"/>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13" t="s">
        <v>2566</v>
      </c>
      <c r="G939" s="1614"/>
      <c r="H939" s="1614"/>
      <c r="I939" s="1614"/>
      <c r="J939" s="1614"/>
      <c r="K939" s="1614"/>
      <c r="L939" s="1614"/>
      <c r="M939" s="1614"/>
      <c r="N939" s="1614"/>
      <c r="O939" s="1614"/>
      <c r="P939" s="1614"/>
      <c r="Q939" s="1614"/>
      <c r="R939" s="1614"/>
      <c r="S939" s="1614"/>
      <c r="T939" s="1615"/>
      <c r="U939" s="1431" t="s">
        <v>600</v>
      </c>
      <c r="V939" s="1432"/>
      <c r="W939" s="1432"/>
      <c r="X939" s="1432"/>
      <c r="Y939" s="1432"/>
      <c r="Z939" s="1433"/>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1372</v>
      </c>
      <c r="G940" s="5"/>
      <c r="H940" s="5"/>
      <c r="I940" s="5"/>
      <c r="J940" s="5"/>
      <c r="K940" s="5"/>
      <c r="L940" s="5"/>
      <c r="M940" s="5"/>
      <c r="N940" s="5"/>
      <c r="O940" s="5"/>
      <c r="P940" s="5"/>
      <c r="Q940" s="5"/>
      <c r="R940" s="5"/>
      <c r="S940" s="5"/>
      <c r="T940" s="46"/>
      <c r="U940" s="1431" t="s">
        <v>600</v>
      </c>
      <c r="V940" s="1432"/>
      <c r="W940" s="1432"/>
      <c r="X940" s="1432"/>
      <c r="Y940" s="1432"/>
      <c r="Z940" s="1433"/>
      <c r="AA940" s="1434"/>
      <c r="AB940" s="1435"/>
      <c r="AC940" s="1435"/>
      <c r="AD940" s="1435"/>
      <c r="AE940" s="1435"/>
      <c r="AF940" s="1436"/>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764" t="s">
        <v>2569</v>
      </c>
      <c r="G941" s="1765"/>
      <c r="H941" s="1765"/>
      <c r="I941" s="1765"/>
      <c r="J941" s="1765"/>
      <c r="K941" s="1765"/>
      <c r="L941" s="1765"/>
      <c r="M941" s="1765"/>
      <c r="N941" s="1765"/>
      <c r="O941" s="1765"/>
      <c r="P941" s="1765"/>
      <c r="Q941" s="1765"/>
      <c r="R941" s="1765"/>
      <c r="S941" s="1765"/>
      <c r="T941" s="1766"/>
      <c r="U941" s="1431" t="s">
        <v>600</v>
      </c>
      <c r="V941" s="1432"/>
      <c r="W941" s="1432"/>
      <c r="X941" s="1432"/>
      <c r="Y941" s="1432"/>
      <c r="Z941" s="1433"/>
      <c r="AA941" s="1434"/>
      <c r="AB941" s="1435"/>
      <c r="AC941" s="1435"/>
      <c r="AD941" s="1435"/>
      <c r="AE941" s="1435"/>
      <c r="AF941" s="1436"/>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1373</v>
      </c>
      <c r="G942" s="5"/>
      <c r="H942" s="5"/>
      <c r="I942" s="5"/>
      <c r="J942" s="5"/>
      <c r="K942" s="5"/>
      <c r="L942" s="5"/>
      <c r="M942" s="5"/>
      <c r="N942" s="5"/>
      <c r="O942" s="5"/>
      <c r="P942" s="5"/>
      <c r="Q942" s="5"/>
      <c r="R942" s="5"/>
      <c r="S942" s="5"/>
      <c r="T942" s="46"/>
      <c r="U942" s="1431" t="s">
        <v>600</v>
      </c>
      <c r="V942" s="1432"/>
      <c r="W942" s="1432"/>
      <c r="X942" s="1432"/>
      <c r="Y942" s="1432"/>
      <c r="Z942" s="1433"/>
      <c r="AA942" s="1434"/>
      <c r="AB942" s="1435"/>
      <c r="AC942" s="1435"/>
      <c r="AD942" s="1435"/>
      <c r="AE942" s="1435"/>
      <c r="AF942" s="1436"/>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764" t="s">
        <v>2570</v>
      </c>
      <c r="G943" s="1765"/>
      <c r="H943" s="1765"/>
      <c r="I943" s="1765"/>
      <c r="J943" s="1765"/>
      <c r="K943" s="1765"/>
      <c r="L943" s="1765"/>
      <c r="M943" s="1765"/>
      <c r="N943" s="1765"/>
      <c r="O943" s="1765"/>
      <c r="P943" s="1765"/>
      <c r="Q943" s="1765"/>
      <c r="R943" s="1765"/>
      <c r="S943" s="1765"/>
      <c r="T943" s="1766"/>
      <c r="U943" s="1431" t="s">
        <v>600</v>
      </c>
      <c r="V943" s="1432"/>
      <c r="W943" s="1432"/>
      <c r="X943" s="1432"/>
      <c r="Y943" s="1432"/>
      <c r="Z943" s="1433"/>
      <c r="AA943" s="1434"/>
      <c r="AB943" s="1435"/>
      <c r="AC943" s="1435"/>
      <c r="AD943" s="1435"/>
      <c r="AE943" s="1435"/>
      <c r="AF943" s="1436"/>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816</v>
      </c>
      <c r="G944" s="5"/>
      <c r="H944" s="5"/>
      <c r="I944" s="5"/>
      <c r="J944" s="5"/>
      <c r="K944" s="5"/>
      <c r="L944" s="5"/>
      <c r="M944" s="5"/>
      <c r="N944" s="5"/>
      <c r="O944" s="5"/>
      <c r="P944" s="1431" t="s">
        <v>678</v>
      </c>
      <c r="Q944" s="1432"/>
      <c r="R944" s="1432"/>
      <c r="S944" s="1432"/>
      <c r="T944" s="1433"/>
      <c r="U944" s="1431" t="s">
        <v>600</v>
      </c>
      <c r="V944" s="1432"/>
      <c r="W944" s="1432"/>
      <c r="X944" s="1432"/>
      <c r="Y944" s="1432"/>
      <c r="Z944" s="1433"/>
      <c r="AA944" s="1434"/>
      <c r="AB944" s="1435"/>
      <c r="AC944" s="1435"/>
      <c r="AD944" s="1435"/>
      <c r="AE944" s="1435"/>
      <c r="AF944" s="1436"/>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13" t="s">
        <v>2557</v>
      </c>
      <c r="G945" s="1614"/>
      <c r="H945" s="1615"/>
      <c r="I945" s="1655" t="s">
        <v>335</v>
      </c>
      <c r="J945" s="1656"/>
      <c r="K945" s="1656"/>
      <c r="L945" s="1656"/>
      <c r="M945" s="1656"/>
      <c r="N945" s="1656"/>
      <c r="O945" s="1656"/>
      <c r="P945" s="1656"/>
      <c r="Q945" s="1656"/>
      <c r="R945" s="1656"/>
      <c r="S945" s="1656"/>
      <c r="T945" s="1657"/>
      <c r="U945" s="1431" t="s">
        <v>600</v>
      </c>
      <c r="V945" s="1432"/>
      <c r="W945" s="1432"/>
      <c r="X945" s="1432"/>
      <c r="Y945" s="1432"/>
      <c r="Z945" s="1433"/>
      <c r="AA945" s="1434"/>
      <c r="AB945" s="1435"/>
      <c r="AC945" s="1435"/>
      <c r="AD945" s="1435"/>
      <c r="AE945" s="1435"/>
      <c r="AF945" s="1436"/>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55" t="s">
        <v>335</v>
      </c>
      <c r="J946" s="1656"/>
      <c r="K946" s="1656"/>
      <c r="L946" s="1656"/>
      <c r="M946" s="1656"/>
      <c r="N946" s="1656"/>
      <c r="O946" s="1656"/>
      <c r="P946" s="1656"/>
      <c r="Q946" s="1656"/>
      <c r="R946" s="1656"/>
      <c r="S946" s="1656"/>
      <c r="T946" s="1657"/>
      <c r="U946" s="1431" t="s">
        <v>600</v>
      </c>
      <c r="V946" s="1432"/>
      <c r="W946" s="1432"/>
      <c r="X946" s="1432"/>
      <c r="Y946" s="1432"/>
      <c r="Z946" s="1433"/>
      <c r="AA946" s="1434"/>
      <c r="AB946" s="1435"/>
      <c r="AC946" s="1435"/>
      <c r="AD946" s="1435"/>
      <c r="AE946" s="1435"/>
      <c r="AF946" s="1436"/>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604" t="str">
        <f>C628</f>
        <v>City of Alhambra</v>
      </c>
      <c r="J947" s="1605"/>
      <c r="K947" s="1605"/>
      <c r="L947" s="1605"/>
      <c r="M947" s="1605"/>
      <c r="N947" s="1605"/>
      <c r="O947" s="1605"/>
      <c r="P947" s="1605"/>
      <c r="Q947" s="1605"/>
      <c r="R947" s="1605"/>
      <c r="S947" s="1605"/>
      <c r="T947" s="1606"/>
      <c r="U947" s="1431" t="s">
        <v>554</v>
      </c>
      <c r="V947" s="1432"/>
      <c r="W947" s="1432"/>
      <c r="X947" s="1432"/>
      <c r="Y947" s="1432"/>
      <c r="Z947" s="1433"/>
      <c r="AA947" s="1434">
        <f>AO628</f>
        <v>5830000</v>
      </c>
      <c r="AB947" s="1435"/>
      <c r="AC947" s="1435"/>
      <c r="AD947" s="1435"/>
      <c r="AE947" s="1435"/>
      <c r="AF947" s="1436"/>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604" t="str">
        <f>C629</f>
        <v>LACDA AHTF</v>
      </c>
      <c r="J948" s="1605"/>
      <c r="K948" s="1605"/>
      <c r="L948" s="1605"/>
      <c r="M948" s="1605"/>
      <c r="N948" s="1605"/>
      <c r="O948" s="1605"/>
      <c r="P948" s="1605"/>
      <c r="Q948" s="1605"/>
      <c r="R948" s="1605"/>
      <c r="S948" s="1605"/>
      <c r="T948" s="1606"/>
      <c r="U948" s="1431" t="s">
        <v>554</v>
      </c>
      <c r="V948" s="1432"/>
      <c r="W948" s="1432"/>
      <c r="X948" s="1432"/>
      <c r="Y948" s="1432"/>
      <c r="Z948" s="1433"/>
      <c r="AA948" s="1434">
        <f>AO629</f>
        <v>5350000</v>
      </c>
      <c r="AB948" s="1435"/>
      <c r="AC948" s="1435"/>
      <c r="AD948" s="1435"/>
      <c r="AE948" s="1435"/>
      <c r="AF948" s="1436"/>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604" t="str">
        <f>C630</f>
        <v>SGVRHT AHTF</v>
      </c>
      <c r="J949" s="1605"/>
      <c r="K949" s="1605"/>
      <c r="L949" s="1605"/>
      <c r="M949" s="1605"/>
      <c r="N949" s="1605"/>
      <c r="O949" s="1605"/>
      <c r="P949" s="1605"/>
      <c r="Q949" s="1605"/>
      <c r="R949" s="1605"/>
      <c r="S949" s="1605"/>
      <c r="T949" s="1606"/>
      <c r="U949" s="1431" t="s">
        <v>554</v>
      </c>
      <c r="V949" s="1432"/>
      <c r="W949" s="1432"/>
      <c r="X949" s="1432"/>
      <c r="Y949" s="1432"/>
      <c r="Z949" s="1433"/>
      <c r="AA949" s="1434">
        <f>AO630</f>
        <v>1000000</v>
      </c>
      <c r="AB949" s="1435"/>
      <c r="AC949" s="1435"/>
      <c r="AD949" s="1435"/>
      <c r="AE949" s="1435"/>
      <c r="AF949" s="1436"/>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442">
        <v>45349</v>
      </c>
      <c r="N954" s="1443"/>
      <c r="O954" s="1443"/>
      <c r="P954" s="1443"/>
      <c r="Q954" s="1443"/>
      <c r="R954" s="1443"/>
      <c r="S954" s="1444"/>
      <c r="U954" s="66" t="s">
        <v>11</v>
      </c>
      <c r="V954" s="5"/>
      <c r="W954" s="5"/>
      <c r="X954" s="5"/>
      <c r="Y954" s="5"/>
      <c r="Z954" s="5"/>
      <c r="AA954" s="5"/>
      <c r="AB954" s="5"/>
      <c r="AC954" s="5"/>
      <c r="AD954" s="46"/>
      <c r="AE954" s="1442"/>
      <c r="AF954" s="1443"/>
      <c r="AG954" s="1443"/>
      <c r="AH954" s="1443"/>
      <c r="AI954" s="1443"/>
      <c r="AJ954" s="1443"/>
      <c r="AK954" s="1444"/>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761" t="s">
        <v>2770</v>
      </c>
      <c r="N955" s="1726"/>
      <c r="O955" s="1726"/>
      <c r="P955" s="1726"/>
      <c r="Q955" s="1726"/>
      <c r="R955" s="1726"/>
      <c r="S955" s="1762"/>
      <c r="U955" s="66" t="s">
        <v>12</v>
      </c>
      <c r="V955" s="5"/>
      <c r="W955" s="5"/>
      <c r="X955" s="5"/>
      <c r="Y955" s="5"/>
      <c r="Z955" s="5"/>
      <c r="AA955" s="5"/>
      <c r="AB955" s="5"/>
      <c r="AC955" s="5"/>
      <c r="AD955" s="46"/>
      <c r="AE955" s="1761"/>
      <c r="AF955" s="1726"/>
      <c r="AG955" s="1726"/>
      <c r="AH955" s="1726"/>
      <c r="AI955" s="1726"/>
      <c r="AJ955" s="1726"/>
      <c r="AK955" s="1762"/>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893</v>
      </c>
      <c r="D956" s="5"/>
      <c r="E956" s="5"/>
      <c r="J956" s="1619" t="s">
        <v>2771</v>
      </c>
      <c r="K956" s="1620"/>
      <c r="L956" s="1620"/>
      <c r="M956" s="1620"/>
      <c r="N956" s="1620"/>
      <c r="O956" s="1620"/>
      <c r="P956" s="1620"/>
      <c r="Q956" s="1620"/>
      <c r="R956" s="1620"/>
      <c r="S956" s="1621"/>
      <c r="U956" s="66" t="s">
        <v>893</v>
      </c>
      <c r="V956" s="5"/>
      <c r="W956" s="5"/>
      <c r="AB956" s="1619" t="s">
        <v>308</v>
      </c>
      <c r="AC956" s="1620"/>
      <c r="AD956" s="1620"/>
      <c r="AE956" s="1620"/>
      <c r="AF956" s="1620"/>
      <c r="AG956" s="1620"/>
      <c r="AH956" s="1620"/>
      <c r="AI956" s="1620"/>
      <c r="AJ956" s="1620"/>
      <c r="AK956" s="1621"/>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616">
        <v>0.71</v>
      </c>
      <c r="N957" s="1617"/>
      <c r="O957" s="1617"/>
      <c r="P957" s="1617"/>
      <c r="Q957" s="1617"/>
      <c r="R957" s="1617"/>
      <c r="S957" s="1618"/>
      <c r="U957" s="66" t="s">
        <v>13</v>
      </c>
      <c r="V957" s="5"/>
      <c r="W957" s="5"/>
      <c r="X957" s="5"/>
      <c r="Y957" s="5"/>
      <c r="Z957" s="5"/>
      <c r="AA957" s="5"/>
      <c r="AB957" s="5"/>
      <c r="AC957" s="5"/>
      <c r="AD957" s="46"/>
      <c r="AE957" s="1704"/>
      <c r="AF957" s="1617"/>
      <c r="AG957" s="1617"/>
      <c r="AH957" s="1617"/>
      <c r="AI957" s="1617"/>
      <c r="AJ957" s="1617"/>
      <c r="AK957" s="1618"/>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671">
        <v>35</v>
      </c>
      <c r="N958" s="1672"/>
      <c r="O958" s="1672"/>
      <c r="P958" s="1672"/>
      <c r="Q958" s="1672"/>
      <c r="R958" s="1672"/>
      <c r="S958" s="1673"/>
      <c r="U958" s="66" t="s">
        <v>14</v>
      </c>
      <c r="V958" s="5"/>
      <c r="W958" s="5"/>
      <c r="X958" s="5"/>
      <c r="Y958" s="5"/>
      <c r="Z958" s="5"/>
      <c r="AA958" s="5"/>
      <c r="AB958" s="5"/>
      <c r="AC958" s="5"/>
      <c r="AD958" s="46"/>
      <c r="AE958" s="1671"/>
      <c r="AF958" s="1672"/>
      <c r="AG958" s="1672"/>
      <c r="AH958" s="1672"/>
      <c r="AI958" s="1672"/>
      <c r="AJ958" s="1672"/>
      <c r="AK958" s="1673"/>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434">
        <v>944940</v>
      </c>
      <c r="N959" s="1435"/>
      <c r="O959" s="1435"/>
      <c r="P959" s="1435"/>
      <c r="Q959" s="1435"/>
      <c r="R959" s="1435"/>
      <c r="S959" s="1436"/>
      <c r="U959" s="66" t="s">
        <v>15</v>
      </c>
      <c r="V959" s="5"/>
      <c r="W959" s="5"/>
      <c r="X959" s="5"/>
      <c r="Y959" s="5"/>
      <c r="Z959" s="5"/>
      <c r="AA959" s="5"/>
      <c r="AB959" s="5"/>
      <c r="AC959" s="5"/>
      <c r="AD959" s="46"/>
      <c r="AE959" s="1434"/>
      <c r="AF959" s="1435"/>
      <c r="AG959" s="1435"/>
      <c r="AH959" s="1435"/>
      <c r="AI959" s="1435"/>
      <c r="AJ959" s="1435"/>
      <c r="AK959" s="1436"/>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434">
        <f>M961*M959</f>
        <v>18898800</v>
      </c>
      <c r="N960" s="1435"/>
      <c r="O960" s="1435"/>
      <c r="P960" s="1435"/>
      <c r="Q960" s="1435"/>
      <c r="R960" s="1435"/>
      <c r="S960" s="1436"/>
      <c r="U960" s="66" t="s">
        <v>16</v>
      </c>
      <c r="V960" s="5"/>
      <c r="W960" s="5"/>
      <c r="X960" s="5"/>
      <c r="Y960" s="5"/>
      <c r="Z960" s="5"/>
      <c r="AA960" s="5"/>
      <c r="AB960" s="5"/>
      <c r="AC960" s="5"/>
      <c r="AD960" s="46"/>
      <c r="AE960" s="1434"/>
      <c r="AF960" s="1435"/>
      <c r="AG960" s="1435"/>
      <c r="AH960" s="1435"/>
      <c r="AI960" s="1435"/>
      <c r="AJ960" s="1435"/>
      <c r="AK960" s="1436"/>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1776</v>
      </c>
      <c r="D961" s="5"/>
      <c r="E961" s="5"/>
      <c r="F961" s="5"/>
      <c r="G961" s="5"/>
      <c r="H961" s="5"/>
      <c r="I961" s="5"/>
      <c r="J961" s="5"/>
      <c r="K961" s="5"/>
      <c r="L961" s="46"/>
      <c r="M961" s="1422">
        <v>20</v>
      </c>
      <c r="N961" s="1423"/>
      <c r="O961" s="1423"/>
      <c r="P961" s="1423"/>
      <c r="Q961" s="1423"/>
      <c r="R961" s="1423"/>
      <c r="S961" s="1424"/>
      <c r="U961" s="121" t="s">
        <v>1776</v>
      </c>
      <c r="V961" s="5"/>
      <c r="W961" s="5"/>
      <c r="X961" s="5"/>
      <c r="Y961" s="5"/>
      <c r="Z961" s="5"/>
      <c r="AA961" s="5"/>
      <c r="AB961" s="5"/>
      <c r="AC961" s="5"/>
      <c r="AD961" s="46"/>
      <c r="AE961" s="1422"/>
      <c r="AF961" s="1423"/>
      <c r="AG961" s="1423"/>
      <c r="AH961" s="1423"/>
      <c r="AI961" s="1423"/>
      <c r="AJ961" s="1423"/>
      <c r="AK961" s="1424"/>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580</v>
      </c>
      <c r="G966" s="5"/>
      <c r="H966" s="5"/>
      <c r="I966" s="5"/>
      <c r="J966" s="5"/>
      <c r="K966" s="5"/>
      <c r="L966" s="46"/>
      <c r="M966" s="1439"/>
      <c r="N966" s="1440"/>
      <c r="O966" s="1440"/>
      <c r="P966" s="1440"/>
      <c r="Q966" s="1440"/>
      <c r="R966" s="1440"/>
      <c r="S966" s="1441"/>
      <c r="T966" s="66" t="s">
        <v>800</v>
      </c>
      <c r="U966" s="5"/>
      <c r="V966" s="5"/>
      <c r="W966" s="5"/>
      <c r="X966" s="5"/>
      <c r="Y966" s="5"/>
      <c r="Z966" s="46"/>
      <c r="AA966" s="1439"/>
      <c r="AB966" s="1440"/>
      <c r="AC966" s="1440"/>
      <c r="AD966" s="1440"/>
      <c r="AE966" s="1440"/>
      <c r="AF966" s="1440"/>
      <c r="AG966" s="1441"/>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581</v>
      </c>
      <c r="G967" s="5"/>
      <c r="H967" s="5"/>
      <c r="I967" s="5"/>
      <c r="J967" s="5"/>
      <c r="K967" s="5"/>
      <c r="L967" s="46"/>
      <c r="M967" s="1439"/>
      <c r="N967" s="1440"/>
      <c r="O967" s="1440"/>
      <c r="P967" s="1440"/>
      <c r="Q967" s="1440"/>
      <c r="R967" s="1440"/>
      <c r="S967" s="1441"/>
      <c r="T967" s="66" t="s">
        <v>799</v>
      </c>
      <c r="U967" s="5"/>
      <c r="V967" s="5"/>
      <c r="W967" s="5"/>
      <c r="X967" s="5"/>
      <c r="Y967" s="5"/>
      <c r="Z967" s="46"/>
      <c r="AA967" s="1439"/>
      <c r="AB967" s="1440"/>
      <c r="AC967" s="1440"/>
      <c r="AD967" s="1440"/>
      <c r="AE967" s="1440"/>
      <c r="AF967" s="1440"/>
      <c r="AG967" s="1441"/>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917</v>
      </c>
      <c r="G968" s="5"/>
      <c r="H968" s="5"/>
      <c r="I968" s="5"/>
      <c r="J968" s="5"/>
      <c r="K968" s="5"/>
      <c r="L968" s="46"/>
      <c r="M968" s="1757" t="s">
        <v>600</v>
      </c>
      <c r="N968" s="1758"/>
      <c r="O968" s="1758"/>
      <c r="P968" s="1758"/>
      <c r="Q968" s="1758"/>
      <c r="R968" s="1758"/>
      <c r="S968" s="1759"/>
      <c r="T968" s="45" t="s">
        <v>338</v>
      </c>
      <c r="U968" s="5"/>
      <c r="V968" s="5"/>
      <c r="W968" s="5"/>
      <c r="X968" s="5"/>
      <c r="Y968" s="5"/>
      <c r="Z968" s="46"/>
      <c r="AA968" s="1439"/>
      <c r="AB968" s="1440"/>
      <c r="AC968" s="1440"/>
      <c r="AD968" s="1440"/>
      <c r="AE968" s="1440"/>
      <c r="AF968" s="1440"/>
      <c r="AG968" s="1441"/>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582</v>
      </c>
      <c r="G969" s="5"/>
      <c r="H969" s="5"/>
      <c r="I969" s="5"/>
      <c r="J969" s="5"/>
      <c r="K969" s="5"/>
      <c r="L969" s="46"/>
      <c r="M969" s="1439"/>
      <c r="N969" s="1440"/>
      <c r="O969" s="1440"/>
      <c r="P969" s="1440"/>
      <c r="Q969" s="1440"/>
      <c r="R969" s="1440"/>
      <c r="S969" s="1441"/>
      <c r="T969" s="45" t="s">
        <v>339</v>
      </c>
      <c r="U969" s="5"/>
      <c r="V969" s="5"/>
      <c r="W969" s="5"/>
      <c r="X969" s="5"/>
      <c r="Y969" s="5"/>
      <c r="Z969" s="46"/>
      <c r="AA969" s="1439"/>
      <c r="AB969" s="1440"/>
      <c r="AC969" s="1440"/>
      <c r="AD969" s="1440"/>
      <c r="AE969" s="1440"/>
      <c r="AF969" s="1440"/>
      <c r="AG969" s="1441"/>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473</v>
      </c>
      <c r="G970" s="5"/>
      <c r="H970" s="5"/>
      <c r="I970" s="5"/>
      <c r="J970" s="5"/>
      <c r="K970" s="5"/>
      <c r="L970" s="46"/>
      <c r="M970" s="1439"/>
      <c r="N970" s="1440"/>
      <c r="O970" s="1440"/>
      <c r="P970" s="1440"/>
      <c r="Q970" s="1440"/>
      <c r="R970" s="1440"/>
      <c r="S970" s="1441"/>
      <c r="T970" s="45" t="s">
        <v>377</v>
      </c>
      <c r="U970" s="5"/>
      <c r="V970" s="5"/>
      <c r="W970" s="5"/>
      <c r="X970" s="5"/>
      <c r="Y970" s="5"/>
      <c r="Z970" s="46"/>
      <c r="AA970" s="1439"/>
      <c r="AB970" s="1440"/>
      <c r="AC970" s="1440"/>
      <c r="AD970" s="1440"/>
      <c r="AE970" s="1440"/>
      <c r="AF970" s="1440"/>
      <c r="AG970" s="1441"/>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893</v>
      </c>
      <c r="G971" s="42"/>
      <c r="H971" s="42"/>
      <c r="I971" s="42"/>
      <c r="J971" s="42"/>
      <c r="K971" s="42"/>
      <c r="L971" s="58"/>
      <c r="M971" s="1694" t="s">
        <v>308</v>
      </c>
      <c r="N971" s="1695"/>
      <c r="O971" s="1695"/>
      <c r="P971" s="1695"/>
      <c r="Q971" s="1695"/>
      <c r="R971" s="1695"/>
      <c r="S971" s="1696"/>
      <c r="T971" s="1652"/>
      <c r="U971" s="1653"/>
      <c r="V971" s="1653"/>
      <c r="W971" s="1653"/>
      <c r="X971" s="1653"/>
      <c r="Y971" s="1653"/>
      <c r="Z971" s="1654"/>
      <c r="AA971" s="1439"/>
      <c r="AB971" s="1440"/>
      <c r="AC971" s="1440"/>
      <c r="AD971" s="1440"/>
      <c r="AE971" s="1440"/>
      <c r="AF971" s="1440"/>
      <c r="AG971" s="1441"/>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474</v>
      </c>
      <c r="G972" s="42"/>
      <c r="H972" s="42"/>
      <c r="I972" s="42"/>
      <c r="J972" s="42"/>
      <c r="K972" s="42"/>
      <c r="L972" s="58"/>
      <c r="M972" s="1439"/>
      <c r="N972" s="1440"/>
      <c r="O972" s="1440"/>
      <c r="P972" s="1440"/>
      <c r="Q972" s="1440"/>
      <c r="R972" s="1440"/>
      <c r="S972" s="1441"/>
      <c r="T972" s="1652"/>
      <c r="U972" s="1653"/>
      <c r="V972" s="1653"/>
      <c r="W972" s="1653"/>
      <c r="X972" s="1653"/>
      <c r="Y972" s="1653"/>
      <c r="Z972" s="1654"/>
      <c r="AA972" s="1439"/>
      <c r="AB972" s="1440"/>
      <c r="AC972" s="1440"/>
      <c r="AD972" s="1440"/>
      <c r="AE972" s="1440"/>
      <c r="AF972" s="1440"/>
      <c r="AG972" s="1441"/>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731" t="s">
        <v>678</v>
      </c>
      <c r="P973" s="1732"/>
      <c r="Q973" s="92"/>
      <c r="R973" s="92"/>
      <c r="S973" s="93"/>
      <c r="T973" s="41" t="s">
        <v>170</v>
      </c>
      <c r="U973" s="42"/>
      <c r="V973" s="42"/>
      <c r="W973" s="1691" t="s">
        <v>335</v>
      </c>
      <c r="X973" s="1692"/>
      <c r="Y973" s="1692"/>
      <c r="Z973" s="1692"/>
      <c r="AA973" s="1692"/>
      <c r="AB973" s="1692"/>
      <c r="AC973" s="1692"/>
      <c r="AD973" s="1692"/>
      <c r="AE973" s="1692"/>
      <c r="AF973" s="1692"/>
      <c r="AG973" s="1693"/>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756" t="s">
        <v>33</v>
      </c>
      <c r="G974" s="1499"/>
      <c r="H974" s="1499"/>
      <c r="I974" s="1499"/>
      <c r="J974" s="1499"/>
      <c r="K974" s="1499"/>
      <c r="L974" s="1499"/>
      <c r="M974" s="1439"/>
      <c r="N974" s="1440"/>
      <c r="O974" s="1440"/>
      <c r="P974" s="1440"/>
      <c r="Q974" s="1440"/>
      <c r="R974" s="1440"/>
      <c r="S974" s="1441"/>
      <c r="T974" s="47"/>
      <c r="U974" s="48"/>
      <c r="V974" s="48"/>
      <c r="W974" s="48"/>
      <c r="X974" s="48"/>
      <c r="Y974" s="48"/>
      <c r="Z974" s="124" t="s">
        <v>134</v>
      </c>
      <c r="AA974" s="1649"/>
      <c r="AB974" s="1650"/>
      <c r="AC974" s="1650"/>
      <c r="AD974" s="1650"/>
      <c r="AE974" s="1650"/>
      <c r="AF974" s="1650"/>
      <c r="AG974" s="1651"/>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705"/>
      <c r="BH975" s="1705"/>
      <c r="BI975" s="1705"/>
      <c r="BJ975" s="1705"/>
      <c r="BK975" s="1705"/>
      <c r="BL975" s="1705"/>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438" t="s">
        <v>557</v>
      </c>
      <c r="B978" s="1438"/>
      <c r="C978" s="1438"/>
      <c r="D978" s="1438"/>
      <c r="E978" s="1438"/>
      <c r="F978" s="1438"/>
      <c r="G978" s="1438"/>
      <c r="H978" s="1438"/>
      <c r="I978" s="1438"/>
      <c r="J978" s="1438"/>
      <c r="K978" s="1438"/>
      <c r="L978" s="1438"/>
      <c r="M978" s="1438"/>
      <c r="N978" s="1438"/>
      <c r="O978" s="1438"/>
      <c r="P978" s="1438"/>
      <c r="Q978" s="1438"/>
      <c r="R978" s="1438"/>
      <c r="S978" s="1438"/>
      <c r="T978" s="1438"/>
      <c r="U978" s="1438"/>
      <c r="V978" s="1438"/>
      <c r="W978" s="1438"/>
      <c r="X978" s="1438"/>
      <c r="Y978" s="1438"/>
      <c r="Z978" s="1438"/>
      <c r="AA978" s="1438"/>
      <c r="AB978" s="1438"/>
      <c r="AC978" s="1438"/>
      <c r="AD978" s="1438"/>
      <c r="AE978" s="1438"/>
      <c r="AF978" s="1438"/>
      <c r="AG978" s="1438"/>
      <c r="AH978" s="1438"/>
      <c r="AI978" s="1438"/>
      <c r="AJ978" s="1438"/>
      <c r="AK978" s="1438"/>
      <c r="AL978" s="1438"/>
      <c r="AM978" s="1438"/>
      <c r="AN978" s="1438"/>
      <c r="AO978" s="1438"/>
      <c r="AP978" s="1438"/>
      <c r="AQ978" s="1438"/>
      <c r="AR978" s="1438"/>
      <c r="AS978" s="1438"/>
      <c r="AT978" s="1438"/>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438"/>
      <c r="B979" s="1438"/>
      <c r="C979" s="1438"/>
      <c r="D979" s="1438"/>
      <c r="E979" s="1438"/>
      <c r="F979" s="1438"/>
      <c r="G979" s="1438"/>
      <c r="H979" s="1438"/>
      <c r="I979" s="1438"/>
      <c r="J979" s="1438"/>
      <c r="K979" s="1438"/>
      <c r="L979" s="1438"/>
      <c r="M979" s="1438"/>
      <c r="N979" s="1438"/>
      <c r="O979" s="1438"/>
      <c r="P979" s="1438"/>
      <c r="Q979" s="1438"/>
      <c r="R979" s="1438"/>
      <c r="S979" s="1438"/>
      <c r="T979" s="1438"/>
      <c r="U979" s="1438"/>
      <c r="V979" s="1438"/>
      <c r="W979" s="1438"/>
      <c r="X979" s="1438"/>
      <c r="Y979" s="1438"/>
      <c r="Z979" s="1438"/>
      <c r="AA979" s="1438"/>
      <c r="AB979" s="1438"/>
      <c r="AC979" s="1438"/>
      <c r="AD979" s="1438"/>
      <c r="AE979" s="1438"/>
      <c r="AF979" s="1438"/>
      <c r="AG979" s="1438"/>
      <c r="AH979" s="1438"/>
      <c r="AI979" s="1438"/>
      <c r="AJ979" s="1438"/>
      <c r="AK979" s="1438"/>
      <c r="AL979" s="1438"/>
      <c r="AM979" s="1438"/>
      <c r="AN979" s="1438"/>
      <c r="AO979" s="1438"/>
      <c r="AP979" s="1438"/>
      <c r="AQ979" s="1438"/>
      <c r="AR979" s="1438"/>
      <c r="AS979" s="1438"/>
      <c r="AT979" s="1438"/>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438"/>
      <c r="B980" s="1438"/>
      <c r="C980" s="1438"/>
      <c r="D980" s="1438"/>
      <c r="E980" s="1438"/>
      <c r="F980" s="1438"/>
      <c r="G980" s="1438"/>
      <c r="H980" s="1438"/>
      <c r="I980" s="1438"/>
      <c r="J980" s="1438"/>
      <c r="K980" s="1438"/>
      <c r="L980" s="1438"/>
      <c r="M980" s="1438"/>
      <c r="N980" s="1438"/>
      <c r="O980" s="1438"/>
      <c r="P980" s="1438"/>
      <c r="Q980" s="1438"/>
      <c r="R980" s="1438"/>
      <c r="S980" s="1438"/>
      <c r="T980" s="1438"/>
      <c r="U980" s="1438"/>
      <c r="V980" s="1438"/>
      <c r="W980" s="1438"/>
      <c r="X980" s="1438"/>
      <c r="Y980" s="1438"/>
      <c r="Z980" s="1438"/>
      <c r="AA980" s="1438"/>
      <c r="AB980" s="1438"/>
      <c r="AC980" s="1438"/>
      <c r="AD980" s="1438"/>
      <c r="AE980" s="1438"/>
      <c r="AF980" s="1438"/>
      <c r="AG980" s="1438"/>
      <c r="AH980" s="1438"/>
      <c r="AI980" s="1438"/>
      <c r="AJ980" s="1438"/>
      <c r="AK980" s="1438"/>
      <c r="AL980" s="1438"/>
      <c r="AM980" s="1438"/>
      <c r="AN980" s="1438"/>
      <c r="AO980" s="1438"/>
      <c r="AP980" s="1438"/>
      <c r="AQ980" s="1438"/>
      <c r="AR980" s="1438"/>
      <c r="AS980" s="1438"/>
      <c r="AT980" s="1438"/>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408" t="s">
        <v>647</v>
      </c>
      <c r="E984" s="1409"/>
      <c r="F984" s="1409"/>
      <c r="G984" s="1409"/>
      <c r="H984" s="1409"/>
      <c r="I984" s="1409"/>
      <c r="J984" s="1409"/>
      <c r="K984" s="1409"/>
      <c r="L984" s="1409"/>
      <c r="M984" s="1409"/>
      <c r="N984" s="1409"/>
      <c r="O984" s="1409"/>
      <c r="P984" s="1409"/>
      <c r="Q984" s="1410"/>
      <c r="R984" s="1408" t="s">
        <v>648</v>
      </c>
      <c r="S984" s="1409"/>
      <c r="T984" s="1409"/>
      <c r="U984" s="1409"/>
      <c r="V984" s="1409"/>
      <c r="W984" s="1409"/>
      <c r="X984" s="1409"/>
      <c r="Y984" s="1409"/>
      <c r="Z984" s="1409"/>
      <c r="AA984" s="1410"/>
      <c r="AB984" s="1408" t="s">
        <v>649</v>
      </c>
      <c r="AC984" s="1409"/>
      <c r="AD984" s="1409"/>
      <c r="AE984" s="1409"/>
      <c r="AF984" s="1409"/>
      <c r="AG984" s="1409"/>
      <c r="AH984" s="1409"/>
      <c r="AI984" s="1410"/>
      <c r="AJ984" s="1408" t="s">
        <v>650</v>
      </c>
      <c r="AK984" s="1409"/>
      <c r="AL984" s="1409"/>
      <c r="AM984" s="1409"/>
      <c r="AN984" s="1409"/>
      <c r="AO984" s="1409"/>
      <c r="AP984" s="1409"/>
      <c r="AQ984" s="1410"/>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414" t="s">
        <v>642</v>
      </c>
      <c r="E985" s="1415"/>
      <c r="F985" s="1415"/>
      <c r="G985" s="1415"/>
      <c r="H985" s="1415"/>
      <c r="I985" s="1415"/>
      <c r="J985" s="1415"/>
      <c r="K985" s="1415"/>
      <c r="L985" s="1415"/>
      <c r="M985" s="1415"/>
      <c r="N985" s="1415"/>
      <c r="O985" s="1415"/>
      <c r="P985" s="1415"/>
      <c r="Q985" s="1416"/>
      <c r="R985" s="1407">
        <f>IF(ISNA(IF($BN$796="4%",(INDEX($BP$806:$BT$863,MATCH($CB$796,$BO$806:$BO$863,0),MATCH(D985,$BP$805:$BT$805,0))),(INDEX($BW$806:$CA$863,MATCH($CB$796,$BV$806:$BV$863,0),MATCH(D985,$BW$805:$CA$805,0))))),0,IF($BN$796="4%",(INDEX($BP$806:$BT$863,MATCH($CB$796,$BO$806:$BO$863,0),MATCH(D985,$BP$805:$BT$805,0))),(INDEX($BW$806:$CA$863,MATCH($CB$796,$BV$806:$BV$863,0),MATCH(D985,$BW$805:$CA$805,0)))))</f>
        <v>437727</v>
      </c>
      <c r="S985" s="1407"/>
      <c r="T985" s="1407"/>
      <c r="U985" s="1407"/>
      <c r="V985" s="1407"/>
      <c r="W985" s="1407"/>
      <c r="X985" s="1407"/>
      <c r="Y985" s="1407"/>
      <c r="Z985" s="1407"/>
      <c r="AA985" s="1407"/>
      <c r="AB985" s="1411">
        <f>BN660</f>
        <v>0</v>
      </c>
      <c r="AC985" s="1412"/>
      <c r="AD985" s="1412"/>
      <c r="AE985" s="1412"/>
      <c r="AF985" s="1412"/>
      <c r="AG985" s="1412"/>
      <c r="AH985" s="1412"/>
      <c r="AI985" s="1413"/>
      <c r="AJ985" s="1401">
        <f>IF(ISERROR((R985*AB985)),0,(R985*AB985))</f>
        <v>0</v>
      </c>
      <c r="AK985" s="1402"/>
      <c r="AL985" s="1402"/>
      <c r="AM985" s="1402"/>
      <c r="AN985" s="1402"/>
      <c r="AO985" s="1402"/>
      <c r="AP985" s="1402"/>
      <c r="AQ985" s="1403"/>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414" t="s">
        <v>326</v>
      </c>
      <c r="E986" s="1415"/>
      <c r="F986" s="1415"/>
      <c r="G986" s="1415"/>
      <c r="H986" s="1415"/>
      <c r="I986" s="1415"/>
      <c r="J986" s="1415"/>
      <c r="K986" s="1415"/>
      <c r="L986" s="1415"/>
      <c r="M986" s="1415"/>
      <c r="N986" s="1415"/>
      <c r="O986" s="1415"/>
      <c r="P986" s="1415"/>
      <c r="Q986" s="1416"/>
      <c r="R986" s="1407">
        <f>IF(ISNA(IF($BN$796="4%",(INDEX($BP$806:$BT$863,MATCH($CB$796,$BO$806:$BO$863,0),MATCH(D986,$BP$805:$BT$805,0))),(INDEX($BW$806:$CA$863,MATCH($CB$796,$BV$806:$BV$863,0),MATCH(D986,$BW$805:$CA$805,0))))),0,IF($BN$796="4%",(INDEX($BP$806:$BT$863,MATCH($CB$796,$BO$806:$BO$863,0),MATCH(D986,$BP$805:$BT$805,0))),(INDEX($BW$806:$CA$863,MATCH($CB$796,$BV$806:$BV$863,0),MATCH(D986,$BW$805:$CA$805,0)))))</f>
        <v>504695</v>
      </c>
      <c r="S986" s="1407"/>
      <c r="T986" s="1407"/>
      <c r="U986" s="1407"/>
      <c r="V986" s="1407"/>
      <c r="W986" s="1407"/>
      <c r="X986" s="1407"/>
      <c r="Y986" s="1407"/>
      <c r="Z986" s="1407"/>
      <c r="AA986" s="1407"/>
      <c r="AB986" s="1411">
        <f>BS660</f>
        <v>30</v>
      </c>
      <c r="AC986" s="1412"/>
      <c r="AD986" s="1412"/>
      <c r="AE986" s="1412"/>
      <c r="AF986" s="1412"/>
      <c r="AG986" s="1412"/>
      <c r="AH986" s="1412"/>
      <c r="AI986" s="1413"/>
      <c r="AJ986" s="1401">
        <f>IF(ISERROR((R986*AB986)),0,(R986*AB986))</f>
        <v>15140850</v>
      </c>
      <c r="AK986" s="1402"/>
      <c r="AL986" s="1402"/>
      <c r="AM986" s="1402"/>
      <c r="AN986" s="1402"/>
      <c r="AO986" s="1402"/>
      <c r="AP986" s="1402"/>
      <c r="AQ986" s="1403"/>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414" t="s">
        <v>163</v>
      </c>
      <c r="E987" s="1415"/>
      <c r="F987" s="1415"/>
      <c r="G987" s="1415"/>
      <c r="H987" s="1415"/>
      <c r="I987" s="1415"/>
      <c r="J987" s="1415"/>
      <c r="K987" s="1415"/>
      <c r="L987" s="1415"/>
      <c r="M987" s="1415"/>
      <c r="N987" s="1415"/>
      <c r="O987" s="1415"/>
      <c r="P987" s="1415"/>
      <c r="Q987" s="1416"/>
      <c r="R987" s="1407">
        <f>IF(ISNA(IF($BN$796="4%",(INDEX($BP$806:$BT$863,MATCH($CB$796,$BO$806:$BO$863,0),MATCH(D987,$BP$805:$BT$805,0))),(INDEX($BW$806:$CA$863,MATCH($CB$796,$BV$806:$BV$863,0),MATCH(D987,$BW$805:$CA$805,0))))),0,IF($BN$796="4%",(INDEX($BP$806:$BT$863,MATCH($CB$796,$BO$806:$BO$863,0),MATCH(D987,$BP$805:$BT$805,0))),(INDEX($BW$806:$CA$863,MATCH($CB$796,$BV$806:$BV$863,0),MATCH(D987,$BW$805:$CA$805,0)))))</f>
        <v>608800</v>
      </c>
      <c r="S987" s="1407"/>
      <c r="T987" s="1407"/>
      <c r="U987" s="1407"/>
      <c r="V987" s="1407"/>
      <c r="W987" s="1407"/>
      <c r="X987" s="1407"/>
      <c r="Y987" s="1407"/>
      <c r="Z987" s="1407"/>
      <c r="AA987" s="1407"/>
      <c r="AB987" s="1411">
        <f>BX660</f>
        <v>20</v>
      </c>
      <c r="AC987" s="1412"/>
      <c r="AD987" s="1412"/>
      <c r="AE987" s="1412"/>
      <c r="AF987" s="1412"/>
      <c r="AG987" s="1412"/>
      <c r="AH987" s="1412"/>
      <c r="AI987" s="1413"/>
      <c r="AJ987" s="1401">
        <f>IF(ISERROR((R987*AB987)),0,(R987*AB987))</f>
        <v>12176000</v>
      </c>
      <c r="AK987" s="1402"/>
      <c r="AL987" s="1402"/>
      <c r="AM987" s="1402"/>
      <c r="AN987" s="1402"/>
      <c r="AO987" s="1402"/>
      <c r="AP987" s="1402"/>
      <c r="AQ987" s="1403"/>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414" t="s">
        <v>164</v>
      </c>
      <c r="E988" s="1415"/>
      <c r="F988" s="1415"/>
      <c r="G988" s="1415"/>
      <c r="H988" s="1415"/>
      <c r="I988" s="1415"/>
      <c r="J988" s="1415"/>
      <c r="K988" s="1415"/>
      <c r="L988" s="1415"/>
      <c r="M988" s="1415"/>
      <c r="N988" s="1415"/>
      <c r="O988" s="1415"/>
      <c r="P988" s="1415"/>
      <c r="Q988" s="1416"/>
      <c r="R988" s="1407">
        <f>IF(ISNA(IF($BN$796="4%",(INDEX($BP$806:$BT$863,MATCH($CB$796,$BO$806:$BO$863,0),MATCH(D988,$BP$805:$BT$805,0))),(INDEX($BW$806:$CA$863,MATCH($CB$796,$BV$806:$BV$863,0),MATCH(D988,$BW$805:$CA$805,0))))),0,IF($BN$796="4%",(INDEX($BP$806:$BT$863,MATCH($CB$796,$BO$806:$BO$863,0),MATCH(D988,$BP$805:$BT$805,0))),(INDEX($BW$806:$CA$863,MATCH($CB$796,$BV$806:$BV$863,0),MATCH(D988,$BW$805:$CA$805,0)))))</f>
        <v>779264</v>
      </c>
      <c r="S988" s="1407"/>
      <c r="T988" s="1407"/>
      <c r="U988" s="1407"/>
      <c r="V988" s="1407"/>
      <c r="W988" s="1407"/>
      <c r="X988" s="1407"/>
      <c r="Y988" s="1407"/>
      <c r="Z988" s="1407"/>
      <c r="AA988" s="1407"/>
      <c r="AB988" s="1411">
        <f>CC660</f>
        <v>0</v>
      </c>
      <c r="AC988" s="1412"/>
      <c r="AD988" s="1412"/>
      <c r="AE988" s="1412"/>
      <c r="AF988" s="1412"/>
      <c r="AG988" s="1412"/>
      <c r="AH988" s="1412"/>
      <c r="AI988" s="1413"/>
      <c r="AJ988" s="1401">
        <f>IF(ISERROR((R988*AB988)),0,(R988*AB988))</f>
        <v>0</v>
      </c>
      <c r="AK988" s="1402"/>
      <c r="AL988" s="1402"/>
      <c r="AM988" s="1402"/>
      <c r="AN988" s="1402"/>
      <c r="AO988" s="1402"/>
      <c r="AP988" s="1402"/>
      <c r="AQ988" s="1403"/>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414" t="s">
        <v>469</v>
      </c>
      <c r="E989" s="1415"/>
      <c r="F989" s="1415"/>
      <c r="G989" s="1415"/>
      <c r="H989" s="1415"/>
      <c r="I989" s="1415"/>
      <c r="J989" s="1415"/>
      <c r="K989" s="1415"/>
      <c r="L989" s="1415"/>
      <c r="M989" s="1415"/>
      <c r="N989" s="1415"/>
      <c r="O989" s="1415"/>
      <c r="P989" s="1415"/>
      <c r="Q989" s="1416"/>
      <c r="R989" s="1407">
        <f>IF(ISNA(IF($BN$796="4%",(INDEX($BP$806:$BT$863,MATCH($CB$796,$BO$806:$BO$863,0),MATCH(D989,$BP$805:$BT$805,0))),(INDEX($BW$806:$CA$863,MATCH($CB$796,$BV$806:$BV$863,0),MATCH(D989,$BW$805:$CA$805,0))))),0,IF($BN$796="4%",(INDEX($BP$806:$BT$863,MATCH($CB$796,$BO$806:$BO$863,0),MATCH(D989,$BP$805:$BT$805,0))),(INDEX($BW$806:$CA$863,MATCH($CB$796,$BV$806:$BV$863,0),MATCH(D989,$BW$805:$CA$805,0)))))</f>
        <v>868149</v>
      </c>
      <c r="S989" s="1407"/>
      <c r="T989" s="1407"/>
      <c r="U989" s="1407"/>
      <c r="V989" s="1407"/>
      <c r="W989" s="1407"/>
      <c r="X989" s="1407"/>
      <c r="Y989" s="1407"/>
      <c r="Z989" s="1407"/>
      <c r="AA989" s="1407"/>
      <c r="AB989" s="1411">
        <f>CM660+CH660</f>
        <v>0</v>
      </c>
      <c r="AC989" s="1412"/>
      <c r="AD989" s="1412"/>
      <c r="AE989" s="1412"/>
      <c r="AF989" s="1412"/>
      <c r="AG989" s="1412"/>
      <c r="AH989" s="1412"/>
      <c r="AI989" s="1413"/>
      <c r="AJ989" s="1401">
        <f>IF(ISERROR((R989*AB989)),0,(R989*AB989))</f>
        <v>0</v>
      </c>
      <c r="AK989" s="1402"/>
      <c r="AL989" s="1402"/>
      <c r="AM989" s="1402"/>
      <c r="AN989" s="1402"/>
      <c r="AO989" s="1402"/>
      <c r="AP989" s="1402"/>
      <c r="AQ989" s="1403"/>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627" t="s">
        <v>801</v>
      </c>
      <c r="C990" s="1628"/>
      <c r="D990" s="1628"/>
      <c r="E990" s="1628"/>
      <c r="F990" s="1628"/>
      <c r="G990" s="1628"/>
      <c r="H990" s="1628"/>
      <c r="I990" s="1628"/>
      <c r="J990" s="1628"/>
      <c r="K990" s="1628"/>
      <c r="L990" s="1628"/>
      <c r="M990" s="1628"/>
      <c r="N990" s="1628"/>
      <c r="O990" s="1628"/>
      <c r="P990" s="1628"/>
      <c r="Q990" s="1628"/>
      <c r="R990" s="1628"/>
      <c r="S990" s="1628"/>
      <c r="T990" s="1628"/>
      <c r="U990" s="1628"/>
      <c r="V990" s="1628"/>
      <c r="W990" s="1628"/>
      <c r="X990" s="1628"/>
      <c r="Y990" s="1628"/>
      <c r="Z990" s="1628"/>
      <c r="AA990" s="1629"/>
      <c r="AB990" s="1411">
        <f>SUM(AB985:AI989)</f>
        <v>50</v>
      </c>
      <c r="AC990" s="1412"/>
      <c r="AD990" s="1412"/>
      <c r="AE990" s="1412"/>
      <c r="AF990" s="1412"/>
      <c r="AG990" s="1412"/>
      <c r="AH990" s="1412"/>
      <c r="AI990" s="1413"/>
      <c r="AJ990" s="1401"/>
      <c r="AK990" s="1402"/>
      <c r="AL990" s="1402"/>
      <c r="AM990" s="1402"/>
      <c r="AN990" s="1402"/>
      <c r="AO990" s="1402"/>
      <c r="AP990" s="1402"/>
      <c r="AQ990" s="1403"/>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404" t="s">
        <v>521</v>
      </c>
      <c r="C991" s="1405"/>
      <c r="D991" s="1405"/>
      <c r="E991" s="1405"/>
      <c r="F991" s="1405"/>
      <c r="G991" s="1405"/>
      <c r="H991" s="1405"/>
      <c r="I991" s="1405"/>
      <c r="J991" s="1405"/>
      <c r="K991" s="1405"/>
      <c r="L991" s="1405"/>
      <c r="M991" s="1405"/>
      <c r="N991" s="1405"/>
      <c r="O991" s="1405"/>
      <c r="P991" s="1405"/>
      <c r="Q991" s="1405"/>
      <c r="R991" s="1405"/>
      <c r="S991" s="1405"/>
      <c r="T991" s="1405"/>
      <c r="U991" s="1405"/>
      <c r="V991" s="1405"/>
      <c r="W991" s="1405"/>
      <c r="X991" s="1405"/>
      <c r="Y991" s="1405"/>
      <c r="Z991" s="1405"/>
      <c r="AA991" s="1405"/>
      <c r="AB991" s="1405"/>
      <c r="AC991" s="1405"/>
      <c r="AD991" s="1405"/>
      <c r="AE991" s="1405"/>
      <c r="AF991" s="1405"/>
      <c r="AG991" s="1405"/>
      <c r="AH991" s="1405"/>
      <c r="AI991" s="1406"/>
      <c r="AJ991" s="1401">
        <f>SUM(AJ985:AQ989)</f>
        <v>27316850</v>
      </c>
      <c r="AK991" s="1402"/>
      <c r="AL991" s="1402"/>
      <c r="AM991" s="1402"/>
      <c r="AN991" s="1402"/>
      <c r="AO991" s="1402"/>
      <c r="AP991" s="1402"/>
      <c r="AQ991" s="1403"/>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584"/>
      <c r="C992" s="1585"/>
      <c r="D992" s="1585"/>
      <c r="E992" s="1585"/>
      <c r="F992" s="1585"/>
      <c r="G992" s="1585"/>
      <c r="H992" s="1585"/>
      <c r="I992" s="1585"/>
      <c r="J992" s="1585"/>
      <c r="K992" s="1585"/>
      <c r="L992" s="1585"/>
      <c r="M992" s="1585"/>
      <c r="N992" s="1585"/>
      <c r="O992" s="1585"/>
      <c r="P992" s="1585"/>
      <c r="Q992" s="1585"/>
      <c r="R992" s="1585"/>
      <c r="S992" s="1585"/>
      <c r="T992" s="1585"/>
      <c r="U992" s="1585"/>
      <c r="V992" s="1585"/>
      <c r="W992" s="1585"/>
      <c r="X992" s="1585"/>
      <c r="Y992" s="1585"/>
      <c r="Z992" s="1585"/>
      <c r="AA992" s="1585"/>
      <c r="AB992" s="1585"/>
      <c r="AC992" s="1585"/>
      <c r="AD992" s="1585"/>
      <c r="AE992" s="1586"/>
      <c r="AF992" s="1587" t="s">
        <v>675</v>
      </c>
      <c r="AG992" s="1588"/>
      <c r="AH992" s="1588"/>
      <c r="AI992" s="1589"/>
      <c r="AJ992" s="1584"/>
      <c r="AK992" s="1585"/>
      <c r="AL992" s="1585"/>
      <c r="AM992" s="1585"/>
      <c r="AN992" s="1585"/>
      <c r="AO992" s="1585"/>
      <c r="AP992" s="1585"/>
      <c r="AQ992" s="1586"/>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677</v>
      </c>
      <c r="D993" s="1592" t="s">
        <v>1327</v>
      </c>
      <c r="E993" s="1593"/>
      <c r="F993" s="1593"/>
      <c r="G993" s="1593"/>
      <c r="H993" s="1593"/>
      <c r="I993" s="1593"/>
      <c r="J993" s="1593"/>
      <c r="K993" s="1593"/>
      <c r="L993" s="1593"/>
      <c r="M993" s="1593"/>
      <c r="N993" s="1593"/>
      <c r="O993" s="1593"/>
      <c r="P993" s="1593"/>
      <c r="Q993" s="1593"/>
      <c r="R993" s="1593"/>
      <c r="S993" s="1593"/>
      <c r="T993" s="1593"/>
      <c r="U993" s="1593"/>
      <c r="V993" s="1593"/>
      <c r="W993" s="1593"/>
      <c r="X993" s="1593"/>
      <c r="Y993" s="1593"/>
      <c r="Z993" s="1593"/>
      <c r="AA993" s="1593"/>
      <c r="AB993" s="1593"/>
      <c r="AC993" s="1593"/>
      <c r="AD993" s="1593"/>
      <c r="AE993" s="1594"/>
      <c r="AF993" s="79"/>
      <c r="AG993" s="1590" t="s">
        <v>554</v>
      </c>
      <c r="AH993" s="1591"/>
      <c r="AI993" s="87"/>
      <c r="AJ993" s="1381">
        <f>ROUND(IF(AND(AG993="yes",D999&gt;0),AJ991*0.2,0),0)</f>
        <v>5463370</v>
      </c>
      <c r="AK993" s="1382"/>
      <c r="AL993" s="1382"/>
      <c r="AM993" s="1382"/>
      <c r="AN993" s="1382"/>
      <c r="AO993" s="1382"/>
      <c r="AP993" s="1382"/>
      <c r="AQ993" s="1383"/>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465" t="s">
        <v>2571</v>
      </c>
      <c r="E994" s="1466"/>
      <c r="F994" s="1466"/>
      <c r="G994" s="1466"/>
      <c r="H994" s="1466"/>
      <c r="I994" s="1466"/>
      <c r="J994" s="1466"/>
      <c r="K994" s="1466"/>
      <c r="L994" s="1466"/>
      <c r="M994" s="1466"/>
      <c r="N994" s="1466"/>
      <c r="O994" s="1466"/>
      <c r="P994" s="1466"/>
      <c r="Q994" s="1466"/>
      <c r="R994" s="1466"/>
      <c r="S994" s="1466"/>
      <c r="T994" s="1466"/>
      <c r="U994" s="1466"/>
      <c r="V994" s="1466"/>
      <c r="W994" s="1466"/>
      <c r="X994" s="1466"/>
      <c r="Y994" s="1466"/>
      <c r="Z994" s="1466"/>
      <c r="AA994" s="1466"/>
      <c r="AB994" s="1466"/>
      <c r="AC994" s="1466"/>
      <c r="AD994" s="1466"/>
      <c r="AE994" s="1467"/>
      <c r="AF994" s="73"/>
      <c r="AG994" s="14"/>
      <c r="AH994" s="14"/>
      <c r="AI994" s="83"/>
      <c r="AJ994" s="1384"/>
      <c r="AK994" s="1385"/>
      <c r="AL994" s="1385"/>
      <c r="AM994" s="1385"/>
      <c r="AN994" s="1385"/>
      <c r="AO994" s="1385"/>
      <c r="AP994" s="1385"/>
      <c r="AQ994" s="1386"/>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465"/>
      <c r="E995" s="1466"/>
      <c r="F995" s="1466"/>
      <c r="G995" s="1466"/>
      <c r="H995" s="1466"/>
      <c r="I995" s="1466"/>
      <c r="J995" s="1466"/>
      <c r="K995" s="1466"/>
      <c r="L995" s="1466"/>
      <c r="M995" s="1466"/>
      <c r="N995" s="1466"/>
      <c r="O995" s="1466"/>
      <c r="P995" s="1466"/>
      <c r="Q995" s="1466"/>
      <c r="R995" s="1466"/>
      <c r="S995" s="1466"/>
      <c r="T995" s="1466"/>
      <c r="U995" s="1466"/>
      <c r="V995" s="1466"/>
      <c r="W995" s="1466"/>
      <c r="X995" s="1466"/>
      <c r="Y995" s="1466"/>
      <c r="Z995" s="1466"/>
      <c r="AA995" s="1466"/>
      <c r="AB995" s="1466"/>
      <c r="AC995" s="1466"/>
      <c r="AD995" s="1466"/>
      <c r="AE995" s="1467"/>
      <c r="AF995" s="73"/>
      <c r="AG995" s="14"/>
      <c r="AH995" s="14"/>
      <c r="AI995" s="83"/>
      <c r="AJ995" s="1384"/>
      <c r="AK995" s="1385"/>
      <c r="AL995" s="1385"/>
      <c r="AM995" s="1385"/>
      <c r="AN995" s="1385"/>
      <c r="AO995" s="1385"/>
      <c r="AP995" s="1385"/>
      <c r="AQ995" s="1386"/>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465"/>
      <c r="E996" s="1466"/>
      <c r="F996" s="1466"/>
      <c r="G996" s="1466"/>
      <c r="H996" s="1466"/>
      <c r="I996" s="1466"/>
      <c r="J996" s="1466"/>
      <c r="K996" s="1466"/>
      <c r="L996" s="1466"/>
      <c r="M996" s="1466"/>
      <c r="N996" s="1466"/>
      <c r="O996" s="1466"/>
      <c r="P996" s="1466"/>
      <c r="Q996" s="1466"/>
      <c r="R996" s="1466"/>
      <c r="S996" s="1466"/>
      <c r="T996" s="1466"/>
      <c r="U996" s="1466"/>
      <c r="V996" s="1466"/>
      <c r="W996" s="1466"/>
      <c r="X996" s="1466"/>
      <c r="Y996" s="1466"/>
      <c r="Z996" s="1466"/>
      <c r="AA996" s="1466"/>
      <c r="AB996" s="1466"/>
      <c r="AC996" s="1466"/>
      <c r="AD996" s="1466"/>
      <c r="AE996" s="1467"/>
      <c r="AF996" s="73"/>
      <c r="AG996" s="14"/>
      <c r="AH996" s="14"/>
      <c r="AI996" s="83"/>
      <c r="AJ996" s="1384"/>
      <c r="AK996" s="1385"/>
      <c r="AL996" s="1385"/>
      <c r="AM996" s="1385"/>
      <c r="AN996" s="1385"/>
      <c r="AO996" s="1385"/>
      <c r="AP996" s="1385"/>
      <c r="AQ996" s="1386"/>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465"/>
      <c r="E997" s="1466"/>
      <c r="F997" s="1466"/>
      <c r="G997" s="1466"/>
      <c r="H997" s="1466"/>
      <c r="I997" s="1466"/>
      <c r="J997" s="1466"/>
      <c r="K997" s="1466"/>
      <c r="L997" s="1466"/>
      <c r="M997" s="1466"/>
      <c r="N997" s="1466"/>
      <c r="O997" s="1466"/>
      <c r="P997" s="1466"/>
      <c r="Q997" s="1466"/>
      <c r="R997" s="1466"/>
      <c r="S997" s="1466"/>
      <c r="T997" s="1466"/>
      <c r="U997" s="1466"/>
      <c r="V997" s="1466"/>
      <c r="W997" s="1466"/>
      <c r="X997" s="1466"/>
      <c r="Y997" s="1466"/>
      <c r="Z997" s="1466"/>
      <c r="AA997" s="1466"/>
      <c r="AB997" s="1466"/>
      <c r="AC997" s="1466"/>
      <c r="AD997" s="1466"/>
      <c r="AE997" s="1467"/>
      <c r="AF997" s="73"/>
      <c r="AG997" s="14"/>
      <c r="AH997" s="14"/>
      <c r="AI997" s="83"/>
      <c r="AJ997" s="1384"/>
      <c r="AK997" s="1385"/>
      <c r="AL997" s="1385"/>
      <c r="AM997" s="1385"/>
      <c r="AN997" s="1385"/>
      <c r="AO997" s="1385"/>
      <c r="AP997" s="1385"/>
      <c r="AQ997" s="1386"/>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468" t="s">
        <v>2572</v>
      </c>
      <c r="E998" s="1469"/>
      <c r="F998" s="1469"/>
      <c r="G998" s="1469"/>
      <c r="H998" s="1469"/>
      <c r="I998" s="1469"/>
      <c r="J998" s="1469"/>
      <c r="K998" s="1469"/>
      <c r="L998" s="1469"/>
      <c r="M998" s="1469"/>
      <c r="N998" s="1469"/>
      <c r="O998" s="1469"/>
      <c r="P998" s="1469"/>
      <c r="Q998" s="1469"/>
      <c r="R998" s="1469"/>
      <c r="S998" s="1469"/>
      <c r="T998" s="1469"/>
      <c r="U998" s="1469"/>
      <c r="V998" s="1469"/>
      <c r="W998" s="1469"/>
      <c r="X998" s="1469"/>
      <c r="Y998" s="1469"/>
      <c r="Z998" s="1469"/>
      <c r="AA998" s="1469"/>
      <c r="AB998" s="1469"/>
      <c r="AC998" s="1469"/>
      <c r="AD998" s="1469"/>
      <c r="AE998" s="1470"/>
      <c r="AF998" s="73"/>
      <c r="AG998" s="14"/>
      <c r="AH998" s="14"/>
      <c r="AI998" s="83"/>
      <c r="AJ998" s="1384"/>
      <c r="AK998" s="1385"/>
      <c r="AL998" s="1385"/>
      <c r="AM998" s="1385"/>
      <c r="AN998" s="1385"/>
      <c r="AO998" s="1385"/>
      <c r="AP998" s="1385"/>
      <c r="AQ998" s="1386"/>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630" t="s">
        <v>2778</v>
      </c>
      <c r="E999" s="1631"/>
      <c r="F999" s="1631"/>
      <c r="G999" s="1631"/>
      <c r="H999" s="1631"/>
      <c r="I999" s="1631"/>
      <c r="J999" s="1631"/>
      <c r="K999" s="1631"/>
      <c r="L999" s="1631"/>
      <c r="M999" s="1631"/>
      <c r="N999" s="1631"/>
      <c r="O999" s="1631"/>
      <c r="P999" s="1631"/>
      <c r="Q999" s="1631"/>
      <c r="R999" s="1631"/>
      <c r="S999" s="1631"/>
      <c r="T999" s="1631"/>
      <c r="U999" s="1631"/>
      <c r="V999" s="1631"/>
      <c r="W999" s="1631"/>
      <c r="X999" s="1631"/>
      <c r="Y999" s="1631"/>
      <c r="Z999" s="1631"/>
      <c r="AA999" s="1631"/>
      <c r="AB999" s="1631"/>
      <c r="AC999" s="1631"/>
      <c r="AD999" s="1631"/>
      <c r="AE999" s="1632"/>
      <c r="AF999" s="77"/>
      <c r="AG999" s="7"/>
      <c r="AH999" s="7"/>
      <c r="AI999" s="78"/>
      <c r="AJ999" s="1387"/>
      <c r="AK999" s="1388"/>
      <c r="AL999" s="1388"/>
      <c r="AM999" s="1388"/>
      <c r="AN999" s="1388"/>
      <c r="AO999" s="1388"/>
      <c r="AP999" s="1388"/>
      <c r="AQ999" s="1389"/>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393" t="s">
        <v>1397</v>
      </c>
      <c r="E1000" s="1394"/>
      <c r="F1000" s="1394"/>
      <c r="G1000" s="1394"/>
      <c r="H1000" s="1394"/>
      <c r="I1000" s="1394"/>
      <c r="J1000" s="1394"/>
      <c r="K1000" s="1394"/>
      <c r="L1000" s="1394"/>
      <c r="M1000" s="1394"/>
      <c r="N1000" s="1394"/>
      <c r="O1000" s="1394"/>
      <c r="P1000" s="1394"/>
      <c r="Q1000" s="1394"/>
      <c r="R1000" s="1394"/>
      <c r="S1000" s="1394"/>
      <c r="T1000" s="1394"/>
      <c r="U1000" s="1394"/>
      <c r="V1000" s="1394"/>
      <c r="W1000" s="1394"/>
      <c r="X1000" s="1394"/>
      <c r="Y1000" s="1394"/>
      <c r="Z1000" s="1394"/>
      <c r="AA1000" s="1394"/>
      <c r="AB1000" s="1394"/>
      <c r="AC1000" s="1394"/>
      <c r="AD1000" s="1394"/>
      <c r="AE1000" s="1395"/>
      <c r="AF1000" s="79"/>
      <c r="AG1000" s="1376" t="s">
        <v>678</v>
      </c>
      <c r="AH1000" s="1377"/>
      <c r="AI1000" s="87"/>
      <c r="AJ1000" s="1381">
        <f>ROUND(IF(AG1000="yes",AJ991*0.05,0),0)</f>
        <v>0</v>
      </c>
      <c r="AK1000" s="1382"/>
      <c r="AL1000" s="1382"/>
      <c r="AM1000" s="1382"/>
      <c r="AN1000" s="1382"/>
      <c r="AO1000" s="1382"/>
      <c r="AP1000" s="1382"/>
      <c r="AQ1000" s="1383"/>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465" t="s">
        <v>1395</v>
      </c>
      <c r="E1001" s="1466"/>
      <c r="F1001" s="1466"/>
      <c r="G1001" s="1466"/>
      <c r="H1001" s="1466"/>
      <c r="I1001" s="1466"/>
      <c r="J1001" s="1466"/>
      <c r="K1001" s="1466"/>
      <c r="L1001" s="1466"/>
      <c r="M1001" s="1466"/>
      <c r="N1001" s="1466"/>
      <c r="O1001" s="1466"/>
      <c r="P1001" s="1466"/>
      <c r="Q1001" s="1466"/>
      <c r="R1001" s="1466"/>
      <c r="S1001" s="1466"/>
      <c r="T1001" s="1466"/>
      <c r="U1001" s="1466"/>
      <c r="V1001" s="1466"/>
      <c r="W1001" s="1466"/>
      <c r="X1001" s="1466"/>
      <c r="Y1001" s="1466"/>
      <c r="Z1001" s="1466"/>
      <c r="AA1001" s="1466"/>
      <c r="AB1001" s="1466"/>
      <c r="AC1001" s="1466"/>
      <c r="AD1001" s="1466"/>
      <c r="AE1001" s="1467"/>
      <c r="AF1001" s="73"/>
      <c r="AG1001" s="14"/>
      <c r="AH1001" s="14"/>
      <c r="AI1001" s="83"/>
      <c r="AJ1001" s="1384"/>
      <c r="AK1001" s="1385"/>
      <c r="AL1001" s="1385"/>
      <c r="AM1001" s="1385"/>
      <c r="AN1001" s="1385"/>
      <c r="AO1001" s="1385"/>
      <c r="AP1001" s="1385"/>
      <c r="AQ1001" s="1386"/>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465"/>
      <c r="E1002" s="1466"/>
      <c r="F1002" s="1466"/>
      <c r="G1002" s="1466"/>
      <c r="H1002" s="1466"/>
      <c r="I1002" s="1466"/>
      <c r="J1002" s="1466"/>
      <c r="K1002" s="1466"/>
      <c r="L1002" s="1466"/>
      <c r="M1002" s="1466"/>
      <c r="N1002" s="1466"/>
      <c r="O1002" s="1466"/>
      <c r="P1002" s="1466"/>
      <c r="Q1002" s="1466"/>
      <c r="R1002" s="1466"/>
      <c r="S1002" s="1466"/>
      <c r="T1002" s="1466"/>
      <c r="U1002" s="1466"/>
      <c r="V1002" s="1466"/>
      <c r="W1002" s="1466"/>
      <c r="X1002" s="1466"/>
      <c r="Y1002" s="1466"/>
      <c r="Z1002" s="1466"/>
      <c r="AA1002" s="1466"/>
      <c r="AB1002" s="1466"/>
      <c r="AC1002" s="1466"/>
      <c r="AD1002" s="1466"/>
      <c r="AE1002" s="1467"/>
      <c r="AF1002" s="73"/>
      <c r="AG1002" s="14"/>
      <c r="AH1002" s="14"/>
      <c r="AI1002" s="83"/>
      <c r="AJ1002" s="1384"/>
      <c r="AK1002" s="1385"/>
      <c r="AL1002" s="1385"/>
      <c r="AM1002" s="1385"/>
      <c r="AN1002" s="1385"/>
      <c r="AO1002" s="1385"/>
      <c r="AP1002" s="1385"/>
      <c r="AQ1002" s="1386"/>
      <c r="AR1002" s="68"/>
      <c r="AS1002" s="68"/>
      <c r="AT1002" s="68"/>
      <c r="AU1002" s="68"/>
      <c r="AV1002" s="68"/>
      <c r="AW1002" s="68"/>
      <c r="AX1002" s="68"/>
      <c r="AY1002" s="949">
        <f>G753+O797</f>
        <v>49</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465"/>
      <c r="E1003" s="1466"/>
      <c r="F1003" s="1466"/>
      <c r="G1003" s="1466"/>
      <c r="H1003" s="1466"/>
      <c r="I1003" s="1466"/>
      <c r="J1003" s="1466"/>
      <c r="K1003" s="1466"/>
      <c r="L1003" s="1466"/>
      <c r="M1003" s="1466"/>
      <c r="N1003" s="1466"/>
      <c r="O1003" s="1466"/>
      <c r="P1003" s="1466"/>
      <c r="Q1003" s="1466"/>
      <c r="R1003" s="1466"/>
      <c r="S1003" s="1466"/>
      <c r="T1003" s="1466"/>
      <c r="U1003" s="1466"/>
      <c r="V1003" s="1466"/>
      <c r="W1003" s="1466"/>
      <c r="X1003" s="1466"/>
      <c r="Y1003" s="1466"/>
      <c r="Z1003" s="1466"/>
      <c r="AA1003" s="1466"/>
      <c r="AB1003" s="1466"/>
      <c r="AC1003" s="1466"/>
      <c r="AD1003" s="1466"/>
      <c r="AE1003" s="1467"/>
      <c r="AF1003" s="73"/>
      <c r="AG1003" s="14"/>
      <c r="AH1003" s="14"/>
      <c r="AI1003" s="83"/>
      <c r="AJ1003" s="1384"/>
      <c r="AK1003" s="1385"/>
      <c r="AL1003" s="1385"/>
      <c r="AM1003" s="1385"/>
      <c r="AN1003" s="1385"/>
      <c r="AO1003" s="1385"/>
      <c r="AP1003" s="1385"/>
      <c r="AQ1003" s="1386"/>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465"/>
      <c r="E1004" s="1466"/>
      <c r="F1004" s="1466"/>
      <c r="G1004" s="1466"/>
      <c r="H1004" s="1466"/>
      <c r="I1004" s="1466"/>
      <c r="J1004" s="1466"/>
      <c r="K1004" s="1466"/>
      <c r="L1004" s="1466"/>
      <c r="M1004" s="1466"/>
      <c r="N1004" s="1466"/>
      <c r="O1004" s="1466"/>
      <c r="P1004" s="1466"/>
      <c r="Q1004" s="1466"/>
      <c r="R1004" s="1466"/>
      <c r="S1004" s="1466"/>
      <c r="T1004" s="1466"/>
      <c r="U1004" s="1466"/>
      <c r="V1004" s="1466"/>
      <c r="W1004" s="1466"/>
      <c r="X1004" s="1466"/>
      <c r="Y1004" s="1466"/>
      <c r="Z1004" s="1466"/>
      <c r="AA1004" s="1466"/>
      <c r="AB1004" s="1466"/>
      <c r="AC1004" s="1466"/>
      <c r="AD1004" s="1466"/>
      <c r="AE1004" s="1467"/>
      <c r="AF1004" s="73"/>
      <c r="AG1004" s="14"/>
      <c r="AH1004" s="14"/>
      <c r="AI1004" s="83"/>
      <c r="AJ1004" s="1384"/>
      <c r="AK1004" s="1385"/>
      <c r="AL1004" s="1385"/>
      <c r="AM1004" s="1385"/>
      <c r="AN1004" s="1385"/>
      <c r="AO1004" s="1385"/>
      <c r="AP1004" s="1385"/>
      <c r="AQ1004" s="1386"/>
      <c r="AR1004" s="68"/>
      <c r="AS1004" s="68"/>
      <c r="AT1004" s="68"/>
      <c r="AU1004" s="68"/>
      <c r="AV1004" s="68"/>
      <c r="AW1004" s="68"/>
      <c r="AX1004" s="68"/>
      <c r="AY1004" s="948">
        <f>ROUNDDOWN(X1047/I1047,2)</f>
        <v>0.28000000000000003</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468"/>
      <c r="E1005" s="1469"/>
      <c r="F1005" s="1469"/>
      <c r="G1005" s="1469"/>
      <c r="H1005" s="1469"/>
      <c r="I1005" s="1469"/>
      <c r="J1005" s="1469"/>
      <c r="K1005" s="1469"/>
      <c r="L1005" s="1469"/>
      <c r="M1005" s="1469"/>
      <c r="N1005" s="1469"/>
      <c r="O1005" s="1469"/>
      <c r="P1005" s="1469"/>
      <c r="Q1005" s="1469"/>
      <c r="R1005" s="1469"/>
      <c r="S1005" s="1469"/>
      <c r="T1005" s="1469"/>
      <c r="U1005" s="1469"/>
      <c r="V1005" s="1469"/>
      <c r="W1005" s="1469"/>
      <c r="X1005" s="1469"/>
      <c r="Y1005" s="1469"/>
      <c r="Z1005" s="1469"/>
      <c r="AA1005" s="1469"/>
      <c r="AB1005" s="1469"/>
      <c r="AC1005" s="1469"/>
      <c r="AD1005" s="1469"/>
      <c r="AE1005" s="1470"/>
      <c r="AF1005" s="77"/>
      <c r="AG1005" s="7"/>
      <c r="AH1005" s="7"/>
      <c r="AI1005" s="78"/>
      <c r="AJ1005" s="1387"/>
      <c r="AK1005" s="1388"/>
      <c r="AL1005" s="1388"/>
      <c r="AM1005" s="1388"/>
      <c r="AN1005" s="1388"/>
      <c r="AO1005" s="1388"/>
      <c r="AP1005" s="1388"/>
      <c r="AQ1005" s="1389"/>
      <c r="AR1005" s="68"/>
      <c r="AS1005" s="68"/>
      <c r="AT1005" s="68"/>
      <c r="AU1005" s="68"/>
      <c r="AV1005" s="68"/>
      <c r="AW1005" s="68"/>
      <c r="AX1005" s="68"/>
      <c r="AY1005" s="948">
        <f>ROUNDDOWN(X1051/I1051,2)</f>
        <v>0.71</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681</v>
      </c>
      <c r="D1006" s="1393" t="s">
        <v>1874</v>
      </c>
      <c r="E1006" s="1394"/>
      <c r="F1006" s="1394"/>
      <c r="G1006" s="1394"/>
      <c r="H1006" s="1394"/>
      <c r="I1006" s="1394"/>
      <c r="J1006" s="1394"/>
      <c r="K1006" s="1394"/>
      <c r="L1006" s="1394"/>
      <c r="M1006" s="1394"/>
      <c r="N1006" s="1394"/>
      <c r="O1006" s="1394"/>
      <c r="P1006" s="1394"/>
      <c r="Q1006" s="1394"/>
      <c r="R1006" s="1394"/>
      <c r="S1006" s="1394"/>
      <c r="T1006" s="1394"/>
      <c r="U1006" s="1394"/>
      <c r="V1006" s="1394"/>
      <c r="W1006" s="1394"/>
      <c r="X1006" s="1394"/>
      <c r="Y1006" s="1394"/>
      <c r="Z1006" s="1394"/>
      <c r="AA1006" s="1394"/>
      <c r="AB1006" s="1394"/>
      <c r="AC1006" s="1394"/>
      <c r="AD1006" s="1394"/>
      <c r="AE1006" s="1395"/>
      <c r="AF1006" s="86"/>
      <c r="AG1006" s="1376" t="s">
        <v>554</v>
      </c>
      <c r="AH1006" s="1377"/>
      <c r="AI1006" s="87"/>
      <c r="AJ1006" s="1381">
        <f>ROUND(IF(AG1006="yes",AJ991*0.1,0),0)</f>
        <v>2731685</v>
      </c>
      <c r="AK1006" s="1382"/>
      <c r="AL1006" s="1382"/>
      <c r="AM1006" s="1382"/>
      <c r="AN1006" s="1382"/>
      <c r="AO1006" s="1382"/>
      <c r="AP1006" s="1382"/>
      <c r="AQ1006" s="1383"/>
      <c r="AR1006" s="68"/>
      <c r="AS1006" s="68"/>
      <c r="AT1006" s="68"/>
      <c r="AU1006" s="68"/>
      <c r="AV1006" s="68"/>
      <c r="AW1006" s="68"/>
      <c r="AX1006" s="68"/>
      <c r="BB1006" s="34"/>
      <c r="BD1006" s="34"/>
      <c r="BE1006" s="34"/>
      <c r="BF1006" s="34"/>
    </row>
    <row r="1007" spans="1:157" ht="12.95" customHeight="1">
      <c r="A1007" s="14"/>
      <c r="B1007" s="73"/>
      <c r="C1007" s="74"/>
      <c r="D1007" s="1578" t="s">
        <v>1396</v>
      </c>
      <c r="E1007" s="1579"/>
      <c r="F1007" s="1579"/>
      <c r="G1007" s="1579"/>
      <c r="H1007" s="1579"/>
      <c r="I1007" s="1579"/>
      <c r="J1007" s="1579"/>
      <c r="K1007" s="1579"/>
      <c r="L1007" s="1579"/>
      <c r="M1007" s="1579"/>
      <c r="N1007" s="1579"/>
      <c r="O1007" s="1579"/>
      <c r="P1007" s="1579"/>
      <c r="Q1007" s="1579"/>
      <c r="R1007" s="1579"/>
      <c r="S1007" s="1579"/>
      <c r="T1007" s="1579"/>
      <c r="U1007" s="1579"/>
      <c r="V1007" s="1579"/>
      <c r="W1007" s="1579"/>
      <c r="X1007" s="1579"/>
      <c r="Y1007" s="1579"/>
      <c r="Z1007" s="1579"/>
      <c r="AA1007" s="1579"/>
      <c r="AB1007" s="1579"/>
      <c r="AC1007" s="1579"/>
      <c r="AD1007" s="1579"/>
      <c r="AE1007" s="1580"/>
      <c r="AF1007" s="73"/>
      <c r="AI1007" s="83"/>
      <c r="AJ1007" s="1384"/>
      <c r="AK1007" s="1385"/>
      <c r="AL1007" s="1385"/>
      <c r="AM1007" s="1385"/>
      <c r="AN1007" s="1385"/>
      <c r="AO1007" s="1385"/>
      <c r="AP1007" s="1385"/>
      <c r="AQ1007" s="1386"/>
      <c r="AR1007" s="68"/>
      <c r="AS1007" s="68"/>
      <c r="AT1007" s="68"/>
      <c r="AU1007" s="68"/>
      <c r="AV1007" s="68"/>
      <c r="AW1007" s="68"/>
      <c r="AX1007" s="68"/>
    </row>
    <row r="1008" spans="1:157" ht="12.95" customHeight="1">
      <c r="A1008" s="14"/>
      <c r="B1008" s="73"/>
      <c r="C1008" s="74"/>
      <c r="D1008" s="1578"/>
      <c r="E1008" s="1579"/>
      <c r="F1008" s="1579"/>
      <c r="G1008" s="1579"/>
      <c r="H1008" s="1579"/>
      <c r="I1008" s="1579"/>
      <c r="J1008" s="1579"/>
      <c r="K1008" s="1579"/>
      <c r="L1008" s="1579"/>
      <c r="M1008" s="1579"/>
      <c r="N1008" s="1579"/>
      <c r="O1008" s="1579"/>
      <c r="P1008" s="1579"/>
      <c r="Q1008" s="1579"/>
      <c r="R1008" s="1579"/>
      <c r="S1008" s="1579"/>
      <c r="T1008" s="1579"/>
      <c r="U1008" s="1579"/>
      <c r="V1008" s="1579"/>
      <c r="W1008" s="1579"/>
      <c r="X1008" s="1579"/>
      <c r="Y1008" s="1579"/>
      <c r="Z1008" s="1579"/>
      <c r="AA1008" s="1579"/>
      <c r="AB1008" s="1579"/>
      <c r="AC1008" s="1579"/>
      <c r="AD1008" s="1579"/>
      <c r="AE1008" s="1580"/>
      <c r="AF1008" s="73"/>
      <c r="AG1008" s="14"/>
      <c r="AH1008" s="14"/>
      <c r="AI1008" s="83"/>
      <c r="AJ1008" s="1384"/>
      <c r="AK1008" s="1385"/>
      <c r="AL1008" s="1385"/>
      <c r="AM1008" s="1385"/>
      <c r="AN1008" s="1385"/>
      <c r="AO1008" s="1385"/>
      <c r="AP1008" s="1385"/>
      <c r="AQ1008" s="1386"/>
      <c r="AR1008" s="68"/>
      <c r="AS1008" s="68"/>
      <c r="AT1008" s="68"/>
      <c r="AU1008" s="68"/>
      <c r="AV1008" s="68"/>
      <c r="AW1008" s="68"/>
      <c r="AX1008" s="68"/>
    </row>
    <row r="1009" spans="1:51" ht="12.95" customHeight="1">
      <c r="A1009" s="14"/>
      <c r="B1009" s="85"/>
      <c r="C1009" s="76"/>
      <c r="D1009" s="1595"/>
      <c r="E1009" s="1596"/>
      <c r="F1009" s="1596"/>
      <c r="G1009" s="1596"/>
      <c r="H1009" s="1596"/>
      <c r="I1009" s="1596"/>
      <c r="J1009" s="1596"/>
      <c r="K1009" s="1596"/>
      <c r="L1009" s="1596"/>
      <c r="M1009" s="1596"/>
      <c r="N1009" s="1596"/>
      <c r="O1009" s="1596"/>
      <c r="P1009" s="1596"/>
      <c r="Q1009" s="1596"/>
      <c r="R1009" s="1596"/>
      <c r="S1009" s="1596"/>
      <c r="T1009" s="1596"/>
      <c r="U1009" s="1596"/>
      <c r="V1009" s="1596"/>
      <c r="W1009" s="1596"/>
      <c r="X1009" s="1596"/>
      <c r="Y1009" s="1596"/>
      <c r="Z1009" s="1596"/>
      <c r="AA1009" s="1596"/>
      <c r="AB1009" s="1596"/>
      <c r="AC1009" s="1596"/>
      <c r="AD1009" s="1596"/>
      <c r="AE1009" s="1597"/>
      <c r="AF1009" s="77"/>
      <c r="AG1009" s="7"/>
      <c r="AH1009" s="7"/>
      <c r="AI1009" s="78"/>
      <c r="AJ1009" s="1387"/>
      <c r="AK1009" s="1388"/>
      <c r="AL1009" s="1388"/>
      <c r="AM1009" s="1388"/>
      <c r="AN1009" s="1388"/>
      <c r="AO1009" s="1388"/>
      <c r="AP1009" s="1388"/>
      <c r="AQ1009" s="1389"/>
      <c r="AR1009" s="68"/>
      <c r="AS1009" s="68"/>
      <c r="AT1009" s="68"/>
      <c r="AU1009" s="68"/>
      <c r="AV1009" s="68"/>
      <c r="AW1009" s="68"/>
      <c r="AX1009" s="68"/>
    </row>
    <row r="1010" spans="1:51" ht="12.95" customHeight="1">
      <c r="A1010" s="14"/>
      <c r="B1010" s="79"/>
      <c r="C1010" s="80" t="s">
        <v>213</v>
      </c>
      <c r="D1010" s="1393" t="s">
        <v>1398</v>
      </c>
      <c r="E1010" s="1394"/>
      <c r="F1010" s="1394"/>
      <c r="G1010" s="1394"/>
      <c r="H1010" s="1394"/>
      <c r="I1010" s="1394"/>
      <c r="J1010" s="1394"/>
      <c r="K1010" s="1394"/>
      <c r="L1010" s="1394"/>
      <c r="M1010" s="1394"/>
      <c r="N1010" s="1394"/>
      <c r="O1010" s="1394"/>
      <c r="P1010" s="1394"/>
      <c r="Q1010" s="1394"/>
      <c r="R1010" s="1394"/>
      <c r="S1010" s="1394"/>
      <c r="T1010" s="1394"/>
      <c r="U1010" s="1394"/>
      <c r="V1010" s="1394"/>
      <c r="W1010" s="1394"/>
      <c r="X1010" s="1394"/>
      <c r="Y1010" s="1394"/>
      <c r="Z1010" s="1394"/>
      <c r="AA1010" s="1394"/>
      <c r="AB1010" s="1394"/>
      <c r="AC1010" s="1394"/>
      <c r="AD1010" s="1394"/>
      <c r="AE1010" s="1395"/>
      <c r="AF1010" s="79"/>
      <c r="AG1010" s="1376" t="s">
        <v>678</v>
      </c>
      <c r="AH1010" s="1377"/>
      <c r="AI1010" s="87"/>
      <c r="AJ1010" s="1381">
        <f>ROUND(IF(AG1010="yes",AJ991*0.02,0),0)</f>
        <v>0</v>
      </c>
      <c r="AK1010" s="1382"/>
      <c r="AL1010" s="1382"/>
      <c r="AM1010" s="1382"/>
      <c r="AN1010" s="1382"/>
      <c r="AO1010" s="1382"/>
      <c r="AP1010" s="1382"/>
      <c r="AQ1010" s="1383"/>
      <c r="AR1010" s="68"/>
      <c r="AS1010" s="68"/>
      <c r="AT1010" s="68"/>
      <c r="AU1010" s="68"/>
      <c r="AV1010" s="68"/>
      <c r="AW1010" s="68"/>
      <c r="AX1010" s="68"/>
      <c r="AY1010" s="215">
        <f>IF(SUM(AY1012:AY1020)&lt;=0.1,SUM(AY1012:AY1020),0.1)</f>
        <v>0</v>
      </c>
    </row>
    <row r="1011" spans="1:51" ht="14.25" customHeight="1">
      <c r="A1011" s="14"/>
      <c r="B1011" s="73"/>
      <c r="C1011" s="74"/>
      <c r="D1011" s="1595" t="s">
        <v>1399</v>
      </c>
      <c r="E1011" s="1596"/>
      <c r="F1011" s="1596"/>
      <c r="G1011" s="1596"/>
      <c r="H1011" s="1596"/>
      <c r="I1011" s="1596"/>
      <c r="J1011" s="1596"/>
      <c r="K1011" s="1596"/>
      <c r="L1011" s="1596"/>
      <c r="M1011" s="1596"/>
      <c r="N1011" s="1596"/>
      <c r="O1011" s="1596"/>
      <c r="P1011" s="1596"/>
      <c r="Q1011" s="1596"/>
      <c r="R1011" s="1596"/>
      <c r="S1011" s="1596"/>
      <c r="T1011" s="1596"/>
      <c r="U1011" s="1596"/>
      <c r="V1011" s="1596"/>
      <c r="W1011" s="1596"/>
      <c r="X1011" s="1596"/>
      <c r="Y1011" s="1596"/>
      <c r="Z1011" s="1596"/>
      <c r="AA1011" s="1596"/>
      <c r="AB1011" s="1596"/>
      <c r="AC1011" s="1596"/>
      <c r="AD1011" s="1596"/>
      <c r="AE1011" s="1597"/>
      <c r="AF1011" s="77"/>
      <c r="AG1011" s="7"/>
      <c r="AH1011" s="7"/>
      <c r="AI1011" s="78"/>
      <c r="AJ1011" s="1387"/>
      <c r="AK1011" s="1388"/>
      <c r="AL1011" s="1388"/>
      <c r="AM1011" s="1388"/>
      <c r="AN1011" s="1388"/>
      <c r="AO1011" s="1388"/>
      <c r="AP1011" s="1388"/>
      <c r="AQ1011" s="1389"/>
      <c r="AR1011" s="68"/>
      <c r="AS1011" s="68"/>
      <c r="AT1011" s="68"/>
      <c r="AU1011" s="68"/>
      <c r="AV1011" s="68"/>
      <c r="AW1011" s="68"/>
      <c r="AX1011" s="68"/>
    </row>
    <row r="1012" spans="1:51" ht="12.95" customHeight="1">
      <c r="A1012" s="14"/>
      <c r="B1012" s="79"/>
      <c r="C1012" s="80" t="s">
        <v>216</v>
      </c>
      <c r="D1012" s="1393" t="s">
        <v>1400</v>
      </c>
      <c r="E1012" s="1394"/>
      <c r="F1012" s="1394"/>
      <c r="G1012" s="1394"/>
      <c r="H1012" s="1394"/>
      <c r="I1012" s="1394"/>
      <c r="J1012" s="1394"/>
      <c r="K1012" s="1394"/>
      <c r="L1012" s="1394"/>
      <c r="M1012" s="1394"/>
      <c r="N1012" s="1394"/>
      <c r="O1012" s="1394"/>
      <c r="P1012" s="1394"/>
      <c r="Q1012" s="1394"/>
      <c r="R1012" s="1394"/>
      <c r="S1012" s="1394"/>
      <c r="T1012" s="1394"/>
      <c r="U1012" s="1394"/>
      <c r="V1012" s="1394"/>
      <c r="W1012" s="1394"/>
      <c r="X1012" s="1394"/>
      <c r="Y1012" s="1394"/>
      <c r="Z1012" s="1394"/>
      <c r="AA1012" s="1394"/>
      <c r="AB1012" s="1394"/>
      <c r="AC1012" s="1394"/>
      <c r="AD1012" s="1394"/>
      <c r="AE1012" s="1395"/>
      <c r="AF1012" s="79"/>
      <c r="AG1012" s="1376" t="s">
        <v>678</v>
      </c>
      <c r="AH1012" s="1377"/>
      <c r="AI1012" s="79"/>
      <c r="AJ1012" s="1381">
        <f>ROUND(IF(AG1012="yes",AJ991*0.02,0),0)</f>
        <v>0</v>
      </c>
      <c r="AK1012" s="1382"/>
      <c r="AL1012" s="1382"/>
      <c r="AM1012" s="1382"/>
      <c r="AN1012" s="1382"/>
      <c r="AO1012" s="1382"/>
      <c r="AP1012" s="1382"/>
      <c r="AQ1012" s="1383"/>
      <c r="AR1012" s="68"/>
      <c r="AS1012" s="68"/>
      <c r="AT1012" s="68"/>
      <c r="AU1012" s="68"/>
      <c r="AV1012" s="68"/>
      <c r="AW1012" s="68"/>
      <c r="AX1012" s="68"/>
      <c r="AY1012" s="213">
        <f>IF(A1064="Yes",0.05,0)</f>
        <v>0</v>
      </c>
    </row>
    <row r="1013" spans="1:51" ht="12.95" customHeight="1">
      <c r="A1013" s="14"/>
      <c r="B1013" s="73"/>
      <c r="C1013" s="74"/>
      <c r="D1013" s="1578" t="s">
        <v>1401</v>
      </c>
      <c r="E1013" s="1579"/>
      <c r="F1013" s="1579"/>
      <c r="G1013" s="1579"/>
      <c r="H1013" s="1579"/>
      <c r="I1013" s="1579"/>
      <c r="J1013" s="1579"/>
      <c r="K1013" s="1579"/>
      <c r="L1013" s="1579"/>
      <c r="M1013" s="1579"/>
      <c r="N1013" s="1579"/>
      <c r="O1013" s="1579"/>
      <c r="P1013" s="1579"/>
      <c r="Q1013" s="1579"/>
      <c r="R1013" s="1579"/>
      <c r="S1013" s="1579"/>
      <c r="T1013" s="1579"/>
      <c r="U1013" s="1579"/>
      <c r="V1013" s="1579"/>
      <c r="W1013" s="1579"/>
      <c r="X1013" s="1579"/>
      <c r="Y1013" s="1579"/>
      <c r="Z1013" s="1579"/>
      <c r="AA1013" s="1579"/>
      <c r="AB1013" s="1579"/>
      <c r="AC1013" s="1579"/>
      <c r="AD1013" s="1579"/>
      <c r="AE1013" s="1580"/>
      <c r="AF1013" s="1452" t="str">
        <f>IF(AND(AG1012="yes",AB212&lt;&gt;1),"The project may not be eligible for this boost","")</f>
        <v/>
      </c>
      <c r="AG1013" s="1453"/>
      <c r="AH1013" s="1453"/>
      <c r="AI1013" s="1454"/>
      <c r="AJ1013" s="1384"/>
      <c r="AK1013" s="1385"/>
      <c r="AL1013" s="1385"/>
      <c r="AM1013" s="1385"/>
      <c r="AN1013" s="1385"/>
      <c r="AO1013" s="1385"/>
      <c r="AP1013" s="1385"/>
      <c r="AQ1013" s="1386"/>
      <c r="AR1013" s="68"/>
      <c r="AS1013" s="68"/>
      <c r="AT1013" s="68"/>
      <c r="AU1013" s="68"/>
      <c r="AV1013" s="68"/>
      <c r="AW1013" s="68"/>
      <c r="AX1013" s="68"/>
      <c r="AY1013" s="213">
        <f>IF(A1070="Yes",0.02,0)</f>
        <v>0</v>
      </c>
    </row>
    <row r="1014" spans="1:51" ht="12.95" customHeight="1">
      <c r="A1014" s="14"/>
      <c r="B1014" s="75"/>
      <c r="C1014" s="76"/>
      <c r="D1014" s="1595"/>
      <c r="E1014" s="1596"/>
      <c r="F1014" s="1596"/>
      <c r="G1014" s="1596"/>
      <c r="H1014" s="1596"/>
      <c r="I1014" s="1596"/>
      <c r="J1014" s="1596"/>
      <c r="K1014" s="1596"/>
      <c r="L1014" s="1596"/>
      <c r="M1014" s="1596"/>
      <c r="N1014" s="1596"/>
      <c r="O1014" s="1596"/>
      <c r="P1014" s="1596"/>
      <c r="Q1014" s="1596"/>
      <c r="R1014" s="1596"/>
      <c r="S1014" s="1596"/>
      <c r="T1014" s="1596"/>
      <c r="U1014" s="1596"/>
      <c r="V1014" s="1596"/>
      <c r="W1014" s="1596"/>
      <c r="X1014" s="1596"/>
      <c r="Y1014" s="1596"/>
      <c r="Z1014" s="1596"/>
      <c r="AA1014" s="1596"/>
      <c r="AB1014" s="1596"/>
      <c r="AC1014" s="1596"/>
      <c r="AD1014" s="1596"/>
      <c r="AE1014" s="1597"/>
      <c r="AF1014" s="1455"/>
      <c r="AG1014" s="1456"/>
      <c r="AH1014" s="1456"/>
      <c r="AI1014" s="1457"/>
      <c r="AJ1014" s="1387"/>
      <c r="AK1014" s="1388"/>
      <c r="AL1014" s="1388"/>
      <c r="AM1014" s="1388"/>
      <c r="AN1014" s="1388"/>
      <c r="AO1014" s="1388"/>
      <c r="AP1014" s="1388"/>
      <c r="AQ1014" s="1389"/>
      <c r="AR1014" s="68"/>
      <c r="AS1014" s="68"/>
      <c r="AT1014" s="68"/>
      <c r="AU1014" s="68"/>
      <c r="AV1014" s="68"/>
      <c r="AW1014" s="68"/>
      <c r="AX1014" s="68"/>
      <c r="AY1014" s="213">
        <f>IF(A1076="Yes",0.04,0)</f>
        <v>0</v>
      </c>
    </row>
    <row r="1015" spans="1:51" ht="12.95" customHeight="1">
      <c r="A1015" s="14"/>
      <c r="B1015" s="79"/>
      <c r="C1015" s="80" t="s">
        <v>219</v>
      </c>
      <c r="D1015" s="1592" t="s">
        <v>1402</v>
      </c>
      <c r="E1015" s="1593"/>
      <c r="F1015" s="1593"/>
      <c r="G1015" s="1593"/>
      <c r="H1015" s="1593"/>
      <c r="I1015" s="1593"/>
      <c r="J1015" s="1593"/>
      <c r="K1015" s="1593"/>
      <c r="L1015" s="1593"/>
      <c r="M1015" s="1593"/>
      <c r="N1015" s="1593"/>
      <c r="O1015" s="1593"/>
      <c r="P1015" s="1593"/>
      <c r="Q1015" s="1593"/>
      <c r="R1015" s="1593"/>
      <c r="S1015" s="1593"/>
      <c r="T1015" s="1593"/>
      <c r="U1015" s="1593"/>
      <c r="V1015" s="1593"/>
      <c r="W1015" s="1593"/>
      <c r="X1015" s="1593"/>
      <c r="Y1015" s="1593"/>
      <c r="Z1015" s="1593"/>
      <c r="AA1015" s="1593"/>
      <c r="AB1015" s="1593"/>
      <c r="AC1015" s="1593"/>
      <c r="AD1015" s="1593"/>
      <c r="AE1015" s="1594"/>
      <c r="AF1015" s="79"/>
      <c r="AG1015" s="1376" t="s">
        <v>678</v>
      </c>
      <c r="AH1015" s="1377"/>
      <c r="AI1015" s="87"/>
      <c r="AJ1015" s="1381">
        <f>IF(AG1015="yes",AJ991*AY1010,0)</f>
        <v>0</v>
      </c>
      <c r="AK1015" s="1382"/>
      <c r="AL1015" s="1382"/>
      <c r="AM1015" s="1382"/>
      <c r="AN1015" s="1382"/>
      <c r="AO1015" s="1382"/>
      <c r="AP1015" s="1382"/>
      <c r="AQ1015" s="1383"/>
      <c r="AR1015" s="68"/>
      <c r="AS1015" s="68"/>
      <c r="AT1015" s="68"/>
      <c r="AU1015" s="68"/>
      <c r="AV1015" s="68"/>
      <c r="AW1015" s="68"/>
      <c r="AX1015" s="68"/>
      <c r="AY1015" s="213">
        <f>IF(A1083="Yes",0.04,0)</f>
        <v>0</v>
      </c>
    </row>
    <row r="1016" spans="1:51" ht="12.95" customHeight="1">
      <c r="A1016" s="14"/>
      <c r="B1016" s="73"/>
      <c r="C1016" s="74"/>
      <c r="D1016" s="1578" t="s">
        <v>1403</v>
      </c>
      <c r="E1016" s="1579"/>
      <c r="F1016" s="1579"/>
      <c r="G1016" s="1579"/>
      <c r="H1016" s="1579"/>
      <c r="I1016" s="1579"/>
      <c r="J1016" s="1579"/>
      <c r="K1016" s="1579"/>
      <c r="L1016" s="1579"/>
      <c r="M1016" s="1579"/>
      <c r="N1016" s="1579"/>
      <c r="O1016" s="1579"/>
      <c r="P1016" s="1579"/>
      <c r="Q1016" s="1579"/>
      <c r="R1016" s="1579"/>
      <c r="S1016" s="1579"/>
      <c r="T1016" s="1579"/>
      <c r="U1016" s="1579"/>
      <c r="V1016" s="1579"/>
      <c r="W1016" s="1579"/>
      <c r="X1016" s="1579"/>
      <c r="Y1016" s="1579"/>
      <c r="Z1016" s="1579"/>
      <c r="AA1016" s="1579"/>
      <c r="AB1016" s="1579"/>
      <c r="AC1016" s="1579"/>
      <c r="AD1016" s="1579"/>
      <c r="AE1016" s="1580"/>
      <c r="AF1016" s="1446" t="str">
        <f>IF(AND(AG1015="Yes",AY1010=0),AY1022,"")</f>
        <v/>
      </c>
      <c r="AG1016" s="1447"/>
      <c r="AH1016" s="1447"/>
      <c r="AI1016" s="1448"/>
      <c r="AJ1016" s="1384"/>
      <c r="AK1016" s="1385"/>
      <c r="AL1016" s="1385"/>
      <c r="AM1016" s="1385"/>
      <c r="AN1016" s="1385"/>
      <c r="AO1016" s="1385"/>
      <c r="AP1016" s="1385"/>
      <c r="AQ1016" s="1386"/>
      <c r="AR1016" s="68"/>
      <c r="AS1016" s="68"/>
      <c r="AT1016" s="68"/>
      <c r="AU1016" s="68"/>
      <c r="AV1016" s="68"/>
      <c r="AW1016" s="68"/>
      <c r="AX1016" s="68"/>
      <c r="AY1016" s="213">
        <f>IF(A1086="Yes",0.01,0)</f>
        <v>0</v>
      </c>
    </row>
    <row r="1017" spans="1:51" ht="12.95" customHeight="1">
      <c r="A1017" s="14"/>
      <c r="B1017" s="73"/>
      <c r="C1017" s="74"/>
      <c r="D1017" s="1578"/>
      <c r="E1017" s="1579"/>
      <c r="F1017" s="1579"/>
      <c r="G1017" s="1579"/>
      <c r="H1017" s="1579"/>
      <c r="I1017" s="1579"/>
      <c r="J1017" s="1579"/>
      <c r="K1017" s="1579"/>
      <c r="L1017" s="1579"/>
      <c r="M1017" s="1579"/>
      <c r="N1017" s="1579"/>
      <c r="O1017" s="1579"/>
      <c r="P1017" s="1579"/>
      <c r="Q1017" s="1579"/>
      <c r="R1017" s="1579"/>
      <c r="S1017" s="1579"/>
      <c r="T1017" s="1579"/>
      <c r="U1017" s="1579"/>
      <c r="V1017" s="1579"/>
      <c r="W1017" s="1579"/>
      <c r="X1017" s="1579"/>
      <c r="Y1017" s="1579"/>
      <c r="Z1017" s="1579"/>
      <c r="AA1017" s="1579"/>
      <c r="AB1017" s="1579"/>
      <c r="AC1017" s="1579"/>
      <c r="AD1017" s="1579"/>
      <c r="AE1017" s="1580"/>
      <c r="AF1017" s="1446"/>
      <c r="AG1017" s="1447"/>
      <c r="AH1017" s="1447"/>
      <c r="AI1017" s="1448"/>
      <c r="AJ1017" s="1384"/>
      <c r="AK1017" s="1385"/>
      <c r="AL1017" s="1385"/>
      <c r="AM1017" s="1385"/>
      <c r="AN1017" s="1385"/>
      <c r="AO1017" s="1385"/>
      <c r="AP1017" s="1385"/>
      <c r="AQ1017" s="1386"/>
      <c r="AR1017" s="68"/>
      <c r="AS1017" s="68"/>
      <c r="AT1017" s="68"/>
      <c r="AU1017" s="68"/>
      <c r="AV1017" s="68"/>
      <c r="AW1017" s="68"/>
      <c r="AX1017" s="68"/>
      <c r="AY1017" s="213">
        <f>IF(A1091="Yes",0.01,0)</f>
        <v>0</v>
      </c>
    </row>
    <row r="1018" spans="1:51" ht="12.95" customHeight="1">
      <c r="A1018" s="14"/>
      <c r="B1018" s="81"/>
      <c r="C1018" s="82"/>
      <c r="D1018" s="1595"/>
      <c r="E1018" s="1596"/>
      <c r="F1018" s="1596"/>
      <c r="G1018" s="1596"/>
      <c r="H1018" s="1596"/>
      <c r="I1018" s="1596"/>
      <c r="J1018" s="1596"/>
      <c r="K1018" s="1596"/>
      <c r="L1018" s="1596"/>
      <c r="M1018" s="1596"/>
      <c r="N1018" s="1596"/>
      <c r="O1018" s="1596"/>
      <c r="P1018" s="1596"/>
      <c r="Q1018" s="1596"/>
      <c r="R1018" s="1596"/>
      <c r="S1018" s="1596"/>
      <c r="T1018" s="1596"/>
      <c r="U1018" s="1596"/>
      <c r="V1018" s="1596"/>
      <c r="W1018" s="1596"/>
      <c r="X1018" s="1596"/>
      <c r="Y1018" s="1596"/>
      <c r="Z1018" s="1596"/>
      <c r="AA1018" s="1596"/>
      <c r="AB1018" s="1596"/>
      <c r="AC1018" s="1596"/>
      <c r="AD1018" s="1596"/>
      <c r="AE1018" s="1597"/>
      <c r="AF1018" s="1449"/>
      <c r="AG1018" s="1450"/>
      <c r="AH1018" s="1450"/>
      <c r="AI1018" s="1451"/>
      <c r="AJ1018" s="1387"/>
      <c r="AK1018" s="1388"/>
      <c r="AL1018" s="1388"/>
      <c r="AM1018" s="1388"/>
      <c r="AN1018" s="1388"/>
      <c r="AO1018" s="1388"/>
      <c r="AP1018" s="1388"/>
      <c r="AQ1018" s="1389"/>
      <c r="AR1018" s="68"/>
      <c r="AS1018" s="68"/>
      <c r="AT1018" s="68"/>
      <c r="AU1018" s="68"/>
      <c r="AV1018" s="68"/>
      <c r="AW1018" s="68"/>
      <c r="AX1018" s="68"/>
      <c r="AY1018" s="213">
        <f>IF(A1094="Yes",0.01,0)</f>
        <v>0</v>
      </c>
    </row>
    <row r="1019" spans="1:51" ht="12.95" customHeight="1">
      <c r="A1019" s="14"/>
      <c r="B1019" s="79"/>
      <c r="C1019" s="80" t="s">
        <v>224</v>
      </c>
      <c r="D1019" s="1633" t="s">
        <v>1404</v>
      </c>
      <c r="E1019" s="1634"/>
      <c r="F1019" s="1634"/>
      <c r="G1019" s="1634"/>
      <c r="H1019" s="1634"/>
      <c r="I1019" s="1634"/>
      <c r="J1019" s="1634"/>
      <c r="K1019" s="1634"/>
      <c r="L1019" s="1634"/>
      <c r="M1019" s="1634"/>
      <c r="N1019" s="1634"/>
      <c r="O1019" s="1634"/>
      <c r="P1019" s="1634"/>
      <c r="Q1019" s="1634"/>
      <c r="R1019" s="1634"/>
      <c r="S1019" s="1634"/>
      <c r="T1019" s="1634"/>
      <c r="U1019" s="1634"/>
      <c r="V1019" s="1634"/>
      <c r="W1019" s="1634"/>
      <c r="X1019" s="1634"/>
      <c r="Y1019" s="1634"/>
      <c r="Z1019" s="1634"/>
      <c r="AA1019" s="1634"/>
      <c r="AB1019" s="1634"/>
      <c r="AC1019" s="1634"/>
      <c r="AD1019" s="1634"/>
      <c r="AE1019" s="1635"/>
      <c r="AF1019" s="79"/>
      <c r="AG1019" s="1376" t="s">
        <v>678</v>
      </c>
      <c r="AH1019" s="1377"/>
      <c r="AI1019" s="87"/>
      <c r="AJ1019" s="1381">
        <f>ROUND(IF(AND(AG1019="Yes",J1023&lt;&gt;"N/A",AF1022&lt;&gt;""),MIN(AF1022,(0.15*AJ991)),0),0)</f>
        <v>0</v>
      </c>
      <c r="AK1019" s="1382"/>
      <c r="AL1019" s="1382"/>
      <c r="AM1019" s="1382"/>
      <c r="AN1019" s="1382"/>
      <c r="AO1019" s="1382"/>
      <c r="AP1019" s="1382"/>
      <c r="AQ1019" s="1383"/>
      <c r="AR1019" s="68"/>
      <c r="AS1019" s="68"/>
      <c r="AT1019" s="68"/>
      <c r="AU1019" s="68"/>
      <c r="AV1019" s="68"/>
      <c r="AW1019" s="68"/>
      <c r="AX1019" s="68"/>
      <c r="AY1019" s="213">
        <f>IF(A1098="Yes",0.02,0)</f>
        <v>0</v>
      </c>
    </row>
    <row r="1020" spans="1:51" ht="12.95" customHeight="1">
      <c r="A1020" s="14"/>
      <c r="B1020" s="81"/>
      <c r="C1020" s="84"/>
      <c r="D1020" s="1636"/>
      <c r="E1020" s="1637"/>
      <c r="F1020" s="1637"/>
      <c r="G1020" s="1637"/>
      <c r="H1020" s="1637"/>
      <c r="I1020" s="1637"/>
      <c r="J1020" s="1637"/>
      <c r="K1020" s="1637"/>
      <c r="L1020" s="1637"/>
      <c r="M1020" s="1637"/>
      <c r="N1020" s="1637"/>
      <c r="O1020" s="1637"/>
      <c r="P1020" s="1637"/>
      <c r="Q1020" s="1637"/>
      <c r="R1020" s="1637"/>
      <c r="S1020" s="1637"/>
      <c r="T1020" s="1637"/>
      <c r="U1020" s="1637"/>
      <c r="V1020" s="1637"/>
      <c r="W1020" s="1637"/>
      <c r="X1020" s="1637"/>
      <c r="Y1020" s="1637"/>
      <c r="Z1020" s="1637"/>
      <c r="AA1020" s="1637"/>
      <c r="AB1020" s="1637"/>
      <c r="AC1020" s="1637"/>
      <c r="AD1020" s="1637"/>
      <c r="AE1020" s="1638"/>
      <c r="AF1020" s="1598" t="str">
        <f>IF(AG1019="yes","Please Select Type and Enter Amount:","")</f>
        <v/>
      </c>
      <c r="AG1020" s="1599"/>
      <c r="AH1020" s="1599"/>
      <c r="AI1020" s="1600"/>
      <c r="AJ1020" s="1384"/>
      <c r="AK1020" s="1385"/>
      <c r="AL1020" s="1385"/>
      <c r="AM1020" s="1385"/>
      <c r="AN1020" s="1385"/>
      <c r="AO1020" s="1385"/>
      <c r="AP1020" s="1385"/>
      <c r="AQ1020" s="1386"/>
      <c r="AR1020" s="68"/>
      <c r="AS1020" s="68"/>
      <c r="AT1020" s="68"/>
      <c r="AU1020" s="68"/>
      <c r="AV1020" s="68"/>
      <c r="AW1020" s="68"/>
      <c r="AX1020" s="68"/>
      <c r="AY1020" s="214">
        <f>IF(A1103="Yes",0.02,0)</f>
        <v>0</v>
      </c>
    </row>
    <row r="1021" spans="1:51" ht="12.95" customHeight="1">
      <c r="A1021" s="14"/>
      <c r="B1021" s="81"/>
      <c r="C1021" s="84"/>
      <c r="D1021" s="1578" t="s">
        <v>1405</v>
      </c>
      <c r="E1021" s="1579"/>
      <c r="F1021" s="1579"/>
      <c r="G1021" s="1579"/>
      <c r="H1021" s="1579"/>
      <c r="I1021" s="1579"/>
      <c r="J1021" s="1579"/>
      <c r="K1021" s="1579"/>
      <c r="L1021" s="1579"/>
      <c r="M1021" s="1579"/>
      <c r="N1021" s="1579"/>
      <c r="O1021" s="1579"/>
      <c r="P1021" s="1579"/>
      <c r="Q1021" s="1579"/>
      <c r="R1021" s="1579"/>
      <c r="S1021" s="1579"/>
      <c r="T1021" s="1579"/>
      <c r="U1021" s="1579"/>
      <c r="V1021" s="1579"/>
      <c r="W1021" s="1579"/>
      <c r="X1021" s="1579"/>
      <c r="Y1021" s="1579"/>
      <c r="Z1021" s="1579"/>
      <c r="AA1021" s="1579"/>
      <c r="AB1021" s="1579"/>
      <c r="AC1021" s="1579"/>
      <c r="AD1021" s="1579"/>
      <c r="AE1021" s="1580"/>
      <c r="AF1021" s="1598"/>
      <c r="AG1021" s="1599"/>
      <c r="AH1021" s="1599"/>
      <c r="AI1021" s="1600"/>
      <c r="AJ1021" s="1384"/>
      <c r="AK1021" s="1385"/>
      <c r="AL1021" s="1385"/>
      <c r="AM1021" s="1385"/>
      <c r="AN1021" s="1385"/>
      <c r="AO1021" s="1385"/>
      <c r="AP1021" s="1385"/>
      <c r="AQ1021" s="1386"/>
      <c r="AR1021" s="68"/>
      <c r="AS1021" s="68"/>
      <c r="AT1021" s="68"/>
      <c r="AU1021" s="68"/>
      <c r="AV1021" s="68"/>
      <c r="AW1021" s="68"/>
      <c r="AX1021" s="68"/>
      <c r="AY1021" s="68"/>
    </row>
    <row r="1022" spans="1:51" ht="12.95" customHeight="1">
      <c r="A1022" s="14"/>
      <c r="B1022" s="81"/>
      <c r="C1022" s="84"/>
      <c r="D1022" s="1578"/>
      <c r="E1022" s="1579"/>
      <c r="F1022" s="1579"/>
      <c r="G1022" s="1579"/>
      <c r="H1022" s="1579"/>
      <c r="I1022" s="1579"/>
      <c r="J1022" s="1579"/>
      <c r="K1022" s="1579"/>
      <c r="L1022" s="1579"/>
      <c r="M1022" s="1579"/>
      <c r="N1022" s="1579"/>
      <c r="O1022" s="1579"/>
      <c r="P1022" s="1579"/>
      <c r="Q1022" s="1579"/>
      <c r="R1022" s="1579"/>
      <c r="S1022" s="1579"/>
      <c r="T1022" s="1579"/>
      <c r="U1022" s="1579"/>
      <c r="V1022" s="1579"/>
      <c r="W1022" s="1579"/>
      <c r="X1022" s="1579"/>
      <c r="Y1022" s="1579"/>
      <c r="Z1022" s="1579"/>
      <c r="AA1022" s="1579"/>
      <c r="AB1022" s="1579"/>
      <c r="AC1022" s="1579"/>
      <c r="AD1022" s="1579"/>
      <c r="AE1022" s="1580"/>
      <c r="AF1022" s="1417"/>
      <c r="AG1022" s="1417"/>
      <c r="AH1022" s="1417"/>
      <c r="AI1022" s="1417"/>
      <c r="AJ1022" s="1384"/>
      <c r="AK1022" s="1385"/>
      <c r="AL1022" s="1385"/>
      <c r="AM1022" s="1385"/>
      <c r="AN1022" s="1385"/>
      <c r="AO1022" s="1385"/>
      <c r="AP1022" s="1385"/>
      <c r="AQ1022" s="1386"/>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581" t="s">
        <v>600</v>
      </c>
      <c r="K1023" s="1582"/>
      <c r="L1023" s="1582"/>
      <c r="M1023" s="1582"/>
      <c r="N1023" s="1582"/>
      <c r="O1023" s="1582"/>
      <c r="P1023" s="1582"/>
      <c r="Q1023" s="1582"/>
      <c r="R1023" s="1582"/>
      <c r="S1023" s="1582"/>
      <c r="T1023" s="1582"/>
      <c r="U1023" s="1582"/>
      <c r="V1023" s="1582"/>
      <c r="W1023" s="1582"/>
      <c r="X1023" s="1582"/>
      <c r="Y1023" s="1582"/>
      <c r="Z1023" s="1582"/>
      <c r="AA1023" s="1582"/>
      <c r="AB1023" s="1582"/>
      <c r="AC1023" s="1582"/>
      <c r="AD1023" s="1582"/>
      <c r="AE1023" s="1583"/>
      <c r="AF1023" s="1417"/>
      <c r="AG1023" s="1417"/>
      <c r="AH1023" s="1417"/>
      <c r="AI1023" s="1417"/>
      <c r="AJ1023" s="1387"/>
      <c r="AK1023" s="1388"/>
      <c r="AL1023" s="1388"/>
      <c r="AM1023" s="1388"/>
      <c r="AN1023" s="1388"/>
      <c r="AO1023" s="1388"/>
      <c r="AP1023" s="1388"/>
      <c r="AQ1023" s="1389"/>
      <c r="AR1023" s="68"/>
      <c r="AS1023" s="68"/>
      <c r="AT1023" s="68"/>
      <c r="AU1023" s="68"/>
      <c r="AV1023" s="68"/>
      <c r="AW1023" s="68"/>
      <c r="AX1023" s="68"/>
      <c r="AY1023" s="68"/>
    </row>
    <row r="1024" spans="1:51" ht="12.95" customHeight="1">
      <c r="A1024" s="14"/>
      <c r="B1024" s="79"/>
      <c r="C1024" s="80" t="s">
        <v>230</v>
      </c>
      <c r="D1024" s="1393" t="s">
        <v>1406</v>
      </c>
      <c r="E1024" s="1394"/>
      <c r="F1024" s="1394"/>
      <c r="G1024" s="1394"/>
      <c r="H1024" s="1394"/>
      <c r="I1024" s="1394"/>
      <c r="J1024" s="1394"/>
      <c r="K1024" s="1394"/>
      <c r="L1024" s="1394"/>
      <c r="M1024" s="1394"/>
      <c r="N1024" s="1394"/>
      <c r="O1024" s="1394"/>
      <c r="P1024" s="1394"/>
      <c r="Q1024" s="1394"/>
      <c r="R1024" s="1394"/>
      <c r="S1024" s="1394"/>
      <c r="T1024" s="1394"/>
      <c r="U1024" s="1394"/>
      <c r="V1024" s="1394"/>
      <c r="W1024" s="1394"/>
      <c r="X1024" s="1394"/>
      <c r="Y1024" s="1394"/>
      <c r="Z1024" s="1394"/>
      <c r="AA1024" s="1394"/>
      <c r="AB1024" s="1394"/>
      <c r="AC1024" s="1394"/>
      <c r="AD1024" s="1394"/>
      <c r="AE1024" s="1395"/>
      <c r="AF1024" s="79"/>
      <c r="AG1024" s="1376" t="s">
        <v>554</v>
      </c>
      <c r="AH1024" s="1377"/>
      <c r="AI1024" s="87"/>
      <c r="AJ1024" s="1381">
        <f>ROUND(IF(AG1024="Yes",AF1026,0),0)</f>
        <v>213918</v>
      </c>
      <c r="AK1024" s="1382"/>
      <c r="AL1024" s="1382"/>
      <c r="AM1024" s="1382"/>
      <c r="AN1024" s="1382"/>
      <c r="AO1024" s="1382"/>
      <c r="AP1024" s="1382"/>
      <c r="AQ1024" s="1383"/>
      <c r="AR1024" s="68"/>
      <c r="AS1024" s="68"/>
      <c r="AT1024" s="68"/>
      <c r="AU1024" s="68"/>
      <c r="AV1024" s="68"/>
      <c r="AW1024" s="68"/>
      <c r="AX1024" s="68"/>
      <c r="AY1024" s="68"/>
    </row>
    <row r="1025" spans="1:51" ht="12.95" customHeight="1">
      <c r="A1025" s="14"/>
      <c r="B1025" s="73"/>
      <c r="C1025" s="74"/>
      <c r="D1025" s="1578" t="s">
        <v>1881</v>
      </c>
      <c r="E1025" s="1579"/>
      <c r="F1025" s="1579"/>
      <c r="G1025" s="1579"/>
      <c r="H1025" s="1579"/>
      <c r="I1025" s="1579"/>
      <c r="J1025" s="1579"/>
      <c r="K1025" s="1579"/>
      <c r="L1025" s="1579"/>
      <c r="M1025" s="1579"/>
      <c r="N1025" s="1579"/>
      <c r="O1025" s="1579"/>
      <c r="P1025" s="1579"/>
      <c r="Q1025" s="1579"/>
      <c r="R1025" s="1579"/>
      <c r="S1025" s="1579"/>
      <c r="T1025" s="1579"/>
      <c r="U1025" s="1579"/>
      <c r="V1025" s="1579"/>
      <c r="W1025" s="1579"/>
      <c r="X1025" s="1579"/>
      <c r="Y1025" s="1579"/>
      <c r="Z1025" s="1579"/>
      <c r="AA1025" s="1579"/>
      <c r="AB1025" s="1579"/>
      <c r="AC1025" s="1579"/>
      <c r="AD1025" s="1579"/>
      <c r="AE1025" s="1580"/>
      <c r="AF1025" s="1378" t="str">
        <f>IF(AG1024="yes","Enter Amount:","")</f>
        <v>Enter Amount:</v>
      </c>
      <c r="AG1025" s="1379"/>
      <c r="AH1025" s="1379"/>
      <c r="AI1025" s="1380"/>
      <c r="AJ1025" s="1384"/>
      <c r="AK1025" s="1385"/>
      <c r="AL1025" s="1385"/>
      <c r="AM1025" s="1385"/>
      <c r="AN1025" s="1385"/>
      <c r="AO1025" s="1385"/>
      <c r="AP1025" s="1385"/>
      <c r="AQ1025" s="1386"/>
      <c r="AR1025" s="68"/>
      <c r="AS1025" s="68"/>
      <c r="AT1025" s="68"/>
      <c r="AU1025" s="68"/>
      <c r="AV1025" s="68"/>
      <c r="AW1025" s="68"/>
      <c r="AX1025" s="68"/>
      <c r="AY1025" s="68"/>
    </row>
    <row r="1026" spans="1:51" ht="12.95" customHeight="1">
      <c r="A1026" s="14"/>
      <c r="B1026" s="73"/>
      <c r="C1026" s="74"/>
      <c r="D1026" s="1578"/>
      <c r="E1026" s="1579"/>
      <c r="F1026" s="1579"/>
      <c r="G1026" s="1579"/>
      <c r="H1026" s="1579"/>
      <c r="I1026" s="1579"/>
      <c r="J1026" s="1579"/>
      <c r="K1026" s="1579"/>
      <c r="L1026" s="1579"/>
      <c r="M1026" s="1579"/>
      <c r="N1026" s="1579"/>
      <c r="O1026" s="1579"/>
      <c r="P1026" s="1579"/>
      <c r="Q1026" s="1579"/>
      <c r="R1026" s="1579"/>
      <c r="S1026" s="1579"/>
      <c r="T1026" s="1579"/>
      <c r="U1026" s="1579"/>
      <c r="V1026" s="1579"/>
      <c r="W1026" s="1579"/>
      <c r="X1026" s="1579"/>
      <c r="Y1026" s="1579"/>
      <c r="Z1026" s="1579"/>
      <c r="AA1026" s="1579"/>
      <c r="AB1026" s="1579"/>
      <c r="AC1026" s="1579"/>
      <c r="AD1026" s="1579"/>
      <c r="AE1026" s="1580"/>
      <c r="AF1026" s="1417">
        <v>213918</v>
      </c>
      <c r="AG1026" s="1417"/>
      <c r="AH1026" s="1417"/>
      <c r="AI1026" s="1417"/>
      <c r="AJ1026" s="1384"/>
      <c r="AK1026" s="1385"/>
      <c r="AL1026" s="1385"/>
      <c r="AM1026" s="1385"/>
      <c r="AN1026" s="1385"/>
      <c r="AO1026" s="1385"/>
      <c r="AP1026" s="1385"/>
      <c r="AQ1026" s="1386"/>
      <c r="AR1026" s="68"/>
      <c r="AS1026" s="68"/>
      <c r="AT1026" s="68"/>
      <c r="AU1026" s="68"/>
      <c r="AV1026" s="68"/>
      <c r="AW1026" s="68"/>
      <c r="AX1026" s="68"/>
      <c r="AY1026" s="68"/>
    </row>
    <row r="1027" spans="1:51" ht="12.95" customHeight="1">
      <c r="A1027" s="14"/>
      <c r="B1027" s="85"/>
      <c r="C1027" s="84"/>
      <c r="D1027" s="1595"/>
      <c r="E1027" s="1596"/>
      <c r="F1027" s="1596"/>
      <c r="G1027" s="1596"/>
      <c r="H1027" s="1596"/>
      <c r="I1027" s="1596"/>
      <c r="J1027" s="1596"/>
      <c r="K1027" s="1596"/>
      <c r="L1027" s="1596"/>
      <c r="M1027" s="1596"/>
      <c r="N1027" s="1596"/>
      <c r="O1027" s="1596"/>
      <c r="P1027" s="1596"/>
      <c r="Q1027" s="1596"/>
      <c r="R1027" s="1596"/>
      <c r="S1027" s="1596"/>
      <c r="T1027" s="1596"/>
      <c r="U1027" s="1596"/>
      <c r="V1027" s="1596"/>
      <c r="W1027" s="1596"/>
      <c r="X1027" s="1596"/>
      <c r="Y1027" s="1596"/>
      <c r="Z1027" s="1596"/>
      <c r="AA1027" s="1596"/>
      <c r="AB1027" s="1596"/>
      <c r="AC1027" s="1596"/>
      <c r="AD1027" s="1596"/>
      <c r="AE1027" s="1597"/>
      <c r="AF1027" s="1417"/>
      <c r="AG1027" s="1417"/>
      <c r="AH1027" s="1417"/>
      <c r="AI1027" s="1417"/>
      <c r="AJ1027" s="1387"/>
      <c r="AK1027" s="1388"/>
      <c r="AL1027" s="1388"/>
      <c r="AM1027" s="1388"/>
      <c r="AN1027" s="1388"/>
      <c r="AO1027" s="1388"/>
      <c r="AP1027" s="1388"/>
      <c r="AQ1027" s="1389"/>
      <c r="AR1027" s="68"/>
      <c r="AS1027" s="68"/>
      <c r="AT1027" s="68"/>
      <c r="AU1027" s="68"/>
      <c r="AV1027" s="68"/>
      <c r="AW1027" s="68"/>
      <c r="AX1027" s="68"/>
      <c r="AY1027" s="68"/>
    </row>
    <row r="1028" spans="1:51" ht="12.95" customHeight="1">
      <c r="A1028" s="14"/>
      <c r="B1028" s="79"/>
      <c r="C1028" s="80" t="s">
        <v>235</v>
      </c>
      <c r="D1028" s="1592" t="s">
        <v>1407</v>
      </c>
      <c r="E1028" s="1593"/>
      <c r="F1028" s="1593"/>
      <c r="G1028" s="1593"/>
      <c r="H1028" s="1593"/>
      <c r="I1028" s="1593"/>
      <c r="J1028" s="1593"/>
      <c r="K1028" s="1593"/>
      <c r="L1028" s="1593"/>
      <c r="M1028" s="1593"/>
      <c r="N1028" s="1593"/>
      <c r="O1028" s="1593"/>
      <c r="P1028" s="1593"/>
      <c r="Q1028" s="1593"/>
      <c r="R1028" s="1593"/>
      <c r="S1028" s="1593"/>
      <c r="T1028" s="1593"/>
      <c r="U1028" s="1593"/>
      <c r="V1028" s="1593"/>
      <c r="W1028" s="1593"/>
      <c r="X1028" s="1593"/>
      <c r="Y1028" s="1593"/>
      <c r="Z1028" s="1593"/>
      <c r="AA1028" s="1593"/>
      <c r="AB1028" s="1593"/>
      <c r="AC1028" s="1593"/>
      <c r="AD1028" s="1593"/>
      <c r="AE1028" s="1594"/>
      <c r="AF1028" s="79"/>
      <c r="AG1028" s="1376" t="s">
        <v>554</v>
      </c>
      <c r="AH1028" s="1377"/>
      <c r="AI1028" s="87"/>
      <c r="AJ1028" s="1381">
        <f>ROUND(IF(AG1028="yes",(AJ991*0.1),0),0)</f>
        <v>2731685</v>
      </c>
      <c r="AK1028" s="1382"/>
      <c r="AL1028" s="1382"/>
      <c r="AM1028" s="1382"/>
      <c r="AN1028" s="1382"/>
      <c r="AO1028" s="1382"/>
      <c r="AP1028" s="1382"/>
      <c r="AQ1028" s="1383"/>
      <c r="AR1028" s="68"/>
      <c r="AS1028" s="68"/>
      <c r="AT1028" s="68"/>
      <c r="AU1028" s="68"/>
      <c r="AV1028" s="68"/>
      <c r="AW1028" s="68"/>
      <c r="AX1028" s="68"/>
      <c r="AY1028" s="68"/>
    </row>
    <row r="1029" spans="1:51" ht="12.95" customHeight="1">
      <c r="A1029" s="14"/>
      <c r="B1029" s="73"/>
      <c r="C1029" s="74"/>
      <c r="D1029" s="1578" t="s">
        <v>1408</v>
      </c>
      <c r="E1029" s="1579"/>
      <c r="F1029" s="1579"/>
      <c r="G1029" s="1579"/>
      <c r="H1029" s="1579"/>
      <c r="I1029" s="1579"/>
      <c r="J1029" s="1579"/>
      <c r="K1029" s="1579"/>
      <c r="L1029" s="1579"/>
      <c r="M1029" s="1579"/>
      <c r="N1029" s="1579"/>
      <c r="O1029" s="1579"/>
      <c r="P1029" s="1579"/>
      <c r="Q1029" s="1579"/>
      <c r="R1029" s="1579"/>
      <c r="S1029" s="1579"/>
      <c r="T1029" s="1579"/>
      <c r="U1029" s="1579"/>
      <c r="V1029" s="1579"/>
      <c r="W1029" s="1579"/>
      <c r="X1029" s="1579"/>
      <c r="Y1029" s="1579"/>
      <c r="Z1029" s="1579"/>
      <c r="AA1029" s="1579"/>
      <c r="AB1029" s="1579"/>
      <c r="AC1029" s="1579"/>
      <c r="AD1029" s="1579"/>
      <c r="AE1029" s="1580"/>
      <c r="AF1029" s="73"/>
      <c r="AG1029" s="14"/>
      <c r="AH1029" s="14"/>
      <c r="AI1029" s="83"/>
      <c r="AJ1029" s="1384"/>
      <c r="AK1029" s="1385"/>
      <c r="AL1029" s="1385"/>
      <c r="AM1029" s="1385"/>
      <c r="AN1029" s="1385"/>
      <c r="AO1029" s="1385"/>
      <c r="AP1029" s="1385"/>
      <c r="AQ1029" s="1386"/>
      <c r="AR1029" s="68"/>
      <c r="AS1029" s="68"/>
      <c r="AT1029" s="68"/>
      <c r="AU1029" s="68"/>
      <c r="AV1029" s="68"/>
      <c r="AW1029" s="68"/>
      <c r="AX1029" s="68"/>
      <c r="AY1029" s="68"/>
    </row>
    <row r="1030" spans="1:51" ht="12.95" customHeight="1">
      <c r="A1030" s="14"/>
      <c r="B1030" s="77"/>
      <c r="C1030" s="74"/>
      <c r="D1030" s="1595"/>
      <c r="E1030" s="1596"/>
      <c r="F1030" s="1596"/>
      <c r="G1030" s="1596"/>
      <c r="H1030" s="1596"/>
      <c r="I1030" s="1596"/>
      <c r="J1030" s="1596"/>
      <c r="K1030" s="1596"/>
      <c r="L1030" s="1596"/>
      <c r="M1030" s="1596"/>
      <c r="N1030" s="1596"/>
      <c r="O1030" s="1596"/>
      <c r="P1030" s="1596"/>
      <c r="Q1030" s="1596"/>
      <c r="R1030" s="1596"/>
      <c r="S1030" s="1596"/>
      <c r="T1030" s="1596"/>
      <c r="U1030" s="1596"/>
      <c r="V1030" s="1596"/>
      <c r="W1030" s="1596"/>
      <c r="X1030" s="1596"/>
      <c r="Y1030" s="1596"/>
      <c r="Z1030" s="1596"/>
      <c r="AA1030" s="1596"/>
      <c r="AB1030" s="1596"/>
      <c r="AC1030" s="1596"/>
      <c r="AD1030" s="1596"/>
      <c r="AE1030" s="1597"/>
      <c r="AF1030" s="73"/>
      <c r="AG1030" s="14"/>
      <c r="AH1030" s="14"/>
      <c r="AI1030" s="83"/>
      <c r="AJ1030" s="1387"/>
      <c r="AK1030" s="1388"/>
      <c r="AL1030" s="1388"/>
      <c r="AM1030" s="1388"/>
      <c r="AN1030" s="1388"/>
      <c r="AO1030" s="1388"/>
      <c r="AP1030" s="1388"/>
      <c r="AQ1030" s="1389"/>
      <c r="AR1030" s="68"/>
      <c r="AS1030" s="68"/>
      <c r="AT1030" s="68"/>
      <c r="AU1030" s="68"/>
      <c r="AV1030" s="68"/>
      <c r="AW1030" s="68"/>
      <c r="AX1030" s="68"/>
      <c r="AY1030" s="68"/>
    </row>
    <row r="1031" spans="1:51" ht="12.95" customHeight="1">
      <c r="A1031" s="14"/>
      <c r="B1031" s="73"/>
      <c r="C1031" s="367" t="s">
        <v>697</v>
      </c>
      <c r="D1031" s="1393" t="s">
        <v>1877</v>
      </c>
      <c r="E1031" s="1394"/>
      <c r="F1031" s="1394"/>
      <c r="G1031" s="1394"/>
      <c r="H1031" s="1394"/>
      <c r="I1031" s="1394"/>
      <c r="J1031" s="1394"/>
      <c r="K1031" s="1394"/>
      <c r="L1031" s="1394"/>
      <c r="M1031" s="1394"/>
      <c r="N1031" s="1394"/>
      <c r="O1031" s="1394"/>
      <c r="P1031" s="1394"/>
      <c r="Q1031" s="1394"/>
      <c r="R1031" s="1394"/>
      <c r="S1031" s="1394"/>
      <c r="T1031" s="1394"/>
      <c r="U1031" s="1394"/>
      <c r="V1031" s="1394"/>
      <c r="W1031" s="1394"/>
      <c r="X1031" s="1394"/>
      <c r="Y1031" s="1394"/>
      <c r="Z1031" s="1394"/>
      <c r="AA1031" s="1394"/>
      <c r="AB1031" s="1394"/>
      <c r="AC1031" s="1394"/>
      <c r="AD1031" s="1394"/>
      <c r="AE1031" s="1395"/>
      <c r="AF1031" s="79"/>
      <c r="AG1031" s="1376" t="s">
        <v>678</v>
      </c>
      <c r="AH1031" s="1377"/>
      <c r="AI1031" s="87"/>
      <c r="AJ1031" s="1381">
        <f>ROUND(IF(AG1031="yes",(AJ991*0.15),0),0)</f>
        <v>0</v>
      </c>
      <c r="AK1031" s="1382"/>
      <c r="AL1031" s="1382"/>
      <c r="AM1031" s="1382"/>
      <c r="AN1031" s="1382"/>
      <c r="AO1031" s="1382"/>
      <c r="AP1031" s="1382"/>
      <c r="AQ1031" s="1383"/>
      <c r="AR1031" s="68"/>
      <c r="AS1031" s="68"/>
      <c r="AT1031" s="68"/>
      <c r="AU1031" s="68"/>
      <c r="AV1031" s="68"/>
      <c r="AW1031" s="68"/>
      <c r="AX1031" s="68"/>
      <c r="AY1031" s="68"/>
    </row>
    <row r="1032" spans="1:51" ht="12.95" customHeight="1">
      <c r="A1032" s="14"/>
      <c r="B1032" s="73"/>
      <c r="C1032" s="74"/>
      <c r="D1032" s="1396" t="s">
        <v>1878</v>
      </c>
      <c r="E1032" s="1279"/>
      <c r="F1032" s="1279"/>
      <c r="G1032" s="1279"/>
      <c r="H1032" s="1279"/>
      <c r="I1032" s="1279"/>
      <c r="J1032" s="1279"/>
      <c r="K1032" s="1279"/>
      <c r="L1032" s="1279"/>
      <c r="M1032" s="1279"/>
      <c r="N1032" s="1279"/>
      <c r="O1032" s="1279"/>
      <c r="P1032" s="1279"/>
      <c r="Q1032" s="1279"/>
      <c r="R1032" s="1279"/>
      <c r="S1032" s="1279"/>
      <c r="T1032" s="1279"/>
      <c r="U1032" s="1279"/>
      <c r="V1032" s="1279"/>
      <c r="W1032" s="1279"/>
      <c r="X1032" s="1279"/>
      <c r="Y1032" s="1279"/>
      <c r="Z1032" s="1279"/>
      <c r="AA1032" s="1279"/>
      <c r="AB1032" s="1279"/>
      <c r="AC1032" s="1279"/>
      <c r="AD1032" s="1279"/>
      <c r="AE1032" s="1397"/>
      <c r="AF1032" s="950"/>
      <c r="AG1032" s="951"/>
      <c r="AH1032" s="951"/>
      <c r="AI1032" s="952"/>
      <c r="AJ1032" s="1384"/>
      <c r="AK1032" s="1385"/>
      <c r="AL1032" s="1385"/>
      <c r="AM1032" s="1385"/>
      <c r="AN1032" s="1385"/>
      <c r="AO1032" s="1385"/>
      <c r="AP1032" s="1385"/>
      <c r="AQ1032" s="1386"/>
      <c r="AR1032" s="68"/>
      <c r="AS1032" s="68"/>
      <c r="AT1032" s="68"/>
      <c r="AU1032" s="68"/>
      <c r="AV1032" s="68"/>
      <c r="AW1032" s="68"/>
      <c r="AX1032" s="68"/>
      <c r="AY1032" s="68"/>
    </row>
    <row r="1033" spans="1:51" ht="12.95" customHeight="1">
      <c r="A1033" s="14"/>
      <c r="B1033" s="73"/>
      <c r="C1033" s="74"/>
      <c r="D1033" s="1396"/>
      <c r="E1033" s="1279"/>
      <c r="F1033" s="1279"/>
      <c r="G1033" s="1279"/>
      <c r="H1033" s="1279"/>
      <c r="I1033" s="1279"/>
      <c r="J1033" s="1279"/>
      <c r="K1033" s="1279"/>
      <c r="L1033" s="1279"/>
      <c r="M1033" s="1279"/>
      <c r="N1033" s="1279"/>
      <c r="O1033" s="1279"/>
      <c r="P1033" s="1279"/>
      <c r="Q1033" s="1279"/>
      <c r="R1033" s="1279"/>
      <c r="S1033" s="1279"/>
      <c r="T1033" s="1279"/>
      <c r="U1033" s="1279"/>
      <c r="V1033" s="1279"/>
      <c r="W1033" s="1279"/>
      <c r="X1033" s="1279"/>
      <c r="Y1033" s="1279"/>
      <c r="Z1033" s="1279"/>
      <c r="AA1033" s="1279"/>
      <c r="AB1033" s="1279"/>
      <c r="AC1033" s="1279"/>
      <c r="AD1033" s="1279"/>
      <c r="AE1033" s="1397"/>
      <c r="AF1033" s="950"/>
      <c r="AG1033" s="951"/>
      <c r="AH1033" s="951"/>
      <c r="AI1033" s="952"/>
      <c r="AJ1033" s="1384"/>
      <c r="AK1033" s="1385"/>
      <c r="AL1033" s="1385"/>
      <c r="AM1033" s="1385"/>
      <c r="AN1033" s="1385"/>
      <c r="AO1033" s="1385"/>
      <c r="AP1033" s="1385"/>
      <c r="AQ1033" s="1386"/>
      <c r="AR1033" s="68"/>
      <c r="AS1033" s="68"/>
      <c r="AT1033" s="68"/>
      <c r="AU1033" s="68"/>
      <c r="AV1033" s="68"/>
      <c r="AW1033" s="68"/>
      <c r="AX1033" s="68"/>
      <c r="AY1033" s="68"/>
    </row>
    <row r="1034" spans="1:51" ht="12.95" customHeight="1">
      <c r="A1034" s="14"/>
      <c r="B1034" s="73"/>
      <c r="C1034" s="74"/>
      <c r="D1034" s="1398"/>
      <c r="E1034" s="1399"/>
      <c r="F1034" s="1399"/>
      <c r="G1034" s="1399"/>
      <c r="H1034" s="1399"/>
      <c r="I1034" s="1399"/>
      <c r="J1034" s="1399"/>
      <c r="K1034" s="1399"/>
      <c r="L1034" s="1399"/>
      <c r="M1034" s="1399"/>
      <c r="N1034" s="1399"/>
      <c r="O1034" s="1399"/>
      <c r="P1034" s="1399"/>
      <c r="Q1034" s="1399"/>
      <c r="R1034" s="1399"/>
      <c r="S1034" s="1399"/>
      <c r="T1034" s="1399"/>
      <c r="U1034" s="1399"/>
      <c r="V1034" s="1399"/>
      <c r="W1034" s="1399"/>
      <c r="X1034" s="1399"/>
      <c r="Y1034" s="1399"/>
      <c r="Z1034" s="1399"/>
      <c r="AA1034" s="1399"/>
      <c r="AB1034" s="1399"/>
      <c r="AC1034" s="1399"/>
      <c r="AD1034" s="1399"/>
      <c r="AE1034" s="1400"/>
      <c r="AF1034" s="953"/>
      <c r="AG1034" s="954"/>
      <c r="AH1034" s="954"/>
      <c r="AI1034" s="955"/>
      <c r="AJ1034" s="1387"/>
      <c r="AK1034" s="1388"/>
      <c r="AL1034" s="1388"/>
      <c r="AM1034" s="1388"/>
      <c r="AN1034" s="1388"/>
      <c r="AO1034" s="1388"/>
      <c r="AP1034" s="1388"/>
      <c r="AQ1034" s="1389"/>
      <c r="AR1034" s="68"/>
      <c r="AS1034" s="68"/>
      <c r="AT1034" s="68"/>
      <c r="AU1034" s="68"/>
      <c r="AV1034" s="68"/>
      <c r="AW1034" s="68"/>
      <c r="AX1034" s="68"/>
      <c r="AY1034" s="68"/>
    </row>
    <row r="1035" spans="1:51" ht="12.95" customHeight="1">
      <c r="A1035" s="14"/>
      <c r="B1035" s="73"/>
      <c r="C1035" s="367" t="s">
        <v>697</v>
      </c>
      <c r="D1035" s="1592" t="s">
        <v>1879</v>
      </c>
      <c r="E1035" s="1593"/>
      <c r="F1035" s="1593"/>
      <c r="G1035" s="1593"/>
      <c r="H1035" s="1593"/>
      <c r="I1035" s="1593"/>
      <c r="J1035" s="1593"/>
      <c r="K1035" s="1593"/>
      <c r="L1035" s="1593"/>
      <c r="M1035" s="1593"/>
      <c r="N1035" s="1593"/>
      <c r="O1035" s="1593"/>
      <c r="P1035" s="1593"/>
      <c r="Q1035" s="1593"/>
      <c r="R1035" s="1593"/>
      <c r="S1035" s="1593"/>
      <c r="T1035" s="1593"/>
      <c r="U1035" s="1593"/>
      <c r="V1035" s="1593"/>
      <c r="W1035" s="1593"/>
      <c r="X1035" s="1593"/>
      <c r="Y1035" s="1593"/>
      <c r="Z1035" s="1593"/>
      <c r="AA1035" s="1593"/>
      <c r="AB1035" s="1593"/>
      <c r="AC1035" s="1593"/>
      <c r="AD1035" s="1593"/>
      <c r="AE1035" s="1594"/>
      <c r="AF1035" s="73"/>
      <c r="AG1035" s="1645" t="s">
        <v>554</v>
      </c>
      <c r="AH1035" s="1646"/>
      <c r="AI1035" s="83"/>
      <c r="AJ1035" s="1381">
        <f>ROUND(IF(AND(AG1035="yes",AJ1031=0),(AJ991*0.1),0),0)</f>
        <v>2731685</v>
      </c>
      <c r="AK1035" s="1382"/>
      <c r="AL1035" s="1382"/>
      <c r="AM1035" s="1382"/>
      <c r="AN1035" s="1382"/>
      <c r="AO1035" s="1382"/>
      <c r="AP1035" s="1382"/>
      <c r="AQ1035" s="1383"/>
      <c r="AR1035" s="68"/>
      <c r="AS1035" s="68"/>
      <c r="AT1035" s="68"/>
      <c r="AU1035" s="68"/>
      <c r="AV1035" s="68"/>
      <c r="AW1035" s="68"/>
      <c r="AX1035" s="68"/>
      <c r="AY1035" s="68"/>
    </row>
    <row r="1036" spans="1:51" ht="12.95" customHeight="1">
      <c r="A1036" s="14"/>
      <c r="B1036" s="73"/>
      <c r="C1036" s="74"/>
      <c r="D1036" s="1396" t="s">
        <v>1880</v>
      </c>
      <c r="E1036" s="1279"/>
      <c r="F1036" s="1279"/>
      <c r="G1036" s="1279"/>
      <c r="H1036" s="1279"/>
      <c r="I1036" s="1279"/>
      <c r="J1036" s="1279"/>
      <c r="K1036" s="1279"/>
      <c r="L1036" s="1279"/>
      <c r="M1036" s="1279"/>
      <c r="N1036" s="1279"/>
      <c r="O1036" s="1279"/>
      <c r="P1036" s="1279"/>
      <c r="Q1036" s="1279"/>
      <c r="R1036" s="1279"/>
      <c r="S1036" s="1279"/>
      <c r="T1036" s="1279"/>
      <c r="U1036" s="1279"/>
      <c r="V1036" s="1279"/>
      <c r="W1036" s="1279"/>
      <c r="X1036" s="1279"/>
      <c r="Y1036" s="1279"/>
      <c r="Z1036" s="1279"/>
      <c r="AA1036" s="1279"/>
      <c r="AB1036" s="1279"/>
      <c r="AC1036" s="1279"/>
      <c r="AD1036" s="1279"/>
      <c r="AE1036" s="1397"/>
      <c r="AF1036" s="73"/>
      <c r="AG1036" s="14"/>
      <c r="AH1036" s="14"/>
      <c r="AI1036" s="83"/>
      <c r="AJ1036" s="1384"/>
      <c r="AK1036" s="1385"/>
      <c r="AL1036" s="1385"/>
      <c r="AM1036" s="1385"/>
      <c r="AN1036" s="1385"/>
      <c r="AO1036" s="1385"/>
      <c r="AP1036" s="1385"/>
      <c r="AQ1036" s="1386"/>
      <c r="AR1036" s="68"/>
      <c r="AS1036" s="68"/>
      <c r="AT1036" s="68"/>
      <c r="AU1036" s="68"/>
      <c r="AV1036" s="68"/>
      <c r="AW1036" s="68"/>
      <c r="AX1036" s="68"/>
      <c r="AY1036" s="68"/>
    </row>
    <row r="1037" spans="1:51" ht="12.95" customHeight="1">
      <c r="A1037" s="14"/>
      <c r="B1037" s="73"/>
      <c r="C1037" s="74"/>
      <c r="D1037" s="1396"/>
      <c r="E1037" s="1279"/>
      <c r="F1037" s="1279"/>
      <c r="G1037" s="1279"/>
      <c r="H1037" s="1279"/>
      <c r="I1037" s="1279"/>
      <c r="J1037" s="1279"/>
      <c r="K1037" s="1279"/>
      <c r="L1037" s="1279"/>
      <c r="M1037" s="1279"/>
      <c r="N1037" s="1279"/>
      <c r="O1037" s="1279"/>
      <c r="P1037" s="1279"/>
      <c r="Q1037" s="1279"/>
      <c r="R1037" s="1279"/>
      <c r="S1037" s="1279"/>
      <c r="T1037" s="1279"/>
      <c r="U1037" s="1279"/>
      <c r="V1037" s="1279"/>
      <c r="W1037" s="1279"/>
      <c r="X1037" s="1279"/>
      <c r="Y1037" s="1279"/>
      <c r="Z1037" s="1279"/>
      <c r="AA1037" s="1279"/>
      <c r="AB1037" s="1279"/>
      <c r="AC1037" s="1279"/>
      <c r="AD1037" s="1279"/>
      <c r="AE1037" s="1397"/>
      <c r="AF1037" s="73"/>
      <c r="AG1037" s="14"/>
      <c r="AH1037" s="14"/>
      <c r="AI1037" s="83"/>
      <c r="AJ1037" s="1384"/>
      <c r="AK1037" s="1385"/>
      <c r="AL1037" s="1385"/>
      <c r="AM1037" s="1385"/>
      <c r="AN1037" s="1385"/>
      <c r="AO1037" s="1385"/>
      <c r="AP1037" s="1385"/>
      <c r="AQ1037" s="1386"/>
      <c r="AR1037" s="68"/>
      <c r="AS1037" s="68"/>
      <c r="AT1037" s="68"/>
      <c r="AU1037" s="68"/>
      <c r="AV1037" s="68"/>
      <c r="AW1037" s="68"/>
      <c r="AX1037" s="68"/>
      <c r="AY1037" s="68"/>
    </row>
    <row r="1038" spans="1:51" ht="12.95" customHeight="1">
      <c r="A1038" s="14"/>
      <c r="B1038" s="73"/>
      <c r="C1038" s="74"/>
      <c r="D1038" s="1396"/>
      <c r="E1038" s="1279"/>
      <c r="F1038" s="1279"/>
      <c r="G1038" s="1279"/>
      <c r="H1038" s="1279"/>
      <c r="I1038" s="1279"/>
      <c r="J1038" s="1279"/>
      <c r="K1038" s="1279"/>
      <c r="L1038" s="1279"/>
      <c r="M1038" s="1279"/>
      <c r="N1038" s="1279"/>
      <c r="O1038" s="1279"/>
      <c r="P1038" s="1279"/>
      <c r="Q1038" s="1279"/>
      <c r="R1038" s="1279"/>
      <c r="S1038" s="1279"/>
      <c r="T1038" s="1279"/>
      <c r="U1038" s="1279"/>
      <c r="V1038" s="1279"/>
      <c r="W1038" s="1279"/>
      <c r="X1038" s="1279"/>
      <c r="Y1038" s="1279"/>
      <c r="Z1038" s="1279"/>
      <c r="AA1038" s="1279"/>
      <c r="AB1038" s="1279"/>
      <c r="AC1038" s="1279"/>
      <c r="AD1038" s="1279"/>
      <c r="AE1038" s="1397"/>
      <c r="AF1038" s="73"/>
      <c r="AG1038" s="14"/>
      <c r="AH1038" s="14"/>
      <c r="AI1038" s="83"/>
      <c r="AJ1038" s="1384"/>
      <c r="AK1038" s="1385"/>
      <c r="AL1038" s="1385"/>
      <c r="AM1038" s="1385"/>
      <c r="AN1038" s="1385"/>
      <c r="AO1038" s="1385"/>
      <c r="AP1038" s="1385"/>
      <c r="AQ1038" s="1386"/>
      <c r="AR1038" s="68"/>
      <c r="AS1038" s="68"/>
      <c r="AT1038" s="68"/>
      <c r="AU1038" s="68"/>
      <c r="AV1038" s="68"/>
      <c r="AW1038" s="68"/>
      <c r="AX1038" s="68"/>
      <c r="AY1038" s="68"/>
    </row>
    <row r="1039" spans="1:51" ht="12.95" customHeight="1">
      <c r="A1039" s="14"/>
      <c r="B1039" s="73"/>
      <c r="C1039" s="74"/>
      <c r="D1039" s="1398"/>
      <c r="E1039" s="1399"/>
      <c r="F1039" s="1399"/>
      <c r="G1039" s="1399"/>
      <c r="H1039" s="1399"/>
      <c r="I1039" s="1399"/>
      <c r="J1039" s="1399"/>
      <c r="K1039" s="1399"/>
      <c r="L1039" s="1399"/>
      <c r="M1039" s="1399"/>
      <c r="N1039" s="1399"/>
      <c r="O1039" s="1399"/>
      <c r="P1039" s="1399"/>
      <c r="Q1039" s="1399"/>
      <c r="R1039" s="1399"/>
      <c r="S1039" s="1399"/>
      <c r="T1039" s="1399"/>
      <c r="U1039" s="1399"/>
      <c r="V1039" s="1399"/>
      <c r="W1039" s="1399"/>
      <c r="X1039" s="1399"/>
      <c r="Y1039" s="1399"/>
      <c r="Z1039" s="1399"/>
      <c r="AA1039" s="1399"/>
      <c r="AB1039" s="1399"/>
      <c r="AC1039" s="1399"/>
      <c r="AD1039" s="1399"/>
      <c r="AE1039" s="1400"/>
      <c r="AF1039" s="73"/>
      <c r="AG1039" s="14"/>
      <c r="AH1039" s="14"/>
      <c r="AI1039" s="83"/>
      <c r="AJ1039" s="1384"/>
      <c r="AK1039" s="1385"/>
      <c r="AL1039" s="1385"/>
      <c r="AM1039" s="1385"/>
      <c r="AN1039" s="1385"/>
      <c r="AO1039" s="1385"/>
      <c r="AP1039" s="1385"/>
      <c r="AQ1039" s="1386"/>
      <c r="AR1039" s="68"/>
      <c r="AS1039" s="68"/>
      <c r="AT1039" s="68"/>
      <c r="AU1039" s="68"/>
      <c r="AV1039" s="68"/>
      <c r="AW1039" s="68"/>
      <c r="AX1039" s="68"/>
      <c r="AY1039" s="68"/>
    </row>
    <row r="1040" spans="1:51" ht="12.95" customHeight="1">
      <c r="A1040" s="14"/>
      <c r="B1040" s="79"/>
      <c r="C1040" s="131" t="s">
        <v>1035</v>
      </c>
      <c r="D1040" s="1393" t="s">
        <v>1409</v>
      </c>
      <c r="E1040" s="1394"/>
      <c r="F1040" s="1394"/>
      <c r="G1040" s="1394"/>
      <c r="H1040" s="1394"/>
      <c r="I1040" s="1394"/>
      <c r="J1040" s="1394"/>
      <c r="K1040" s="1394"/>
      <c r="L1040" s="1394"/>
      <c r="M1040" s="1394"/>
      <c r="N1040" s="1394"/>
      <c r="O1040" s="1394"/>
      <c r="P1040" s="1394"/>
      <c r="Q1040" s="1394"/>
      <c r="R1040" s="1394"/>
      <c r="S1040" s="1394"/>
      <c r="T1040" s="1394"/>
      <c r="U1040" s="1394"/>
      <c r="V1040" s="1394"/>
      <c r="W1040" s="1394"/>
      <c r="X1040" s="1394"/>
      <c r="Y1040" s="1394"/>
      <c r="Z1040" s="1394"/>
      <c r="AA1040" s="1394"/>
      <c r="AB1040" s="1394"/>
      <c r="AC1040" s="1394"/>
      <c r="AD1040" s="1394"/>
      <c r="AE1040" s="1395"/>
      <c r="AF1040" s="79"/>
      <c r="AG1040" s="1376" t="s">
        <v>678</v>
      </c>
      <c r="AH1040" s="1377"/>
      <c r="AI1040" s="87"/>
      <c r="AJ1040" s="1381">
        <f>ROUND(IF(AG1040="yes",(AJ991*0.1),0),0)</f>
        <v>0</v>
      </c>
      <c r="AK1040" s="1382"/>
      <c r="AL1040" s="1382"/>
      <c r="AM1040" s="1382"/>
      <c r="AN1040" s="1382"/>
      <c r="AO1040" s="1382"/>
      <c r="AP1040" s="1382"/>
      <c r="AQ1040" s="1383"/>
      <c r="AR1040" s="68"/>
      <c r="AS1040" s="68"/>
      <c r="AT1040" s="68"/>
      <c r="AU1040" s="68"/>
      <c r="AV1040" s="68"/>
      <c r="AW1040" s="68"/>
      <c r="AX1040" s="68"/>
      <c r="AY1040" s="68"/>
    </row>
    <row r="1041" spans="1:51" ht="12.95" customHeight="1">
      <c r="A1041" s="14"/>
      <c r="B1041" s="73"/>
      <c r="C1041" s="74"/>
      <c r="D1041" s="1578" t="s">
        <v>2505</v>
      </c>
      <c r="E1041" s="1579"/>
      <c r="F1041" s="1579"/>
      <c r="G1041" s="1579"/>
      <c r="H1041" s="1579"/>
      <c r="I1041" s="1579"/>
      <c r="J1041" s="1579"/>
      <c r="K1041" s="1579"/>
      <c r="L1041" s="1579"/>
      <c r="M1041" s="1579"/>
      <c r="N1041" s="1579"/>
      <c r="O1041" s="1579"/>
      <c r="P1041" s="1579"/>
      <c r="Q1041" s="1579"/>
      <c r="R1041" s="1579"/>
      <c r="S1041" s="1579"/>
      <c r="T1041" s="1579"/>
      <c r="U1041" s="1579"/>
      <c r="V1041" s="1579"/>
      <c r="W1041" s="1579"/>
      <c r="X1041" s="1579"/>
      <c r="Y1041" s="1579"/>
      <c r="Z1041" s="1579"/>
      <c r="AA1041" s="1579"/>
      <c r="AB1041" s="1579"/>
      <c r="AC1041" s="1579"/>
      <c r="AD1041" s="1579"/>
      <c r="AE1041" s="1580"/>
      <c r="AF1041" s="73"/>
      <c r="AG1041" s="14"/>
      <c r="AH1041" s="14"/>
      <c r="AI1041" s="83"/>
      <c r="AJ1041" s="1384"/>
      <c r="AK1041" s="1385"/>
      <c r="AL1041" s="1385"/>
      <c r="AM1041" s="1385"/>
      <c r="AN1041" s="1385"/>
      <c r="AO1041" s="1385"/>
      <c r="AP1041" s="1385"/>
      <c r="AQ1041" s="1386"/>
      <c r="AR1041" s="68"/>
      <c r="AS1041" s="68"/>
      <c r="AT1041" s="68"/>
      <c r="AU1041" s="68"/>
      <c r="AV1041" s="68"/>
      <c r="AW1041" s="68"/>
      <c r="AX1041" s="68"/>
      <c r="AY1041" s="68"/>
    </row>
    <row r="1042" spans="1:51" ht="12.95" customHeight="1">
      <c r="A1042" s="14"/>
      <c r="B1042" s="73"/>
      <c r="C1042" s="74"/>
      <c r="D1042" s="1578"/>
      <c r="E1042" s="1579"/>
      <c r="F1042" s="1579"/>
      <c r="G1042" s="1579"/>
      <c r="H1042" s="1579"/>
      <c r="I1042" s="1579"/>
      <c r="J1042" s="1579"/>
      <c r="K1042" s="1579"/>
      <c r="L1042" s="1579"/>
      <c r="M1042" s="1579"/>
      <c r="N1042" s="1579"/>
      <c r="O1042" s="1579"/>
      <c r="P1042" s="1579"/>
      <c r="Q1042" s="1579"/>
      <c r="R1042" s="1579"/>
      <c r="S1042" s="1579"/>
      <c r="T1042" s="1579"/>
      <c r="U1042" s="1579"/>
      <c r="V1042" s="1579"/>
      <c r="W1042" s="1579"/>
      <c r="X1042" s="1579"/>
      <c r="Y1042" s="1579"/>
      <c r="Z1042" s="1579"/>
      <c r="AA1042" s="1579"/>
      <c r="AB1042" s="1579"/>
      <c r="AC1042" s="1579"/>
      <c r="AD1042" s="1579"/>
      <c r="AE1042" s="1580"/>
      <c r="AF1042" s="73"/>
      <c r="AG1042" s="14"/>
      <c r="AH1042" s="14"/>
      <c r="AI1042" s="83"/>
      <c r="AJ1042" s="1384"/>
      <c r="AK1042" s="1385"/>
      <c r="AL1042" s="1385"/>
      <c r="AM1042" s="1385"/>
      <c r="AN1042" s="1385"/>
      <c r="AO1042" s="1385"/>
      <c r="AP1042" s="1385"/>
      <c r="AQ1042" s="1386"/>
      <c r="AR1042" s="68"/>
      <c r="AS1042" s="68"/>
      <c r="AT1042" s="68"/>
      <c r="AU1042" s="68"/>
      <c r="AV1042" s="68"/>
      <c r="AW1042" s="68"/>
      <c r="AX1042" s="68"/>
      <c r="AY1042" s="68"/>
    </row>
    <row r="1043" spans="1:51" ht="12.95" customHeight="1">
      <c r="A1043" s="14"/>
      <c r="B1043" s="73"/>
      <c r="C1043" s="74"/>
      <c r="D1043" s="1595"/>
      <c r="E1043" s="1596"/>
      <c r="F1043" s="1596"/>
      <c r="G1043" s="1596"/>
      <c r="H1043" s="1596"/>
      <c r="I1043" s="1596"/>
      <c r="J1043" s="1596"/>
      <c r="K1043" s="1596"/>
      <c r="L1043" s="1596"/>
      <c r="M1043" s="1596"/>
      <c r="N1043" s="1596"/>
      <c r="O1043" s="1596"/>
      <c r="P1043" s="1596"/>
      <c r="Q1043" s="1596"/>
      <c r="R1043" s="1596"/>
      <c r="S1043" s="1596"/>
      <c r="T1043" s="1596"/>
      <c r="U1043" s="1596"/>
      <c r="V1043" s="1596"/>
      <c r="W1043" s="1596"/>
      <c r="X1043" s="1596"/>
      <c r="Y1043" s="1596"/>
      <c r="Z1043" s="1596"/>
      <c r="AA1043" s="1596"/>
      <c r="AB1043" s="1596"/>
      <c r="AC1043" s="1596"/>
      <c r="AD1043" s="1596"/>
      <c r="AE1043" s="1597"/>
      <c r="AF1043" s="73"/>
      <c r="AG1043" s="14"/>
      <c r="AH1043" s="14"/>
      <c r="AI1043" s="83"/>
      <c r="AJ1043" s="1387"/>
      <c r="AK1043" s="1388"/>
      <c r="AL1043" s="1388"/>
      <c r="AM1043" s="1388"/>
      <c r="AN1043" s="1388"/>
      <c r="AO1043" s="1388"/>
      <c r="AP1043" s="1388"/>
      <c r="AQ1043" s="1389"/>
      <c r="AR1043" s="68"/>
      <c r="AS1043" s="68"/>
      <c r="AT1043" s="68"/>
      <c r="AU1043" s="68"/>
      <c r="AV1043" s="68"/>
      <c r="AW1043" s="68"/>
      <c r="AX1043" s="68"/>
      <c r="AY1043" s="68"/>
    </row>
    <row r="1044" spans="1:51" ht="12.95" customHeight="1">
      <c r="A1044" s="14"/>
      <c r="B1044" s="79"/>
      <c r="C1044" s="131" t="s">
        <v>1875</v>
      </c>
      <c r="D1044" s="1592" t="s">
        <v>2057</v>
      </c>
      <c r="E1044" s="1593"/>
      <c r="F1044" s="1593"/>
      <c r="G1044" s="1593"/>
      <c r="H1044" s="1593"/>
      <c r="I1044" s="1593"/>
      <c r="J1044" s="1593"/>
      <c r="K1044" s="1593"/>
      <c r="L1044" s="1593"/>
      <c r="M1044" s="1593"/>
      <c r="N1044" s="1593"/>
      <c r="O1044" s="1593"/>
      <c r="P1044" s="1593"/>
      <c r="Q1044" s="1593"/>
      <c r="R1044" s="1593"/>
      <c r="S1044" s="1593"/>
      <c r="T1044" s="1593"/>
      <c r="U1044" s="1593"/>
      <c r="V1044" s="1593"/>
      <c r="W1044" s="1593"/>
      <c r="X1044" s="1593"/>
      <c r="Y1044" s="1593"/>
      <c r="Z1044" s="1593"/>
      <c r="AA1044" s="1593"/>
      <c r="AB1044" s="1593"/>
      <c r="AC1044" s="1593"/>
      <c r="AD1044" s="1593"/>
      <c r="AE1044" s="1594"/>
      <c r="AF1044" s="79"/>
      <c r="AG1044" s="1625" t="str">
        <f>IF(X1047&gt;0,"Yes","No")</f>
        <v>Yes</v>
      </c>
      <c r="AH1044" s="1626"/>
      <c r="AI1044" s="87"/>
      <c r="AJ1044" s="1381">
        <f>IF((X1047=0),0,AY1004*AJ991)</f>
        <v>7648718.0000000009</v>
      </c>
      <c r="AK1044" s="1382"/>
      <c r="AL1044" s="1382"/>
      <c r="AM1044" s="1382"/>
      <c r="AN1044" s="1382"/>
      <c r="AO1044" s="1382"/>
      <c r="AP1044" s="1382"/>
      <c r="AQ1044" s="1383"/>
      <c r="AR1044" s="68"/>
      <c r="AS1044" s="68"/>
      <c r="AT1044" s="68"/>
      <c r="AU1044" s="68"/>
      <c r="AV1044" s="68"/>
      <c r="AW1044" s="68"/>
      <c r="AX1044" s="68"/>
      <c r="AY1044" s="68"/>
    </row>
    <row r="1045" spans="1:51" ht="12.95" customHeight="1">
      <c r="A1045" s="14"/>
      <c r="B1045" s="73"/>
      <c r="C1045" s="476"/>
      <c r="D1045" s="1578" t="s">
        <v>1411</v>
      </c>
      <c r="E1045" s="1579"/>
      <c r="F1045" s="1579"/>
      <c r="G1045" s="1579"/>
      <c r="H1045" s="1579"/>
      <c r="I1045" s="1579"/>
      <c r="J1045" s="1579"/>
      <c r="K1045" s="1579"/>
      <c r="L1045" s="1579"/>
      <c r="M1045" s="1579"/>
      <c r="N1045" s="1579"/>
      <c r="O1045" s="1579"/>
      <c r="P1045" s="1579"/>
      <c r="Q1045" s="1579"/>
      <c r="R1045" s="1579"/>
      <c r="S1045" s="1579"/>
      <c r="T1045" s="1579"/>
      <c r="U1045" s="1579"/>
      <c r="V1045" s="1579"/>
      <c r="W1045" s="1579"/>
      <c r="X1045" s="1579"/>
      <c r="Y1045" s="1579"/>
      <c r="Z1045" s="1579"/>
      <c r="AA1045" s="1579"/>
      <c r="AB1045" s="1579"/>
      <c r="AC1045" s="1579"/>
      <c r="AD1045" s="1579"/>
      <c r="AE1045" s="1580"/>
      <c r="AF1045" s="73"/>
      <c r="AG1045" s="477"/>
      <c r="AH1045" s="477"/>
      <c r="AI1045" s="83"/>
      <c r="AJ1045" s="1384"/>
      <c r="AK1045" s="1385"/>
      <c r="AL1045" s="1385"/>
      <c r="AM1045" s="1385"/>
      <c r="AN1045" s="1385"/>
      <c r="AO1045" s="1385"/>
      <c r="AP1045" s="1385"/>
      <c r="AQ1045" s="1386"/>
      <c r="AR1045" s="68"/>
      <c r="AS1045" s="68"/>
      <c r="AT1045" s="68"/>
      <c r="AU1045" s="13"/>
      <c r="AV1045" s="68"/>
      <c r="AW1045" s="68"/>
      <c r="AX1045" s="68"/>
      <c r="AY1045" s="68"/>
    </row>
    <row r="1046" spans="1:51" ht="12.95" customHeight="1">
      <c r="A1046" s="14"/>
      <c r="B1046" s="73"/>
      <c r="C1046" s="476"/>
      <c r="D1046" s="1578"/>
      <c r="E1046" s="1579"/>
      <c r="F1046" s="1579"/>
      <c r="G1046" s="1579"/>
      <c r="H1046" s="1579"/>
      <c r="I1046" s="1579"/>
      <c r="J1046" s="1579"/>
      <c r="K1046" s="1579"/>
      <c r="L1046" s="1579"/>
      <c r="M1046" s="1579"/>
      <c r="N1046" s="1579"/>
      <c r="O1046" s="1579"/>
      <c r="P1046" s="1579"/>
      <c r="Q1046" s="1579"/>
      <c r="R1046" s="1579"/>
      <c r="S1046" s="1579"/>
      <c r="T1046" s="1579"/>
      <c r="U1046" s="1579"/>
      <c r="V1046" s="1579"/>
      <c r="W1046" s="1579"/>
      <c r="X1046" s="1579"/>
      <c r="Y1046" s="1579"/>
      <c r="Z1046" s="1579"/>
      <c r="AA1046" s="1579"/>
      <c r="AB1046" s="1579"/>
      <c r="AC1046" s="1579"/>
      <c r="AD1046" s="1579"/>
      <c r="AE1046" s="1580"/>
      <c r="AF1046" s="73"/>
      <c r="AG1046" s="477"/>
      <c r="AH1046" s="477"/>
      <c r="AI1046" s="83"/>
      <c r="AJ1046" s="1384"/>
      <c r="AK1046" s="1385"/>
      <c r="AL1046" s="1385"/>
      <c r="AM1046" s="1385"/>
      <c r="AN1046" s="1385"/>
      <c r="AO1046" s="1385"/>
      <c r="AP1046" s="1385"/>
      <c r="AQ1046" s="1386"/>
      <c r="AR1046" s="68"/>
      <c r="AS1046" s="68"/>
      <c r="AT1046" s="68"/>
      <c r="AU1046" s="13"/>
      <c r="AV1046" s="68"/>
      <c r="AW1046" s="68"/>
      <c r="AX1046" s="68"/>
      <c r="AY1046" s="68"/>
    </row>
    <row r="1047" spans="1:51" ht="12.95" customHeight="1">
      <c r="A1047" s="14"/>
      <c r="B1047" s="77"/>
      <c r="C1047" s="78"/>
      <c r="D1047" s="132" t="s">
        <v>992</v>
      </c>
      <c r="E1047" s="133"/>
      <c r="F1047" s="133"/>
      <c r="G1047" s="133"/>
      <c r="H1047" s="133"/>
      <c r="I1047" s="1643">
        <f>AY1002</f>
        <v>49</v>
      </c>
      <c r="J1047" s="1644"/>
      <c r="K1047" s="7"/>
      <c r="L1047" s="133"/>
      <c r="M1047" s="133"/>
      <c r="N1047" s="133"/>
      <c r="O1047" s="133"/>
      <c r="P1047" s="133"/>
      <c r="Q1047" s="133"/>
      <c r="R1047" s="133"/>
      <c r="S1047" s="133"/>
      <c r="T1047" s="133"/>
      <c r="U1047" s="133"/>
      <c r="V1047" s="134" t="s">
        <v>993</v>
      </c>
      <c r="W1047" s="48"/>
      <c r="X1047" s="1641">
        <f>BG632</f>
        <v>14</v>
      </c>
      <c r="Y1047" s="1642"/>
      <c r="Z1047" s="48"/>
      <c r="AA1047" s="48"/>
      <c r="AB1047" s="48"/>
      <c r="AC1047" s="48"/>
      <c r="AD1047" s="48"/>
      <c r="AE1047" s="49"/>
      <c r="AF1047" s="959"/>
      <c r="AG1047" s="960"/>
      <c r="AH1047" s="960"/>
      <c r="AI1047" s="961"/>
      <c r="AJ1047" s="1387"/>
      <c r="AK1047" s="1388"/>
      <c r="AL1047" s="1388"/>
      <c r="AM1047" s="1388"/>
      <c r="AN1047" s="1388"/>
      <c r="AO1047" s="1388"/>
      <c r="AP1047" s="1388"/>
      <c r="AQ1047" s="1389"/>
      <c r="AR1047" s="68"/>
      <c r="AS1047" s="68"/>
      <c r="AT1047" s="68"/>
      <c r="AU1047" s="14"/>
      <c r="AV1047" s="68"/>
      <c r="AW1047" s="68"/>
      <c r="AX1047" s="68"/>
      <c r="AY1047" s="68"/>
    </row>
    <row r="1048" spans="1:51" ht="12.95" customHeight="1">
      <c r="A1048" s="14"/>
      <c r="B1048" s="79"/>
      <c r="C1048" s="131" t="s">
        <v>1876</v>
      </c>
      <c r="D1048" s="1393" t="s">
        <v>2536</v>
      </c>
      <c r="E1048" s="1394"/>
      <c r="F1048" s="1394"/>
      <c r="G1048" s="1394"/>
      <c r="H1048" s="1394"/>
      <c r="I1048" s="1394"/>
      <c r="J1048" s="1394"/>
      <c r="K1048" s="1394"/>
      <c r="L1048" s="1394"/>
      <c r="M1048" s="1394"/>
      <c r="N1048" s="1394"/>
      <c r="O1048" s="1394"/>
      <c r="P1048" s="1394"/>
      <c r="Q1048" s="1394"/>
      <c r="R1048" s="1394"/>
      <c r="S1048" s="1394"/>
      <c r="T1048" s="1394"/>
      <c r="U1048" s="1394"/>
      <c r="V1048" s="1394"/>
      <c r="W1048" s="1394"/>
      <c r="X1048" s="1394"/>
      <c r="Y1048" s="1394"/>
      <c r="Z1048" s="1394"/>
      <c r="AA1048" s="1394"/>
      <c r="AB1048" s="1394"/>
      <c r="AC1048" s="1394"/>
      <c r="AD1048" s="1394"/>
      <c r="AE1048" s="1395"/>
      <c r="AF1048" s="73"/>
      <c r="AG1048" s="1625" t="str">
        <f>IF(X1051&gt;0,"Yes","No")</f>
        <v>Yes</v>
      </c>
      <c r="AH1048" s="1626"/>
      <c r="AI1048" s="83"/>
      <c r="AJ1048" s="1381">
        <f>IF((X1051=0),0,(2*AY1005)*AJ991)</f>
        <v>38789927</v>
      </c>
      <c r="AK1048" s="1382"/>
      <c r="AL1048" s="1382"/>
      <c r="AM1048" s="1382"/>
      <c r="AN1048" s="1382"/>
      <c r="AO1048" s="1382"/>
      <c r="AP1048" s="1382"/>
      <c r="AQ1048" s="1383"/>
      <c r="AR1048" s="68"/>
      <c r="AS1048" s="68"/>
      <c r="AT1048" s="68"/>
      <c r="AU1048" s="14"/>
      <c r="AV1048" s="68"/>
      <c r="AW1048" s="68"/>
      <c r="AX1048" s="68"/>
      <c r="AY1048" s="68"/>
    </row>
    <row r="1049" spans="1:51" ht="12.95" customHeight="1">
      <c r="A1049" s="14"/>
      <c r="B1049" s="73"/>
      <c r="C1049" s="476"/>
      <c r="D1049" s="1578" t="s">
        <v>1410</v>
      </c>
      <c r="E1049" s="1579"/>
      <c r="F1049" s="1579"/>
      <c r="G1049" s="1579"/>
      <c r="H1049" s="1579"/>
      <c r="I1049" s="1579"/>
      <c r="J1049" s="1579"/>
      <c r="K1049" s="1579"/>
      <c r="L1049" s="1579"/>
      <c r="M1049" s="1579"/>
      <c r="N1049" s="1579"/>
      <c r="O1049" s="1579"/>
      <c r="P1049" s="1579"/>
      <c r="Q1049" s="1579"/>
      <c r="R1049" s="1579"/>
      <c r="S1049" s="1579"/>
      <c r="T1049" s="1579"/>
      <c r="U1049" s="1579"/>
      <c r="V1049" s="1579"/>
      <c r="W1049" s="1579"/>
      <c r="X1049" s="1579"/>
      <c r="Y1049" s="1579"/>
      <c r="Z1049" s="1579"/>
      <c r="AA1049" s="1579"/>
      <c r="AB1049" s="1579"/>
      <c r="AC1049" s="1579"/>
      <c r="AD1049" s="1579"/>
      <c r="AE1049" s="1580"/>
      <c r="AF1049" s="73"/>
      <c r="AG1049" s="477"/>
      <c r="AH1049" s="477"/>
      <c r="AI1049" s="83"/>
      <c r="AJ1049" s="1384"/>
      <c r="AK1049" s="1385"/>
      <c r="AL1049" s="1385"/>
      <c r="AM1049" s="1385"/>
      <c r="AN1049" s="1385"/>
      <c r="AO1049" s="1385"/>
      <c r="AP1049" s="1385"/>
      <c r="AQ1049" s="1386"/>
      <c r="AR1049" s="68"/>
      <c r="AS1049" s="68"/>
      <c r="AT1049" s="68"/>
      <c r="AU1049" s="68"/>
      <c r="AV1049" s="68"/>
      <c r="AW1049" s="68"/>
      <c r="AX1049" s="68"/>
      <c r="AY1049" s="68"/>
    </row>
    <row r="1050" spans="1:51" ht="12.95" customHeight="1">
      <c r="A1050" s="14"/>
      <c r="B1050" s="73"/>
      <c r="C1050" s="83"/>
      <c r="D1050" s="1578"/>
      <c r="E1050" s="1579"/>
      <c r="F1050" s="1579"/>
      <c r="G1050" s="1579"/>
      <c r="H1050" s="1579"/>
      <c r="I1050" s="1579"/>
      <c r="J1050" s="1579"/>
      <c r="K1050" s="1579"/>
      <c r="L1050" s="1579"/>
      <c r="M1050" s="1579"/>
      <c r="N1050" s="1579"/>
      <c r="O1050" s="1579"/>
      <c r="P1050" s="1579"/>
      <c r="Q1050" s="1579"/>
      <c r="R1050" s="1579"/>
      <c r="S1050" s="1579"/>
      <c r="T1050" s="1579"/>
      <c r="U1050" s="1579"/>
      <c r="V1050" s="1579"/>
      <c r="W1050" s="1579"/>
      <c r="X1050" s="1579"/>
      <c r="Y1050" s="1579"/>
      <c r="Z1050" s="1579"/>
      <c r="AA1050" s="1579"/>
      <c r="AB1050" s="1579"/>
      <c r="AC1050" s="1579"/>
      <c r="AD1050" s="1579"/>
      <c r="AE1050" s="1580"/>
      <c r="AF1050" s="956"/>
      <c r="AG1050" s="957"/>
      <c r="AH1050" s="957"/>
      <c r="AI1050" s="958"/>
      <c r="AJ1050" s="1384"/>
      <c r="AK1050" s="1385"/>
      <c r="AL1050" s="1385"/>
      <c r="AM1050" s="1385"/>
      <c r="AN1050" s="1385"/>
      <c r="AO1050" s="1385"/>
      <c r="AP1050" s="1385"/>
      <c r="AQ1050" s="1386"/>
      <c r="AR1050" s="68"/>
      <c r="AS1050" s="68"/>
      <c r="AT1050" s="68"/>
      <c r="AU1050" s="68"/>
      <c r="AV1050" s="68"/>
      <c r="AW1050" s="68"/>
      <c r="AX1050" s="68"/>
      <c r="AY1050" s="68"/>
    </row>
    <row r="1051" spans="1:51" ht="12.95" customHeight="1">
      <c r="A1051" s="14"/>
      <c r="B1051" s="77"/>
      <c r="C1051" s="78"/>
      <c r="D1051" s="132" t="s">
        <v>992</v>
      </c>
      <c r="E1051" s="133"/>
      <c r="F1051" s="133"/>
      <c r="G1051" s="133"/>
      <c r="H1051" s="133"/>
      <c r="I1051" s="1643">
        <f>AY1002</f>
        <v>49</v>
      </c>
      <c r="J1051" s="1644"/>
      <c r="K1051" s="14"/>
      <c r="L1051" s="133"/>
      <c r="M1051" s="133"/>
      <c r="N1051" s="133"/>
      <c r="O1051" s="133"/>
      <c r="P1051" s="133"/>
      <c r="Q1051" s="133"/>
      <c r="R1051" s="133"/>
      <c r="S1051" s="133"/>
      <c r="T1051" s="133"/>
      <c r="U1051" s="133"/>
      <c r="V1051" s="134" t="s">
        <v>994</v>
      </c>
      <c r="X1051" s="1641">
        <f>BK632</f>
        <v>35</v>
      </c>
      <c r="Y1051" s="1642"/>
      <c r="AF1051" s="959"/>
      <c r="AG1051" s="960"/>
      <c r="AH1051" s="960"/>
      <c r="AI1051" s="961"/>
      <c r="AJ1051" s="1387"/>
      <c r="AK1051" s="1388"/>
      <c r="AL1051" s="1388"/>
      <c r="AM1051" s="1388"/>
      <c r="AN1051" s="1388"/>
      <c r="AO1051" s="1388"/>
      <c r="AP1051" s="1388"/>
      <c r="AQ1051" s="1389"/>
      <c r="AR1051" s="68"/>
      <c r="AS1051" s="68"/>
      <c r="AT1051" s="68"/>
      <c r="AU1051" s="68"/>
      <c r="AV1051" s="68"/>
      <c r="AW1051" s="68"/>
      <c r="AX1051" s="68"/>
      <c r="AY1051" s="68"/>
    </row>
    <row r="1052" spans="1:51" ht="12.95" customHeight="1">
      <c r="A1052" s="14"/>
      <c r="B1052" s="102"/>
      <c r="C1052" s="103"/>
      <c r="D1052" s="1639" t="s">
        <v>522</v>
      </c>
      <c r="E1052" s="1639"/>
      <c r="F1052" s="1639"/>
      <c r="G1052" s="1639"/>
      <c r="H1052" s="1639"/>
      <c r="I1052" s="1639"/>
      <c r="J1052" s="1639"/>
      <c r="K1052" s="1639"/>
      <c r="L1052" s="1639"/>
      <c r="M1052" s="1639"/>
      <c r="N1052" s="1639"/>
      <c r="O1052" s="1639"/>
      <c r="P1052" s="1639"/>
      <c r="Q1052" s="1639"/>
      <c r="R1052" s="1639"/>
      <c r="S1052" s="1639"/>
      <c r="T1052" s="1639"/>
      <c r="U1052" s="1639"/>
      <c r="V1052" s="1639"/>
      <c r="W1052" s="1639"/>
      <c r="X1052" s="1639"/>
      <c r="Y1052" s="1639"/>
      <c r="Z1052" s="1639"/>
      <c r="AA1052" s="1639"/>
      <c r="AB1052" s="1639"/>
      <c r="AC1052" s="1639"/>
      <c r="AD1052" s="1639"/>
      <c r="AE1052" s="1639"/>
      <c r="AF1052" s="1639"/>
      <c r="AG1052" s="1639"/>
      <c r="AH1052" s="1639"/>
      <c r="AI1052" s="1640"/>
      <c r="AJ1052" s="1622">
        <f>SUM(AJ991:AQ1051)</f>
        <v>87627838</v>
      </c>
      <c r="AK1052" s="1623"/>
      <c r="AL1052" s="1623"/>
      <c r="AM1052" s="1623"/>
      <c r="AN1052" s="1623"/>
      <c r="AO1052" s="1623"/>
      <c r="AP1052" s="1623"/>
      <c r="AQ1052" s="1624"/>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471">
        <f>IF(ISNA(IF((AJ1019&gt;(AJ991*0.15)),"(f) cannot be greater than 15% of unadjusted eligible basis.",0)),"",(IF((AJ1019&gt;(AJ991*0.15)),"(f) cannot be greater than 15% of unadjusted eligible basis.",0)))</f>
        <v>0</v>
      </c>
      <c r="C1059" s="1471"/>
      <c r="D1059" s="1471"/>
      <c r="E1059" s="1471"/>
      <c r="F1059" s="1471"/>
      <c r="G1059" s="1471"/>
      <c r="H1059" s="1471"/>
      <c r="I1059" s="1471"/>
      <c r="J1059" s="1471"/>
      <c r="K1059" s="1471"/>
      <c r="L1059" s="1471"/>
      <c r="M1059" s="1471"/>
      <c r="N1059" s="1471"/>
      <c r="O1059" s="1471"/>
      <c r="P1059" s="1471"/>
      <c r="Q1059" s="1471"/>
      <c r="R1059" s="1471"/>
      <c r="S1059" s="1471"/>
      <c r="T1059" s="1471"/>
      <c r="U1059" s="1471"/>
      <c r="V1059" s="1471"/>
      <c r="W1059" s="1471"/>
      <c r="X1059" s="1471"/>
      <c r="Y1059" s="1471"/>
      <c r="Z1059" s="1471"/>
      <c r="AA1059" s="1471"/>
      <c r="AB1059" s="1471"/>
      <c r="AC1059" s="1471"/>
      <c r="AD1059" s="1471"/>
      <c r="AE1059" s="1471"/>
      <c r="AF1059" s="1471"/>
      <c r="AG1059" s="1471"/>
      <c r="AH1059" s="1471"/>
      <c r="AI1059" s="1471"/>
      <c r="AJ1059" s="1471"/>
      <c r="AK1059" s="1471"/>
      <c r="AL1059" s="1471"/>
      <c r="AM1059" s="1471"/>
      <c r="AN1059" s="1471"/>
      <c r="AO1059" s="1471"/>
      <c r="AP1059" s="1471"/>
      <c r="AQ1059" s="68"/>
      <c r="AR1059" s="68"/>
      <c r="AS1059" s="68"/>
      <c r="AT1059" s="68"/>
      <c r="AU1059" s="68"/>
      <c r="AV1059" s="68"/>
      <c r="AW1059" s="68"/>
      <c r="AX1059" s="68"/>
      <c r="AY1059" s="68"/>
    </row>
    <row r="1060" spans="1:51" ht="12.95" customHeight="1">
      <c r="A1060" s="1311" t="s">
        <v>804</v>
      </c>
      <c r="B1060" s="1311"/>
      <c r="C1060" s="1311"/>
      <c r="D1060" s="1311"/>
      <c r="E1060" s="1311"/>
      <c r="F1060" s="1311"/>
      <c r="G1060" s="1311"/>
      <c r="H1060" s="1311"/>
      <c r="I1060" s="1311"/>
      <c r="J1060" s="1311"/>
      <c r="K1060" s="1311"/>
      <c r="L1060" s="1311"/>
      <c r="M1060" s="1311"/>
      <c r="N1060" s="1311"/>
      <c r="O1060" s="1311"/>
      <c r="P1060" s="1311"/>
      <c r="Q1060" s="1311"/>
      <c r="R1060" s="1311"/>
      <c r="S1060" s="1311"/>
      <c r="T1060" s="1311"/>
      <c r="U1060" s="1311"/>
      <c r="V1060" s="1311"/>
      <c r="W1060" s="1311"/>
      <c r="X1060" s="1311"/>
      <c r="Y1060" s="1311"/>
      <c r="Z1060" s="1311"/>
      <c r="AA1060" s="1311"/>
      <c r="AB1060" s="1311"/>
      <c r="AC1060" s="1311"/>
      <c r="AD1060" s="1311"/>
      <c r="AE1060" s="1311"/>
      <c r="AF1060" s="1311"/>
      <c r="AG1060" s="1311"/>
      <c r="AH1060" s="1311"/>
      <c r="AI1060" s="1311"/>
      <c r="AJ1060" s="1311"/>
      <c r="AK1060" s="1311"/>
      <c r="AL1060" s="1311"/>
      <c r="AM1060" s="1311"/>
      <c r="AN1060" s="1311"/>
      <c r="AO1060" s="1311"/>
      <c r="AP1060" s="1311"/>
      <c r="AQ1060" s="1311"/>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484" t="s">
        <v>600</v>
      </c>
      <c r="B1064" s="1484"/>
      <c r="C1064" s="8">
        <v>1</v>
      </c>
      <c r="D1064" s="1275" t="s">
        <v>1134</v>
      </c>
      <c r="E1064" s="1275"/>
      <c r="F1064" s="1275"/>
      <c r="G1064" s="1275"/>
      <c r="H1064" s="1275"/>
      <c r="I1064" s="1275"/>
      <c r="J1064" s="1275"/>
      <c r="K1064" s="1275"/>
      <c r="L1064" s="1275"/>
      <c r="M1064" s="1275"/>
      <c r="N1064" s="1275"/>
      <c r="O1064" s="1275"/>
      <c r="P1064" s="1275"/>
      <c r="Q1064" s="1275"/>
      <c r="R1064" s="1275"/>
      <c r="S1064" s="1275"/>
      <c r="T1064" s="1275"/>
      <c r="U1064" s="1275"/>
      <c r="V1064" s="1275"/>
      <c r="W1064" s="1275"/>
      <c r="X1064" s="1275"/>
      <c r="Y1064" s="1275"/>
      <c r="Z1064" s="1275"/>
      <c r="AA1064" s="1275"/>
      <c r="AB1064" s="1275"/>
      <c r="AC1064" s="1275"/>
      <c r="AD1064" s="1275"/>
      <c r="AE1064" s="1275"/>
      <c r="AF1064" s="1275"/>
      <c r="AG1064" s="1275"/>
      <c r="AH1064" s="1275"/>
      <c r="AI1064" s="1275"/>
      <c r="AJ1064" s="1275"/>
      <c r="AK1064" s="1275"/>
      <c r="AL1064" s="68"/>
      <c r="AM1064" s="68"/>
      <c r="AN1064" s="68"/>
      <c r="AO1064" s="68"/>
      <c r="AP1064" s="68"/>
      <c r="AQ1064" s="68"/>
      <c r="AR1064" s="68"/>
      <c r="AS1064" s="68"/>
      <c r="AT1064" s="68"/>
      <c r="AV1064" s="68"/>
      <c r="AW1064" s="68"/>
      <c r="AX1064" s="68"/>
      <c r="AY1064" s="68"/>
    </row>
    <row r="1065" spans="1:51" ht="12.95" customHeight="1">
      <c r="A1065" s="1"/>
      <c r="B1065" s="1"/>
      <c r="C1065" s="8"/>
      <c r="D1065" s="1275"/>
      <c r="E1065" s="1275"/>
      <c r="F1065" s="1275"/>
      <c r="G1065" s="1275"/>
      <c r="H1065" s="1275"/>
      <c r="I1065" s="1275"/>
      <c r="J1065" s="1275"/>
      <c r="K1065" s="1275"/>
      <c r="L1065" s="1275"/>
      <c r="M1065" s="1275"/>
      <c r="N1065" s="1275"/>
      <c r="O1065" s="1275"/>
      <c r="P1065" s="1275"/>
      <c r="Q1065" s="1275"/>
      <c r="R1065" s="1275"/>
      <c r="S1065" s="1275"/>
      <c r="T1065" s="1275"/>
      <c r="U1065" s="1275"/>
      <c r="V1065" s="1275"/>
      <c r="W1065" s="1275"/>
      <c r="X1065" s="1275"/>
      <c r="Y1065" s="1275"/>
      <c r="Z1065" s="1275"/>
      <c r="AA1065" s="1275"/>
      <c r="AB1065" s="1275"/>
      <c r="AC1065" s="1275"/>
      <c r="AD1065" s="1275"/>
      <c r="AE1065" s="1275"/>
      <c r="AF1065" s="1275"/>
      <c r="AG1065" s="1275"/>
      <c r="AH1065" s="1275"/>
      <c r="AI1065" s="1275"/>
      <c r="AJ1065" s="1275"/>
      <c r="AK1065" s="1275"/>
      <c r="AL1065" s="68"/>
      <c r="AM1065" s="68"/>
      <c r="AN1065" s="68"/>
      <c r="AO1065" s="68"/>
      <c r="AP1065" s="68"/>
      <c r="AQ1065" s="68"/>
      <c r="AR1065" s="68"/>
      <c r="AS1065" s="68"/>
      <c r="AT1065" s="68"/>
      <c r="AV1065" s="68"/>
      <c r="AW1065" s="68"/>
      <c r="AX1065" s="68"/>
      <c r="AY1065" s="68"/>
    </row>
    <row r="1066" spans="1:51" ht="12.95" customHeight="1">
      <c r="A1066" s="1"/>
      <c r="B1066" s="1"/>
      <c r="C1066" s="8"/>
      <c r="D1066" s="1275"/>
      <c r="E1066" s="1275"/>
      <c r="F1066" s="1275"/>
      <c r="G1066" s="1275"/>
      <c r="H1066" s="1275"/>
      <c r="I1066" s="1275"/>
      <c r="J1066" s="1275"/>
      <c r="K1066" s="1275"/>
      <c r="L1066" s="1275"/>
      <c r="M1066" s="1275"/>
      <c r="N1066" s="1275"/>
      <c r="O1066" s="1275"/>
      <c r="P1066" s="1275"/>
      <c r="Q1066" s="1275"/>
      <c r="R1066" s="1275"/>
      <c r="S1066" s="1275"/>
      <c r="T1066" s="1275"/>
      <c r="U1066" s="1275"/>
      <c r="V1066" s="1275"/>
      <c r="W1066" s="1275"/>
      <c r="X1066" s="1275"/>
      <c r="Y1066" s="1275"/>
      <c r="Z1066" s="1275"/>
      <c r="AA1066" s="1275"/>
      <c r="AB1066" s="1275"/>
      <c r="AC1066" s="1275"/>
      <c r="AD1066" s="1275"/>
      <c r="AE1066" s="1275"/>
      <c r="AF1066" s="1275"/>
      <c r="AG1066" s="1275"/>
      <c r="AH1066" s="1275"/>
      <c r="AI1066" s="1275"/>
      <c r="AJ1066" s="1275"/>
      <c r="AK1066" s="1275"/>
      <c r="AL1066" s="68"/>
      <c r="AM1066" s="68"/>
      <c r="AN1066" s="68"/>
      <c r="AO1066" s="68"/>
      <c r="AP1066" s="68"/>
      <c r="AQ1066" s="68"/>
      <c r="AR1066" s="68"/>
      <c r="AS1066" s="68"/>
      <c r="AT1066" s="68"/>
      <c r="AV1066" s="68"/>
      <c r="AW1066" s="68"/>
      <c r="AX1066" s="68"/>
      <c r="AY1066" s="68"/>
    </row>
    <row r="1067" spans="1:51" ht="12.95" customHeight="1">
      <c r="A1067" s="1"/>
      <c r="B1067" s="1"/>
      <c r="C1067" s="8"/>
      <c r="D1067" s="1275"/>
      <c r="E1067" s="1275"/>
      <c r="F1067" s="1275"/>
      <c r="G1067" s="1275"/>
      <c r="H1067" s="1275"/>
      <c r="I1067" s="1275"/>
      <c r="J1067" s="1275"/>
      <c r="K1067" s="1275"/>
      <c r="L1067" s="1275"/>
      <c r="M1067" s="1275"/>
      <c r="N1067" s="1275"/>
      <c r="O1067" s="1275"/>
      <c r="P1067" s="1275"/>
      <c r="Q1067" s="1275"/>
      <c r="R1067" s="1275"/>
      <c r="S1067" s="1275"/>
      <c r="T1067" s="1275"/>
      <c r="U1067" s="1275"/>
      <c r="V1067" s="1275"/>
      <c r="W1067" s="1275"/>
      <c r="X1067" s="1275"/>
      <c r="Y1067" s="1275"/>
      <c r="Z1067" s="1275"/>
      <c r="AA1067" s="1275"/>
      <c r="AB1067" s="1275"/>
      <c r="AC1067" s="1275"/>
      <c r="AD1067" s="1275"/>
      <c r="AE1067" s="1275"/>
      <c r="AF1067" s="1275"/>
      <c r="AG1067" s="1275"/>
      <c r="AH1067" s="1275"/>
      <c r="AI1067" s="1275"/>
      <c r="AJ1067" s="1275"/>
      <c r="AK1067" s="1275"/>
      <c r="AL1067" s="68"/>
      <c r="AM1067" s="68"/>
      <c r="AN1067" s="68"/>
      <c r="AO1067" s="68"/>
      <c r="AP1067" s="68"/>
      <c r="AQ1067" s="68"/>
      <c r="AR1067" s="68"/>
      <c r="AS1067" s="68"/>
      <c r="AT1067" s="68"/>
      <c r="AV1067" s="68"/>
      <c r="AW1067" s="68"/>
      <c r="AX1067" s="68"/>
      <c r="AY1067" s="68"/>
    </row>
    <row r="1068" spans="1:51" ht="12.95" customHeight="1">
      <c r="A1068" s="1"/>
      <c r="B1068" s="1"/>
      <c r="C1068" s="8"/>
      <c r="D1068" s="1275"/>
      <c r="E1068" s="1275"/>
      <c r="F1068" s="1275"/>
      <c r="G1068" s="1275"/>
      <c r="H1068" s="1275"/>
      <c r="I1068" s="1275"/>
      <c r="J1068" s="1275"/>
      <c r="K1068" s="1275"/>
      <c r="L1068" s="1275"/>
      <c r="M1068" s="1275"/>
      <c r="N1068" s="1275"/>
      <c r="O1068" s="1275"/>
      <c r="P1068" s="1275"/>
      <c r="Q1068" s="1275"/>
      <c r="R1068" s="1275"/>
      <c r="S1068" s="1275"/>
      <c r="T1068" s="1275"/>
      <c r="U1068" s="1275"/>
      <c r="V1068" s="1275"/>
      <c r="W1068" s="1275"/>
      <c r="X1068" s="1275"/>
      <c r="Y1068" s="1275"/>
      <c r="Z1068" s="1275"/>
      <c r="AA1068" s="1275"/>
      <c r="AB1068" s="1275"/>
      <c r="AC1068" s="1275"/>
      <c r="AD1068" s="1275"/>
      <c r="AE1068" s="1275"/>
      <c r="AF1068" s="1275"/>
      <c r="AG1068" s="1275"/>
      <c r="AH1068" s="1275"/>
      <c r="AI1068" s="1275"/>
      <c r="AJ1068" s="1275"/>
      <c r="AK1068" s="1275"/>
      <c r="AL1068" s="68"/>
      <c r="AM1068" s="68"/>
      <c r="AN1068" s="68"/>
      <c r="AO1068" s="68"/>
      <c r="AP1068" s="68"/>
      <c r="AQ1068" s="68"/>
      <c r="AR1068" s="68"/>
      <c r="AS1068" s="68"/>
      <c r="AT1068" s="68"/>
      <c r="AV1068" s="68"/>
      <c r="AW1068" s="68"/>
      <c r="AX1068" s="68"/>
      <c r="AY1068" s="68"/>
    </row>
    <row r="1069" spans="1:51" ht="12.95" customHeight="1">
      <c r="A1069" s="2"/>
      <c r="B1069" s="25"/>
      <c r="C1069" s="8"/>
      <c r="D1069" s="1275"/>
      <c r="E1069" s="1275"/>
      <c r="F1069" s="1275"/>
      <c r="G1069" s="1275"/>
      <c r="H1069" s="1275"/>
      <c r="I1069" s="1275"/>
      <c r="J1069" s="1275"/>
      <c r="K1069" s="1275"/>
      <c r="L1069" s="1275"/>
      <c r="M1069" s="1275"/>
      <c r="N1069" s="1275"/>
      <c r="O1069" s="1275"/>
      <c r="P1069" s="1275"/>
      <c r="Q1069" s="1275"/>
      <c r="R1069" s="1275"/>
      <c r="S1069" s="1275"/>
      <c r="T1069" s="1275"/>
      <c r="U1069" s="1275"/>
      <c r="V1069" s="1275"/>
      <c r="W1069" s="1275"/>
      <c r="X1069" s="1275"/>
      <c r="Y1069" s="1275"/>
      <c r="Z1069" s="1275"/>
      <c r="AA1069" s="1275"/>
      <c r="AB1069" s="1275"/>
      <c r="AC1069" s="1275"/>
      <c r="AD1069" s="1275"/>
      <c r="AE1069" s="1275"/>
      <c r="AF1069" s="1275"/>
      <c r="AG1069" s="1275"/>
      <c r="AH1069" s="1275"/>
      <c r="AI1069" s="1275"/>
      <c r="AJ1069" s="1275"/>
      <c r="AK1069" s="1275"/>
      <c r="AL1069" s="68"/>
      <c r="AM1069" s="68"/>
      <c r="AN1069" s="68"/>
      <c r="AO1069" s="68"/>
      <c r="AP1069" s="68"/>
      <c r="AQ1069" s="68"/>
      <c r="AR1069" s="68"/>
      <c r="AS1069" s="68"/>
      <c r="AT1069" s="68"/>
      <c r="AV1069" s="68"/>
      <c r="AW1069" s="68"/>
      <c r="AX1069" s="68"/>
      <c r="AY1069" s="68"/>
    </row>
    <row r="1070" spans="1:51" ht="12.95" customHeight="1">
      <c r="A1070" s="1484" t="s">
        <v>600</v>
      </c>
      <c r="B1070" s="1484"/>
      <c r="C1070" s="8">
        <v>2</v>
      </c>
      <c r="D1070" s="1275" t="s">
        <v>1133</v>
      </c>
      <c r="E1070" s="1275"/>
      <c r="F1070" s="1275"/>
      <c r="G1070" s="1275"/>
      <c r="H1070" s="1275"/>
      <c r="I1070" s="1275"/>
      <c r="J1070" s="1275"/>
      <c r="K1070" s="1275"/>
      <c r="L1070" s="1275"/>
      <c r="M1070" s="1275"/>
      <c r="N1070" s="1275"/>
      <c r="O1070" s="1275"/>
      <c r="P1070" s="1275"/>
      <c r="Q1070" s="1275"/>
      <c r="R1070" s="1275"/>
      <c r="S1070" s="1275"/>
      <c r="T1070" s="1275"/>
      <c r="U1070" s="1275"/>
      <c r="V1070" s="1275"/>
      <c r="W1070" s="1275"/>
      <c r="X1070" s="1275"/>
      <c r="Y1070" s="1275"/>
      <c r="Z1070" s="1275"/>
      <c r="AA1070" s="1275"/>
      <c r="AB1070" s="1275"/>
      <c r="AC1070" s="1275"/>
      <c r="AD1070" s="1275"/>
      <c r="AE1070" s="1275"/>
      <c r="AF1070" s="1275"/>
      <c r="AG1070" s="1275"/>
      <c r="AH1070" s="1275"/>
      <c r="AI1070" s="1275"/>
      <c r="AJ1070" s="1275"/>
      <c r="AK1070" s="1275"/>
      <c r="AL1070" s="68"/>
      <c r="AM1070" s="68"/>
      <c r="AN1070" s="68"/>
      <c r="AO1070" s="68"/>
      <c r="AP1070" s="68"/>
      <c r="AQ1070" s="68"/>
      <c r="AR1070" s="68"/>
      <c r="AS1070" s="68"/>
      <c r="AT1070" s="68"/>
    </row>
    <row r="1071" spans="1:51" ht="12.95" customHeight="1">
      <c r="A1071" s="1"/>
      <c r="B1071" s="1"/>
      <c r="C1071" s="8"/>
      <c r="D1071" s="1275"/>
      <c r="E1071" s="1275"/>
      <c r="F1071" s="1275"/>
      <c r="G1071" s="1275"/>
      <c r="H1071" s="1275"/>
      <c r="I1071" s="1275"/>
      <c r="J1071" s="1275"/>
      <c r="K1071" s="1275"/>
      <c r="L1071" s="1275"/>
      <c r="M1071" s="1275"/>
      <c r="N1071" s="1275"/>
      <c r="O1071" s="1275"/>
      <c r="P1071" s="1275"/>
      <c r="Q1071" s="1275"/>
      <c r="R1071" s="1275"/>
      <c r="S1071" s="1275"/>
      <c r="T1071" s="1275"/>
      <c r="U1071" s="1275"/>
      <c r="V1071" s="1275"/>
      <c r="W1071" s="1275"/>
      <c r="X1071" s="1275"/>
      <c r="Y1071" s="1275"/>
      <c r="Z1071" s="1275"/>
      <c r="AA1071" s="1275"/>
      <c r="AB1071" s="1275"/>
      <c r="AC1071" s="1275"/>
      <c r="AD1071" s="1275"/>
      <c r="AE1071" s="1275"/>
      <c r="AF1071" s="1275"/>
      <c r="AG1071" s="1275"/>
      <c r="AH1071" s="1275"/>
      <c r="AI1071" s="1275"/>
      <c r="AJ1071" s="1275"/>
      <c r="AK1071" s="1275"/>
      <c r="AL1071" s="68"/>
      <c r="AM1071" s="68"/>
      <c r="AN1071" s="68"/>
      <c r="AO1071" s="68"/>
      <c r="AP1071" s="68"/>
      <c r="AQ1071" s="68"/>
      <c r="AR1071" s="68"/>
      <c r="AS1071" s="68"/>
      <c r="AT1071" s="68"/>
    </row>
    <row r="1072" spans="1:51" ht="12.95" customHeight="1">
      <c r="A1072" s="1"/>
      <c r="B1072" s="1"/>
      <c r="C1072" s="8"/>
      <c r="D1072" s="1275"/>
      <c r="E1072" s="1275"/>
      <c r="F1072" s="1275"/>
      <c r="G1072" s="1275"/>
      <c r="H1072" s="1275"/>
      <c r="I1072" s="1275"/>
      <c r="J1072" s="1275"/>
      <c r="K1072" s="1275"/>
      <c r="L1072" s="1275"/>
      <c r="M1072" s="1275"/>
      <c r="N1072" s="1275"/>
      <c r="O1072" s="1275"/>
      <c r="P1072" s="1275"/>
      <c r="Q1072" s="1275"/>
      <c r="R1072" s="1275"/>
      <c r="S1072" s="1275"/>
      <c r="T1072" s="1275"/>
      <c r="U1072" s="1275"/>
      <c r="V1072" s="1275"/>
      <c r="W1072" s="1275"/>
      <c r="X1072" s="1275"/>
      <c r="Y1072" s="1275"/>
      <c r="Z1072" s="1275"/>
      <c r="AA1072" s="1275"/>
      <c r="AB1072" s="1275"/>
      <c r="AC1072" s="1275"/>
      <c r="AD1072" s="1275"/>
      <c r="AE1072" s="1275"/>
      <c r="AF1072" s="1275"/>
      <c r="AG1072" s="1275"/>
      <c r="AH1072" s="1275"/>
      <c r="AI1072" s="1275"/>
      <c r="AJ1072" s="1275"/>
      <c r="AK1072" s="1275"/>
      <c r="AL1072" s="68"/>
      <c r="AM1072" s="68"/>
      <c r="AN1072" s="68"/>
      <c r="AO1072" s="68"/>
      <c r="AP1072" s="68"/>
      <c r="AQ1072" s="68"/>
      <c r="AR1072" s="68"/>
      <c r="AS1072" s="68"/>
      <c r="AT1072" s="68"/>
    </row>
    <row r="1073" spans="1:46" ht="12.95" customHeight="1">
      <c r="A1073" s="1"/>
      <c r="B1073" s="1"/>
      <c r="C1073" s="8"/>
      <c r="D1073" s="1275"/>
      <c r="E1073" s="1275"/>
      <c r="F1073" s="1275"/>
      <c r="G1073" s="1275"/>
      <c r="H1073" s="1275"/>
      <c r="I1073" s="1275"/>
      <c r="J1073" s="1275"/>
      <c r="K1073" s="1275"/>
      <c r="L1073" s="1275"/>
      <c r="M1073" s="1275"/>
      <c r="N1073" s="1275"/>
      <c r="O1073" s="1275"/>
      <c r="P1073" s="1275"/>
      <c r="Q1073" s="1275"/>
      <c r="R1073" s="1275"/>
      <c r="S1073" s="1275"/>
      <c r="T1073" s="1275"/>
      <c r="U1073" s="1275"/>
      <c r="V1073" s="1275"/>
      <c r="W1073" s="1275"/>
      <c r="X1073" s="1275"/>
      <c r="Y1073" s="1275"/>
      <c r="Z1073" s="1275"/>
      <c r="AA1073" s="1275"/>
      <c r="AB1073" s="1275"/>
      <c r="AC1073" s="1275"/>
      <c r="AD1073" s="1275"/>
      <c r="AE1073" s="1275"/>
      <c r="AF1073" s="1275"/>
      <c r="AG1073" s="1275"/>
      <c r="AH1073" s="1275"/>
      <c r="AI1073" s="1275"/>
      <c r="AJ1073" s="1275"/>
      <c r="AK1073" s="1275"/>
      <c r="AL1073" s="68"/>
      <c r="AM1073" s="68"/>
      <c r="AN1073" s="68"/>
      <c r="AO1073" s="68"/>
      <c r="AP1073" s="68"/>
      <c r="AQ1073" s="68"/>
      <c r="AR1073" s="68"/>
      <c r="AS1073" s="68"/>
      <c r="AT1073" s="68"/>
    </row>
    <row r="1074" spans="1:46" ht="12.95" hidden="1" customHeight="1">
      <c r="A1074" s="1"/>
      <c r="B1074" s="1"/>
      <c r="C1074" s="8"/>
      <c r="D1074" s="1275"/>
      <c r="E1074" s="1275"/>
      <c r="F1074" s="1275"/>
      <c r="G1074" s="1275"/>
      <c r="H1074" s="1275"/>
      <c r="I1074" s="1275"/>
      <c r="J1074" s="1275"/>
      <c r="K1074" s="1275"/>
      <c r="L1074" s="1275"/>
      <c r="M1074" s="1275"/>
      <c r="N1074" s="1275"/>
      <c r="O1074" s="1275"/>
      <c r="P1074" s="1275"/>
      <c r="Q1074" s="1275"/>
      <c r="R1074" s="1275"/>
      <c r="S1074" s="1275"/>
      <c r="T1074" s="1275"/>
      <c r="U1074" s="1275"/>
      <c r="V1074" s="1275"/>
      <c r="W1074" s="1275"/>
      <c r="X1074" s="1275"/>
      <c r="Y1074" s="1275"/>
      <c r="Z1074" s="1275"/>
      <c r="AA1074" s="1275"/>
      <c r="AB1074" s="1275"/>
      <c r="AC1074" s="1275"/>
      <c r="AD1074" s="1275"/>
      <c r="AE1074" s="1275"/>
      <c r="AF1074" s="1275"/>
      <c r="AG1074" s="1275"/>
      <c r="AH1074" s="1275"/>
      <c r="AI1074" s="1275"/>
      <c r="AJ1074" s="1275"/>
      <c r="AK1074" s="1275"/>
      <c r="AL1074" s="68"/>
      <c r="AM1074" s="68"/>
      <c r="AN1074" s="68"/>
      <c r="AO1074" s="68"/>
      <c r="AP1074" s="68"/>
      <c r="AQ1074" s="68"/>
      <c r="AR1074" s="68"/>
      <c r="AS1074" s="68"/>
      <c r="AT1074" s="68"/>
    </row>
    <row r="1075" spans="1:46" ht="12.95" customHeight="1">
      <c r="A1075" s="1"/>
      <c r="B1075" s="1"/>
      <c r="C1075" s="8"/>
      <c r="D1075" s="1275"/>
      <c r="E1075" s="1275"/>
      <c r="F1075" s="1275"/>
      <c r="G1075" s="1275"/>
      <c r="H1075" s="1275"/>
      <c r="I1075" s="1275"/>
      <c r="J1075" s="1275"/>
      <c r="K1075" s="1275"/>
      <c r="L1075" s="1275"/>
      <c r="M1075" s="1275"/>
      <c r="N1075" s="1275"/>
      <c r="O1075" s="1275"/>
      <c r="P1075" s="1275"/>
      <c r="Q1075" s="1275"/>
      <c r="R1075" s="1275"/>
      <c r="S1075" s="1275"/>
      <c r="T1075" s="1275"/>
      <c r="U1075" s="1275"/>
      <c r="V1075" s="1275"/>
      <c r="W1075" s="1275"/>
      <c r="X1075" s="1275"/>
      <c r="Y1075" s="1275"/>
      <c r="Z1075" s="1275"/>
      <c r="AA1075" s="1275"/>
      <c r="AB1075" s="1275"/>
      <c r="AC1075" s="1275"/>
      <c r="AD1075" s="1275"/>
      <c r="AE1075" s="1275"/>
      <c r="AF1075" s="1275"/>
      <c r="AG1075" s="1275"/>
      <c r="AH1075" s="1275"/>
      <c r="AI1075" s="1275"/>
      <c r="AJ1075" s="1275"/>
      <c r="AK1075" s="1275"/>
    </row>
    <row r="1076" spans="1:46" ht="12.95" customHeight="1">
      <c r="A1076" s="1484" t="s">
        <v>600</v>
      </c>
      <c r="B1076" s="1484"/>
      <c r="C1076" s="8">
        <v>3</v>
      </c>
      <c r="D1076" s="1275" t="s">
        <v>2459</v>
      </c>
      <c r="E1076" s="1275"/>
      <c r="F1076" s="1275"/>
      <c r="G1076" s="1275"/>
      <c r="H1076" s="1275"/>
      <c r="I1076" s="1275"/>
      <c r="J1076" s="1275"/>
      <c r="K1076" s="1275"/>
      <c r="L1076" s="1275"/>
      <c r="M1076" s="1275"/>
      <c r="N1076" s="1275"/>
      <c r="O1076" s="1275"/>
      <c r="P1076" s="1275"/>
      <c r="Q1076" s="1275"/>
      <c r="R1076" s="1275"/>
      <c r="S1076" s="1275"/>
      <c r="T1076" s="1275"/>
      <c r="U1076" s="1275"/>
      <c r="V1076" s="1275"/>
      <c r="W1076" s="1275"/>
      <c r="X1076" s="1275"/>
      <c r="Y1076" s="1275"/>
      <c r="Z1076" s="1275"/>
      <c r="AA1076" s="1275"/>
      <c r="AB1076" s="1275"/>
      <c r="AC1076" s="1275"/>
      <c r="AD1076" s="1275"/>
      <c r="AE1076" s="1275"/>
      <c r="AF1076" s="1275"/>
      <c r="AG1076" s="1275"/>
      <c r="AH1076" s="1275"/>
      <c r="AI1076" s="1275"/>
      <c r="AJ1076" s="1275"/>
      <c r="AK1076" s="1275"/>
    </row>
    <row r="1077" spans="1:46" ht="12.95" customHeight="1">
      <c r="A1077" s="4"/>
      <c r="B1077" s="4"/>
      <c r="C1077" s="8"/>
      <c r="D1077" s="1275"/>
      <c r="E1077" s="1275"/>
      <c r="F1077" s="1275"/>
      <c r="G1077" s="1275"/>
      <c r="H1077" s="1275"/>
      <c r="I1077" s="1275"/>
      <c r="J1077" s="1275"/>
      <c r="K1077" s="1275"/>
      <c r="L1077" s="1275"/>
      <c r="M1077" s="1275"/>
      <c r="N1077" s="1275"/>
      <c r="O1077" s="1275"/>
      <c r="P1077" s="1275"/>
      <c r="Q1077" s="1275"/>
      <c r="R1077" s="1275"/>
      <c r="S1077" s="1275"/>
      <c r="T1077" s="1275"/>
      <c r="U1077" s="1275"/>
      <c r="V1077" s="1275"/>
      <c r="W1077" s="1275"/>
      <c r="X1077" s="1275"/>
      <c r="Y1077" s="1275"/>
      <c r="Z1077" s="1275"/>
      <c r="AA1077" s="1275"/>
      <c r="AB1077" s="1275"/>
      <c r="AC1077" s="1275"/>
      <c r="AD1077" s="1275"/>
      <c r="AE1077" s="1275"/>
      <c r="AF1077" s="1275"/>
      <c r="AG1077" s="1275"/>
      <c r="AH1077" s="1275"/>
      <c r="AI1077" s="1275"/>
      <c r="AJ1077" s="1275"/>
      <c r="AK1077" s="1275"/>
    </row>
    <row r="1078" spans="1:46" ht="12.95" customHeight="1">
      <c r="A1078" s="4"/>
      <c r="B1078" s="4"/>
      <c r="C1078" s="8"/>
      <c r="D1078" s="1275"/>
      <c r="E1078" s="1275"/>
      <c r="F1078" s="1275"/>
      <c r="G1078" s="1275"/>
      <c r="H1078" s="1275"/>
      <c r="I1078" s="1275"/>
      <c r="J1078" s="1275"/>
      <c r="K1078" s="1275"/>
      <c r="L1078" s="1275"/>
      <c r="M1078" s="1275"/>
      <c r="N1078" s="1275"/>
      <c r="O1078" s="1275"/>
      <c r="P1078" s="1275"/>
      <c r="Q1078" s="1275"/>
      <c r="R1078" s="1275"/>
      <c r="S1078" s="1275"/>
      <c r="T1078" s="1275"/>
      <c r="U1078" s="1275"/>
      <c r="V1078" s="1275"/>
      <c r="W1078" s="1275"/>
      <c r="X1078" s="1275"/>
      <c r="Y1078" s="1275"/>
      <c r="Z1078" s="1275"/>
      <c r="AA1078" s="1275"/>
      <c r="AB1078" s="1275"/>
      <c r="AC1078" s="1275"/>
      <c r="AD1078" s="1275"/>
      <c r="AE1078" s="1275"/>
      <c r="AF1078" s="1275"/>
      <c r="AG1078" s="1275"/>
      <c r="AH1078" s="1275"/>
      <c r="AI1078" s="1275"/>
      <c r="AJ1078" s="1275"/>
      <c r="AK1078" s="1275"/>
    </row>
    <row r="1079" spans="1:46" ht="12.95" customHeight="1">
      <c r="A1079" s="35"/>
      <c r="B1079" s="25"/>
      <c r="C1079" s="8"/>
      <c r="D1079" s="1275"/>
      <c r="E1079" s="1275"/>
      <c r="F1079" s="1275"/>
      <c r="G1079" s="1275"/>
      <c r="H1079" s="1275"/>
      <c r="I1079" s="1275"/>
      <c r="J1079" s="1275"/>
      <c r="K1079" s="1275"/>
      <c r="L1079" s="1275"/>
      <c r="M1079" s="1275"/>
      <c r="N1079" s="1275"/>
      <c r="O1079" s="1275"/>
      <c r="P1079" s="1275"/>
      <c r="Q1079" s="1275"/>
      <c r="R1079" s="1275"/>
      <c r="S1079" s="1275"/>
      <c r="T1079" s="1275"/>
      <c r="U1079" s="1275"/>
      <c r="V1079" s="1275"/>
      <c r="W1079" s="1275"/>
      <c r="X1079" s="1275"/>
      <c r="Y1079" s="1275"/>
      <c r="Z1079" s="1275"/>
      <c r="AA1079" s="1275"/>
      <c r="AB1079" s="1275"/>
      <c r="AC1079" s="1275"/>
      <c r="AD1079" s="1275"/>
      <c r="AE1079" s="1275"/>
      <c r="AF1079" s="1275"/>
      <c r="AG1079" s="1275"/>
      <c r="AH1079" s="1275"/>
      <c r="AI1079" s="1275"/>
      <c r="AJ1079" s="1275"/>
      <c r="AK1079" s="1275"/>
    </row>
    <row r="1080" spans="1:46" ht="12.95" customHeight="1">
      <c r="A1080" s="35"/>
      <c r="B1080" s="25"/>
      <c r="C1080" s="8"/>
      <c r="D1080" s="1275"/>
      <c r="E1080" s="1275"/>
      <c r="F1080" s="1275"/>
      <c r="G1080" s="1275"/>
      <c r="H1080" s="1275"/>
      <c r="I1080" s="1275"/>
      <c r="J1080" s="1275"/>
      <c r="K1080" s="1275"/>
      <c r="L1080" s="1275"/>
      <c r="M1080" s="1275"/>
      <c r="N1080" s="1275"/>
      <c r="O1080" s="1275"/>
      <c r="P1080" s="1275"/>
      <c r="Q1080" s="1275"/>
      <c r="R1080" s="1275"/>
      <c r="S1080" s="1275"/>
      <c r="T1080" s="1275"/>
      <c r="U1080" s="1275"/>
      <c r="V1080" s="1275"/>
      <c r="W1080" s="1275"/>
      <c r="X1080" s="1275"/>
      <c r="Y1080" s="1275"/>
      <c r="Z1080" s="1275"/>
      <c r="AA1080" s="1275"/>
      <c r="AB1080" s="1275"/>
      <c r="AC1080" s="1275"/>
      <c r="AD1080" s="1275"/>
      <c r="AE1080" s="1275"/>
      <c r="AF1080" s="1275"/>
      <c r="AG1080" s="1275"/>
      <c r="AH1080" s="1275"/>
      <c r="AI1080" s="1275"/>
      <c r="AJ1080" s="1275"/>
      <c r="AK1080" s="1275"/>
    </row>
    <row r="1081" spans="1:46" ht="12.95" customHeight="1">
      <c r="A1081" s="35"/>
      <c r="B1081" s="25"/>
      <c r="C1081" s="8"/>
      <c r="D1081" s="1275"/>
      <c r="E1081" s="1275"/>
      <c r="F1081" s="1275"/>
      <c r="G1081" s="1275"/>
      <c r="H1081" s="1275"/>
      <c r="I1081" s="1275"/>
      <c r="J1081" s="1275"/>
      <c r="K1081" s="1275"/>
      <c r="L1081" s="1275"/>
      <c r="M1081" s="1275"/>
      <c r="N1081" s="1275"/>
      <c r="O1081" s="1275"/>
      <c r="P1081" s="1275"/>
      <c r="Q1081" s="1275"/>
      <c r="R1081" s="1275"/>
      <c r="S1081" s="1275"/>
      <c r="T1081" s="1275"/>
      <c r="U1081" s="1275"/>
      <c r="V1081" s="1275"/>
      <c r="W1081" s="1275"/>
      <c r="X1081" s="1275"/>
      <c r="Y1081" s="1275"/>
      <c r="Z1081" s="1275"/>
      <c r="AA1081" s="1275"/>
      <c r="AB1081" s="1275"/>
      <c r="AC1081" s="1275"/>
      <c r="AD1081" s="1275"/>
      <c r="AE1081" s="1275"/>
      <c r="AF1081" s="1275"/>
      <c r="AG1081" s="1275"/>
      <c r="AH1081" s="1275"/>
      <c r="AI1081" s="1275"/>
      <c r="AJ1081" s="1275"/>
      <c r="AK1081" s="1275"/>
    </row>
    <row r="1082" spans="1:46" ht="12.95" customHeight="1">
      <c r="A1082" s="35"/>
      <c r="B1082" s="25"/>
      <c r="C1082" s="8"/>
      <c r="D1082" s="1275"/>
      <c r="E1082" s="1275"/>
      <c r="F1082" s="1275"/>
      <c r="G1082" s="1275"/>
      <c r="H1082" s="1275"/>
      <c r="I1082" s="1275"/>
      <c r="J1082" s="1275"/>
      <c r="K1082" s="1275"/>
      <c r="L1082" s="1275"/>
      <c r="M1082" s="1275"/>
      <c r="N1082" s="1275"/>
      <c r="O1082" s="1275"/>
      <c r="P1082" s="1275"/>
      <c r="Q1082" s="1275"/>
      <c r="R1082" s="1275"/>
      <c r="S1082" s="1275"/>
      <c r="T1082" s="1275"/>
      <c r="U1082" s="1275"/>
      <c r="V1082" s="1275"/>
      <c r="W1082" s="1275"/>
      <c r="X1082" s="1275"/>
      <c r="Y1082" s="1275"/>
      <c r="Z1082" s="1275"/>
      <c r="AA1082" s="1275"/>
      <c r="AB1082" s="1275"/>
      <c r="AC1082" s="1275"/>
      <c r="AD1082" s="1275"/>
      <c r="AE1082" s="1275"/>
      <c r="AF1082" s="1275"/>
      <c r="AG1082" s="1275"/>
      <c r="AH1082" s="1275"/>
      <c r="AI1082" s="1275"/>
      <c r="AJ1082" s="1275"/>
      <c r="AK1082" s="1275"/>
    </row>
    <row r="1083" spans="1:46" ht="12.95" customHeight="1">
      <c r="A1083" s="1484" t="s">
        <v>600</v>
      </c>
      <c r="B1083" s="1484"/>
      <c r="C1083" s="8">
        <v>4</v>
      </c>
      <c r="D1083" s="1275" t="s">
        <v>1119</v>
      </c>
      <c r="E1083" s="1275"/>
      <c r="F1083" s="1275"/>
      <c r="G1083" s="1275"/>
      <c r="H1083" s="1275"/>
      <c r="I1083" s="1275"/>
      <c r="J1083" s="1275"/>
      <c r="K1083" s="1275"/>
      <c r="L1083" s="1275"/>
      <c r="M1083" s="1275"/>
      <c r="N1083" s="1275"/>
      <c r="O1083" s="1275"/>
      <c r="P1083" s="1275"/>
      <c r="Q1083" s="1275"/>
      <c r="R1083" s="1275"/>
      <c r="S1083" s="1275"/>
      <c r="T1083" s="1275"/>
      <c r="U1083" s="1275"/>
      <c r="V1083" s="1275"/>
      <c r="W1083" s="1275"/>
      <c r="X1083" s="1275"/>
      <c r="Y1083" s="1275"/>
      <c r="Z1083" s="1275"/>
      <c r="AA1083" s="1275"/>
      <c r="AB1083" s="1275"/>
      <c r="AC1083" s="1275"/>
      <c r="AD1083" s="1275"/>
      <c r="AE1083" s="1275"/>
      <c r="AF1083" s="1275"/>
      <c r="AG1083" s="1275"/>
      <c r="AH1083" s="1275"/>
      <c r="AI1083" s="1275"/>
      <c r="AJ1083" s="1275"/>
      <c r="AK1083" s="1275"/>
    </row>
    <row r="1084" spans="1:46" ht="12.95" customHeight="1">
      <c r="A1084" s="1"/>
      <c r="B1084" s="1"/>
      <c r="C1084" s="8"/>
      <c r="D1084" s="1275"/>
      <c r="E1084" s="1275"/>
      <c r="F1084" s="1275"/>
      <c r="G1084" s="1275"/>
      <c r="H1084" s="1275"/>
      <c r="I1084" s="1275"/>
      <c r="J1084" s="1275"/>
      <c r="K1084" s="1275"/>
      <c r="L1084" s="1275"/>
      <c r="M1084" s="1275"/>
      <c r="N1084" s="1275"/>
      <c r="O1084" s="1275"/>
      <c r="P1084" s="1275"/>
      <c r="Q1084" s="1275"/>
      <c r="R1084" s="1275"/>
      <c r="S1084" s="1275"/>
      <c r="T1084" s="1275"/>
      <c r="U1084" s="1275"/>
      <c r="V1084" s="1275"/>
      <c r="W1084" s="1275"/>
      <c r="X1084" s="1275"/>
      <c r="Y1084" s="1275"/>
      <c r="Z1084" s="1275"/>
      <c r="AA1084" s="1275"/>
      <c r="AB1084" s="1275"/>
      <c r="AC1084" s="1275"/>
      <c r="AD1084" s="1275"/>
      <c r="AE1084" s="1275"/>
      <c r="AF1084" s="1275"/>
      <c r="AG1084" s="1275"/>
      <c r="AH1084" s="1275"/>
      <c r="AI1084" s="1275"/>
      <c r="AJ1084" s="1275"/>
      <c r="AK1084" s="1275"/>
    </row>
    <row r="1085" spans="1:46" ht="12.95" customHeight="1">
      <c r="A1085" s="35"/>
      <c r="B1085" s="25"/>
      <c r="C1085" s="8"/>
      <c r="D1085" s="1275"/>
      <c r="E1085" s="1275"/>
      <c r="F1085" s="1275"/>
      <c r="G1085" s="1275"/>
      <c r="H1085" s="1275"/>
      <c r="I1085" s="1275"/>
      <c r="J1085" s="1275"/>
      <c r="K1085" s="1275"/>
      <c r="L1085" s="1275"/>
      <c r="M1085" s="1275"/>
      <c r="N1085" s="1275"/>
      <c r="O1085" s="1275"/>
      <c r="P1085" s="1275"/>
      <c r="Q1085" s="1275"/>
      <c r="R1085" s="1275"/>
      <c r="S1085" s="1275"/>
      <c r="T1085" s="1275"/>
      <c r="U1085" s="1275"/>
      <c r="V1085" s="1275"/>
      <c r="W1085" s="1275"/>
      <c r="X1085" s="1275"/>
      <c r="Y1085" s="1275"/>
      <c r="Z1085" s="1275"/>
      <c r="AA1085" s="1275"/>
      <c r="AB1085" s="1275"/>
      <c r="AC1085" s="1275"/>
      <c r="AD1085" s="1275"/>
      <c r="AE1085" s="1275"/>
      <c r="AF1085" s="1275"/>
      <c r="AG1085" s="1275"/>
      <c r="AH1085" s="1275"/>
      <c r="AI1085" s="1275"/>
      <c r="AJ1085" s="1275"/>
      <c r="AK1085" s="1275"/>
    </row>
    <row r="1086" spans="1:46" ht="12.95" customHeight="1">
      <c r="A1086" s="1484" t="s">
        <v>600</v>
      </c>
      <c r="B1086" s="1484"/>
      <c r="C1086" s="8">
        <v>5</v>
      </c>
      <c r="D1086" s="1275" t="s">
        <v>2460</v>
      </c>
      <c r="E1086" s="1275"/>
      <c r="F1086" s="1275"/>
      <c r="G1086" s="1275"/>
      <c r="H1086" s="1275"/>
      <c r="I1086" s="1275"/>
      <c r="J1086" s="1275"/>
      <c r="K1086" s="1275"/>
      <c r="L1086" s="1275"/>
      <c r="M1086" s="1275"/>
      <c r="N1086" s="1275"/>
      <c r="O1086" s="1275"/>
      <c r="P1086" s="1275"/>
      <c r="Q1086" s="1275"/>
      <c r="R1086" s="1275"/>
      <c r="S1086" s="1275"/>
      <c r="T1086" s="1275"/>
      <c r="U1086" s="1275"/>
      <c r="V1086" s="1275"/>
      <c r="W1086" s="1275"/>
      <c r="X1086" s="1275"/>
      <c r="Y1086" s="1275"/>
      <c r="Z1086" s="1275"/>
      <c r="AA1086" s="1275"/>
      <c r="AB1086" s="1275"/>
      <c r="AC1086" s="1275"/>
      <c r="AD1086" s="1275"/>
      <c r="AE1086" s="1275"/>
      <c r="AF1086" s="1275"/>
      <c r="AG1086" s="1275"/>
      <c r="AH1086" s="1275"/>
      <c r="AI1086" s="1275"/>
      <c r="AJ1086" s="1275"/>
      <c r="AK1086" s="1275"/>
    </row>
    <row r="1087" spans="1:46" ht="12.95" customHeight="1">
      <c r="A1087" s="1"/>
      <c r="B1087" s="1"/>
      <c r="C1087" s="8"/>
      <c r="D1087" s="1275"/>
      <c r="E1087" s="1275"/>
      <c r="F1087" s="1275"/>
      <c r="G1087" s="1275"/>
      <c r="H1087" s="1275"/>
      <c r="I1087" s="1275"/>
      <c r="J1087" s="1275"/>
      <c r="K1087" s="1275"/>
      <c r="L1087" s="1275"/>
      <c r="M1087" s="1275"/>
      <c r="N1087" s="1275"/>
      <c r="O1087" s="1275"/>
      <c r="P1087" s="1275"/>
      <c r="Q1087" s="1275"/>
      <c r="R1087" s="1275"/>
      <c r="S1087" s="1275"/>
      <c r="T1087" s="1275"/>
      <c r="U1087" s="1275"/>
      <c r="V1087" s="1275"/>
      <c r="W1087" s="1275"/>
      <c r="X1087" s="1275"/>
      <c r="Y1087" s="1275"/>
      <c r="Z1087" s="1275"/>
      <c r="AA1087" s="1275"/>
      <c r="AB1087" s="1275"/>
      <c r="AC1087" s="1275"/>
      <c r="AD1087" s="1275"/>
      <c r="AE1087" s="1275"/>
      <c r="AF1087" s="1275"/>
      <c r="AG1087" s="1275"/>
      <c r="AH1087" s="1275"/>
      <c r="AI1087" s="1275"/>
      <c r="AJ1087" s="1275"/>
      <c r="AK1087" s="1275"/>
    </row>
    <row r="1088" spans="1:46" ht="12.95" customHeight="1">
      <c r="A1088" s="1"/>
      <c r="B1088" s="1"/>
      <c r="C1088" s="8"/>
      <c r="D1088" s="1275"/>
      <c r="E1088" s="1275"/>
      <c r="F1088" s="1275"/>
      <c r="G1088" s="1275"/>
      <c r="H1088" s="1275"/>
      <c r="I1088" s="1275"/>
      <c r="J1088" s="1275"/>
      <c r="K1088" s="1275"/>
      <c r="L1088" s="1275"/>
      <c r="M1088" s="1275"/>
      <c r="N1088" s="1275"/>
      <c r="O1088" s="1275"/>
      <c r="P1088" s="1275"/>
      <c r="Q1088" s="1275"/>
      <c r="R1088" s="1275"/>
      <c r="S1088" s="1275"/>
      <c r="T1088" s="1275"/>
      <c r="U1088" s="1275"/>
      <c r="V1088" s="1275"/>
      <c r="W1088" s="1275"/>
      <c r="X1088" s="1275"/>
      <c r="Y1088" s="1275"/>
      <c r="Z1088" s="1275"/>
      <c r="AA1088" s="1275"/>
      <c r="AB1088" s="1275"/>
      <c r="AC1088" s="1275"/>
      <c r="AD1088" s="1275"/>
      <c r="AE1088" s="1275"/>
      <c r="AF1088" s="1275"/>
      <c r="AG1088" s="1275"/>
      <c r="AH1088" s="1275"/>
      <c r="AI1088" s="1275"/>
      <c r="AJ1088" s="1275"/>
      <c r="AK1088" s="1275"/>
    </row>
    <row r="1089" spans="1:37" ht="12.95" hidden="1" customHeight="1">
      <c r="A1089" s="1"/>
      <c r="B1089" s="1"/>
      <c r="C1089" s="8"/>
      <c r="D1089" s="1275"/>
      <c r="E1089" s="1275"/>
      <c r="F1089" s="1275"/>
      <c r="G1089" s="1275"/>
      <c r="H1089" s="1275"/>
      <c r="I1089" s="1275"/>
      <c r="J1089" s="1275"/>
      <c r="K1089" s="1275"/>
      <c r="L1089" s="1275"/>
      <c r="M1089" s="1275"/>
      <c r="N1089" s="1275"/>
      <c r="O1089" s="1275"/>
      <c r="P1089" s="1275"/>
      <c r="Q1089" s="1275"/>
      <c r="R1089" s="1275"/>
      <c r="S1089" s="1275"/>
      <c r="T1089" s="1275"/>
      <c r="U1089" s="1275"/>
      <c r="V1089" s="1275"/>
      <c r="W1089" s="1275"/>
      <c r="X1089" s="1275"/>
      <c r="Y1089" s="1275"/>
      <c r="Z1089" s="1275"/>
      <c r="AA1089" s="1275"/>
      <c r="AB1089" s="1275"/>
      <c r="AC1089" s="1275"/>
      <c r="AD1089" s="1275"/>
      <c r="AE1089" s="1275"/>
      <c r="AF1089" s="1275"/>
      <c r="AG1089" s="1275"/>
      <c r="AH1089" s="1275"/>
      <c r="AI1089" s="1275"/>
      <c r="AJ1089" s="1275"/>
      <c r="AK1089" s="1275"/>
    </row>
    <row r="1090" spans="1:37" ht="12.95" customHeight="1">
      <c r="A1090" s="35"/>
      <c r="B1090" s="25"/>
      <c r="C1090" s="8"/>
      <c r="D1090" s="1275"/>
      <c r="E1090" s="1275"/>
      <c r="F1090" s="1275"/>
      <c r="G1090" s="1275"/>
      <c r="H1090" s="1275"/>
      <c r="I1090" s="1275"/>
      <c r="J1090" s="1275"/>
      <c r="K1090" s="1275"/>
      <c r="L1090" s="1275"/>
      <c r="M1090" s="1275"/>
      <c r="N1090" s="1275"/>
      <c r="O1090" s="1275"/>
      <c r="P1090" s="1275"/>
      <c r="Q1090" s="1275"/>
      <c r="R1090" s="1275"/>
      <c r="S1090" s="1275"/>
      <c r="T1090" s="1275"/>
      <c r="U1090" s="1275"/>
      <c r="V1090" s="1275"/>
      <c r="W1090" s="1275"/>
      <c r="X1090" s="1275"/>
      <c r="Y1090" s="1275"/>
      <c r="Z1090" s="1275"/>
      <c r="AA1090" s="1275"/>
      <c r="AB1090" s="1275"/>
      <c r="AC1090" s="1275"/>
      <c r="AD1090" s="1275"/>
      <c r="AE1090" s="1275"/>
      <c r="AF1090" s="1275"/>
      <c r="AG1090" s="1275"/>
      <c r="AH1090" s="1275"/>
      <c r="AI1090" s="1275"/>
      <c r="AJ1090" s="1275"/>
      <c r="AK1090" s="1275"/>
    </row>
    <row r="1091" spans="1:37" ht="12.95" customHeight="1">
      <c r="A1091" s="1484" t="s">
        <v>600</v>
      </c>
      <c r="B1091" s="1484"/>
      <c r="C1091" s="8">
        <v>6</v>
      </c>
      <c r="D1091" s="1275" t="s">
        <v>1120</v>
      </c>
      <c r="E1091" s="1275"/>
      <c r="F1091" s="1275"/>
      <c r="G1091" s="1275"/>
      <c r="H1091" s="1275"/>
      <c r="I1091" s="1275"/>
      <c r="J1091" s="1275"/>
      <c r="K1091" s="1275"/>
      <c r="L1091" s="1275"/>
      <c r="M1091" s="1275"/>
      <c r="N1091" s="1275"/>
      <c r="O1091" s="1275"/>
      <c r="P1091" s="1275"/>
      <c r="Q1091" s="1275"/>
      <c r="R1091" s="1275"/>
      <c r="S1091" s="1275"/>
      <c r="T1091" s="1275"/>
      <c r="U1091" s="1275"/>
      <c r="V1091" s="1275"/>
      <c r="W1091" s="1275"/>
      <c r="X1091" s="1275"/>
      <c r="Y1091" s="1275"/>
      <c r="Z1091" s="1275"/>
      <c r="AA1091" s="1275"/>
      <c r="AB1091" s="1275"/>
      <c r="AC1091" s="1275"/>
      <c r="AD1091" s="1275"/>
      <c r="AE1091" s="1275"/>
      <c r="AF1091" s="1275"/>
      <c r="AG1091" s="1275"/>
      <c r="AH1091" s="1275"/>
      <c r="AI1091" s="1275"/>
      <c r="AJ1091" s="1275"/>
      <c r="AK1091" s="1275"/>
    </row>
    <row r="1092" spans="1:37" ht="12.95" customHeight="1">
      <c r="A1092" s="35"/>
      <c r="B1092" s="25"/>
      <c r="C1092" s="8"/>
      <c r="D1092" s="1275"/>
      <c r="E1092" s="1275"/>
      <c r="F1092" s="1275"/>
      <c r="G1092" s="1275"/>
      <c r="H1092" s="1275"/>
      <c r="I1092" s="1275"/>
      <c r="J1092" s="1275"/>
      <c r="K1092" s="1275"/>
      <c r="L1092" s="1275"/>
      <c r="M1092" s="1275"/>
      <c r="N1092" s="1275"/>
      <c r="O1092" s="1275"/>
      <c r="P1092" s="1275"/>
      <c r="Q1092" s="1275"/>
      <c r="R1092" s="1275"/>
      <c r="S1092" s="1275"/>
      <c r="T1092" s="1275"/>
      <c r="U1092" s="1275"/>
      <c r="V1092" s="1275"/>
      <c r="W1092" s="1275"/>
      <c r="X1092" s="1275"/>
      <c r="Y1092" s="1275"/>
      <c r="Z1092" s="1275"/>
      <c r="AA1092" s="1275"/>
      <c r="AB1092" s="1275"/>
      <c r="AC1092" s="1275"/>
      <c r="AD1092" s="1275"/>
      <c r="AE1092" s="1275"/>
      <c r="AF1092" s="1275"/>
      <c r="AG1092" s="1275"/>
      <c r="AH1092" s="1275"/>
      <c r="AI1092" s="1275"/>
      <c r="AJ1092" s="1275"/>
      <c r="AK1092" s="1275"/>
    </row>
    <row r="1093" spans="1:37" ht="12.95" customHeight="1">
      <c r="A1093" s="35"/>
      <c r="B1093" s="25"/>
      <c r="C1093" s="8"/>
      <c r="D1093" s="1275"/>
      <c r="E1093" s="1275"/>
      <c r="F1093" s="1275"/>
      <c r="G1093" s="1275"/>
      <c r="H1093" s="1275"/>
      <c r="I1093" s="1275"/>
      <c r="J1093" s="1275"/>
      <c r="K1093" s="1275"/>
      <c r="L1093" s="1275"/>
      <c r="M1093" s="1275"/>
      <c r="N1093" s="1275"/>
      <c r="O1093" s="1275"/>
      <c r="P1093" s="1275"/>
      <c r="Q1093" s="1275"/>
      <c r="R1093" s="1275"/>
      <c r="S1093" s="1275"/>
      <c r="T1093" s="1275"/>
      <c r="U1093" s="1275"/>
      <c r="V1093" s="1275"/>
      <c r="W1093" s="1275"/>
      <c r="X1093" s="1275"/>
      <c r="Y1093" s="1275"/>
      <c r="Z1093" s="1275"/>
      <c r="AA1093" s="1275"/>
      <c r="AB1093" s="1275"/>
      <c r="AC1093" s="1275"/>
      <c r="AD1093" s="1275"/>
      <c r="AE1093" s="1275"/>
      <c r="AF1093" s="1275"/>
      <c r="AG1093" s="1275"/>
      <c r="AH1093" s="1275"/>
      <c r="AI1093" s="1275"/>
      <c r="AJ1093" s="1275"/>
      <c r="AK1093" s="1275"/>
    </row>
    <row r="1094" spans="1:37" ht="12.95" customHeight="1">
      <c r="A1094" s="1484" t="s">
        <v>600</v>
      </c>
      <c r="B1094" s="1484"/>
      <c r="C1094" s="212">
        <v>7</v>
      </c>
      <c r="D1094" s="1275" t="s">
        <v>1122</v>
      </c>
      <c r="E1094" s="1275"/>
      <c r="F1094" s="1275"/>
      <c r="G1094" s="1275"/>
      <c r="H1094" s="1275"/>
      <c r="I1094" s="1275"/>
      <c r="J1094" s="1275"/>
      <c r="K1094" s="1275"/>
      <c r="L1094" s="1275"/>
      <c r="M1094" s="1275"/>
      <c r="N1094" s="1275"/>
      <c r="O1094" s="1275"/>
      <c r="P1094" s="1275"/>
      <c r="Q1094" s="1275"/>
      <c r="R1094" s="1275"/>
      <c r="S1094" s="1275"/>
      <c r="T1094" s="1275"/>
      <c r="U1094" s="1275"/>
      <c r="V1094" s="1275"/>
      <c r="W1094" s="1275"/>
      <c r="X1094" s="1275"/>
      <c r="Y1094" s="1275"/>
      <c r="Z1094" s="1275"/>
      <c r="AA1094" s="1275"/>
      <c r="AB1094" s="1275"/>
      <c r="AC1094" s="1275"/>
      <c r="AD1094" s="1275"/>
      <c r="AE1094" s="1275"/>
      <c r="AF1094" s="1275"/>
      <c r="AG1094" s="1275"/>
      <c r="AH1094" s="1275"/>
      <c r="AI1094" s="1275"/>
      <c r="AJ1094" s="1275"/>
      <c r="AK1094" s="1275"/>
    </row>
    <row r="1095" spans="1:37" ht="12.95" customHeight="1">
      <c r="A1095" s="1"/>
      <c r="B1095" s="1"/>
      <c r="C1095" s="212"/>
      <c r="D1095" s="1275"/>
      <c r="E1095" s="1275"/>
      <c r="F1095" s="1275"/>
      <c r="G1095" s="1275"/>
      <c r="H1095" s="1275"/>
      <c r="I1095" s="1275"/>
      <c r="J1095" s="1275"/>
      <c r="K1095" s="1275"/>
      <c r="L1095" s="1275"/>
      <c r="M1095" s="1275"/>
      <c r="N1095" s="1275"/>
      <c r="O1095" s="1275"/>
      <c r="P1095" s="1275"/>
      <c r="Q1095" s="1275"/>
      <c r="R1095" s="1275"/>
      <c r="S1095" s="1275"/>
      <c r="T1095" s="1275"/>
      <c r="U1095" s="1275"/>
      <c r="V1095" s="1275"/>
      <c r="W1095" s="1275"/>
      <c r="X1095" s="1275"/>
      <c r="Y1095" s="1275"/>
      <c r="Z1095" s="1275"/>
      <c r="AA1095" s="1275"/>
      <c r="AB1095" s="1275"/>
      <c r="AC1095" s="1275"/>
      <c r="AD1095" s="1275"/>
      <c r="AE1095" s="1275"/>
      <c r="AF1095" s="1275"/>
      <c r="AG1095" s="1275"/>
      <c r="AH1095" s="1275"/>
      <c r="AI1095" s="1275"/>
      <c r="AJ1095" s="1275"/>
      <c r="AK1095" s="1275"/>
    </row>
    <row r="1096" spans="1:37" ht="12.95" customHeight="1">
      <c r="A1096" s="1"/>
      <c r="B1096" s="1"/>
      <c r="C1096" s="212"/>
      <c r="D1096" s="1275"/>
      <c r="E1096" s="1275"/>
      <c r="F1096" s="1275"/>
      <c r="G1096" s="1275"/>
      <c r="H1096" s="1275"/>
      <c r="I1096" s="1275"/>
      <c r="J1096" s="1275"/>
      <c r="K1096" s="1275"/>
      <c r="L1096" s="1275"/>
      <c r="M1096" s="1275"/>
      <c r="N1096" s="1275"/>
      <c r="O1096" s="1275"/>
      <c r="P1096" s="1275"/>
      <c r="Q1096" s="1275"/>
      <c r="R1096" s="1275"/>
      <c r="S1096" s="1275"/>
      <c r="T1096" s="1275"/>
      <c r="U1096" s="1275"/>
      <c r="V1096" s="1275"/>
      <c r="W1096" s="1275"/>
      <c r="X1096" s="1275"/>
      <c r="Y1096" s="1275"/>
      <c r="Z1096" s="1275"/>
      <c r="AA1096" s="1275"/>
      <c r="AB1096" s="1275"/>
      <c r="AC1096" s="1275"/>
      <c r="AD1096" s="1275"/>
      <c r="AE1096" s="1275"/>
      <c r="AF1096" s="1275"/>
      <c r="AG1096" s="1275"/>
      <c r="AH1096" s="1275"/>
      <c r="AI1096" s="1275"/>
      <c r="AJ1096" s="1275"/>
      <c r="AK1096" s="1275"/>
    </row>
    <row r="1097" spans="1:37" ht="12.95" customHeight="1">
      <c r="A1097" s="35"/>
      <c r="B1097" s="25"/>
      <c r="C1097" s="212"/>
      <c r="D1097" s="1275"/>
      <c r="E1097" s="1275"/>
      <c r="F1097" s="1275"/>
      <c r="G1097" s="1275"/>
      <c r="H1097" s="1275"/>
      <c r="I1097" s="1275"/>
      <c r="J1097" s="1275"/>
      <c r="K1097" s="1275"/>
      <c r="L1097" s="1275"/>
      <c r="M1097" s="1275"/>
      <c r="N1097" s="1275"/>
      <c r="O1097" s="1275"/>
      <c r="P1097" s="1275"/>
      <c r="Q1097" s="1275"/>
      <c r="R1097" s="1275"/>
      <c r="S1097" s="1275"/>
      <c r="T1097" s="1275"/>
      <c r="U1097" s="1275"/>
      <c r="V1097" s="1275"/>
      <c r="W1097" s="1275"/>
      <c r="X1097" s="1275"/>
      <c r="Y1097" s="1275"/>
      <c r="Z1097" s="1275"/>
      <c r="AA1097" s="1275"/>
      <c r="AB1097" s="1275"/>
      <c r="AC1097" s="1275"/>
      <c r="AD1097" s="1275"/>
      <c r="AE1097" s="1275"/>
      <c r="AF1097" s="1275"/>
      <c r="AG1097" s="1275"/>
      <c r="AH1097" s="1275"/>
      <c r="AI1097" s="1275"/>
      <c r="AJ1097" s="1275"/>
      <c r="AK1097" s="1275"/>
    </row>
    <row r="1098" spans="1:37" ht="12.95" customHeight="1">
      <c r="A1098" s="1484" t="s">
        <v>600</v>
      </c>
      <c r="B1098" s="1484"/>
      <c r="C1098" s="212">
        <v>8</v>
      </c>
      <c r="D1098" s="1335" t="s">
        <v>1873</v>
      </c>
      <c r="E1098" s="1335"/>
      <c r="F1098" s="1335"/>
      <c r="G1098" s="1335"/>
      <c r="H1098" s="1335"/>
      <c r="I1098" s="1335"/>
      <c r="J1098" s="1335"/>
      <c r="K1098" s="1335"/>
      <c r="L1098" s="1335"/>
      <c r="M1098" s="1335"/>
      <c r="N1098" s="1335"/>
      <c r="O1098" s="1335"/>
      <c r="P1098" s="1335"/>
      <c r="Q1098" s="1335"/>
      <c r="R1098" s="1335"/>
      <c r="S1098" s="1335"/>
      <c r="T1098" s="1335"/>
      <c r="U1098" s="1335"/>
      <c r="V1098" s="1335"/>
      <c r="W1098" s="1335"/>
      <c r="X1098" s="1335"/>
      <c r="Y1098" s="1335"/>
      <c r="Z1098" s="1335"/>
      <c r="AA1098" s="1335"/>
      <c r="AB1098" s="1335"/>
      <c r="AC1098" s="1335"/>
      <c r="AD1098" s="1335"/>
      <c r="AE1098" s="1335"/>
      <c r="AF1098" s="1335"/>
      <c r="AG1098" s="1335"/>
      <c r="AH1098" s="1335"/>
      <c r="AI1098" s="1335"/>
      <c r="AJ1098" s="1335"/>
      <c r="AK1098" s="1335"/>
    </row>
    <row r="1099" spans="1:37" ht="12.95" customHeight="1">
      <c r="A1099" s="1"/>
      <c r="B1099" s="1"/>
      <c r="C1099" s="212"/>
      <c r="D1099" s="1335"/>
      <c r="E1099" s="1335"/>
      <c r="F1099" s="1335"/>
      <c r="G1099" s="1335"/>
      <c r="H1099" s="1335"/>
      <c r="I1099" s="1335"/>
      <c r="J1099" s="1335"/>
      <c r="K1099" s="1335"/>
      <c r="L1099" s="1335"/>
      <c r="M1099" s="1335"/>
      <c r="N1099" s="1335"/>
      <c r="O1099" s="1335"/>
      <c r="P1099" s="1335"/>
      <c r="Q1099" s="1335"/>
      <c r="R1099" s="1335"/>
      <c r="S1099" s="1335"/>
      <c r="T1099" s="1335"/>
      <c r="U1099" s="1335"/>
      <c r="V1099" s="1335"/>
      <c r="W1099" s="1335"/>
      <c r="X1099" s="1335"/>
      <c r="Y1099" s="1335"/>
      <c r="Z1099" s="1335"/>
      <c r="AA1099" s="1335"/>
      <c r="AB1099" s="1335"/>
      <c r="AC1099" s="1335"/>
      <c r="AD1099" s="1335"/>
      <c r="AE1099" s="1335"/>
      <c r="AF1099" s="1335"/>
      <c r="AG1099" s="1335"/>
      <c r="AH1099" s="1335"/>
      <c r="AI1099" s="1335"/>
      <c r="AJ1099" s="1335"/>
      <c r="AK1099" s="1335"/>
    </row>
    <row r="1100" spans="1:37" ht="12.95" customHeight="1">
      <c r="A1100" s="1"/>
      <c r="B1100" s="1"/>
      <c r="C1100" s="212"/>
      <c r="D1100" s="1335"/>
      <c r="E1100" s="1335"/>
      <c r="F1100" s="1335"/>
      <c r="G1100" s="1335"/>
      <c r="H1100" s="1335"/>
      <c r="I1100" s="1335"/>
      <c r="J1100" s="1335"/>
      <c r="K1100" s="1335"/>
      <c r="L1100" s="1335"/>
      <c r="M1100" s="1335"/>
      <c r="N1100" s="1335"/>
      <c r="O1100" s="1335"/>
      <c r="P1100" s="1335"/>
      <c r="Q1100" s="1335"/>
      <c r="R1100" s="1335"/>
      <c r="S1100" s="1335"/>
      <c r="T1100" s="1335"/>
      <c r="U1100" s="1335"/>
      <c r="V1100" s="1335"/>
      <c r="W1100" s="1335"/>
      <c r="X1100" s="1335"/>
      <c r="Y1100" s="1335"/>
      <c r="Z1100" s="1335"/>
      <c r="AA1100" s="1335"/>
      <c r="AB1100" s="1335"/>
      <c r="AC1100" s="1335"/>
      <c r="AD1100" s="1335"/>
      <c r="AE1100" s="1335"/>
      <c r="AF1100" s="1335"/>
      <c r="AG1100" s="1335"/>
      <c r="AH1100" s="1335"/>
      <c r="AI1100" s="1335"/>
      <c r="AJ1100" s="1335"/>
      <c r="AK1100" s="1335"/>
    </row>
    <row r="1101" spans="1:37" ht="0" hidden="1" customHeight="1">
      <c r="A1101" s="1"/>
      <c r="B1101" s="1"/>
      <c r="C1101" s="212"/>
      <c r="D1101" s="1335"/>
      <c r="E1101" s="1335"/>
      <c r="F1101" s="1335"/>
      <c r="G1101" s="1335"/>
      <c r="H1101" s="1335"/>
      <c r="I1101" s="1335"/>
      <c r="J1101" s="1335"/>
      <c r="K1101" s="1335"/>
      <c r="L1101" s="1335"/>
      <c r="M1101" s="1335"/>
      <c r="N1101" s="1335"/>
      <c r="O1101" s="1335"/>
      <c r="P1101" s="1335"/>
      <c r="Q1101" s="1335"/>
      <c r="R1101" s="1335"/>
      <c r="S1101" s="1335"/>
      <c r="T1101" s="1335"/>
      <c r="U1101" s="1335"/>
      <c r="V1101" s="1335"/>
      <c r="W1101" s="1335"/>
      <c r="X1101" s="1335"/>
      <c r="Y1101" s="1335"/>
      <c r="Z1101" s="1335"/>
      <c r="AA1101" s="1335"/>
      <c r="AB1101" s="1335"/>
      <c r="AC1101" s="1335"/>
      <c r="AD1101" s="1335"/>
      <c r="AE1101" s="1335"/>
      <c r="AF1101" s="1335"/>
      <c r="AG1101" s="1335"/>
      <c r="AH1101" s="1335"/>
      <c r="AI1101" s="1335"/>
      <c r="AJ1101" s="1335"/>
      <c r="AK1101" s="1335"/>
    </row>
    <row r="1102" spans="1:37" ht="0" hidden="1" customHeight="1">
      <c r="A1102" s="35"/>
      <c r="B1102" s="25"/>
      <c r="C1102" s="212"/>
      <c r="D1102" s="1335"/>
      <c r="E1102" s="1335"/>
      <c r="F1102" s="1335"/>
      <c r="G1102" s="1335"/>
      <c r="H1102" s="1335"/>
      <c r="I1102" s="1335"/>
      <c r="J1102" s="1335"/>
      <c r="K1102" s="1335"/>
      <c r="L1102" s="1335"/>
      <c r="M1102" s="1335"/>
      <c r="N1102" s="1335"/>
      <c r="O1102" s="1335"/>
      <c r="P1102" s="1335"/>
      <c r="Q1102" s="1335"/>
      <c r="R1102" s="1335"/>
      <c r="S1102" s="1335"/>
      <c r="T1102" s="1335"/>
      <c r="U1102" s="1335"/>
      <c r="V1102" s="1335"/>
      <c r="W1102" s="1335"/>
      <c r="X1102" s="1335"/>
      <c r="Y1102" s="1335"/>
      <c r="Z1102" s="1335"/>
      <c r="AA1102" s="1335"/>
      <c r="AB1102" s="1335"/>
      <c r="AC1102" s="1335"/>
      <c r="AD1102" s="1335"/>
      <c r="AE1102" s="1335"/>
      <c r="AF1102" s="1335"/>
      <c r="AG1102" s="1335"/>
      <c r="AH1102" s="1335"/>
      <c r="AI1102" s="1335"/>
      <c r="AJ1102" s="1335"/>
      <c r="AK1102" s="1335"/>
    </row>
    <row r="1103" spans="1:37" ht="0" hidden="1" customHeight="1">
      <c r="A1103" s="1484" t="s">
        <v>600</v>
      </c>
      <c r="B1103" s="1484"/>
      <c r="C1103" s="212">
        <v>9</v>
      </c>
      <c r="D1103" s="1275" t="s">
        <v>1121</v>
      </c>
      <c r="E1103" s="1275"/>
      <c r="F1103" s="1275"/>
      <c r="G1103" s="1275"/>
      <c r="H1103" s="1275"/>
      <c r="I1103" s="1275"/>
      <c r="J1103" s="1275"/>
      <c r="K1103" s="1275"/>
      <c r="L1103" s="1275"/>
      <c r="M1103" s="1275"/>
      <c r="N1103" s="1275"/>
      <c r="O1103" s="1275"/>
      <c r="P1103" s="1275"/>
      <c r="Q1103" s="1275"/>
      <c r="R1103" s="1275"/>
      <c r="S1103" s="1275"/>
      <c r="T1103" s="1275"/>
      <c r="U1103" s="1275"/>
      <c r="V1103" s="1275"/>
      <c r="W1103" s="1275"/>
      <c r="X1103" s="1275"/>
      <c r="Y1103" s="1275"/>
      <c r="Z1103" s="1275"/>
      <c r="AA1103" s="1275"/>
      <c r="AB1103" s="1275"/>
      <c r="AC1103" s="1275"/>
      <c r="AD1103" s="1275"/>
      <c r="AE1103" s="1275"/>
      <c r="AF1103" s="1275"/>
      <c r="AG1103" s="1275"/>
      <c r="AH1103" s="1275"/>
      <c r="AI1103" s="1275"/>
      <c r="AJ1103" s="1275"/>
      <c r="AK1103" s="1275"/>
    </row>
    <row r="1104" spans="1:37" ht="0" hidden="1" customHeight="1">
      <c r="A1104" s="35"/>
      <c r="B1104" s="25"/>
      <c r="C1104" s="212"/>
      <c r="D1104" s="1275"/>
      <c r="E1104" s="1275"/>
      <c r="F1104" s="1275"/>
      <c r="G1104" s="1275"/>
      <c r="H1104" s="1275"/>
      <c r="I1104" s="1275"/>
      <c r="J1104" s="1275"/>
      <c r="K1104" s="1275"/>
      <c r="L1104" s="1275"/>
      <c r="M1104" s="1275"/>
      <c r="N1104" s="1275"/>
      <c r="O1104" s="1275"/>
      <c r="P1104" s="1275"/>
      <c r="Q1104" s="1275"/>
      <c r="R1104" s="1275"/>
      <c r="S1104" s="1275"/>
      <c r="T1104" s="1275"/>
      <c r="U1104" s="1275"/>
      <c r="V1104" s="1275"/>
      <c r="W1104" s="1275"/>
      <c r="X1104" s="1275"/>
      <c r="Y1104" s="1275"/>
      <c r="Z1104" s="1275"/>
      <c r="AA1104" s="1275"/>
      <c r="AB1104" s="1275"/>
      <c r="AC1104" s="1275"/>
      <c r="AD1104" s="1275"/>
      <c r="AE1104" s="1275"/>
      <c r="AF1104" s="1275"/>
      <c r="AG1104" s="1275"/>
      <c r="AH1104" s="1275"/>
      <c r="AI1104" s="1275"/>
      <c r="AJ1104" s="1275"/>
      <c r="AK1104" s="1275"/>
    </row>
    <row r="1105" spans="4:37" ht="0" hidden="1" customHeight="1">
      <c r="D1105" s="1275"/>
      <c r="E1105" s="1275"/>
      <c r="F1105" s="1275"/>
      <c r="G1105" s="1275"/>
      <c r="H1105" s="1275"/>
      <c r="I1105" s="1275"/>
      <c r="J1105" s="1275"/>
      <c r="K1105" s="1275"/>
      <c r="L1105" s="1275"/>
      <c r="M1105" s="1275"/>
      <c r="N1105" s="1275"/>
      <c r="O1105" s="1275"/>
      <c r="P1105" s="1275"/>
      <c r="Q1105" s="1275"/>
      <c r="R1105" s="1275"/>
      <c r="S1105" s="1275"/>
      <c r="T1105" s="1275"/>
      <c r="U1105" s="1275"/>
      <c r="V1105" s="1275"/>
      <c r="W1105" s="1275"/>
      <c r="X1105" s="1275"/>
      <c r="Y1105" s="1275"/>
      <c r="Z1105" s="1275"/>
      <c r="AA1105" s="1275"/>
      <c r="AB1105" s="1275"/>
      <c r="AC1105" s="1275"/>
      <c r="AD1105" s="1275"/>
      <c r="AE1105" s="1275"/>
      <c r="AF1105" s="1275"/>
      <c r="AG1105" s="1275"/>
      <c r="AH1105" s="1275"/>
      <c r="AI1105" s="1275"/>
      <c r="AJ1105" s="1275"/>
      <c r="AK1105" s="1275"/>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EM666:EQ666"/>
    <mergeCell ref="ER666:EV666"/>
    <mergeCell ref="EW666:FA666"/>
    <mergeCell ref="DX667:EB667"/>
    <mergeCell ref="B722:F722"/>
    <mergeCell ref="O153:AH153"/>
    <mergeCell ref="O154:AH154"/>
    <mergeCell ref="U928:Z928"/>
    <mergeCell ref="AA928:AF928"/>
    <mergeCell ref="U929:Z929"/>
    <mergeCell ref="AA929:AF929"/>
    <mergeCell ref="U930:Z930"/>
    <mergeCell ref="U939:Z939"/>
    <mergeCell ref="F935:T935"/>
    <mergeCell ref="U935:Z935"/>
    <mergeCell ref="AA935:AF935"/>
    <mergeCell ref="U942:Z942"/>
    <mergeCell ref="DX662:EB662"/>
    <mergeCell ref="EC662:EG662"/>
    <mergeCell ref="EH662:EL662"/>
    <mergeCell ref="DX659:EB659"/>
    <mergeCell ref="EC659:EG659"/>
    <mergeCell ref="EH659:EL659"/>
    <mergeCell ref="AH753:AJ753"/>
    <mergeCell ref="T789:W789"/>
    <mergeCell ref="AK745:AO745"/>
    <mergeCell ref="AK746:AO746"/>
    <mergeCell ref="AK747:AO747"/>
    <mergeCell ref="AK748:AO748"/>
    <mergeCell ref="AK749:AO749"/>
    <mergeCell ref="AK750:AO750"/>
    <mergeCell ref="AK751:AO751"/>
    <mergeCell ref="EW631:FA631"/>
    <mergeCell ref="EC636:EG636"/>
    <mergeCell ref="EH636:EL636"/>
    <mergeCell ref="DX636:EB636"/>
    <mergeCell ref="ER636:EV636"/>
    <mergeCell ref="B724:F724"/>
    <mergeCell ref="B728:F728"/>
    <mergeCell ref="O723:S723"/>
    <mergeCell ref="G724:J724"/>
    <mergeCell ref="X725:AB725"/>
    <mergeCell ref="X728:AB728"/>
    <mergeCell ref="ER660:EV660"/>
    <mergeCell ref="EW660:FA660"/>
    <mergeCell ref="DX661:EB661"/>
    <mergeCell ref="EC661:EG661"/>
    <mergeCell ref="EH661:EL661"/>
    <mergeCell ref="EM659:EQ659"/>
    <mergeCell ref="ER659:EV659"/>
    <mergeCell ref="EW659:FA659"/>
    <mergeCell ref="DX660:EB660"/>
    <mergeCell ref="EC660:EG660"/>
    <mergeCell ref="EH660:EL660"/>
    <mergeCell ref="EM660:EQ660"/>
    <mergeCell ref="DX665:EB665"/>
    <mergeCell ref="EC665:EG665"/>
    <mergeCell ref="EH665:EL665"/>
    <mergeCell ref="EM665:EQ665"/>
    <mergeCell ref="ER665:EV665"/>
    <mergeCell ref="EW665:FA665"/>
    <mergeCell ref="DX666:EB666"/>
    <mergeCell ref="EC666:EG666"/>
    <mergeCell ref="EH666:EL666"/>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6:FA636"/>
    <mergeCell ref="ER637:EV637"/>
    <mergeCell ref="EW642:FA642"/>
    <mergeCell ref="EW643:FA643"/>
    <mergeCell ref="DX644:EB644"/>
    <mergeCell ref="EC644:EG644"/>
    <mergeCell ref="EH644:EL644"/>
    <mergeCell ref="EH641:EL641"/>
    <mergeCell ref="EM641:EQ641"/>
    <mergeCell ref="ER641:EV641"/>
    <mergeCell ref="EM644:EQ644"/>
    <mergeCell ref="EW626:FA626"/>
    <mergeCell ref="DX627:EB627"/>
    <mergeCell ref="EC627:EG627"/>
    <mergeCell ref="EH627:EL627"/>
    <mergeCell ref="EM627:EQ627"/>
    <mergeCell ref="ER627:EV627"/>
    <mergeCell ref="ER628:EV628"/>
    <mergeCell ref="EW628:FA628"/>
    <mergeCell ref="EC625:EG625"/>
    <mergeCell ref="EH625:EL625"/>
    <mergeCell ref="EM625:EQ625"/>
    <mergeCell ref="DX629:EB629"/>
    <mergeCell ref="EC629:EG629"/>
    <mergeCell ref="EH629:EL629"/>
    <mergeCell ref="EM629:EQ629"/>
    <mergeCell ref="ER629:EV629"/>
    <mergeCell ref="EW629:FA629"/>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DH620:DL620"/>
    <mergeCell ref="DM620:DQ620"/>
    <mergeCell ref="DC624:DG624"/>
    <mergeCell ref="DH624:DL624"/>
    <mergeCell ref="CS624:CW624"/>
    <mergeCell ref="CX624:DB624"/>
    <mergeCell ref="DM624:DQ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BN623:BR623"/>
    <mergeCell ref="CH623:CL623"/>
    <mergeCell ref="BN624:BR624"/>
    <mergeCell ref="BS624:BW624"/>
    <mergeCell ref="CC621:CG621"/>
    <mergeCell ref="CH621:CL621"/>
    <mergeCell ref="CM621:CQ621"/>
    <mergeCell ref="BN622:BR622"/>
    <mergeCell ref="BS622:BW622"/>
    <mergeCell ref="BX622:CB622"/>
    <mergeCell ref="CC622:CG622"/>
    <mergeCell ref="CH622:CL622"/>
    <mergeCell ref="CM622:CQ622"/>
    <mergeCell ref="CM623:CQ623"/>
    <mergeCell ref="CS628:CW628"/>
    <mergeCell ref="CX628:DB628"/>
    <mergeCell ref="DC628:DG628"/>
    <mergeCell ref="DH628:DL628"/>
    <mergeCell ref="DM628:DQ628"/>
    <mergeCell ref="CH624:CL624"/>
    <mergeCell ref="CM624:CQ624"/>
    <mergeCell ref="DC626:DG626"/>
    <mergeCell ref="DH626:DL626"/>
    <mergeCell ref="DM626:DQ626"/>
    <mergeCell ref="A105:AT106"/>
    <mergeCell ref="L113:O113"/>
    <mergeCell ref="AK742:AO742"/>
    <mergeCell ref="AK743:AO743"/>
    <mergeCell ref="AK744:AO744"/>
    <mergeCell ref="X742:AB742"/>
    <mergeCell ref="X743:AB743"/>
    <mergeCell ref="X744:AB744"/>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AH743:AJ743"/>
    <mergeCell ref="AH744:AJ744"/>
    <mergeCell ref="W418:Y418"/>
    <mergeCell ref="Q494:AK494"/>
    <mergeCell ref="AH524:AK524"/>
    <mergeCell ref="AH525:AK525"/>
    <mergeCell ref="AM560:AS560"/>
    <mergeCell ref="AG446:AJ446"/>
    <mergeCell ref="D440:AF440"/>
    <mergeCell ref="AG438:AJ438"/>
    <mergeCell ref="AM555:AS555"/>
    <mergeCell ref="AG450:AJ450"/>
    <mergeCell ref="AC455:AF455"/>
    <mergeCell ref="W473:Y473"/>
    <mergeCell ref="AG394:AJ394"/>
    <mergeCell ref="AH516:AK516"/>
    <mergeCell ref="Q491:AK491"/>
    <mergeCell ref="AG447:AJ447"/>
    <mergeCell ref="AH495:AK495"/>
    <mergeCell ref="AH529:AK529"/>
    <mergeCell ref="D465:V465"/>
    <mergeCell ref="AH534:AK534"/>
    <mergeCell ref="AC504:AF504"/>
    <mergeCell ref="D449:AF449"/>
    <mergeCell ref="B501:H502"/>
    <mergeCell ref="O523:AA523"/>
    <mergeCell ref="AC519:AF519"/>
    <mergeCell ref="AE424:AF424"/>
    <mergeCell ref="AC523:AF523"/>
    <mergeCell ref="AC510:AF510"/>
    <mergeCell ref="AH510:AK510"/>
    <mergeCell ref="AC512:AF512"/>
    <mergeCell ref="AH512:AK512"/>
    <mergeCell ref="AC454:AF454"/>
    <mergeCell ref="D442:AF442"/>
    <mergeCell ref="AH521:AK521"/>
    <mergeCell ref="AH500:AK500"/>
    <mergeCell ref="AG448:AJ448"/>
    <mergeCell ref="AF430:AG430"/>
    <mergeCell ref="AC529:AF529"/>
    <mergeCell ref="AH530:AK530"/>
    <mergeCell ref="S401:U401"/>
    <mergeCell ref="Q557:S557"/>
    <mergeCell ref="Z557:AD557"/>
    <mergeCell ref="AE556:AH556"/>
    <mergeCell ref="Q558:S558"/>
    <mergeCell ref="AH508:AK508"/>
    <mergeCell ref="B551:L553"/>
    <mergeCell ref="M551:P553"/>
    <mergeCell ref="Q551:S553"/>
    <mergeCell ref="T551:V553"/>
    <mergeCell ref="W551:Y553"/>
    <mergeCell ref="AH507:AK507"/>
    <mergeCell ref="AI558:AL558"/>
    <mergeCell ref="AC536:AF536"/>
    <mergeCell ref="AC514:AF514"/>
    <mergeCell ref="AH506:AK506"/>
    <mergeCell ref="AH538:AK538"/>
    <mergeCell ref="Z551:AD553"/>
    <mergeCell ref="AC522:AF522"/>
    <mergeCell ref="AC531:AF531"/>
    <mergeCell ref="W558:Y558"/>
    <mergeCell ref="AE558:AH558"/>
    <mergeCell ref="AG442:AJ442"/>
    <mergeCell ref="M557:P55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C530:AF530"/>
    <mergeCell ref="O526:AA526"/>
    <mergeCell ref="B517:H519"/>
    <mergeCell ref="AC524:AF524"/>
    <mergeCell ref="AC518:AF518"/>
    <mergeCell ref="AC513:AF513"/>
    <mergeCell ref="AH513:AK513"/>
    <mergeCell ref="AH505:AK505"/>
    <mergeCell ref="AC528:AF528"/>
    <mergeCell ref="T554:V554"/>
    <mergeCell ref="Q556:S556"/>
    <mergeCell ref="AG437:AJ437"/>
    <mergeCell ref="Q554:S554"/>
    <mergeCell ref="E420:AJ420"/>
    <mergeCell ref="AG377:AH377"/>
    <mergeCell ref="E418:G418"/>
    <mergeCell ref="AD411:AE411"/>
    <mergeCell ref="F427:AH428"/>
    <mergeCell ref="V377:W377"/>
    <mergeCell ref="S377:T377"/>
    <mergeCell ref="M495:P495"/>
    <mergeCell ref="AC501:AF501"/>
    <mergeCell ref="AH526:AK526"/>
    <mergeCell ref="AC533:AF533"/>
    <mergeCell ref="Z555:AD555"/>
    <mergeCell ref="AC509:AF509"/>
    <mergeCell ref="AC525:AF525"/>
    <mergeCell ref="AH503:AK503"/>
    <mergeCell ref="AC500:AF500"/>
    <mergeCell ref="L508:AB508"/>
    <mergeCell ref="AH532:AK532"/>
    <mergeCell ref="AH515:AK515"/>
    <mergeCell ref="AC516:AF516"/>
    <mergeCell ref="AC521:AF521"/>
    <mergeCell ref="AH509:AK509"/>
    <mergeCell ref="AC503:AF503"/>
    <mergeCell ref="AC526:AF526"/>
    <mergeCell ref="AH531:AK531"/>
    <mergeCell ref="AH540:AK540"/>
    <mergeCell ref="AC515:AF515"/>
    <mergeCell ref="J387:U387"/>
    <mergeCell ref="J388:U388"/>
    <mergeCell ref="Q485:AK485"/>
    <mergeCell ref="D437:AF437"/>
    <mergeCell ref="D467:V467"/>
    <mergeCell ref="AC540:AF540"/>
    <mergeCell ref="AE562:AH562"/>
    <mergeCell ref="AH542:AK542"/>
    <mergeCell ref="AC542:AF542"/>
    <mergeCell ref="AI557:AL557"/>
    <mergeCell ref="Q562:S562"/>
    <mergeCell ref="AM554:AS554"/>
    <mergeCell ref="O33:P3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AB215:AL215"/>
    <mergeCell ref="T198:U198"/>
    <mergeCell ref="Y212:Z212"/>
    <mergeCell ref="D214:Z214"/>
    <mergeCell ref="AB216:AL216"/>
    <mergeCell ref="G474:V474"/>
    <mergeCell ref="W474:Y474"/>
    <mergeCell ref="D473:V473"/>
    <mergeCell ref="D441:AF441"/>
    <mergeCell ref="D466:V466"/>
    <mergeCell ref="N371:Q371"/>
    <mergeCell ref="V382:W382"/>
    <mergeCell ref="Y364:Z364"/>
    <mergeCell ref="N378:P378"/>
    <mergeCell ref="AG401:AJ401"/>
    <mergeCell ref="AG393:AJ393"/>
    <mergeCell ref="AG391:AJ391"/>
    <mergeCell ref="K404:AJ404"/>
    <mergeCell ref="AC386:AJ386"/>
    <mergeCell ref="Q393:U393"/>
    <mergeCell ref="AG380:AH380"/>
    <mergeCell ref="W466:Y466"/>
    <mergeCell ref="AA324:AF324"/>
    <mergeCell ref="H328:R328"/>
    <mergeCell ref="AA319:AK319"/>
    <mergeCell ref="AA323:AF323"/>
    <mergeCell ref="H320:R320"/>
    <mergeCell ref="H323:M323"/>
    <mergeCell ref="AA330:AK330"/>
    <mergeCell ref="H324:M324"/>
    <mergeCell ref="AA325:AK325"/>
    <mergeCell ref="H321:R321"/>
    <mergeCell ref="H322:R322"/>
    <mergeCell ref="AA331:AF331"/>
    <mergeCell ref="H329:R329"/>
    <mergeCell ref="H332:M332"/>
    <mergeCell ref="AA336:AK336"/>
    <mergeCell ref="P349:AE349"/>
    <mergeCell ref="AC370:AF370"/>
    <mergeCell ref="P348:Z348"/>
    <mergeCell ref="N373:AF374"/>
    <mergeCell ref="AJ355:AK355"/>
    <mergeCell ref="G731:J731"/>
    <mergeCell ref="AE561:AH561"/>
    <mergeCell ref="AM562:AS562"/>
    <mergeCell ref="Z432:AA432"/>
    <mergeCell ref="Q487:AK487"/>
    <mergeCell ref="Q486:AK486"/>
    <mergeCell ref="AH502:AK502"/>
    <mergeCell ref="AC499:AK499"/>
    <mergeCell ref="W468:Y468"/>
    <mergeCell ref="AI562:AL562"/>
    <mergeCell ref="B503:H508"/>
    <mergeCell ref="C554:L554"/>
    <mergeCell ref="C555:L555"/>
    <mergeCell ref="M555:P555"/>
    <mergeCell ref="C556:L556"/>
    <mergeCell ref="M556:P556"/>
    <mergeCell ref="AC508:AF508"/>
    <mergeCell ref="AG441:AJ441"/>
    <mergeCell ref="AH528:AK528"/>
    <mergeCell ref="B514:H516"/>
    <mergeCell ref="Q563:S563"/>
    <mergeCell ref="AI565:AL565"/>
    <mergeCell ref="N583:O583"/>
    <mergeCell ref="C557:L557"/>
    <mergeCell ref="AH537:AK537"/>
    <mergeCell ref="AC534:AF534"/>
    <mergeCell ref="AE559:AH559"/>
    <mergeCell ref="AI559:AL559"/>
    <mergeCell ref="AH520:AK520"/>
    <mergeCell ref="AC537:AF537"/>
    <mergeCell ref="AH539:AK539"/>
    <mergeCell ref="AH541:AK541"/>
    <mergeCell ref="BS609:BW609"/>
    <mergeCell ref="BX609:CB609"/>
    <mergeCell ref="BK597:BL597"/>
    <mergeCell ref="BS597:BW597"/>
    <mergeCell ref="P605:R605"/>
    <mergeCell ref="AG583:AH583"/>
    <mergeCell ref="BE601:BF601"/>
    <mergeCell ref="BE598:BF598"/>
    <mergeCell ref="BN626:BR626"/>
    <mergeCell ref="BE627:BF627"/>
    <mergeCell ref="BG627:BH627"/>
    <mergeCell ref="BI627:BJ627"/>
    <mergeCell ref="BK627:BL627"/>
    <mergeCell ref="BE628:BF628"/>
    <mergeCell ref="AC730:AG730"/>
    <mergeCell ref="BS619:BW619"/>
    <mergeCell ref="BG618:BH618"/>
    <mergeCell ref="BN620:BR620"/>
    <mergeCell ref="P655:R655"/>
    <mergeCell ref="BX602:CB602"/>
    <mergeCell ref="T729:W729"/>
    <mergeCell ref="AH728:AJ728"/>
    <mergeCell ref="T714:W717"/>
    <mergeCell ref="O719:S719"/>
    <mergeCell ref="X724:AB724"/>
    <mergeCell ref="AH722:AJ722"/>
    <mergeCell ref="AO632:AS632"/>
    <mergeCell ref="BX610:CB610"/>
    <mergeCell ref="Z662:AK662"/>
    <mergeCell ref="BI612:BJ612"/>
    <mergeCell ref="BS623:BW623"/>
    <mergeCell ref="BX623:CB623"/>
    <mergeCell ref="CH613:CL613"/>
    <mergeCell ref="BK603:BL603"/>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G623:BH623"/>
    <mergeCell ref="BN619:BR619"/>
    <mergeCell ref="BX612:CB612"/>
    <mergeCell ref="BX615:CB615"/>
    <mergeCell ref="BK610:BL610"/>
    <mergeCell ref="BG611:BH611"/>
    <mergeCell ref="BK607:BL607"/>
    <mergeCell ref="BN607:BR607"/>
    <mergeCell ref="BS607:BW607"/>
    <mergeCell ref="BN609:BR609"/>
    <mergeCell ref="BN610:BR610"/>
    <mergeCell ref="CC620:CG620"/>
    <mergeCell ref="BX608:CB608"/>
    <mergeCell ref="BE612:BF612"/>
    <mergeCell ref="BX611:CB611"/>
    <mergeCell ref="BX614:CB614"/>
    <mergeCell ref="BS613:BW613"/>
    <mergeCell ref="BN655:BR655"/>
    <mergeCell ref="BS640:BW640"/>
    <mergeCell ref="BX639:CB639"/>
    <mergeCell ref="BX640:CB640"/>
    <mergeCell ref="CC640:CG640"/>
    <mergeCell ref="G588:R588"/>
    <mergeCell ref="BE605:BF605"/>
    <mergeCell ref="BE603:BF603"/>
    <mergeCell ref="BE600:BF600"/>
    <mergeCell ref="BS649:BW649"/>
    <mergeCell ref="BX652:CB652"/>
    <mergeCell ref="BI599:BJ599"/>
    <mergeCell ref="BE609:BF609"/>
    <mergeCell ref="BE607:BF607"/>
    <mergeCell ref="BE608:BF608"/>
    <mergeCell ref="BE610:BF610"/>
    <mergeCell ref="BN601:BR601"/>
    <mergeCell ref="BN597:BR597"/>
    <mergeCell ref="BG597:BH597"/>
    <mergeCell ref="BI597:BJ597"/>
    <mergeCell ref="BK596:BL596"/>
    <mergeCell ref="BX619:CB619"/>
    <mergeCell ref="CC616:CG616"/>
    <mergeCell ref="BX618:CB618"/>
    <mergeCell ref="CC618:CG618"/>
    <mergeCell ref="BI630:BJ630"/>
    <mergeCell ref="BN629:BR629"/>
    <mergeCell ref="BS629:BW629"/>
    <mergeCell ref="BX629:CB629"/>
    <mergeCell ref="BI611:BJ611"/>
    <mergeCell ref="BK601:BL601"/>
    <mergeCell ref="BX624:CB624"/>
    <mergeCell ref="CH599:CL599"/>
    <mergeCell ref="BX596:CB596"/>
    <mergeCell ref="BG601:BH601"/>
    <mergeCell ref="BG600:BH600"/>
    <mergeCell ref="CC600:CG600"/>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K600:BL600"/>
    <mergeCell ref="BG598:BH598"/>
    <mergeCell ref="BG607:BH607"/>
    <mergeCell ref="BS610:BW610"/>
    <mergeCell ref="BG596:BH596"/>
    <mergeCell ref="BG599:BH599"/>
    <mergeCell ref="BX607:CB607"/>
    <mergeCell ref="BS598:BW598"/>
    <mergeCell ref="BS599:BW599"/>
    <mergeCell ref="CC598:CG598"/>
    <mergeCell ref="BS604:BW604"/>
    <mergeCell ref="CC605:CG605"/>
    <mergeCell ref="BS602:BW602"/>
    <mergeCell ref="CH612:CL612"/>
    <mergeCell ref="BI607:BJ607"/>
    <mergeCell ref="BG604:BH604"/>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AG607:AH607"/>
    <mergeCell ref="BG603:BH603"/>
    <mergeCell ref="BS605:BW605"/>
    <mergeCell ref="BX605:CB605"/>
    <mergeCell ref="BI601:BJ601"/>
    <mergeCell ref="BI600:BJ600"/>
    <mergeCell ref="BN603:BR603"/>
    <mergeCell ref="BN606:BR606"/>
    <mergeCell ref="BK606:BL606"/>
    <mergeCell ref="BI605:BJ605"/>
    <mergeCell ref="BX603:CB603"/>
    <mergeCell ref="BK598:BL598"/>
    <mergeCell ref="CC601:CG601"/>
    <mergeCell ref="CC602:CG602"/>
    <mergeCell ref="CC597:CG597"/>
    <mergeCell ref="AI323:AK323"/>
    <mergeCell ref="AA320:AK320"/>
    <mergeCell ref="AA337:AK337"/>
    <mergeCell ref="H327:R327"/>
    <mergeCell ref="AA333:AK333"/>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G597:L597"/>
    <mergeCell ref="AG591:AH591"/>
    <mergeCell ref="AE402:AJ402"/>
    <mergeCell ref="AC385:AJ385"/>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AI307:AK307"/>
    <mergeCell ref="M356:N356"/>
    <mergeCell ref="AC535:AF535"/>
    <mergeCell ref="D469:V469"/>
    <mergeCell ref="AC520:AF520"/>
    <mergeCell ref="AC527:AF527"/>
    <mergeCell ref="AA332:AF332"/>
    <mergeCell ref="AA328:AK328"/>
    <mergeCell ref="V276:W276"/>
    <mergeCell ref="K403:AJ403"/>
    <mergeCell ref="AG449:AJ449"/>
    <mergeCell ref="AH262:AK262"/>
    <mergeCell ref="AA311:AK311"/>
    <mergeCell ref="AA306:AK306"/>
    <mergeCell ref="AA303:AK303"/>
    <mergeCell ref="D270:H270"/>
    <mergeCell ref="X270:AC270"/>
    <mergeCell ref="AI315:AK315"/>
    <mergeCell ref="AA304:AK304"/>
    <mergeCell ref="AA312:AK312"/>
    <mergeCell ref="AA288:AK288"/>
    <mergeCell ref="H287:R287"/>
    <mergeCell ref="H296:R296"/>
    <mergeCell ref="H315:M315"/>
    <mergeCell ref="P315:R315"/>
    <mergeCell ref="U255:W255"/>
    <mergeCell ref="P299:R299"/>
    <mergeCell ref="H293:R293"/>
    <mergeCell ref="M264:AE264"/>
    <mergeCell ref="M260:AE260"/>
    <mergeCell ref="A86:AT87"/>
    <mergeCell ref="A89:AT90"/>
    <mergeCell ref="A92:AT98"/>
    <mergeCell ref="A100:AT103"/>
    <mergeCell ref="I184:AE184"/>
    <mergeCell ref="X176:Y176"/>
    <mergeCell ref="X180:Y180"/>
    <mergeCell ref="AP205:AQ205"/>
    <mergeCell ref="A75:AT77"/>
    <mergeCell ref="A79:AT81"/>
    <mergeCell ref="W253:X253"/>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Y123:AK123"/>
    <mergeCell ref="AC245:AE245"/>
    <mergeCell ref="M246:AE246"/>
    <mergeCell ref="AA238:AK238"/>
    <mergeCell ref="AI178:AK178"/>
    <mergeCell ref="M234:T234"/>
    <mergeCell ref="W234:X234"/>
    <mergeCell ref="AB212:AC212"/>
    <mergeCell ref="AF243:AK243"/>
    <mergeCell ref="D205:M205"/>
    <mergeCell ref="J174:AB174"/>
    <mergeCell ref="M238:T238"/>
    <mergeCell ref="G113:H113"/>
    <mergeCell ref="Y120:AK120"/>
    <mergeCell ref="C115:K115"/>
    <mergeCell ref="O160:T160"/>
    <mergeCell ref="O161:AH161"/>
    <mergeCell ref="D164:AH164"/>
    <mergeCell ref="M249:T249"/>
    <mergeCell ref="M26:Q26"/>
    <mergeCell ref="A21:AL21"/>
    <mergeCell ref="F150:T150"/>
    <mergeCell ref="M254:AE254"/>
    <mergeCell ref="J173:S173"/>
    <mergeCell ref="O155:AH155"/>
    <mergeCell ref="O156:AH156"/>
    <mergeCell ref="O157:X157"/>
    <mergeCell ref="O158:R158"/>
    <mergeCell ref="W159:X159"/>
    <mergeCell ref="O159:T159"/>
    <mergeCell ref="AH254:AK254"/>
    <mergeCell ref="P113:S113"/>
    <mergeCell ref="I185:AE185"/>
    <mergeCell ref="M236:R236"/>
    <mergeCell ref="Z236:AE236"/>
    <mergeCell ref="AF251:AK251"/>
    <mergeCell ref="M244:AE244"/>
    <mergeCell ref="I190:N190"/>
    <mergeCell ref="M247:R247"/>
    <mergeCell ref="M245:T245"/>
    <mergeCell ref="D208:M208"/>
    <mergeCell ref="T196:U196"/>
    <mergeCell ref="D220:Z220"/>
    <mergeCell ref="T193:AI193"/>
    <mergeCell ref="U175:V175"/>
    <mergeCell ref="R177:S177"/>
    <mergeCell ref="U236:W236"/>
    <mergeCell ref="M243:AE243"/>
    <mergeCell ref="D204:M204"/>
    <mergeCell ref="P204:U204"/>
    <mergeCell ref="AH195:AI195"/>
    <mergeCell ref="AH196:AI196"/>
    <mergeCell ref="U176:V176"/>
    <mergeCell ref="AH194:AI194"/>
    <mergeCell ref="H338:R338"/>
    <mergeCell ref="H288:R288"/>
    <mergeCell ref="AA290:AK290"/>
    <mergeCell ref="AA335:AK335"/>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M252:AE252"/>
    <mergeCell ref="AA291:AF291"/>
    <mergeCell ref="AI291:AK291"/>
    <mergeCell ref="M259:AE259"/>
    <mergeCell ref="AA293:AK293"/>
    <mergeCell ref="W261:X261"/>
    <mergeCell ref="Z204:AF206"/>
    <mergeCell ref="T197:U197"/>
    <mergeCell ref="P205:U205"/>
    <mergeCell ref="M239:AE239"/>
    <mergeCell ref="AI229:AJ229"/>
    <mergeCell ref="M235:AE235"/>
    <mergeCell ref="U263:W263"/>
    <mergeCell ref="M257:T257"/>
    <mergeCell ref="M256:AE256"/>
    <mergeCell ref="P291:R291"/>
    <mergeCell ref="L274:AJ274"/>
    <mergeCell ref="AA307:AF307"/>
    <mergeCell ref="H313:R313"/>
    <mergeCell ref="H289:R289"/>
    <mergeCell ref="H291:M291"/>
    <mergeCell ref="H299:M299"/>
    <mergeCell ref="H300:M300"/>
    <mergeCell ref="AA257:AK257"/>
    <mergeCell ref="Z263:AE263"/>
    <mergeCell ref="H311:R311"/>
    <mergeCell ref="H308:M308"/>
    <mergeCell ref="P307:R307"/>
    <mergeCell ref="H305:R305"/>
    <mergeCell ref="AA300:AF300"/>
    <mergeCell ref="H306:R306"/>
    <mergeCell ref="AA265:AK265"/>
    <mergeCell ref="H295:R295"/>
    <mergeCell ref="H304:R304"/>
    <mergeCell ref="H303:R303"/>
    <mergeCell ref="AA308:AF308"/>
    <mergeCell ref="AA305:AK305"/>
    <mergeCell ref="M261:T261"/>
    <mergeCell ref="AA329:AK329"/>
    <mergeCell ref="P331:R331"/>
    <mergeCell ref="H333:R333"/>
    <mergeCell ref="H330:R330"/>
    <mergeCell ref="AA321:AK321"/>
    <mergeCell ref="H325:R325"/>
    <mergeCell ref="H307:M307"/>
    <mergeCell ref="H292:M292"/>
    <mergeCell ref="H309:R309"/>
    <mergeCell ref="AA309:AK309"/>
    <mergeCell ref="AA327:AK327"/>
    <mergeCell ref="M263:R263"/>
    <mergeCell ref="M265:T265"/>
    <mergeCell ref="AA314:AK314"/>
    <mergeCell ref="AA313:AK313"/>
    <mergeCell ref="H319:R319"/>
    <mergeCell ref="AA316:AF316"/>
    <mergeCell ref="AA297:AK297"/>
    <mergeCell ref="L279:AD279"/>
    <mergeCell ref="H314:R314"/>
    <mergeCell ref="H316:M316"/>
    <mergeCell ref="AA322:AK322"/>
    <mergeCell ref="AI331:AK331"/>
    <mergeCell ref="B729:F729"/>
    <mergeCell ref="AI560:AL560"/>
    <mergeCell ref="T562:V562"/>
    <mergeCell ref="O529:AA529"/>
    <mergeCell ref="AH533:AK533"/>
    <mergeCell ref="AI563:AL563"/>
    <mergeCell ref="Z562:AD562"/>
    <mergeCell ref="Z563:AD563"/>
    <mergeCell ref="AI564:AL564"/>
    <mergeCell ref="Z554:AD554"/>
    <mergeCell ref="AH726:AJ726"/>
    <mergeCell ref="G719:J719"/>
    <mergeCell ref="N649:O649"/>
    <mergeCell ref="G644:R644"/>
    <mergeCell ref="Z645:AK645"/>
    <mergeCell ref="Z630:AB630"/>
    <mergeCell ref="Z631:AB631"/>
    <mergeCell ref="Z632:AB632"/>
    <mergeCell ref="Z633:AB633"/>
    <mergeCell ref="B720:F720"/>
    <mergeCell ref="Z559:AD559"/>
    <mergeCell ref="Z560:AD560"/>
    <mergeCell ref="G604:R604"/>
    <mergeCell ref="Z604:AK604"/>
    <mergeCell ref="AF574:AK574"/>
    <mergeCell ref="Z585:AK585"/>
    <mergeCell ref="AI561:AL561"/>
    <mergeCell ref="AE560:AH560"/>
    <mergeCell ref="T556:V556"/>
    <mergeCell ref="AI554:AL554"/>
    <mergeCell ref="W557:Y557"/>
    <mergeCell ref="B520:H542"/>
    <mergeCell ref="G720:J720"/>
    <mergeCell ref="B721:F721"/>
    <mergeCell ref="B727:F727"/>
    <mergeCell ref="X723:AB723"/>
    <mergeCell ref="T719:W719"/>
    <mergeCell ref="O724:S724"/>
    <mergeCell ref="T725:W725"/>
    <mergeCell ref="K724:N724"/>
    <mergeCell ref="O718:S718"/>
    <mergeCell ref="O720:S720"/>
    <mergeCell ref="G714:J717"/>
    <mergeCell ref="G668:R668"/>
    <mergeCell ref="P671:R671"/>
    <mergeCell ref="P687:R687"/>
    <mergeCell ref="Z643:AK643"/>
    <mergeCell ref="J705:O705"/>
    <mergeCell ref="J704:X704"/>
    <mergeCell ref="G721:J721"/>
    <mergeCell ref="G722:J722"/>
    <mergeCell ref="O714:S717"/>
    <mergeCell ref="Z654:AK654"/>
    <mergeCell ref="G645:R645"/>
    <mergeCell ref="G679:L679"/>
    <mergeCell ref="Z651:AK651"/>
    <mergeCell ref="B725:F725"/>
    <mergeCell ref="AA680:AK680"/>
    <mergeCell ref="H688:R688"/>
    <mergeCell ref="G676:R676"/>
    <mergeCell ref="G675:R675"/>
    <mergeCell ref="Z667:AK667"/>
    <mergeCell ref="R705:T705"/>
    <mergeCell ref="G678:R678"/>
    <mergeCell ref="C558:L558"/>
    <mergeCell ref="Z613:AE613"/>
    <mergeCell ref="B723:F723"/>
    <mergeCell ref="T722:W722"/>
    <mergeCell ref="B639:AN639"/>
    <mergeCell ref="B640:AN640"/>
    <mergeCell ref="B641:AN641"/>
    <mergeCell ref="AC630:AE630"/>
    <mergeCell ref="AC631:AE631"/>
    <mergeCell ref="AC632:AE632"/>
    <mergeCell ref="Z646:AK646"/>
    <mergeCell ref="G568:R568"/>
    <mergeCell ref="M574:R574"/>
    <mergeCell ref="AH724:AJ724"/>
    <mergeCell ref="T720:W720"/>
    <mergeCell ref="K720:N720"/>
    <mergeCell ref="Z671:AE671"/>
    <mergeCell ref="Z668:AK668"/>
    <mergeCell ref="P663:R663"/>
    <mergeCell ref="G659:R659"/>
    <mergeCell ref="AI679:AK679"/>
    <mergeCell ref="AG657:AH657"/>
    <mergeCell ref="G661:R661"/>
    <mergeCell ref="G610:R610"/>
    <mergeCell ref="Z663:AE663"/>
    <mergeCell ref="AG665:AH665"/>
    <mergeCell ref="G653:R653"/>
    <mergeCell ref="AG681:AH681"/>
    <mergeCell ref="AK630:AN630"/>
    <mergeCell ref="AK631:AN631"/>
    <mergeCell ref="Q624:S626"/>
    <mergeCell ref="AM558:AS558"/>
    <mergeCell ref="D445:AF445"/>
    <mergeCell ref="T557:V557"/>
    <mergeCell ref="D446:AF446"/>
    <mergeCell ref="D447:AF447"/>
    <mergeCell ref="K728:N728"/>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P581:R581"/>
    <mergeCell ref="AI572:AK572"/>
    <mergeCell ref="AA582:AK582"/>
    <mergeCell ref="AI613:AK613"/>
    <mergeCell ref="Q564:S564"/>
    <mergeCell ref="AC538:AF538"/>
    <mergeCell ref="M561:P561"/>
    <mergeCell ref="T788:W788"/>
    <mergeCell ref="O796:S796"/>
    <mergeCell ref="X777:AB777"/>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N575:O575"/>
    <mergeCell ref="G569:R569"/>
    <mergeCell ref="H582:R582"/>
    <mergeCell ref="AK632:AN632"/>
    <mergeCell ref="W635:Y635"/>
    <mergeCell ref="AF624:AJ626"/>
    <mergeCell ref="G643:R643"/>
    <mergeCell ref="AM564:AS564"/>
    <mergeCell ref="AM563:AS563"/>
    <mergeCell ref="H614:R614"/>
    <mergeCell ref="G593:R593"/>
    <mergeCell ref="G579:R579"/>
    <mergeCell ref="AC724:AG724"/>
    <mergeCell ref="W633:Y633"/>
    <mergeCell ref="Z809:AE809"/>
    <mergeCell ref="Y827:AB827"/>
    <mergeCell ref="Q829:T829"/>
    <mergeCell ref="M825:P825"/>
    <mergeCell ref="C825:H825"/>
    <mergeCell ref="AG828:AJ828"/>
    <mergeCell ref="Q830:T830"/>
    <mergeCell ref="Z807:AE807"/>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J769:N772"/>
    <mergeCell ref="AG823:AJ824"/>
    <mergeCell ref="AC797:AG797"/>
    <mergeCell ref="AC787:AG787"/>
    <mergeCell ref="M830:P830"/>
    <mergeCell ref="T791:W791"/>
    <mergeCell ref="Y801:AC801"/>
    <mergeCell ref="Y832:AB832"/>
    <mergeCell ref="M871:V871"/>
    <mergeCell ref="G732:J732"/>
    <mergeCell ref="Y800:AC800"/>
    <mergeCell ref="T741:W741"/>
    <mergeCell ref="G647:L647"/>
    <mergeCell ref="W870:AC870"/>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Q832:T832"/>
    <mergeCell ref="X794:AB794"/>
    <mergeCell ref="T796:W796"/>
    <mergeCell ref="X774:AB774"/>
    <mergeCell ref="AG830:AJ830"/>
    <mergeCell ref="J788:N788"/>
    <mergeCell ref="Z818:AE818"/>
    <mergeCell ref="W857:AC857"/>
    <mergeCell ref="AC826:AF826"/>
    <mergeCell ref="AC827:AF827"/>
    <mergeCell ref="AC777:AG777"/>
    <mergeCell ref="Q823:T824"/>
    <mergeCell ref="AZ851:BA851"/>
    <mergeCell ref="W876:AC876"/>
    <mergeCell ref="M861:V861"/>
    <mergeCell ref="W845:AC845"/>
    <mergeCell ref="W854:AC854"/>
    <mergeCell ref="BD898:BE898"/>
    <mergeCell ref="BD900:BE900"/>
    <mergeCell ref="BD901:BE901"/>
    <mergeCell ref="BD899:BE899"/>
    <mergeCell ref="M875:V875"/>
    <mergeCell ref="W877:AC877"/>
    <mergeCell ref="W853:AC853"/>
    <mergeCell ref="AC886:AH886"/>
    <mergeCell ref="W874:AC874"/>
    <mergeCell ref="C627:L627"/>
    <mergeCell ref="C635:L635"/>
    <mergeCell ref="AC727:AG727"/>
    <mergeCell ref="AC728:AG728"/>
    <mergeCell ref="X721:AB721"/>
    <mergeCell ref="X727:AB727"/>
    <mergeCell ref="U825:X825"/>
    <mergeCell ref="M823:P824"/>
    <mergeCell ref="O791:S791"/>
    <mergeCell ref="Z817:AE817"/>
    <mergeCell ref="X795:AB795"/>
    <mergeCell ref="B738:F738"/>
    <mergeCell ref="AC738:AG738"/>
    <mergeCell ref="B739:F739"/>
    <mergeCell ref="J783:N786"/>
    <mergeCell ref="K726:N726"/>
    <mergeCell ref="H664:R664"/>
    <mergeCell ref="W859:AC859"/>
    <mergeCell ref="BD905:BF905"/>
    <mergeCell ref="M876:V876"/>
    <mergeCell ref="W868:AC868"/>
    <mergeCell ref="AC885:AH885"/>
    <mergeCell ref="BD904:BF904"/>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AC888:AH888"/>
    <mergeCell ref="M878:V878"/>
    <mergeCell ref="AC883:AH883"/>
    <mergeCell ref="Z901:AE901"/>
    <mergeCell ref="AC891:AH891"/>
    <mergeCell ref="C893:AB893"/>
    <mergeCell ref="BD902:BE902"/>
    <mergeCell ref="M877:V877"/>
    <mergeCell ref="W869:AC869"/>
    <mergeCell ref="W875:AC875"/>
    <mergeCell ref="T858:V858"/>
    <mergeCell ref="T860:V860"/>
    <mergeCell ref="W867:AC867"/>
    <mergeCell ref="W862:AC862"/>
    <mergeCell ref="W851:AC851"/>
    <mergeCell ref="U832:X832"/>
    <mergeCell ref="M832:P832"/>
    <mergeCell ref="W866:AC866"/>
    <mergeCell ref="C894:AB894"/>
    <mergeCell ref="AG832:AJ832"/>
    <mergeCell ref="W844:AC844"/>
    <mergeCell ref="AC832:AF832"/>
    <mergeCell ref="Z898:AE898"/>
    <mergeCell ref="AC831:AF831"/>
    <mergeCell ref="W863:AC863"/>
    <mergeCell ref="W849:AC849"/>
    <mergeCell ref="W842:AC842"/>
    <mergeCell ref="W847:AC847"/>
    <mergeCell ref="U828:X828"/>
    <mergeCell ref="BG975:BL975"/>
    <mergeCell ref="AA949:AF949"/>
    <mergeCell ref="AE955:AK955"/>
    <mergeCell ref="AA946:AF946"/>
    <mergeCell ref="BD906:BE906"/>
    <mergeCell ref="BD907:BE907"/>
    <mergeCell ref="U946:Z946"/>
    <mergeCell ref="U918:Z918"/>
    <mergeCell ref="U944:Z944"/>
    <mergeCell ref="AA933:AF933"/>
    <mergeCell ref="U920:Z920"/>
    <mergeCell ref="AA920:AF920"/>
    <mergeCell ref="BD909:BE909"/>
    <mergeCell ref="AB956:AK956"/>
    <mergeCell ref="U948:Z948"/>
    <mergeCell ref="AA927:AF927"/>
    <mergeCell ref="U922:Z922"/>
    <mergeCell ref="AA968:AG968"/>
    <mergeCell ref="T971:Z971"/>
    <mergeCell ref="AA940:AF940"/>
    <mergeCell ref="A909:AT910"/>
    <mergeCell ref="M831:P831"/>
    <mergeCell ref="M970:S970"/>
    <mergeCell ref="M955:S955"/>
    <mergeCell ref="F941:T941"/>
    <mergeCell ref="U941:Z941"/>
    <mergeCell ref="AA941:AF941"/>
    <mergeCell ref="F943:T943"/>
    <mergeCell ref="U943:Z943"/>
    <mergeCell ref="W872:AC872"/>
    <mergeCell ref="AC884:AH884"/>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Y830:AB830"/>
    <mergeCell ref="U921:Z921"/>
    <mergeCell ref="AA923:AF923"/>
    <mergeCell ref="M968:S968"/>
    <mergeCell ref="M846:V846"/>
    <mergeCell ref="W843:AC843"/>
    <mergeCell ref="J849:V849"/>
    <mergeCell ref="AC893:AH893"/>
    <mergeCell ref="W855:AC855"/>
    <mergeCell ref="AC892:AH892"/>
    <mergeCell ref="W846:AC846"/>
    <mergeCell ref="D1076:AK1082"/>
    <mergeCell ref="U919:Z919"/>
    <mergeCell ref="M967:S967"/>
    <mergeCell ref="AA966:AG966"/>
    <mergeCell ref="AA972:AG972"/>
    <mergeCell ref="AE961:AK961"/>
    <mergeCell ref="AC734:AG734"/>
    <mergeCell ref="AC735:AG735"/>
    <mergeCell ref="O783:S786"/>
    <mergeCell ref="O756:R756"/>
    <mergeCell ref="AG756:AJ756"/>
    <mergeCell ref="T776:W776"/>
    <mergeCell ref="AH749:AJ749"/>
    <mergeCell ref="AD759:AF759"/>
    <mergeCell ref="AC774:AG774"/>
    <mergeCell ref="T775:W775"/>
    <mergeCell ref="X739:AB739"/>
    <mergeCell ref="C763:AR765"/>
    <mergeCell ref="C766:AR768"/>
    <mergeCell ref="B754:AH755"/>
    <mergeCell ref="AK739:AO739"/>
    <mergeCell ref="AH750:AJ750"/>
    <mergeCell ref="AH751:AJ751"/>
    <mergeCell ref="B737:F737"/>
    <mergeCell ref="B735:F735"/>
    <mergeCell ref="G752:J752"/>
    <mergeCell ref="T739:W739"/>
    <mergeCell ref="X738:AB738"/>
    <mergeCell ref="AH745:AJ745"/>
    <mergeCell ref="AH746:AJ746"/>
    <mergeCell ref="AH747:AJ747"/>
    <mergeCell ref="AH748:AJ748"/>
    <mergeCell ref="AK740:AO740"/>
    <mergeCell ref="AK741:AO741"/>
    <mergeCell ref="AK752:AO752"/>
    <mergeCell ref="AH738:AJ738"/>
    <mergeCell ref="AH736:AJ736"/>
    <mergeCell ref="O776:S776"/>
    <mergeCell ref="BS641:BW641"/>
    <mergeCell ref="BS632:BW632"/>
    <mergeCell ref="BK631:BL631"/>
    <mergeCell ref="BN631:BR631"/>
    <mergeCell ref="BI618:BJ618"/>
    <mergeCell ref="BK618:BL618"/>
    <mergeCell ref="BI623:BJ623"/>
    <mergeCell ref="BK623:BL623"/>
    <mergeCell ref="BN637:BR637"/>
    <mergeCell ref="BS631:BW631"/>
    <mergeCell ref="BE624:BF624"/>
    <mergeCell ref="BG624:BH624"/>
    <mergeCell ref="BI624:BJ624"/>
    <mergeCell ref="BK624:BL624"/>
    <mergeCell ref="BE625:BF625"/>
    <mergeCell ref="BG625:BH625"/>
    <mergeCell ref="BI625:BJ625"/>
    <mergeCell ref="BK625:BL625"/>
    <mergeCell ref="BE629:BF629"/>
    <mergeCell ref="BG629:BH629"/>
    <mergeCell ref="BI629:BJ629"/>
    <mergeCell ref="BK629:BL629"/>
    <mergeCell ref="BE626:BF626"/>
    <mergeCell ref="BN625:BR625"/>
    <mergeCell ref="BS625:BW625"/>
    <mergeCell ref="BN627:BR627"/>
    <mergeCell ref="BS627:BW627"/>
    <mergeCell ref="BN621:BR621"/>
    <mergeCell ref="BS621:BW621"/>
    <mergeCell ref="BK612:BL612"/>
    <mergeCell ref="BG612:BH612"/>
    <mergeCell ref="BN612:BR612"/>
    <mergeCell ref="BI614:BJ614"/>
    <mergeCell ref="AC629:AE629"/>
    <mergeCell ref="BS620:BW620"/>
    <mergeCell ref="BX620:CB620"/>
    <mergeCell ref="G613:L613"/>
    <mergeCell ref="Z653:AK653"/>
    <mergeCell ref="Z647:AE647"/>
    <mergeCell ref="Z652:AK652"/>
    <mergeCell ref="P647:R647"/>
    <mergeCell ref="AI647:AK647"/>
    <mergeCell ref="AO624:AS626"/>
    <mergeCell ref="AF629:AJ629"/>
    <mergeCell ref="BG626:BH626"/>
    <mergeCell ref="BI626:BJ626"/>
    <mergeCell ref="BK626:BL626"/>
    <mergeCell ref="BX613:CB613"/>
    <mergeCell ref="Z634:AB634"/>
    <mergeCell ref="Z635:AB635"/>
    <mergeCell ref="W628:Y628"/>
    <mergeCell ref="W629:Y629"/>
    <mergeCell ref="W630:Y630"/>
    <mergeCell ref="W631:Y631"/>
    <mergeCell ref="AG615:AH615"/>
    <mergeCell ref="BX649:CB649"/>
    <mergeCell ref="BS630:BW630"/>
    <mergeCell ref="BN639:BR639"/>
    <mergeCell ref="BN640:BR640"/>
    <mergeCell ref="BN641:BR641"/>
    <mergeCell ref="BS616:BW616"/>
    <mergeCell ref="BG613:BH613"/>
    <mergeCell ref="BK615:BL615"/>
    <mergeCell ref="CC614:CG614"/>
    <mergeCell ref="BN615:BR615"/>
    <mergeCell ref="BK616:BL616"/>
    <mergeCell ref="H656:R656"/>
    <mergeCell ref="W636:Y636"/>
    <mergeCell ref="W637:Y637"/>
    <mergeCell ref="W638:Y638"/>
    <mergeCell ref="G651:R651"/>
    <mergeCell ref="G652:R652"/>
    <mergeCell ref="Z655:AE655"/>
    <mergeCell ref="AA656:AK656"/>
    <mergeCell ref="BE613:BF613"/>
    <mergeCell ref="BN618:BR618"/>
    <mergeCell ref="BK617:BL617"/>
    <mergeCell ref="BG631:BH631"/>
    <mergeCell ref="BI631:BJ631"/>
    <mergeCell ref="AO640:AS640"/>
    <mergeCell ref="BN645:BR645"/>
    <mergeCell ref="AO638:AS638"/>
    <mergeCell ref="AF627:AJ627"/>
    <mergeCell ref="BE631:BF631"/>
    <mergeCell ref="H648:R648"/>
    <mergeCell ref="BI615:BJ615"/>
    <mergeCell ref="AC628:AE628"/>
    <mergeCell ref="C629:L629"/>
    <mergeCell ref="C630:L630"/>
    <mergeCell ref="C631:L631"/>
    <mergeCell ref="Q638:S638"/>
    <mergeCell ref="G646:R646"/>
    <mergeCell ref="Z644:AK644"/>
    <mergeCell ref="AO629:AS629"/>
    <mergeCell ref="AF630:AJ630"/>
    <mergeCell ref="BE617:BF617"/>
    <mergeCell ref="AA614:AK614"/>
    <mergeCell ref="CC608:CG608"/>
    <mergeCell ref="CH606:CL606"/>
    <mergeCell ref="CH605:CL605"/>
    <mergeCell ref="CH609:CL609"/>
    <mergeCell ref="BS611:BW611"/>
    <mergeCell ref="BG609:BH609"/>
    <mergeCell ref="BE630:BF630"/>
    <mergeCell ref="BS617:BW617"/>
    <mergeCell ref="CM612:CQ612"/>
    <mergeCell ref="CM613:CQ613"/>
    <mergeCell ref="CM614:CQ614"/>
    <mergeCell ref="CM615:CQ615"/>
    <mergeCell ref="BG615:BH615"/>
    <mergeCell ref="CM616:CQ616"/>
    <mergeCell ref="CM617:CQ617"/>
    <mergeCell ref="CM618:CQ618"/>
    <mergeCell ref="BE615:BF615"/>
    <mergeCell ref="BG619:BH619"/>
    <mergeCell ref="BX616:CB616"/>
    <mergeCell ref="CH618:CL618"/>
    <mergeCell ref="BI619:BJ619"/>
    <mergeCell ref="CC612:CG612"/>
    <mergeCell ref="BS614:BW614"/>
    <mergeCell ref="BX630:CB630"/>
    <mergeCell ref="BG630:BH630"/>
    <mergeCell ref="BN614:BR614"/>
    <mergeCell ref="CH615:CL615"/>
    <mergeCell ref="CC615:CG615"/>
    <mergeCell ref="BI610:BJ610"/>
    <mergeCell ref="BI609:BJ609"/>
    <mergeCell ref="BS647:BW647"/>
    <mergeCell ref="BK611:BL611"/>
    <mergeCell ref="BN600:BR600"/>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38:CG638"/>
    <mergeCell ref="BN611:BR611"/>
    <mergeCell ref="BG608:BH608"/>
    <mergeCell ref="BK605:BL605"/>
    <mergeCell ref="CH617:CL617"/>
    <mergeCell ref="BN638:BR638"/>
    <mergeCell ref="CH611:CL611"/>
    <mergeCell ref="BK619:BL619"/>
    <mergeCell ref="BK614:BL614"/>
    <mergeCell ref="BI613:BJ613"/>
    <mergeCell ref="BK613:BL613"/>
    <mergeCell ref="CH616:CL616"/>
    <mergeCell ref="CH614:CL614"/>
    <mergeCell ref="BN630:BR630"/>
    <mergeCell ref="BK630:BL630"/>
    <mergeCell ref="CC613:CG613"/>
    <mergeCell ref="AM566:AS566"/>
    <mergeCell ref="AM556:AS556"/>
    <mergeCell ref="H573:R573"/>
    <mergeCell ref="B566:AL566"/>
    <mergeCell ref="AM561:AS561"/>
    <mergeCell ref="AM559:AS559"/>
    <mergeCell ref="H590:R590"/>
    <mergeCell ref="G587:R587"/>
    <mergeCell ref="G578:R578"/>
    <mergeCell ref="AF631:AJ631"/>
    <mergeCell ref="AF632:AJ632"/>
    <mergeCell ref="Z602:AK602"/>
    <mergeCell ref="Z612:AK612"/>
    <mergeCell ref="AC627:AE627"/>
    <mergeCell ref="C632:L632"/>
    <mergeCell ref="Z628:AB628"/>
    <mergeCell ref="Z629:AB629"/>
    <mergeCell ref="Q559:S559"/>
    <mergeCell ref="AI556:AL556"/>
    <mergeCell ref="T565:V565"/>
    <mergeCell ref="C560:L560"/>
    <mergeCell ref="M560:P560"/>
    <mergeCell ref="AI581:AK581"/>
    <mergeCell ref="Z601:AK601"/>
    <mergeCell ref="W556:Y556"/>
    <mergeCell ref="AE564:AH564"/>
    <mergeCell ref="G580:R580"/>
    <mergeCell ref="C628:L628"/>
    <mergeCell ref="W627:Y627"/>
    <mergeCell ref="T627:V627"/>
    <mergeCell ref="AA606:AK606"/>
    <mergeCell ref="W561:Y561"/>
    <mergeCell ref="W562:Y562"/>
    <mergeCell ref="W563:Y563"/>
    <mergeCell ref="W564:Y564"/>
    <mergeCell ref="T560:V560"/>
    <mergeCell ref="G570:R570"/>
    <mergeCell ref="Z561:AD561"/>
    <mergeCell ref="M562:P562"/>
    <mergeCell ref="M563:P563"/>
    <mergeCell ref="I421:K421"/>
    <mergeCell ref="T564:V564"/>
    <mergeCell ref="AD412:AE412"/>
    <mergeCell ref="AC456:AF456"/>
    <mergeCell ref="D444:AF444"/>
    <mergeCell ref="N370:Q370"/>
    <mergeCell ref="AA339:AF339"/>
    <mergeCell ref="S405:AJ405"/>
    <mergeCell ref="AC347:AE347"/>
    <mergeCell ref="P343:AE343"/>
    <mergeCell ref="AA340:AF340"/>
    <mergeCell ref="Q492:AK492"/>
    <mergeCell ref="Z570:AK570"/>
    <mergeCell ref="M554:P554"/>
    <mergeCell ref="AH519:AK519"/>
    <mergeCell ref="H414:AE415"/>
    <mergeCell ref="AH536:AK536"/>
    <mergeCell ref="AE425:AF425"/>
    <mergeCell ref="AC507:AF507"/>
    <mergeCell ref="D470:V470"/>
    <mergeCell ref="D468:V468"/>
    <mergeCell ref="AC539:AF539"/>
    <mergeCell ref="F457:AB458"/>
    <mergeCell ref="S489:AK490"/>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P346:AE346"/>
    <mergeCell ref="P344:AE344"/>
    <mergeCell ref="N372:Q372"/>
    <mergeCell ref="P424:Q424"/>
    <mergeCell ref="P339:R339"/>
    <mergeCell ref="BX599:CB599"/>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Z593:AK593"/>
    <mergeCell ref="N363:O363"/>
    <mergeCell ref="I392:N392"/>
    <mergeCell ref="M357:N357"/>
    <mergeCell ref="CX609:DB609"/>
    <mergeCell ref="DC609:DG609"/>
    <mergeCell ref="DH609:DL609"/>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H610:CL610"/>
    <mergeCell ref="CH608:CL608"/>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DM607:DQ607"/>
    <mergeCell ref="DR607:DV607"/>
    <mergeCell ref="CS606:CW606"/>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DH613:DL613"/>
    <mergeCell ref="DC612:DG612"/>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R611:DV611"/>
    <mergeCell ref="CS619:CW619"/>
    <mergeCell ref="CX619:DB619"/>
    <mergeCell ref="DC619:DG619"/>
    <mergeCell ref="DH619:DL619"/>
    <mergeCell ref="DH608:DL608"/>
    <mergeCell ref="CS610:CW610"/>
    <mergeCell ref="CX610:DB610"/>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M619:DQ619"/>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G654:R654"/>
    <mergeCell ref="D1070:AK1075"/>
    <mergeCell ref="CM651:CQ651"/>
    <mergeCell ref="CH649:CL649"/>
    <mergeCell ref="CS645:CW645"/>
    <mergeCell ref="CX645:DB645"/>
    <mergeCell ref="DC645:DG645"/>
    <mergeCell ref="CS646:CW646"/>
    <mergeCell ref="CH639:CL639"/>
    <mergeCell ref="CH647:CL647"/>
    <mergeCell ref="CS650:CW650"/>
    <mergeCell ref="CX650:DB650"/>
    <mergeCell ref="CX646:DB646"/>
    <mergeCell ref="CH646:CL646"/>
    <mergeCell ref="CH632:CL632"/>
    <mergeCell ref="T774:W774"/>
    <mergeCell ref="J779:K779"/>
    <mergeCell ref="J787:N787"/>
    <mergeCell ref="G738:J738"/>
    <mergeCell ref="G737:J737"/>
    <mergeCell ref="G735:J735"/>
    <mergeCell ref="T773:W773"/>
    <mergeCell ref="G736:J736"/>
    <mergeCell ref="C826:H826"/>
    <mergeCell ref="W852:AC852"/>
    <mergeCell ref="AA970:AG970"/>
    <mergeCell ref="AA924:AF924"/>
    <mergeCell ref="AE957:AK957"/>
    <mergeCell ref="T795:W795"/>
    <mergeCell ref="C832:L832"/>
    <mergeCell ref="DC651:DG651"/>
    <mergeCell ref="BG848:BL848"/>
    <mergeCell ref="AH731:AJ731"/>
    <mergeCell ref="D1064:AK1069"/>
    <mergeCell ref="AH727:AJ727"/>
    <mergeCell ref="G727:J727"/>
    <mergeCell ref="C829:H829"/>
    <mergeCell ref="Q828:T828"/>
    <mergeCell ref="AO641:AS641"/>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O727:S727"/>
    <mergeCell ref="A1103:B1103"/>
    <mergeCell ref="G725:J725"/>
    <mergeCell ref="B732:F732"/>
    <mergeCell ref="W861:AC861"/>
    <mergeCell ref="D1094:AK1097"/>
    <mergeCell ref="G726:J726"/>
    <mergeCell ref="R987:AA987"/>
    <mergeCell ref="G729:J729"/>
    <mergeCell ref="B726:F726"/>
    <mergeCell ref="T728:W728"/>
    <mergeCell ref="AC740:AG740"/>
    <mergeCell ref="AC741:AG741"/>
    <mergeCell ref="AC737:AG737"/>
    <mergeCell ref="T732:W732"/>
    <mergeCell ref="T731:W731"/>
    <mergeCell ref="AC796:AG796"/>
    <mergeCell ref="AC788:AG788"/>
    <mergeCell ref="J773:N773"/>
    <mergeCell ref="O773:S773"/>
    <mergeCell ref="T752:W752"/>
    <mergeCell ref="J776:N776"/>
    <mergeCell ref="M874:V874"/>
    <mergeCell ref="R985:AA985"/>
    <mergeCell ref="M958:S958"/>
    <mergeCell ref="AE958:AK958"/>
    <mergeCell ref="W973:AG973"/>
    <mergeCell ref="M972:S972"/>
    <mergeCell ref="M971:S971"/>
    <mergeCell ref="M960:S960"/>
    <mergeCell ref="E885:AB885"/>
    <mergeCell ref="U947:Z947"/>
    <mergeCell ref="U934:Z934"/>
    <mergeCell ref="M827:P827"/>
    <mergeCell ref="J797:N797"/>
    <mergeCell ref="J795:N795"/>
    <mergeCell ref="AH734:AJ734"/>
    <mergeCell ref="AH729:AJ729"/>
    <mergeCell ref="T794:W794"/>
    <mergeCell ref="O728:S728"/>
    <mergeCell ref="O729:S729"/>
    <mergeCell ref="O722:S722"/>
    <mergeCell ref="X722:AB722"/>
    <mergeCell ref="G723:J723"/>
    <mergeCell ref="O725:S725"/>
    <mergeCell ref="O726:S726"/>
    <mergeCell ref="K727:N727"/>
    <mergeCell ref="X752:AB752"/>
    <mergeCell ref="AG826:AJ826"/>
    <mergeCell ref="AG825:AJ825"/>
    <mergeCell ref="AC794:AG794"/>
    <mergeCell ref="AC795:AG795"/>
    <mergeCell ref="O793:S793"/>
    <mergeCell ref="J790:N790"/>
    <mergeCell ref="AC789:AG789"/>
    <mergeCell ref="AC790:AG790"/>
    <mergeCell ref="Y826:AB826"/>
    <mergeCell ref="O733:S733"/>
    <mergeCell ref="O735:S735"/>
    <mergeCell ref="AC736:AG736"/>
    <mergeCell ref="T738:W738"/>
    <mergeCell ref="T744:W744"/>
    <mergeCell ref="K745:N745"/>
    <mergeCell ref="O745:S745"/>
    <mergeCell ref="T745:W745"/>
    <mergeCell ref="J794:N794"/>
    <mergeCell ref="J789:N789"/>
    <mergeCell ref="K725:N725"/>
    <mergeCell ref="T790:W790"/>
    <mergeCell ref="O797:S797"/>
    <mergeCell ref="AC769:AG772"/>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N673:O673"/>
    <mergeCell ref="G687:L687"/>
    <mergeCell ref="D1083:AK1085"/>
    <mergeCell ref="J792:N792"/>
    <mergeCell ref="W871:AC871"/>
    <mergeCell ref="J793:N793"/>
    <mergeCell ref="I410:AE410"/>
    <mergeCell ref="AF178:AG178"/>
    <mergeCell ref="M27:Q27"/>
    <mergeCell ref="Z605:AE605"/>
    <mergeCell ref="Z609:AK609"/>
    <mergeCell ref="G609:R609"/>
    <mergeCell ref="AF636:AJ636"/>
    <mergeCell ref="AF637:AJ637"/>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H336:R336"/>
    <mergeCell ref="J385:U385"/>
    <mergeCell ref="V381:W381"/>
    <mergeCell ref="T555:V555"/>
    <mergeCell ref="W559:Y559"/>
    <mergeCell ref="T558:V558"/>
    <mergeCell ref="T634:V634"/>
    <mergeCell ref="B733:F733"/>
    <mergeCell ref="O741:S741"/>
    <mergeCell ref="G753:J753"/>
    <mergeCell ref="B753:F753"/>
    <mergeCell ref="AC753:AG753"/>
    <mergeCell ref="O753:S753"/>
    <mergeCell ref="Z814:AE814"/>
    <mergeCell ref="Y831:AB831"/>
    <mergeCell ref="O752:S752"/>
    <mergeCell ref="AC828:AF828"/>
    <mergeCell ref="U823:X824"/>
    <mergeCell ref="T737:W737"/>
    <mergeCell ref="Z806:AE806"/>
    <mergeCell ref="AG829:AJ829"/>
    <mergeCell ref="B741:F741"/>
    <mergeCell ref="Z813:AE813"/>
    <mergeCell ref="Y825:AB825"/>
    <mergeCell ref="AC825:AF825"/>
    <mergeCell ref="AG827:AJ827"/>
    <mergeCell ref="M826:P826"/>
    <mergeCell ref="X789:AB789"/>
    <mergeCell ref="X790:AB790"/>
    <mergeCell ref="X791:AB791"/>
    <mergeCell ref="U831:X831"/>
    <mergeCell ref="Q831:T831"/>
    <mergeCell ref="X740:AB740"/>
    <mergeCell ref="C828:H828"/>
    <mergeCell ref="M828:P828"/>
    <mergeCell ref="C827:H827"/>
    <mergeCell ref="F831:L831"/>
    <mergeCell ref="AH739:AJ739"/>
    <mergeCell ref="AH740:AJ740"/>
    <mergeCell ref="B731:F731"/>
    <mergeCell ref="B730:F730"/>
    <mergeCell ref="O731:S731"/>
    <mergeCell ref="O730:S730"/>
    <mergeCell ref="B740:F740"/>
    <mergeCell ref="O739:S739"/>
    <mergeCell ref="O740:S740"/>
    <mergeCell ref="K741:N741"/>
    <mergeCell ref="K752:N752"/>
    <mergeCell ref="O736:S736"/>
    <mergeCell ref="K738:N738"/>
    <mergeCell ref="K730:N730"/>
    <mergeCell ref="K731:N731"/>
    <mergeCell ref="T740:W740"/>
    <mergeCell ref="G741:J741"/>
    <mergeCell ref="AH735:AJ735"/>
    <mergeCell ref="AC742:AG742"/>
    <mergeCell ref="AC743:AG743"/>
    <mergeCell ref="AC744:AG744"/>
    <mergeCell ref="AC745:AG745"/>
    <mergeCell ref="AC746:AG746"/>
    <mergeCell ref="AC747:AG747"/>
    <mergeCell ref="B734:F734"/>
    <mergeCell ref="B736:F736"/>
    <mergeCell ref="T734:W734"/>
    <mergeCell ref="K733:N733"/>
    <mergeCell ref="G740:J740"/>
    <mergeCell ref="T733:W733"/>
    <mergeCell ref="O734:S734"/>
    <mergeCell ref="K739:N739"/>
    <mergeCell ref="X734:AB734"/>
    <mergeCell ref="AH737:AJ737"/>
    <mergeCell ref="T793:W793"/>
    <mergeCell ref="U829:X829"/>
    <mergeCell ref="U827:X827"/>
    <mergeCell ref="Q825:T825"/>
    <mergeCell ref="X745:AB745"/>
    <mergeCell ref="X746:AB746"/>
    <mergeCell ref="X747:AB747"/>
    <mergeCell ref="X748:AB748"/>
    <mergeCell ref="X749:AB749"/>
    <mergeCell ref="X750:AB750"/>
    <mergeCell ref="G739:J739"/>
    <mergeCell ref="X735:AB735"/>
    <mergeCell ref="X736:AB736"/>
    <mergeCell ref="X737:AB737"/>
    <mergeCell ref="T736:W736"/>
    <mergeCell ref="B752:F752"/>
    <mergeCell ref="O732:S732"/>
    <mergeCell ref="T749:W749"/>
    <mergeCell ref="K750:N750"/>
    <mergeCell ref="O750:S750"/>
    <mergeCell ref="T750:W750"/>
    <mergeCell ref="K751:N751"/>
    <mergeCell ref="O751:S751"/>
    <mergeCell ref="T751:W751"/>
    <mergeCell ref="O790:S790"/>
    <mergeCell ref="Q827:T827"/>
    <mergeCell ref="T792:W792"/>
    <mergeCell ref="O777:S777"/>
    <mergeCell ref="X788:AB788"/>
    <mergeCell ref="O775:S775"/>
    <mergeCell ref="J774:N774"/>
    <mergeCell ref="T787:W787"/>
    <mergeCell ref="D1024:AE1024"/>
    <mergeCell ref="K746:N746"/>
    <mergeCell ref="O746:S746"/>
    <mergeCell ref="T746:W746"/>
    <mergeCell ref="K747:N747"/>
    <mergeCell ref="O747:S747"/>
    <mergeCell ref="T747:W747"/>
    <mergeCell ref="X751:AB751"/>
    <mergeCell ref="K740:N740"/>
    <mergeCell ref="X732:AB732"/>
    <mergeCell ref="K734:N734"/>
    <mergeCell ref="K735:N735"/>
    <mergeCell ref="K736:N736"/>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U914:Z916"/>
    <mergeCell ref="U949:Z949"/>
    <mergeCell ref="AA974:AG974"/>
    <mergeCell ref="AA944:AF944"/>
    <mergeCell ref="U917:Z917"/>
    <mergeCell ref="T972:Z972"/>
    <mergeCell ref="I946:T946"/>
    <mergeCell ref="AJ1044:AQ1047"/>
    <mergeCell ref="AJ1048:AQ1051"/>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B990:AA990"/>
    <mergeCell ref="D993:AE993"/>
    <mergeCell ref="D999:AE999"/>
    <mergeCell ref="D1000:AE1000"/>
    <mergeCell ref="D1001:AE1005"/>
    <mergeCell ref="D1010:AE1010"/>
    <mergeCell ref="D1011:AE1011"/>
    <mergeCell ref="AJ1000:AQ1005"/>
    <mergeCell ref="AJ1019:AQ1023"/>
    <mergeCell ref="D1019:AE1020"/>
    <mergeCell ref="AB990:AI990"/>
    <mergeCell ref="I949:T949"/>
    <mergeCell ref="AA942:AF942"/>
    <mergeCell ref="F915:T916"/>
    <mergeCell ref="AA930:AF930"/>
    <mergeCell ref="U931:Z931"/>
    <mergeCell ref="AA931:AF931"/>
    <mergeCell ref="F937:T937"/>
    <mergeCell ref="F938:T938"/>
    <mergeCell ref="F939:T939"/>
    <mergeCell ref="U938:Z938"/>
    <mergeCell ref="M957:S957"/>
    <mergeCell ref="AA971:AG971"/>
    <mergeCell ref="AA919:AF919"/>
    <mergeCell ref="J956:S956"/>
    <mergeCell ref="AA948:AF948"/>
    <mergeCell ref="U940:Z940"/>
    <mergeCell ref="AA943:AF943"/>
    <mergeCell ref="F929:T929"/>
    <mergeCell ref="F930:T930"/>
    <mergeCell ref="F931:T931"/>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H615:EL615"/>
    <mergeCell ref="EM615:EQ615"/>
    <mergeCell ref="ER615:EV615"/>
    <mergeCell ref="EW615:FA615"/>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C609:EG609"/>
    <mergeCell ref="EH609:EL609"/>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M630:EQ630"/>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R616:EV616"/>
    <mergeCell ref="DX617:EB617"/>
    <mergeCell ref="EC617:EG617"/>
    <mergeCell ref="EH617:EL617"/>
    <mergeCell ref="EM617:EQ617"/>
    <mergeCell ref="ER617:EV617"/>
    <mergeCell ref="EW617:FA617"/>
    <mergeCell ref="DX616:EB616"/>
    <mergeCell ref="EC616:EG616"/>
    <mergeCell ref="EH616:EL616"/>
    <mergeCell ref="EM616:EQ616"/>
    <mergeCell ref="DX620:EB620"/>
    <mergeCell ref="EC620:EG620"/>
    <mergeCell ref="EH620:EL620"/>
    <mergeCell ref="EM620:EQ620"/>
    <mergeCell ref="ER620:EV620"/>
    <mergeCell ref="EH639:EL639"/>
    <mergeCell ref="EM639:EQ639"/>
    <mergeCell ref="EM637:EQ637"/>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R644:EV644"/>
    <mergeCell ref="DX618:EB618"/>
    <mergeCell ref="EC618:EG618"/>
    <mergeCell ref="EH618:EL618"/>
    <mergeCell ref="EM618:EQ618"/>
    <mergeCell ref="ER618:EV618"/>
    <mergeCell ref="EW638:FA638"/>
    <mergeCell ref="ER648:EV648"/>
    <mergeCell ref="ER647:EV647"/>
    <mergeCell ref="EH645:EL645"/>
    <mergeCell ref="EM645:EQ645"/>
    <mergeCell ref="EH640:EL640"/>
    <mergeCell ref="EM640:EQ640"/>
    <mergeCell ref="DX639:EB639"/>
    <mergeCell ref="EW619:FA619"/>
    <mergeCell ref="EC630:EG630"/>
    <mergeCell ref="EH630:EL630"/>
    <mergeCell ref="ER646:EV646"/>
    <mergeCell ref="EW646:FA646"/>
    <mergeCell ref="EH647:EL647"/>
    <mergeCell ref="EM647:EQ647"/>
    <mergeCell ref="DX648:EB648"/>
    <mergeCell ref="EM619:EQ619"/>
    <mergeCell ref="ER619:EV619"/>
    <mergeCell ref="EH637:EL637"/>
    <mergeCell ref="EW620:FA620"/>
    <mergeCell ref="DX621:EB621"/>
    <mergeCell ref="EC621:EG621"/>
    <mergeCell ref="EM623:EQ623"/>
    <mergeCell ref="ER623:EV623"/>
    <mergeCell ref="EW623:FA623"/>
    <mergeCell ref="DX624:EB62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W639:FA639"/>
    <mergeCell ref="DX640:EB640"/>
    <mergeCell ref="EC640:EG640"/>
    <mergeCell ref="EW640:FA640"/>
    <mergeCell ref="ER643:EV643"/>
    <mergeCell ref="ER640:EV640"/>
    <mergeCell ref="ER639:EV639"/>
    <mergeCell ref="EW637:FA637"/>
    <mergeCell ref="EC645:EG645"/>
    <mergeCell ref="ER645:EV645"/>
    <mergeCell ref="EW645:FA645"/>
    <mergeCell ref="DX646:EB646"/>
    <mergeCell ref="EC646:EG646"/>
    <mergeCell ref="EH646:EL646"/>
    <mergeCell ref="EM646:EQ646"/>
    <mergeCell ref="EC649:EG649"/>
    <mergeCell ref="EC639:EG639"/>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62:FA662"/>
    <mergeCell ref="DX663:EB663"/>
    <mergeCell ref="EC663:EG663"/>
    <mergeCell ref="EH663:EL663"/>
    <mergeCell ref="EM663:EQ663"/>
    <mergeCell ref="ER663:EV663"/>
    <mergeCell ref="EW663:FA663"/>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DX664:EB664"/>
    <mergeCell ref="DX653:EB653"/>
    <mergeCell ref="EC653:EG653"/>
    <mergeCell ref="DX654:EB654"/>
    <mergeCell ref="EC654:EG654"/>
    <mergeCell ref="EH654:EL654"/>
    <mergeCell ref="AF635:AJ635"/>
    <mergeCell ref="AO635:AS635"/>
    <mergeCell ref="CH640:CL640"/>
    <mergeCell ref="CM640:CQ640"/>
    <mergeCell ref="EW669:FA669"/>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CM639:CQ639"/>
    <mergeCell ref="DX641:EB641"/>
    <mergeCell ref="AK635:AN635"/>
    <mergeCell ref="EH655:EL655"/>
    <mergeCell ref="EM655:EQ655"/>
    <mergeCell ref="DX651:EB651"/>
    <mergeCell ref="EC651:EG651"/>
    <mergeCell ref="AK636:AN636"/>
    <mergeCell ref="AK637:AN637"/>
    <mergeCell ref="AK638:AN638"/>
    <mergeCell ref="CM641:CQ641"/>
    <mergeCell ref="CC637:CG637"/>
    <mergeCell ref="BX641:CB641"/>
    <mergeCell ref="CC641:CG641"/>
    <mergeCell ref="CC639:CG639"/>
    <mergeCell ref="DC630:DG630"/>
    <mergeCell ref="CS630:CW630"/>
    <mergeCell ref="CX630:DB630"/>
    <mergeCell ref="CS631:CW631"/>
    <mergeCell ref="CX631:DB631"/>
    <mergeCell ref="CH631:CL631"/>
    <mergeCell ref="CM645:CQ645"/>
    <mergeCell ref="DX632:EB632"/>
    <mergeCell ref="EC632:EG632"/>
    <mergeCell ref="AK633:AN633"/>
    <mergeCell ref="BX645:CB645"/>
    <mergeCell ref="BX638:CB638"/>
    <mergeCell ref="AO634:AS634"/>
    <mergeCell ref="BX637:CB637"/>
    <mergeCell ref="CH638:CL638"/>
    <mergeCell ref="AK634:AN634"/>
    <mergeCell ref="AO639:AS639"/>
    <mergeCell ref="CC631:CG631"/>
    <mergeCell ref="EC637:EG637"/>
    <mergeCell ref="DR651:DV651"/>
    <mergeCell ref="BX651:CB651"/>
    <mergeCell ref="CC651:CG651"/>
    <mergeCell ref="CX614:DB614"/>
    <mergeCell ref="CC617:CG617"/>
    <mergeCell ref="CC619:CG619"/>
    <mergeCell ref="BE614:BF614"/>
    <mergeCell ref="BI617:BJ617"/>
    <mergeCell ref="BE616:BF616"/>
    <mergeCell ref="BG616:BH616"/>
    <mergeCell ref="BG632:BH632"/>
    <mergeCell ref="BK632:BL632"/>
    <mergeCell ref="BN632:BR632"/>
    <mergeCell ref="DR630:DV630"/>
    <mergeCell ref="DH630:DL630"/>
    <mergeCell ref="DM618:DQ618"/>
    <mergeCell ref="DR618:DV618"/>
    <mergeCell ref="DM645:DQ645"/>
    <mergeCell ref="DR645:DV645"/>
    <mergeCell ref="CC645:CG645"/>
    <mergeCell ref="CH637:CL637"/>
    <mergeCell ref="CH641:CL641"/>
    <mergeCell ref="BS637:BW637"/>
    <mergeCell ref="DM632:DQ632"/>
    <mergeCell ref="DC631:DG631"/>
    <mergeCell ref="DM631:DQ631"/>
    <mergeCell ref="DH631:DL631"/>
    <mergeCell ref="DM617:DQ617"/>
    <mergeCell ref="CC630:CG630"/>
    <mergeCell ref="BX632:CB632"/>
    <mergeCell ref="DC614:DG614"/>
    <mergeCell ref="CC624:CG624"/>
    <mergeCell ref="CC625:CG625"/>
    <mergeCell ref="BG614:BH614"/>
    <mergeCell ref="BS639:BW639"/>
    <mergeCell ref="EM609:EQ609"/>
    <mergeCell ref="ER609:EV609"/>
    <mergeCell ref="DM616:DQ616"/>
    <mergeCell ref="CS616:CW616"/>
    <mergeCell ref="AO637:AS637"/>
    <mergeCell ref="CS614:CW614"/>
    <mergeCell ref="CS605:CW605"/>
    <mergeCell ref="CX605:DB605"/>
    <mergeCell ref="AF633:AJ633"/>
    <mergeCell ref="AO630:AS630"/>
    <mergeCell ref="G612:R612"/>
    <mergeCell ref="Z611:AK611"/>
    <mergeCell ref="CX613:DB613"/>
    <mergeCell ref="AO636:AS636"/>
    <mergeCell ref="AO627:AS627"/>
    <mergeCell ref="BX606:CB606"/>
    <mergeCell ref="EH619:EL619"/>
    <mergeCell ref="DR616:DV616"/>
    <mergeCell ref="CX616:DB616"/>
    <mergeCell ref="DC632:DG632"/>
    <mergeCell ref="DH632:DL632"/>
    <mergeCell ref="CM619:CQ619"/>
    <mergeCell ref="CH619:CL619"/>
    <mergeCell ref="CM633:CQ633"/>
    <mergeCell ref="CC632:CG632"/>
    <mergeCell ref="CM630:CQ630"/>
    <mergeCell ref="CM631:CQ631"/>
    <mergeCell ref="W632:Y632"/>
    <mergeCell ref="Q636:S636"/>
    <mergeCell ref="Q637:S637"/>
    <mergeCell ref="DX612:EB612"/>
    <mergeCell ref="EC612:EG612"/>
    <mergeCell ref="EH612:EL612"/>
    <mergeCell ref="EM612:EQ612"/>
    <mergeCell ref="ER612:EV612"/>
    <mergeCell ref="BN617:BR617"/>
    <mergeCell ref="DR619:DV619"/>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C646:CG646"/>
    <mergeCell ref="DH647:DL647"/>
    <mergeCell ref="DM647:DQ647"/>
    <mergeCell ref="DR647:DV647"/>
    <mergeCell ref="BN647:BR647"/>
    <mergeCell ref="CM648:CQ648"/>
    <mergeCell ref="DH614:DL614"/>
    <mergeCell ref="DM614:DQ614"/>
    <mergeCell ref="CC648:CG648"/>
    <mergeCell ref="DH646:DL646"/>
    <mergeCell ref="DM646:DQ646"/>
    <mergeCell ref="DR646:DV646"/>
    <mergeCell ref="CS618:CW618"/>
    <mergeCell ref="CX618:DB618"/>
    <mergeCell ref="DC618:DG618"/>
    <mergeCell ref="DH645:DL645"/>
    <mergeCell ref="BX646:CB646"/>
    <mergeCell ref="CM632:CQ632"/>
    <mergeCell ref="CM637:CQ637"/>
    <mergeCell ref="CH630:CL630"/>
    <mergeCell ref="BS648:BW648"/>
    <mergeCell ref="CM638:CQ638"/>
    <mergeCell ref="CS648:CW648"/>
    <mergeCell ref="BX648:CB648"/>
    <mergeCell ref="CM650:CQ650"/>
    <mergeCell ref="DR650:DV650"/>
    <mergeCell ref="CH650:CL650"/>
    <mergeCell ref="BS650:BW650"/>
    <mergeCell ref="CH625:CL625"/>
    <mergeCell ref="CM625:CQ625"/>
    <mergeCell ref="BX625:CB625"/>
    <mergeCell ref="CC623:CG623"/>
    <mergeCell ref="CC629:CG629"/>
    <mergeCell ref="CH629:CL629"/>
    <mergeCell ref="CM629:CQ629"/>
    <mergeCell ref="CS620:CW620"/>
    <mergeCell ref="CX620:DB620"/>
    <mergeCell ref="CH626:CL626"/>
    <mergeCell ref="CM626:CQ626"/>
    <mergeCell ref="BX621:CB621"/>
    <mergeCell ref="CS632:CW632"/>
    <mergeCell ref="CX632:DB632"/>
    <mergeCell ref="CM647:CQ647"/>
    <mergeCell ref="CM646:CQ646"/>
    <mergeCell ref="BX647:CB647"/>
    <mergeCell ref="CS655:CW655"/>
    <mergeCell ref="DH652:DL652"/>
    <mergeCell ref="DM652:DQ652"/>
    <mergeCell ref="CS653:CW653"/>
    <mergeCell ref="CX653:DB653"/>
    <mergeCell ref="CH660:CL660"/>
    <mergeCell ref="DH650:DL650"/>
    <mergeCell ref="DM650:DQ650"/>
    <mergeCell ref="CX649:DB649"/>
    <mergeCell ref="DC649:DG649"/>
    <mergeCell ref="BS651:BW651"/>
    <mergeCell ref="BS652:BW652"/>
    <mergeCell ref="CH651:CL651"/>
    <mergeCell ref="DM653:DQ653"/>
    <mergeCell ref="DH654:DL654"/>
    <mergeCell ref="DM654:DQ654"/>
    <mergeCell ref="DH655:DL655"/>
    <mergeCell ref="DM655:DQ655"/>
    <mergeCell ref="BS655:BW655"/>
    <mergeCell ref="BX655:CB655"/>
    <mergeCell ref="DH653:DL653"/>
    <mergeCell ref="CC649:CG649"/>
    <mergeCell ref="CC650:CG650"/>
    <mergeCell ref="CC652:CG652"/>
    <mergeCell ref="CC653:CG653"/>
    <mergeCell ref="CC654:CG654"/>
    <mergeCell ref="BX650:CB650"/>
    <mergeCell ref="BX653:CB653"/>
    <mergeCell ref="BX654:CB654"/>
    <mergeCell ref="DR649:DV649"/>
    <mergeCell ref="DR652:DV652"/>
    <mergeCell ref="EM649:EQ649"/>
    <mergeCell ref="CC647:CG647"/>
    <mergeCell ref="AH733:AJ733"/>
    <mergeCell ref="CH652:CL652"/>
    <mergeCell ref="CH653:CL653"/>
    <mergeCell ref="CH654:CL654"/>
    <mergeCell ref="CM652:CQ652"/>
    <mergeCell ref="CM653:CQ653"/>
    <mergeCell ref="CM654:CQ654"/>
    <mergeCell ref="BN652:BR652"/>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CS647:CW647"/>
    <mergeCell ref="CX647:DB647"/>
    <mergeCell ref="DC647:DG647"/>
    <mergeCell ref="CX655:DB655"/>
    <mergeCell ref="CX651:DB651"/>
    <mergeCell ref="CH648:CL648"/>
    <mergeCell ref="DC655:DG655"/>
    <mergeCell ref="DR655:DV655"/>
    <mergeCell ref="CS652:CW652"/>
    <mergeCell ref="CX652:DB652"/>
    <mergeCell ref="DC652:DG652"/>
    <mergeCell ref="DC650:DG650"/>
    <mergeCell ref="AK731:AO731"/>
    <mergeCell ref="AK732:AO732"/>
    <mergeCell ref="AK733:AO733"/>
    <mergeCell ref="AK734:AO734"/>
    <mergeCell ref="AK735:AO735"/>
    <mergeCell ref="DR654:DV654"/>
    <mergeCell ref="DR653:DV653"/>
    <mergeCell ref="DH651:DL651"/>
    <mergeCell ref="DM651:DQ651"/>
    <mergeCell ref="BN649:BR649"/>
    <mergeCell ref="BN648:BR648"/>
    <mergeCell ref="CC655:CG655"/>
    <mergeCell ref="CH655:CL655"/>
    <mergeCell ref="CM655:CQ655"/>
    <mergeCell ref="Z685:AK685"/>
    <mergeCell ref="CM660:CQ660"/>
    <mergeCell ref="CM649:CQ649"/>
    <mergeCell ref="DH649:DL649"/>
    <mergeCell ref="DM649:DQ649"/>
    <mergeCell ref="CS651:CW651"/>
    <mergeCell ref="AK723:AO723"/>
    <mergeCell ref="AK724:AO724"/>
    <mergeCell ref="AK725:AO725"/>
    <mergeCell ref="DC653:DG653"/>
    <mergeCell ref="AI663:AK663"/>
    <mergeCell ref="Z661:AK661"/>
    <mergeCell ref="DR657:DV657"/>
    <mergeCell ref="AK728:AO728"/>
    <mergeCell ref="AK729:AO729"/>
    <mergeCell ref="X733:AB733"/>
    <mergeCell ref="AK720:AO720"/>
    <mergeCell ref="AK721:AO721"/>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C729:AG729"/>
    <mergeCell ref="EM670:EQ670"/>
    <mergeCell ref="AK726:AO726"/>
    <mergeCell ref="Z675:AK675"/>
    <mergeCell ref="AE702:AF702"/>
    <mergeCell ref="AE693:AF693"/>
    <mergeCell ref="AE694:AF694"/>
    <mergeCell ref="AK727:AO727"/>
    <mergeCell ref="Z686:AK686"/>
    <mergeCell ref="AG689:AH689"/>
    <mergeCell ref="W703:AK703"/>
    <mergeCell ref="CC660:CG660"/>
    <mergeCell ref="BS660:BW660"/>
    <mergeCell ref="EC664:EG664"/>
    <mergeCell ref="EH664:EL664"/>
    <mergeCell ref="X720:AB720"/>
    <mergeCell ref="BN660:BR660"/>
    <mergeCell ref="Z659:AK659"/>
    <mergeCell ref="Z660:AK660"/>
    <mergeCell ref="X729:AB729"/>
    <mergeCell ref="DX656:EB656"/>
    <mergeCell ref="EC656:EG656"/>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C733:AG733"/>
    <mergeCell ref="AC739:AG739"/>
    <mergeCell ref="G730:J730"/>
    <mergeCell ref="X730:AB730"/>
    <mergeCell ref="X731:AB731"/>
    <mergeCell ref="P679:R679"/>
    <mergeCell ref="Z676:AK676"/>
    <mergeCell ref="AI687:AK687"/>
    <mergeCell ref="AE696:AI696"/>
    <mergeCell ref="K718:N718"/>
    <mergeCell ref="K719:N719"/>
    <mergeCell ref="G718:J718"/>
    <mergeCell ref="AH719:AJ719"/>
    <mergeCell ref="A709:AT711"/>
    <mergeCell ref="M635:P635"/>
    <mergeCell ref="M636:P636"/>
    <mergeCell ref="M637:P637"/>
    <mergeCell ref="M638:P638"/>
    <mergeCell ref="Z636:AB636"/>
    <mergeCell ref="Z637:AB637"/>
    <mergeCell ref="Z638:AB638"/>
    <mergeCell ref="G655:L655"/>
    <mergeCell ref="B719:F719"/>
    <mergeCell ref="B714:F717"/>
    <mergeCell ref="T635:V635"/>
    <mergeCell ref="T636:V636"/>
    <mergeCell ref="T637:V637"/>
    <mergeCell ref="T638:V638"/>
    <mergeCell ref="N657:O657"/>
    <mergeCell ref="G663:L663"/>
    <mergeCell ref="B718:F718"/>
    <mergeCell ref="Z624:AB626"/>
    <mergeCell ref="Z627:AB627"/>
    <mergeCell ref="T628:V628"/>
    <mergeCell ref="AK722:AO722"/>
    <mergeCell ref="G660:R660"/>
    <mergeCell ref="X714:AB717"/>
    <mergeCell ref="Z679:AE679"/>
    <mergeCell ref="H680:R680"/>
    <mergeCell ref="Z670:AK670"/>
    <mergeCell ref="G670:R670"/>
    <mergeCell ref="Z669:AK669"/>
    <mergeCell ref="E707:AK707"/>
    <mergeCell ref="W706:AK706"/>
    <mergeCell ref="AA688:AK688"/>
    <mergeCell ref="AC719:AG719"/>
    <mergeCell ref="G677:R677"/>
    <mergeCell ref="Z678:AK678"/>
    <mergeCell ref="G685:R685"/>
    <mergeCell ref="N665:O665"/>
    <mergeCell ref="H672:R672"/>
    <mergeCell ref="Q635:S635"/>
    <mergeCell ref="AK629:AN629"/>
    <mergeCell ref="W700:AK700"/>
    <mergeCell ref="Z683:AK683"/>
    <mergeCell ref="C633:L633"/>
    <mergeCell ref="C634:L634"/>
    <mergeCell ref="M624:P626"/>
    <mergeCell ref="M627:P627"/>
    <mergeCell ref="M628:P628"/>
    <mergeCell ref="M629:P629"/>
    <mergeCell ref="M630:P630"/>
    <mergeCell ref="M631:P631"/>
    <mergeCell ref="A83:AT84"/>
    <mergeCell ref="AG649:AH649"/>
    <mergeCell ref="A69:AT70"/>
    <mergeCell ref="A72:AT73"/>
    <mergeCell ref="K748:N748"/>
    <mergeCell ref="O748:S748"/>
    <mergeCell ref="T563:V563"/>
    <mergeCell ref="Z588:AK588"/>
    <mergeCell ref="Z564:AD564"/>
    <mergeCell ref="Z565:AD565"/>
    <mergeCell ref="Z572:AE572"/>
    <mergeCell ref="Z578:AK578"/>
    <mergeCell ref="Z603:AK603"/>
    <mergeCell ref="AI605:AK605"/>
    <mergeCell ref="AF634:AJ634"/>
    <mergeCell ref="W624:Y626"/>
    <mergeCell ref="T624:V626"/>
    <mergeCell ref="G611:R611"/>
    <mergeCell ref="C636:L636"/>
    <mergeCell ref="C637:L637"/>
    <mergeCell ref="C638:L638"/>
    <mergeCell ref="P613:R613"/>
    <mergeCell ref="G577:R577"/>
    <mergeCell ref="G594:R594"/>
    <mergeCell ref="N615:O615"/>
    <mergeCell ref="AC633:AE633"/>
    <mergeCell ref="AC634:AE634"/>
    <mergeCell ref="AC635:AE635"/>
    <mergeCell ref="AA573:AK573"/>
    <mergeCell ref="Z594:AK594"/>
    <mergeCell ref="G601:R601"/>
    <mergeCell ref="W634:Y634"/>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H16:AJ16"/>
    <mergeCell ref="A617:AT618"/>
    <mergeCell ref="A544:AT545"/>
    <mergeCell ref="A480:AT481"/>
    <mergeCell ref="A351:AT352"/>
    <mergeCell ref="A282:AT283"/>
    <mergeCell ref="A222:AT223"/>
    <mergeCell ref="A169:AT170"/>
    <mergeCell ref="M565:P565"/>
    <mergeCell ref="B624:L626"/>
    <mergeCell ref="Q627:S627"/>
    <mergeCell ref="Q628:S628"/>
    <mergeCell ref="Q629:S629"/>
    <mergeCell ref="Q630:S630"/>
    <mergeCell ref="Q631:S631"/>
    <mergeCell ref="Q632:S632"/>
    <mergeCell ref="Q633:S633"/>
    <mergeCell ref="Q634:S634"/>
    <mergeCell ref="M633:P633"/>
    <mergeCell ref="M634:P634"/>
    <mergeCell ref="AK628:AN628"/>
    <mergeCell ref="W469:Y469"/>
    <mergeCell ref="J367:K367"/>
    <mergeCell ref="AG379:AH379"/>
    <mergeCell ref="H335:R335"/>
    <mergeCell ref="M358:N358"/>
    <mergeCell ref="AC624:AE626"/>
    <mergeCell ref="AF418:AH418"/>
    <mergeCell ref="Z434:AA434"/>
    <mergeCell ref="AI339:AK339"/>
    <mergeCell ref="H340:M340"/>
    <mergeCell ref="Z577:AK577"/>
    <mergeCell ref="AE565:AH565"/>
    <mergeCell ref="M632:P632"/>
    <mergeCell ref="AK730:AO730"/>
    <mergeCell ref="AK736:AO736"/>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AK738:AO738"/>
    <mergeCell ref="AH732:AJ732"/>
    <mergeCell ref="T735:W735"/>
    <mergeCell ref="D994:AE997"/>
    <mergeCell ref="D998:AE998"/>
    <mergeCell ref="D987:Q987"/>
    <mergeCell ref="D988:Q988"/>
    <mergeCell ref="B1059:AP1059"/>
    <mergeCell ref="C798:AN799"/>
    <mergeCell ref="T748:W748"/>
    <mergeCell ref="K749:N749"/>
    <mergeCell ref="O749:S749"/>
    <mergeCell ref="O769:S772"/>
    <mergeCell ref="B746:F746"/>
    <mergeCell ref="B747:F747"/>
    <mergeCell ref="B748:F748"/>
    <mergeCell ref="B749:F749"/>
    <mergeCell ref="B750:F750"/>
    <mergeCell ref="B751:F751"/>
    <mergeCell ref="D989:Q989"/>
    <mergeCell ref="AJ984:AQ984"/>
    <mergeCell ref="AB988:AI988"/>
    <mergeCell ref="AB989:AI989"/>
    <mergeCell ref="M961:S961"/>
    <mergeCell ref="T742:W742"/>
    <mergeCell ref="K743:N743"/>
    <mergeCell ref="O743:S743"/>
    <mergeCell ref="T743:W743"/>
    <mergeCell ref="K744:N744"/>
    <mergeCell ref="O744:S744"/>
    <mergeCell ref="U937:Z937"/>
    <mergeCell ref="U927:Z927"/>
    <mergeCell ref="AA918:AF918"/>
    <mergeCell ref="U923:Z923"/>
    <mergeCell ref="AA922:AF922"/>
    <mergeCell ref="AB916:AE916"/>
    <mergeCell ref="AA921:AF921"/>
    <mergeCell ref="R984:AA984"/>
    <mergeCell ref="A978:AT980"/>
    <mergeCell ref="U924:Z924"/>
    <mergeCell ref="AA934:AF934"/>
    <mergeCell ref="AA917:AF917"/>
    <mergeCell ref="AA967:AG967"/>
    <mergeCell ref="AE954:AK954"/>
    <mergeCell ref="AG1024:AH1024"/>
    <mergeCell ref="AF1025:AI1025"/>
    <mergeCell ref="AJ1012:AQ1014"/>
    <mergeCell ref="AJ1015:AQ1018"/>
    <mergeCell ref="AJ1024:AQ1027"/>
    <mergeCell ref="AJ1028:AQ1030"/>
    <mergeCell ref="B742:F742"/>
    <mergeCell ref="B743:F743"/>
    <mergeCell ref="B744:F744"/>
    <mergeCell ref="B745:F745"/>
    <mergeCell ref="D1031:AE1031"/>
    <mergeCell ref="D1032:AE1034"/>
    <mergeCell ref="AJ1031:AQ1034"/>
    <mergeCell ref="AJ993:AQ999"/>
    <mergeCell ref="AJ1006:AQ1009"/>
    <mergeCell ref="AJ1010:AQ1011"/>
    <mergeCell ref="AJ985:AQ985"/>
    <mergeCell ref="AJ986:AQ986"/>
    <mergeCell ref="AJ987:AQ987"/>
    <mergeCell ref="B991:AI991"/>
    <mergeCell ref="R986:AA986"/>
    <mergeCell ref="AB984:AI984"/>
    <mergeCell ref="AB985:AI985"/>
    <mergeCell ref="AB986:AI986"/>
    <mergeCell ref="D986:Q986"/>
    <mergeCell ref="R988:AA988"/>
    <mergeCell ref="AF1026:AI1027"/>
    <mergeCell ref="AB987:AI987"/>
    <mergeCell ref="AC748:AG748"/>
    <mergeCell ref="AC749:AG749"/>
    <mergeCell ref="AC750:AG750"/>
    <mergeCell ref="AC751:AG751"/>
  </mergeCells>
  <phoneticPr fontId="0" type="noConversion"/>
  <conditionalFormatting sqref="B754:AH755">
    <cfRule type="expression" dxfId="56" priority="16">
      <formula>NOT($D$211="Special Needs")</formula>
    </cfRule>
  </conditionalFormatting>
  <conditionalFormatting sqref="B1059:AP1059">
    <cfRule type="expression" dxfId="55" priority="2">
      <formula>0=$B$1059</formula>
    </cfRule>
  </conditionalFormatting>
  <conditionalFormatting sqref="C555:C565 Q555:AS565 Q628:Z638 AC628:AS638">
    <cfRule type="expression" dxfId="54" priority="19">
      <formula>$AT555="!"</formula>
    </cfRule>
  </conditionalFormatting>
  <conditionalFormatting sqref="C628:C638">
    <cfRule type="expression" dxfId="53" priority="18">
      <formula>$AT628="!"</formula>
    </cfRule>
  </conditionalFormatting>
  <conditionalFormatting sqref="C893:T894">
    <cfRule type="expression" dxfId="52" priority="4">
      <formula>AND(AC893&lt;&gt;"",OR(C893="Other (Specify):",C893=""))</formula>
    </cfRule>
  </conditionalFormatting>
  <conditionalFormatting sqref="D213">
    <cfRule type="expression" dxfId="51" priority="30">
      <formula>AND($Y$212&gt;0,$AB$212&lt;75%)</formula>
    </cfRule>
  </conditionalFormatting>
  <conditionalFormatting sqref="D216">
    <cfRule type="expression" dxfId="50" priority="27">
      <formula>NOT($D$211="At-Risk")</formula>
    </cfRule>
  </conditionalFormatting>
  <conditionalFormatting sqref="D215:U215">
    <cfRule type="expression" dxfId="49" priority="31">
      <formula>NOT(OR($D$214="Seniors",$D$211="Seniors"))</formula>
    </cfRule>
  </conditionalFormatting>
  <conditionalFormatting sqref="D212:X212">
    <cfRule type="expression" dxfId="48" priority="34">
      <formula>NOT($D$211="Special Needs")</formula>
    </cfRule>
  </conditionalFormatting>
  <conditionalFormatting sqref="D214:Z214">
    <cfRule type="expression" dxfId="47" priority="29">
      <formula>AND($Y$212&gt;0,$AB$212&lt;75%)</formula>
    </cfRule>
  </conditionalFormatting>
  <conditionalFormatting sqref="E707:AK707">
    <cfRule type="expression" dxfId="46" priority="17">
      <formula>AND($W$706="Other",OR($E$707="(specify here)",$E$707=""))</formula>
    </cfRule>
  </conditionalFormatting>
  <conditionalFormatting sqref="F831:L831">
    <cfRule type="expression" dxfId="45" priority="12">
      <formula>AND(OR(M831&lt;&gt;"",$Q$811&lt;&gt;"",$U$811&lt;&gt;"",$Y$811&lt;&gt;"",$AC$811&lt;&gt;"",$AG$811&lt;&gt;"",SUM($M$831:$AJ$831)&gt;0),OR(F831="(specify here)",F831=""))</formula>
    </cfRule>
  </conditionalFormatting>
  <conditionalFormatting sqref="F457:AB458">
    <cfRule type="expression" dxfId="44" priority="1">
      <formula>$AC$454=""</formula>
    </cfRule>
  </conditionalFormatting>
  <conditionalFormatting sqref="L508:X508">
    <cfRule type="expression" dxfId="43" priority="26">
      <formula>AND(NOT(AC508="N/A"),AH508&lt;&gt;"",OR(L508="(specify here)",L508=""))</formula>
    </cfRule>
  </conditionalFormatting>
  <conditionalFormatting sqref="M846:V846">
    <cfRule type="expression" dxfId="42" priority="11">
      <formula>AND(W846&lt;&gt;"",OR(M846="(specify here)",M846=""))</formula>
    </cfRule>
  </conditionalFormatting>
  <conditionalFormatting sqref="M861:V861">
    <cfRule type="expression" dxfId="41" priority="10">
      <formula>AND(W861&lt;&gt;"",OR(M861="(specify here)",M861=""))</formula>
    </cfRule>
  </conditionalFormatting>
  <conditionalFormatting sqref="M871:V871">
    <cfRule type="expression" dxfId="40" priority="9">
      <formula>AND(W871&lt;&gt;"",OR(M871="(specify here)",M871=""))</formula>
    </cfRule>
  </conditionalFormatting>
  <conditionalFormatting sqref="M874:V878">
    <cfRule type="expression" dxfId="39" priority="8">
      <formula>AND(W874&lt;&gt;"",OR(M874="(specify here)",M874=""))</formula>
    </cfRule>
  </conditionalFormatting>
  <conditionalFormatting sqref="O520:AA520">
    <cfRule type="expression" dxfId="38" priority="25">
      <formula>AND(OR(AND(NOT(AC520="N/A"),AH520&lt;&gt;""),AND(NOT(AC521="N/A"),AH521&lt;&gt;""),AND(NOT(AC522="N/A"),AH522&lt;&gt;"")),OR(O520="(specify here)",O520=""))</formula>
    </cfRule>
  </conditionalFormatting>
  <conditionalFormatting sqref="O523:AA523">
    <cfRule type="expression" dxfId="37" priority="24">
      <formula>AND(OR(AND(NOT(AC523="N/A"),AH523&lt;&gt;""),AND(NOT(AC524="N/A"),AH524&lt;&gt;""),AND(NOT(AC525="N/A"),AH525&lt;&gt;"")),OR(O523="(specify here)",O523=""))</formula>
    </cfRule>
  </conditionalFormatting>
  <conditionalFormatting sqref="O526:AA526">
    <cfRule type="expression" dxfId="36" priority="23">
      <formula>AND(OR(AND(NOT(AC526="N/A"),AH526&lt;&gt;""),AND(NOT(AC527="N/A"),AH527&lt;&gt;""),AND(NOT(AC528="N/A"),AH528&lt;&gt;"")),OR(O526="(specify here)",O526=""))</formula>
    </cfRule>
  </conditionalFormatting>
  <conditionalFormatting sqref="O529:AA529">
    <cfRule type="expression" dxfId="35" priority="22">
      <formula>AND(OR(AND(NOT(AC529="N/A"),AH529&lt;&gt;""),AND(NOT(AC530="N/A"),AH530&lt;&gt;""),AND(NOT(AC531="N/A"),AH531&lt;&gt;"")),OR(O529="(specify here)",O529=""))</formula>
    </cfRule>
  </conditionalFormatting>
  <conditionalFormatting sqref="O532:AA532">
    <cfRule type="expression" dxfId="34" priority="21">
      <formula>AND(OR(AND(NOT(AC532="N/A"),AH532&lt;&gt;""),AND(NOT(AC533="N/A"),AH533&lt;&gt;""),AND(NOT(AC534="N/A"),AH534&lt;&gt;"")),OR(O532="(specify here)",O532=""))</formula>
    </cfRule>
  </conditionalFormatting>
  <conditionalFormatting sqref="O535:AA535">
    <cfRule type="expression" dxfId="33" priority="20">
      <formula>AND(OR(AND(NOT(AC535="N/A"),AH535&lt;&gt;""),AND(NOT(AC536="N/A"),AH536&lt;&gt;""),AND(NOT(AC537="N/A"),AH537&lt;&gt;"")),OR(O535="(specify here)",O535=""))</formula>
    </cfRule>
  </conditionalFormatting>
  <conditionalFormatting sqref="P816:Y816">
    <cfRule type="expression" dxfId="32" priority="13">
      <formula>AND(Z816&lt;&gt;"",OR(P816="(specify here)",P816=""))</formula>
    </cfRule>
  </conditionalFormatting>
  <conditionalFormatting sqref="U756">
    <cfRule type="expression" dxfId="31" priority="15">
      <formula>NOT($D$211="Special Needs")</formula>
    </cfRule>
  </conditionalFormatting>
  <conditionalFormatting sqref="U893:U894">
    <cfRule type="expression" dxfId="30" priority="257">
      <formula>AND(AU878&lt;&gt;"",OR(U893="Other (Specify):",U893=""))</formula>
    </cfRule>
  </conditionalFormatting>
  <conditionalFormatting sqref="V893:AB894">
    <cfRule type="expression" dxfId="29" priority="258">
      <formula>AND(AV888&lt;&gt;"",OR(V893="Other (Specify):",V893=""))</formula>
    </cfRule>
  </conditionalFormatting>
  <conditionalFormatting sqref="W973:AG973">
    <cfRule type="expression" dxfId="28" priority="3">
      <formula>AND($AA$952&lt;&gt;"",OR($W$951="",$W$951="(specify here)"))</formula>
    </cfRule>
  </conditionalFormatting>
  <conditionalFormatting sqref="Y508:AB508">
    <cfRule type="expression" dxfId="27" priority="259">
      <formula>AND(NOT(AP508="N/A"),AU507&lt;&gt;"",OR(Y508="(specify here)",Y508=""))</formula>
    </cfRule>
  </conditionalFormatting>
  <conditionalFormatting sqref="Y212:AC212">
    <cfRule type="expression" dxfId="26" priority="33">
      <formula>NOT($D$211="Special Needs")</formula>
    </cfRule>
  </conditionalFormatting>
  <conditionalFormatting sqref="AA215:AO215">
    <cfRule type="expression" dxfId="25" priority="32">
      <formula>NOT(OR($D$214="Seniors",$D$211="Seniors"))</formula>
    </cfRule>
  </conditionalFormatting>
  <conditionalFormatting sqref="AB216:AM216">
    <cfRule type="expression" dxfId="24" priority="28">
      <formula>NOT($D$211="At-Risk")</formula>
    </cfRule>
  </conditionalFormatting>
  <conditionalFormatting sqref="AF1020">
    <cfRule type="cellIs" dxfId="23" priority="38" stopIfTrue="1" operator="equal">
      <formula>"Please Enter Amount:"</formula>
    </cfRule>
  </conditionalFormatting>
  <conditionalFormatting sqref="AF1025">
    <cfRule type="cellIs" dxfId="22" priority="35" stopIfTrue="1" operator="equal">
      <formula>"Please Enter Amount:"</formula>
    </cfRule>
  </conditionalFormatting>
  <conditionalFormatting sqref="AF1032">
    <cfRule type="cellIs" dxfId="21" priority="36" stopIfTrue="1" operator="equal">
      <formula>"Please Enter Amount:"</formula>
    </cfRule>
  </conditionalFormatting>
  <conditionalFormatting sqref="AG441:AJ441">
    <cfRule type="expression" dxfId="20" priority="42" stopIfTrue="1">
      <formula>"iserror(d31)"</formula>
    </cfRule>
  </conditionalFormatting>
  <conditionalFormatting sqref="AG756:AJ756">
    <cfRule type="expression" dxfId="19" priority="14">
      <formula>NOT($D$211="Special Needs")</formula>
    </cfRule>
  </conditionalFormatting>
  <conditionalFormatting sqref="AJ1044">
    <cfRule type="cellIs" dxfId="18"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3" workbookViewId="0">
      <selection activeCell="B13" sqref="B13"/>
    </sheetView>
  </sheetViews>
  <sheetFormatPr defaultColWidth="0" defaultRowHeight="12" zeroHeight="1"/>
  <cols>
    <col min="1" max="1" width="32.7265625" style="428" customWidth="1"/>
    <col min="2" max="3" width="12.1328125" style="424" customWidth="1"/>
    <col min="4" max="6" width="12.86328125" style="424" customWidth="1"/>
    <col min="7" max="9" width="12.1328125" style="424" customWidth="1"/>
    <col min="10" max="10" width="12.1328125" style="425" customWidth="1"/>
    <col min="11" max="11" width="8.86328125" style="426" hidden="1" customWidth="1"/>
    <col min="12" max="21" width="8.86328125" style="424" hidden="1" customWidth="1"/>
    <col min="22" max="23" width="0" style="424" hidden="1"/>
    <col min="24" max="256" width="8.86328125" style="424" hidden="1"/>
    <col min="257" max="257" width="32.7265625" style="424" hidden="1" customWidth="1"/>
    <col min="258" max="259" width="12.1328125" style="424" hidden="1" customWidth="1"/>
    <col min="260" max="260" width="12.86328125" style="424" hidden="1" customWidth="1"/>
    <col min="261" max="266" width="12.1328125" style="424" hidden="1" customWidth="1"/>
    <col min="267" max="277" width="8.86328125" style="424" hidden="1" customWidth="1"/>
    <col min="278" max="512" width="8.86328125" style="424" hidden="1"/>
    <col min="513" max="513" width="32.7265625" style="424" hidden="1" customWidth="1"/>
    <col min="514" max="515" width="12.1328125" style="424" hidden="1" customWidth="1"/>
    <col min="516" max="516" width="12.86328125" style="424" hidden="1" customWidth="1"/>
    <col min="517" max="522" width="12.1328125" style="424" hidden="1" customWidth="1"/>
    <col min="523" max="533" width="8.86328125" style="424" hidden="1" customWidth="1"/>
    <col min="534" max="768" width="8.86328125" style="424" hidden="1"/>
    <col min="769" max="769" width="32.7265625" style="424" hidden="1" customWidth="1"/>
    <col min="770" max="771" width="12.1328125" style="424" hidden="1" customWidth="1"/>
    <col min="772" max="772" width="12.86328125" style="424" hidden="1" customWidth="1"/>
    <col min="773" max="778" width="12.1328125" style="424" hidden="1" customWidth="1"/>
    <col min="779" max="789" width="8.86328125" style="424" hidden="1" customWidth="1"/>
    <col min="790" max="1024" width="8.86328125" style="424" hidden="1"/>
    <col min="1025" max="1025" width="32.7265625" style="424" hidden="1" customWidth="1"/>
    <col min="1026" max="1027" width="12.1328125" style="424" hidden="1" customWidth="1"/>
    <col min="1028" max="1028" width="12.86328125" style="424" hidden="1" customWidth="1"/>
    <col min="1029" max="1034" width="12.1328125" style="424" hidden="1" customWidth="1"/>
    <col min="1035" max="1045" width="8.86328125" style="424" hidden="1" customWidth="1"/>
    <col min="1046" max="1280" width="8.86328125" style="424" hidden="1"/>
    <col min="1281" max="1281" width="32.7265625" style="424" hidden="1" customWidth="1"/>
    <col min="1282" max="1283" width="12.1328125" style="424" hidden="1" customWidth="1"/>
    <col min="1284" max="1284" width="12.86328125" style="424" hidden="1" customWidth="1"/>
    <col min="1285" max="1290" width="12.1328125" style="424" hidden="1" customWidth="1"/>
    <col min="1291" max="1301" width="8.86328125" style="424" hidden="1" customWidth="1"/>
    <col min="1302" max="1536" width="8.86328125" style="424" hidden="1"/>
    <col min="1537" max="1537" width="32.7265625" style="424" hidden="1" customWidth="1"/>
    <col min="1538" max="1539" width="12.1328125" style="424" hidden="1" customWidth="1"/>
    <col min="1540" max="1540" width="12.86328125" style="424" hidden="1" customWidth="1"/>
    <col min="1541" max="1546" width="12.1328125" style="424" hidden="1" customWidth="1"/>
    <col min="1547" max="1557" width="8.86328125" style="424" hidden="1" customWidth="1"/>
    <col min="1558" max="1792" width="8.86328125" style="424" hidden="1"/>
    <col min="1793" max="1793" width="32.7265625" style="424" hidden="1" customWidth="1"/>
    <col min="1794" max="1795" width="12.1328125" style="424" hidden="1" customWidth="1"/>
    <col min="1796" max="1796" width="12.86328125" style="424" hidden="1" customWidth="1"/>
    <col min="1797" max="1802" width="12.1328125" style="424" hidden="1" customWidth="1"/>
    <col min="1803" max="1813" width="8.86328125" style="424" hidden="1" customWidth="1"/>
    <col min="1814" max="2048" width="8.86328125" style="424" hidden="1"/>
    <col min="2049" max="2049" width="32.7265625" style="424" hidden="1" customWidth="1"/>
    <col min="2050" max="2051" width="12.1328125" style="424" hidden="1" customWidth="1"/>
    <col min="2052" max="2052" width="12.86328125" style="424" hidden="1" customWidth="1"/>
    <col min="2053" max="2058" width="12.1328125" style="424" hidden="1" customWidth="1"/>
    <col min="2059" max="2069" width="8.86328125" style="424" hidden="1" customWidth="1"/>
    <col min="2070" max="2304" width="8.86328125" style="424" hidden="1"/>
    <col min="2305" max="2305" width="32.7265625" style="424" hidden="1" customWidth="1"/>
    <col min="2306" max="2307" width="12.1328125" style="424" hidden="1" customWidth="1"/>
    <col min="2308" max="2308" width="12.86328125" style="424" hidden="1" customWidth="1"/>
    <col min="2309" max="2314" width="12.1328125" style="424" hidden="1" customWidth="1"/>
    <col min="2315" max="2325" width="8.86328125" style="424" hidden="1" customWidth="1"/>
    <col min="2326" max="2560" width="8.86328125" style="424" hidden="1"/>
    <col min="2561" max="2561" width="32.7265625" style="424" hidden="1" customWidth="1"/>
    <col min="2562" max="2563" width="12.1328125" style="424" hidden="1" customWidth="1"/>
    <col min="2564" max="2564" width="12.86328125" style="424" hidden="1" customWidth="1"/>
    <col min="2565" max="2570" width="12.1328125" style="424" hidden="1" customWidth="1"/>
    <col min="2571" max="2581" width="8.86328125" style="424" hidden="1" customWidth="1"/>
    <col min="2582" max="2816" width="8.86328125" style="424" hidden="1"/>
    <col min="2817" max="2817" width="32.7265625" style="424" hidden="1" customWidth="1"/>
    <col min="2818" max="2819" width="12.1328125" style="424" hidden="1" customWidth="1"/>
    <col min="2820" max="2820" width="12.86328125" style="424" hidden="1" customWidth="1"/>
    <col min="2821" max="2826" width="12.1328125" style="424" hidden="1" customWidth="1"/>
    <col min="2827" max="2837" width="8.86328125" style="424" hidden="1" customWidth="1"/>
    <col min="2838" max="3072" width="8.86328125" style="424" hidden="1"/>
    <col min="3073" max="3073" width="32.7265625" style="424" hidden="1" customWidth="1"/>
    <col min="3074" max="3075" width="12.1328125" style="424" hidden="1" customWidth="1"/>
    <col min="3076" max="3076" width="12.86328125" style="424" hidden="1" customWidth="1"/>
    <col min="3077" max="3082" width="12.1328125" style="424" hidden="1" customWidth="1"/>
    <col min="3083" max="3093" width="8.86328125" style="424" hidden="1" customWidth="1"/>
    <col min="3094" max="3328" width="8.86328125" style="424" hidden="1"/>
    <col min="3329" max="3329" width="32.7265625" style="424" hidden="1" customWidth="1"/>
    <col min="3330" max="3331" width="12.1328125" style="424" hidden="1" customWidth="1"/>
    <col min="3332" max="3332" width="12.86328125" style="424" hidden="1" customWidth="1"/>
    <col min="3333" max="3338" width="12.1328125" style="424" hidden="1" customWidth="1"/>
    <col min="3339" max="3349" width="8.86328125" style="424" hidden="1" customWidth="1"/>
    <col min="3350" max="3584" width="8.86328125" style="424" hidden="1"/>
    <col min="3585" max="3585" width="32.7265625" style="424" hidden="1" customWidth="1"/>
    <col min="3586" max="3587" width="12.1328125" style="424" hidden="1" customWidth="1"/>
    <col min="3588" max="3588" width="12.86328125" style="424" hidden="1" customWidth="1"/>
    <col min="3589" max="3594" width="12.1328125" style="424" hidden="1" customWidth="1"/>
    <col min="3595" max="3605" width="8.86328125" style="424" hidden="1" customWidth="1"/>
    <col min="3606" max="3840" width="8.86328125" style="424" hidden="1"/>
    <col min="3841" max="3841" width="32.7265625" style="424" hidden="1" customWidth="1"/>
    <col min="3842" max="3843" width="12.1328125" style="424" hidden="1" customWidth="1"/>
    <col min="3844" max="3844" width="12.86328125" style="424" hidden="1" customWidth="1"/>
    <col min="3845" max="3850" width="12.1328125" style="424" hidden="1" customWidth="1"/>
    <col min="3851" max="3861" width="8.86328125" style="424" hidden="1" customWidth="1"/>
    <col min="3862" max="4096" width="8.86328125" style="424" hidden="1"/>
    <col min="4097" max="4097" width="32.7265625" style="424" hidden="1" customWidth="1"/>
    <col min="4098" max="4099" width="12.1328125" style="424" hidden="1" customWidth="1"/>
    <col min="4100" max="4100" width="12.86328125" style="424" hidden="1" customWidth="1"/>
    <col min="4101" max="4106" width="12.1328125" style="424" hidden="1" customWidth="1"/>
    <col min="4107" max="4117" width="8.86328125" style="424" hidden="1" customWidth="1"/>
    <col min="4118" max="4352" width="8.86328125" style="424" hidden="1"/>
    <col min="4353" max="4353" width="32.7265625" style="424" hidden="1" customWidth="1"/>
    <col min="4354" max="4355" width="12.1328125" style="424" hidden="1" customWidth="1"/>
    <col min="4356" max="4356" width="12.86328125" style="424" hidden="1" customWidth="1"/>
    <col min="4357" max="4362" width="12.1328125" style="424" hidden="1" customWidth="1"/>
    <col min="4363" max="4373" width="8.86328125" style="424" hidden="1" customWidth="1"/>
    <col min="4374" max="4608" width="8.86328125" style="424" hidden="1"/>
    <col min="4609" max="4609" width="32.7265625" style="424" hidden="1" customWidth="1"/>
    <col min="4610" max="4611" width="12.1328125" style="424" hidden="1" customWidth="1"/>
    <col min="4612" max="4612" width="12.86328125" style="424" hidden="1" customWidth="1"/>
    <col min="4613" max="4618" width="12.1328125" style="424" hidden="1" customWidth="1"/>
    <col min="4619" max="4629" width="8.86328125" style="424" hidden="1" customWidth="1"/>
    <col min="4630" max="4864" width="8.86328125" style="424" hidden="1"/>
    <col min="4865" max="4865" width="32.7265625" style="424" hidden="1" customWidth="1"/>
    <col min="4866" max="4867" width="12.1328125" style="424" hidden="1" customWidth="1"/>
    <col min="4868" max="4868" width="12.86328125" style="424" hidden="1" customWidth="1"/>
    <col min="4869" max="4874" width="12.1328125" style="424" hidden="1" customWidth="1"/>
    <col min="4875" max="4885" width="8.86328125" style="424" hidden="1" customWidth="1"/>
    <col min="4886" max="5120" width="8.86328125" style="424" hidden="1"/>
    <col min="5121" max="5121" width="32.7265625" style="424" hidden="1" customWidth="1"/>
    <col min="5122" max="5123" width="12.1328125" style="424" hidden="1" customWidth="1"/>
    <col min="5124" max="5124" width="12.86328125" style="424" hidden="1" customWidth="1"/>
    <col min="5125" max="5130" width="12.1328125" style="424" hidden="1" customWidth="1"/>
    <col min="5131" max="5141" width="8.86328125" style="424" hidden="1" customWidth="1"/>
    <col min="5142" max="5376" width="8.86328125" style="424" hidden="1"/>
    <col min="5377" max="5377" width="32.7265625" style="424" hidden="1" customWidth="1"/>
    <col min="5378" max="5379" width="12.1328125" style="424" hidden="1" customWidth="1"/>
    <col min="5380" max="5380" width="12.86328125" style="424" hidden="1" customWidth="1"/>
    <col min="5381" max="5386" width="12.1328125" style="424" hidden="1" customWidth="1"/>
    <col min="5387" max="5397" width="8.86328125" style="424" hidden="1" customWidth="1"/>
    <col min="5398" max="5632" width="8.86328125" style="424" hidden="1"/>
    <col min="5633" max="5633" width="32.7265625" style="424" hidden="1" customWidth="1"/>
    <col min="5634" max="5635" width="12.1328125" style="424" hidden="1" customWidth="1"/>
    <col min="5636" max="5636" width="12.86328125" style="424" hidden="1" customWidth="1"/>
    <col min="5637" max="5642" width="12.1328125" style="424" hidden="1" customWidth="1"/>
    <col min="5643" max="5653" width="8.86328125" style="424" hidden="1" customWidth="1"/>
    <col min="5654" max="5888" width="8.86328125" style="424" hidden="1"/>
    <col min="5889" max="5889" width="32.7265625" style="424" hidden="1" customWidth="1"/>
    <col min="5890" max="5891" width="12.1328125" style="424" hidden="1" customWidth="1"/>
    <col min="5892" max="5892" width="12.86328125" style="424" hidden="1" customWidth="1"/>
    <col min="5893" max="5898" width="12.1328125" style="424" hidden="1" customWidth="1"/>
    <col min="5899" max="5909" width="8.86328125" style="424" hidden="1" customWidth="1"/>
    <col min="5910" max="6144" width="8.86328125" style="424" hidden="1"/>
    <col min="6145" max="6145" width="32.7265625" style="424" hidden="1" customWidth="1"/>
    <col min="6146" max="6147" width="12.1328125" style="424" hidden="1" customWidth="1"/>
    <col min="6148" max="6148" width="12.86328125" style="424" hidden="1" customWidth="1"/>
    <col min="6149" max="6154" width="12.1328125" style="424" hidden="1" customWidth="1"/>
    <col min="6155" max="6165" width="8.86328125" style="424" hidden="1" customWidth="1"/>
    <col min="6166" max="6400" width="8.86328125" style="424" hidden="1"/>
    <col min="6401" max="6401" width="32.7265625" style="424" hidden="1" customWidth="1"/>
    <col min="6402" max="6403" width="12.1328125" style="424" hidden="1" customWidth="1"/>
    <col min="6404" max="6404" width="12.86328125" style="424" hidden="1" customWidth="1"/>
    <col min="6405" max="6410" width="12.1328125" style="424" hidden="1" customWidth="1"/>
    <col min="6411" max="6421" width="8.86328125" style="424" hidden="1" customWidth="1"/>
    <col min="6422" max="6656" width="8.86328125" style="424" hidden="1"/>
    <col min="6657" max="6657" width="32.7265625" style="424" hidden="1" customWidth="1"/>
    <col min="6658" max="6659" width="12.1328125" style="424" hidden="1" customWidth="1"/>
    <col min="6660" max="6660" width="12.86328125" style="424" hidden="1" customWidth="1"/>
    <col min="6661" max="6666" width="12.1328125" style="424" hidden="1" customWidth="1"/>
    <col min="6667" max="6677" width="8.86328125" style="424" hidden="1" customWidth="1"/>
    <col min="6678" max="6912" width="8.86328125" style="424" hidden="1"/>
    <col min="6913" max="6913" width="32.7265625" style="424" hidden="1" customWidth="1"/>
    <col min="6914" max="6915" width="12.1328125" style="424" hidden="1" customWidth="1"/>
    <col min="6916" max="6916" width="12.86328125" style="424" hidden="1" customWidth="1"/>
    <col min="6917" max="6922" width="12.1328125" style="424" hidden="1" customWidth="1"/>
    <col min="6923" max="6933" width="8.86328125" style="424" hidden="1" customWidth="1"/>
    <col min="6934" max="7168" width="8.86328125" style="424" hidden="1"/>
    <col min="7169" max="7169" width="32.7265625" style="424" hidden="1" customWidth="1"/>
    <col min="7170" max="7171" width="12.1328125" style="424" hidden="1" customWidth="1"/>
    <col min="7172" max="7172" width="12.86328125" style="424" hidden="1" customWidth="1"/>
    <col min="7173" max="7178" width="12.1328125" style="424" hidden="1" customWidth="1"/>
    <col min="7179" max="7189" width="8.86328125" style="424" hidden="1" customWidth="1"/>
    <col min="7190" max="7424" width="8.86328125" style="424" hidden="1"/>
    <col min="7425" max="7425" width="32.7265625" style="424" hidden="1" customWidth="1"/>
    <col min="7426" max="7427" width="12.1328125" style="424" hidden="1" customWidth="1"/>
    <col min="7428" max="7428" width="12.86328125" style="424" hidden="1" customWidth="1"/>
    <col min="7429" max="7434" width="12.1328125" style="424" hidden="1" customWidth="1"/>
    <col min="7435" max="7445" width="8.86328125" style="424" hidden="1" customWidth="1"/>
    <col min="7446" max="7680" width="8.86328125" style="424" hidden="1"/>
    <col min="7681" max="7681" width="32.7265625" style="424" hidden="1" customWidth="1"/>
    <col min="7682" max="7683" width="12.1328125" style="424" hidden="1" customWidth="1"/>
    <col min="7684" max="7684" width="12.86328125" style="424" hidden="1" customWidth="1"/>
    <col min="7685" max="7690" width="12.1328125" style="424" hidden="1" customWidth="1"/>
    <col min="7691" max="7701" width="8.86328125" style="424" hidden="1" customWidth="1"/>
    <col min="7702" max="7936" width="8.86328125" style="424" hidden="1"/>
    <col min="7937" max="7937" width="32.7265625" style="424" hidden="1" customWidth="1"/>
    <col min="7938" max="7939" width="12.1328125" style="424" hidden="1" customWidth="1"/>
    <col min="7940" max="7940" width="12.86328125" style="424" hidden="1" customWidth="1"/>
    <col min="7941" max="7946" width="12.1328125" style="424" hidden="1" customWidth="1"/>
    <col min="7947" max="7957" width="8.86328125" style="424" hidden="1" customWidth="1"/>
    <col min="7958" max="8192" width="8.86328125" style="424" hidden="1"/>
    <col min="8193" max="8193" width="32.7265625" style="424" hidden="1" customWidth="1"/>
    <col min="8194" max="8195" width="12.1328125" style="424" hidden="1" customWidth="1"/>
    <col min="8196" max="8196" width="12.86328125" style="424" hidden="1" customWidth="1"/>
    <col min="8197" max="8202" width="12.1328125" style="424" hidden="1" customWidth="1"/>
    <col min="8203" max="8213" width="8.86328125" style="424" hidden="1" customWidth="1"/>
    <col min="8214" max="8448" width="8.86328125" style="424" hidden="1"/>
    <col min="8449" max="8449" width="32.7265625" style="424" hidden="1" customWidth="1"/>
    <col min="8450" max="8451" width="12.1328125" style="424" hidden="1" customWidth="1"/>
    <col min="8452" max="8452" width="12.86328125" style="424" hidden="1" customWidth="1"/>
    <col min="8453" max="8458" width="12.1328125" style="424" hidden="1" customWidth="1"/>
    <col min="8459" max="8469" width="8.86328125" style="424" hidden="1" customWidth="1"/>
    <col min="8470" max="8704" width="8.86328125" style="424" hidden="1"/>
    <col min="8705" max="8705" width="32.7265625" style="424" hidden="1" customWidth="1"/>
    <col min="8706" max="8707" width="12.1328125" style="424" hidden="1" customWidth="1"/>
    <col min="8708" max="8708" width="12.86328125" style="424" hidden="1" customWidth="1"/>
    <col min="8709" max="8714" width="12.1328125" style="424" hidden="1" customWidth="1"/>
    <col min="8715" max="8725" width="8.86328125" style="424" hidden="1" customWidth="1"/>
    <col min="8726" max="8960" width="8.86328125" style="424" hidden="1"/>
    <col min="8961" max="8961" width="32.7265625" style="424" hidden="1" customWidth="1"/>
    <col min="8962" max="8963" width="12.1328125" style="424" hidden="1" customWidth="1"/>
    <col min="8964" max="8964" width="12.86328125" style="424" hidden="1" customWidth="1"/>
    <col min="8965" max="8970" width="12.1328125" style="424" hidden="1" customWidth="1"/>
    <col min="8971" max="8981" width="8.86328125" style="424" hidden="1" customWidth="1"/>
    <col min="8982" max="9216" width="8.86328125" style="424" hidden="1"/>
    <col min="9217" max="9217" width="32.7265625" style="424" hidden="1" customWidth="1"/>
    <col min="9218" max="9219" width="12.1328125" style="424" hidden="1" customWidth="1"/>
    <col min="9220" max="9220" width="12.86328125" style="424" hidden="1" customWidth="1"/>
    <col min="9221" max="9226" width="12.1328125" style="424" hidden="1" customWidth="1"/>
    <col min="9227" max="9237" width="8.86328125" style="424" hidden="1" customWidth="1"/>
    <col min="9238" max="9472" width="8.86328125" style="424" hidden="1"/>
    <col min="9473" max="9473" width="32.7265625" style="424" hidden="1" customWidth="1"/>
    <col min="9474" max="9475" width="12.1328125" style="424" hidden="1" customWidth="1"/>
    <col min="9476" max="9476" width="12.86328125" style="424" hidden="1" customWidth="1"/>
    <col min="9477" max="9482" width="12.1328125" style="424" hidden="1" customWidth="1"/>
    <col min="9483" max="9493" width="8.86328125" style="424" hidden="1" customWidth="1"/>
    <col min="9494" max="9728" width="8.86328125" style="424" hidden="1"/>
    <col min="9729" max="9729" width="32.7265625" style="424" hidden="1" customWidth="1"/>
    <col min="9730" max="9731" width="12.1328125" style="424" hidden="1" customWidth="1"/>
    <col min="9732" max="9732" width="12.86328125" style="424" hidden="1" customWidth="1"/>
    <col min="9733" max="9738" width="12.1328125" style="424" hidden="1" customWidth="1"/>
    <col min="9739" max="9749" width="8.86328125" style="424" hidden="1" customWidth="1"/>
    <col min="9750" max="9984" width="8.86328125" style="424" hidden="1"/>
    <col min="9985" max="9985" width="32.7265625" style="424" hidden="1" customWidth="1"/>
    <col min="9986" max="9987" width="12.1328125" style="424" hidden="1" customWidth="1"/>
    <col min="9988" max="9988" width="12.86328125" style="424" hidden="1" customWidth="1"/>
    <col min="9989" max="9994" width="12.1328125" style="424" hidden="1" customWidth="1"/>
    <col min="9995" max="10005" width="8.86328125" style="424" hidden="1" customWidth="1"/>
    <col min="10006" max="10240" width="8.86328125" style="424" hidden="1"/>
    <col min="10241" max="10241" width="32.7265625" style="424" hidden="1" customWidth="1"/>
    <col min="10242" max="10243" width="12.1328125" style="424" hidden="1" customWidth="1"/>
    <col min="10244" max="10244" width="12.86328125" style="424" hidden="1" customWidth="1"/>
    <col min="10245" max="10250" width="12.1328125" style="424" hidden="1" customWidth="1"/>
    <col min="10251" max="10261" width="8.86328125" style="424" hidden="1" customWidth="1"/>
    <col min="10262" max="10496" width="8.86328125" style="424" hidden="1"/>
    <col min="10497" max="10497" width="32.7265625" style="424" hidden="1" customWidth="1"/>
    <col min="10498" max="10499" width="12.1328125" style="424" hidden="1" customWidth="1"/>
    <col min="10500" max="10500" width="12.86328125" style="424" hidden="1" customWidth="1"/>
    <col min="10501" max="10506" width="12.1328125" style="424" hidden="1" customWidth="1"/>
    <col min="10507" max="10517" width="8.86328125" style="424" hidden="1" customWidth="1"/>
    <col min="10518" max="10752" width="8.86328125" style="424" hidden="1"/>
    <col min="10753" max="10753" width="32.7265625" style="424" hidden="1" customWidth="1"/>
    <col min="10754" max="10755" width="12.1328125" style="424" hidden="1" customWidth="1"/>
    <col min="10756" max="10756" width="12.86328125" style="424" hidden="1" customWidth="1"/>
    <col min="10757" max="10762" width="12.1328125" style="424" hidden="1" customWidth="1"/>
    <col min="10763" max="10773" width="8.86328125" style="424" hidden="1" customWidth="1"/>
    <col min="10774" max="11008" width="8.86328125" style="424" hidden="1"/>
    <col min="11009" max="11009" width="32.7265625" style="424" hidden="1" customWidth="1"/>
    <col min="11010" max="11011" width="12.1328125" style="424" hidden="1" customWidth="1"/>
    <col min="11012" max="11012" width="12.86328125" style="424" hidden="1" customWidth="1"/>
    <col min="11013" max="11018" width="12.1328125" style="424" hidden="1" customWidth="1"/>
    <col min="11019" max="11029" width="8.86328125" style="424" hidden="1" customWidth="1"/>
    <col min="11030" max="11264" width="8.86328125" style="424" hidden="1"/>
    <col min="11265" max="11265" width="32.7265625" style="424" hidden="1" customWidth="1"/>
    <col min="11266" max="11267" width="12.1328125" style="424" hidden="1" customWidth="1"/>
    <col min="11268" max="11268" width="12.86328125" style="424" hidden="1" customWidth="1"/>
    <col min="11269" max="11274" width="12.1328125" style="424" hidden="1" customWidth="1"/>
    <col min="11275" max="11285" width="8.86328125" style="424" hidden="1" customWidth="1"/>
    <col min="11286" max="11520" width="8.86328125" style="424" hidden="1"/>
    <col min="11521" max="11521" width="32.7265625" style="424" hidden="1" customWidth="1"/>
    <col min="11522" max="11523" width="12.1328125" style="424" hidden="1" customWidth="1"/>
    <col min="11524" max="11524" width="12.86328125" style="424" hidden="1" customWidth="1"/>
    <col min="11525" max="11530" width="12.1328125" style="424" hidden="1" customWidth="1"/>
    <col min="11531" max="11541" width="8.86328125" style="424" hidden="1" customWidth="1"/>
    <col min="11542" max="11776" width="8.86328125" style="424" hidden="1"/>
    <col min="11777" max="11777" width="32.7265625" style="424" hidden="1" customWidth="1"/>
    <col min="11778" max="11779" width="12.1328125" style="424" hidden="1" customWidth="1"/>
    <col min="11780" max="11780" width="12.86328125" style="424" hidden="1" customWidth="1"/>
    <col min="11781" max="11786" width="12.1328125" style="424" hidden="1" customWidth="1"/>
    <col min="11787" max="11797" width="8.86328125" style="424" hidden="1" customWidth="1"/>
    <col min="11798" max="12032" width="8.86328125" style="424" hidden="1"/>
    <col min="12033" max="12033" width="32.7265625" style="424" hidden="1" customWidth="1"/>
    <col min="12034" max="12035" width="12.1328125" style="424" hidden="1" customWidth="1"/>
    <col min="12036" max="12036" width="12.86328125" style="424" hidden="1" customWidth="1"/>
    <col min="12037" max="12042" width="12.1328125" style="424" hidden="1" customWidth="1"/>
    <col min="12043" max="12053" width="8.86328125" style="424" hidden="1" customWidth="1"/>
    <col min="12054" max="12288" width="8.86328125" style="424" hidden="1"/>
    <col min="12289" max="12289" width="32.7265625" style="424" hidden="1" customWidth="1"/>
    <col min="12290" max="12291" width="12.1328125" style="424" hidden="1" customWidth="1"/>
    <col min="12292" max="12292" width="12.86328125" style="424" hidden="1" customWidth="1"/>
    <col min="12293" max="12298" width="12.1328125" style="424" hidden="1" customWidth="1"/>
    <col min="12299" max="12309" width="8.86328125" style="424" hidden="1" customWidth="1"/>
    <col min="12310" max="12544" width="8.86328125" style="424" hidden="1"/>
    <col min="12545" max="12545" width="32.7265625" style="424" hidden="1" customWidth="1"/>
    <col min="12546" max="12547" width="12.1328125" style="424" hidden="1" customWidth="1"/>
    <col min="12548" max="12548" width="12.86328125" style="424" hidden="1" customWidth="1"/>
    <col min="12549" max="12554" width="12.1328125" style="424" hidden="1" customWidth="1"/>
    <col min="12555" max="12565" width="8.86328125" style="424" hidden="1" customWidth="1"/>
    <col min="12566" max="12800" width="8.86328125" style="424" hidden="1"/>
    <col min="12801" max="12801" width="32.7265625" style="424" hidden="1" customWidth="1"/>
    <col min="12802" max="12803" width="12.1328125" style="424" hidden="1" customWidth="1"/>
    <col min="12804" max="12804" width="12.86328125" style="424" hidden="1" customWidth="1"/>
    <col min="12805" max="12810" width="12.1328125" style="424" hidden="1" customWidth="1"/>
    <col min="12811" max="12821" width="8.86328125" style="424" hidden="1" customWidth="1"/>
    <col min="12822" max="13056" width="8.86328125" style="424" hidden="1"/>
    <col min="13057" max="13057" width="32.7265625" style="424" hidden="1" customWidth="1"/>
    <col min="13058" max="13059" width="12.1328125" style="424" hidden="1" customWidth="1"/>
    <col min="13060" max="13060" width="12.86328125" style="424" hidden="1" customWidth="1"/>
    <col min="13061" max="13066" width="12.1328125" style="424" hidden="1" customWidth="1"/>
    <col min="13067" max="13077" width="8.86328125" style="424" hidden="1" customWidth="1"/>
    <col min="13078" max="13312" width="8.86328125" style="424" hidden="1"/>
    <col min="13313" max="13313" width="32.7265625" style="424" hidden="1" customWidth="1"/>
    <col min="13314" max="13315" width="12.1328125" style="424" hidden="1" customWidth="1"/>
    <col min="13316" max="13316" width="12.86328125" style="424" hidden="1" customWidth="1"/>
    <col min="13317" max="13322" width="12.1328125" style="424" hidden="1" customWidth="1"/>
    <col min="13323" max="13333" width="8.86328125" style="424" hidden="1" customWidth="1"/>
    <col min="13334" max="13568" width="8.86328125" style="424" hidden="1"/>
    <col min="13569" max="13569" width="32.7265625" style="424" hidden="1" customWidth="1"/>
    <col min="13570" max="13571" width="12.1328125" style="424" hidden="1" customWidth="1"/>
    <col min="13572" max="13572" width="12.86328125" style="424" hidden="1" customWidth="1"/>
    <col min="13573" max="13578" width="12.1328125" style="424" hidden="1" customWidth="1"/>
    <col min="13579" max="13589" width="8.86328125" style="424" hidden="1" customWidth="1"/>
    <col min="13590" max="13824" width="8.86328125" style="424" hidden="1"/>
    <col min="13825" max="13825" width="32.7265625" style="424" hidden="1" customWidth="1"/>
    <col min="13826" max="13827" width="12.1328125" style="424" hidden="1" customWidth="1"/>
    <col min="13828" max="13828" width="12.86328125" style="424" hidden="1" customWidth="1"/>
    <col min="13829" max="13834" width="12.1328125" style="424" hidden="1" customWidth="1"/>
    <col min="13835" max="13845" width="8.86328125" style="424" hidden="1" customWidth="1"/>
    <col min="13846" max="14080" width="8.86328125" style="424" hidden="1"/>
    <col min="14081" max="14081" width="32.7265625" style="424" hidden="1" customWidth="1"/>
    <col min="14082" max="14083" width="12.1328125" style="424" hidden="1" customWidth="1"/>
    <col min="14084" max="14084" width="12.86328125" style="424" hidden="1" customWidth="1"/>
    <col min="14085" max="14090" width="12.1328125" style="424" hidden="1" customWidth="1"/>
    <col min="14091" max="14101" width="8.86328125" style="424" hidden="1" customWidth="1"/>
    <col min="14102" max="14336" width="8.86328125" style="424" hidden="1"/>
    <col min="14337" max="14337" width="32.7265625" style="424" hidden="1" customWidth="1"/>
    <col min="14338" max="14339" width="12.1328125" style="424" hidden="1" customWidth="1"/>
    <col min="14340" max="14340" width="12.86328125" style="424" hidden="1" customWidth="1"/>
    <col min="14341" max="14346" width="12.1328125" style="424" hidden="1" customWidth="1"/>
    <col min="14347" max="14357" width="8.86328125" style="424" hidden="1" customWidth="1"/>
    <col min="14358" max="14592" width="8.86328125" style="424" hidden="1"/>
    <col min="14593" max="14593" width="32.7265625" style="424" hidden="1" customWidth="1"/>
    <col min="14594" max="14595" width="12.1328125" style="424" hidden="1" customWidth="1"/>
    <col min="14596" max="14596" width="12.86328125" style="424" hidden="1" customWidth="1"/>
    <col min="14597" max="14602" width="12.1328125" style="424" hidden="1" customWidth="1"/>
    <col min="14603" max="14613" width="8.86328125" style="424" hidden="1" customWidth="1"/>
    <col min="14614" max="14848" width="8.86328125" style="424" hidden="1"/>
    <col min="14849" max="14849" width="32.7265625" style="424" hidden="1" customWidth="1"/>
    <col min="14850" max="14851" width="12.1328125" style="424" hidden="1" customWidth="1"/>
    <col min="14852" max="14852" width="12.86328125" style="424" hidden="1" customWidth="1"/>
    <col min="14853" max="14858" width="12.1328125" style="424" hidden="1" customWidth="1"/>
    <col min="14859" max="14869" width="8.86328125" style="424" hidden="1" customWidth="1"/>
    <col min="14870" max="15104" width="8.86328125" style="424" hidden="1"/>
    <col min="15105" max="15105" width="32.7265625" style="424" hidden="1" customWidth="1"/>
    <col min="15106" max="15107" width="12.1328125" style="424" hidden="1" customWidth="1"/>
    <col min="15108" max="15108" width="12.86328125" style="424" hidden="1" customWidth="1"/>
    <col min="15109" max="15114" width="12.1328125" style="424" hidden="1" customWidth="1"/>
    <col min="15115" max="15125" width="8.86328125" style="424" hidden="1" customWidth="1"/>
    <col min="15126" max="15360" width="8.86328125" style="424" hidden="1"/>
    <col min="15361" max="15361" width="32.7265625" style="424" hidden="1" customWidth="1"/>
    <col min="15362" max="15363" width="12.1328125" style="424" hidden="1" customWidth="1"/>
    <col min="15364" max="15364" width="12.86328125" style="424" hidden="1" customWidth="1"/>
    <col min="15365" max="15370" width="12.1328125" style="424" hidden="1" customWidth="1"/>
    <col min="15371" max="15381" width="8.86328125" style="424" hidden="1" customWidth="1"/>
    <col min="15382" max="15616" width="8.86328125" style="424" hidden="1"/>
    <col min="15617" max="15617" width="32.7265625" style="424" hidden="1" customWidth="1"/>
    <col min="15618" max="15619" width="12.1328125" style="424" hidden="1" customWidth="1"/>
    <col min="15620" max="15620" width="12.86328125" style="424" hidden="1" customWidth="1"/>
    <col min="15621" max="15626" width="12.1328125" style="424" hidden="1" customWidth="1"/>
    <col min="15627" max="15637" width="8.86328125" style="424" hidden="1" customWidth="1"/>
    <col min="15638" max="15872" width="8.86328125" style="424" hidden="1"/>
    <col min="15873" max="15873" width="32.7265625" style="424" hidden="1" customWidth="1"/>
    <col min="15874" max="15875" width="12.1328125" style="424" hidden="1" customWidth="1"/>
    <col min="15876" max="15876" width="12.86328125" style="424" hidden="1" customWidth="1"/>
    <col min="15877" max="15882" width="12.1328125" style="424" hidden="1" customWidth="1"/>
    <col min="15883" max="15893" width="8.86328125" style="424" hidden="1" customWidth="1"/>
    <col min="15894" max="16128" width="8.86328125" style="424" hidden="1"/>
    <col min="16129" max="16129" width="32.7265625" style="424" hidden="1" customWidth="1"/>
    <col min="16130" max="16131" width="12.1328125" style="424" hidden="1" customWidth="1"/>
    <col min="16132" max="16132" width="12.86328125" style="424" hidden="1" customWidth="1"/>
    <col min="16133" max="16138" width="12.1328125" style="424" hidden="1" customWidth="1"/>
    <col min="16139" max="16149" width="8.86328125" style="424" hidden="1" customWidth="1"/>
    <col min="16150" max="16384" width="8.86328125" style="424" hidden="1"/>
  </cols>
  <sheetData>
    <row r="1" spans="1:11" s="387" customFormat="1" ht="13.25">
      <c r="A1" s="1897" t="s">
        <v>1335</v>
      </c>
      <c r="B1" s="1898"/>
      <c r="C1" s="1898"/>
      <c r="D1" s="1898"/>
      <c r="E1" s="1898"/>
      <c r="F1" s="1898"/>
      <c r="G1" s="1898"/>
      <c r="H1" s="1898"/>
      <c r="I1" s="1898"/>
      <c r="J1" s="1899"/>
      <c r="K1" s="386"/>
    </row>
    <row r="2" spans="1:11" s="432" customFormat="1" ht="72">
      <c r="A2" s="429"/>
      <c r="B2" s="430" t="s">
        <v>1052</v>
      </c>
      <c r="C2" s="430" t="s">
        <v>1337</v>
      </c>
      <c r="D2" s="430" t="s">
        <v>1338</v>
      </c>
      <c r="E2" s="430" t="s">
        <v>1263</v>
      </c>
      <c r="F2" s="430" t="s">
        <v>1339</v>
      </c>
      <c r="G2" s="430" t="s">
        <v>1340</v>
      </c>
      <c r="H2" s="430" t="s">
        <v>1053</v>
      </c>
      <c r="I2" s="430" t="s">
        <v>1341</v>
      </c>
      <c r="J2" s="430" t="s">
        <v>1342</v>
      </c>
      <c r="K2" s="431"/>
    </row>
    <row r="3" spans="1:11" s="391" customFormat="1" ht="11.75">
      <c r="A3" s="388" t="s">
        <v>26</v>
      </c>
      <c r="B3" s="389"/>
      <c r="C3" s="389"/>
      <c r="D3" s="389"/>
      <c r="E3" s="389"/>
      <c r="F3" s="389"/>
      <c r="G3" s="389"/>
      <c r="H3" s="389"/>
      <c r="I3" s="389"/>
      <c r="J3" s="389"/>
      <c r="K3" s="390"/>
    </row>
    <row r="4" spans="1:11" s="391" customFormat="1" ht="11.75">
      <c r="A4" s="395" t="s">
        <v>27</v>
      </c>
      <c r="B4" s="392">
        <f>'Sources and Uses Budget'!C4</f>
        <v>1830000</v>
      </c>
      <c r="C4" s="393"/>
      <c r="D4" s="393">
        <v>1830000</v>
      </c>
      <c r="E4" s="394"/>
      <c r="F4" s="394"/>
      <c r="G4" s="394"/>
      <c r="H4" s="394"/>
      <c r="I4" s="394"/>
      <c r="J4" s="394"/>
      <c r="K4" s="390"/>
    </row>
    <row r="5" spans="1:11" s="391" customFormat="1" ht="11.75">
      <c r="A5" s="395" t="s">
        <v>28</v>
      </c>
      <c r="B5" s="392">
        <f>'Sources and Uses Budget'!C5</f>
        <v>529919</v>
      </c>
      <c r="C5" s="393"/>
      <c r="D5" s="393">
        <v>529919</v>
      </c>
      <c r="E5" s="394"/>
      <c r="F5" s="394"/>
      <c r="G5" s="394"/>
      <c r="H5" s="394"/>
      <c r="I5" s="394"/>
      <c r="J5" s="394"/>
      <c r="K5" s="390"/>
    </row>
    <row r="6" spans="1:11" s="391" customFormat="1" ht="11.75">
      <c r="A6" s="395" t="s">
        <v>29</v>
      </c>
      <c r="B6" s="392">
        <f>'Sources and Uses Budget'!C6</f>
        <v>0</v>
      </c>
      <c r="C6" s="393"/>
      <c r="D6" s="393"/>
      <c r="E6" s="394"/>
      <c r="F6" s="394"/>
      <c r="G6" s="394"/>
      <c r="H6" s="394"/>
      <c r="I6" s="394"/>
      <c r="J6" s="394"/>
      <c r="K6" s="390"/>
    </row>
    <row r="7" spans="1:11" s="391" customFormat="1" ht="11.75">
      <c r="A7" s="395" t="s">
        <v>97</v>
      </c>
      <c r="B7" s="392">
        <f>'Sources and Uses Budget'!C7</f>
        <v>0</v>
      </c>
      <c r="C7" s="393"/>
      <c r="D7" s="393"/>
      <c r="E7" s="394"/>
      <c r="F7" s="394"/>
      <c r="G7" s="394"/>
      <c r="H7" s="394"/>
      <c r="I7" s="394"/>
      <c r="J7" s="394"/>
      <c r="K7" s="390"/>
    </row>
    <row r="8" spans="1:11" s="391" customFormat="1">
      <c r="A8" s="396" t="s">
        <v>602</v>
      </c>
      <c r="B8" s="392">
        <f>'Sources and Uses Budget'!C8</f>
        <v>2359919</v>
      </c>
      <c r="C8" s="392">
        <f>SUM(C4:C7)</f>
        <v>0</v>
      </c>
      <c r="D8" s="392">
        <f>SUM(D4:D7)</f>
        <v>2359919</v>
      </c>
      <c r="E8" s="394"/>
      <c r="F8" s="394"/>
      <c r="G8" s="394"/>
      <c r="H8" s="394"/>
      <c r="I8" s="394"/>
      <c r="J8" s="394"/>
      <c r="K8" s="390"/>
    </row>
    <row r="9" spans="1:11" s="391" customFormat="1" ht="11.75">
      <c r="A9" s="395" t="s">
        <v>603</v>
      </c>
      <c r="B9" s="392">
        <f>'Sources and Uses Budget'!C9</f>
        <v>0</v>
      </c>
      <c r="C9" s="393"/>
      <c r="D9" s="393"/>
      <c r="E9" s="394"/>
      <c r="F9" s="394"/>
      <c r="G9" s="394"/>
      <c r="H9" s="392">
        <f>'Sources and Uses Budget'!T9</f>
        <v>0</v>
      </c>
      <c r="I9" s="393"/>
      <c r="J9" s="393"/>
      <c r="K9" s="390"/>
    </row>
    <row r="10" spans="1:11" s="391" customFormat="1" ht="11.75">
      <c r="A10" s="395" t="s">
        <v>604</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605</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2359919</v>
      </c>
      <c r="C12" s="392">
        <f>SUM(C8+C11)</f>
        <v>0</v>
      </c>
      <c r="D12" s="392">
        <f>SUM(D8+D11)</f>
        <v>2359919</v>
      </c>
      <c r="E12" s="394"/>
      <c r="F12" s="394"/>
      <c r="G12" s="394"/>
      <c r="H12" s="394"/>
      <c r="I12" s="394"/>
      <c r="J12" s="394"/>
      <c r="K12" s="390"/>
    </row>
    <row r="13" spans="1:11" s="391" customFormat="1" ht="11.75">
      <c r="A13" s="397" t="s">
        <v>918</v>
      </c>
      <c r="B13" s="392">
        <f>'Sources and Uses Budget'!C13</f>
        <v>175241</v>
      </c>
      <c r="C13" s="393"/>
      <c r="D13" s="393">
        <v>175241</v>
      </c>
      <c r="E13" s="392">
        <f>'Sources and Uses Budget'!S13</f>
        <v>0</v>
      </c>
      <c r="F13" s="393"/>
      <c r="G13" s="393"/>
      <c r="H13" s="392">
        <f>'Sources and Uses Budget'!T13</f>
        <v>0</v>
      </c>
      <c r="I13" s="393"/>
      <c r="J13" s="393"/>
      <c r="K13" s="390"/>
    </row>
    <row r="14" spans="1:11" s="391" customFormat="1" ht="23.5">
      <c r="A14" s="395" t="s">
        <v>919</v>
      </c>
      <c r="B14" s="392">
        <f>'Sources and Uses Budget'!C14</f>
        <v>0</v>
      </c>
      <c r="C14" s="393"/>
      <c r="D14" s="393"/>
      <c r="E14" s="392">
        <f>'Sources and Uses Budget'!S14</f>
        <v>0</v>
      </c>
      <c r="F14" s="393"/>
      <c r="G14" s="393"/>
      <c r="H14" s="392">
        <f>'Sources and Uses Budget'!T14</f>
        <v>0</v>
      </c>
      <c r="I14" s="393"/>
      <c r="J14" s="393"/>
      <c r="K14" s="390"/>
    </row>
    <row r="15" spans="1:11" s="391" customFormat="1" ht="11.75">
      <c r="A15" s="395" t="s">
        <v>1267</v>
      </c>
      <c r="B15" s="392">
        <f>'Sources and Uses Budget'!C15</f>
        <v>0</v>
      </c>
      <c r="C15" s="393"/>
      <c r="D15" s="393"/>
      <c r="E15" s="394">
        <f>'Sources and Uses Budget'!S15</f>
        <v>0</v>
      </c>
      <c r="F15" s="394"/>
      <c r="G15" s="394"/>
      <c r="H15" s="394">
        <f>'Sources and Uses Budget'!T15</f>
        <v>0</v>
      </c>
      <c r="I15" s="394"/>
      <c r="J15" s="394"/>
      <c r="K15" s="390"/>
    </row>
    <row r="16" spans="1:11" s="391" customFormat="1" ht="11.75">
      <c r="A16" s="388" t="s">
        <v>606</v>
      </c>
      <c r="B16" s="389"/>
      <c r="C16" s="389"/>
      <c r="D16" s="389"/>
      <c r="E16" s="389"/>
      <c r="F16" s="389"/>
      <c r="G16" s="389"/>
      <c r="H16" s="389"/>
      <c r="I16" s="389"/>
      <c r="J16" s="389"/>
      <c r="K16" s="390"/>
    </row>
    <row r="17" spans="1:11" s="391" customFormat="1" ht="11.75">
      <c r="A17" s="395" t="s">
        <v>607</v>
      </c>
      <c r="B17" s="392">
        <f>'Sources and Uses Budget'!C17</f>
        <v>0</v>
      </c>
      <c r="C17" s="393"/>
      <c r="D17" s="393"/>
      <c r="E17" s="392">
        <f>'Sources and Uses Budget'!S17</f>
        <v>0</v>
      </c>
      <c r="F17" s="393"/>
      <c r="G17" s="393"/>
      <c r="H17" s="392">
        <f>'Sources and Uses Budget'!T17</f>
        <v>0</v>
      </c>
      <c r="I17" s="393"/>
      <c r="J17" s="393"/>
      <c r="K17" s="390"/>
    </row>
    <row r="18" spans="1:11" s="391" customFormat="1" ht="11.75">
      <c r="A18" s="395" t="s">
        <v>608</v>
      </c>
      <c r="B18" s="392">
        <f>'Sources and Uses Budget'!C18</f>
        <v>0</v>
      </c>
      <c r="C18" s="393"/>
      <c r="D18" s="393"/>
      <c r="E18" s="392">
        <f>'Sources and Uses Budget'!S18</f>
        <v>0</v>
      </c>
      <c r="F18" s="393"/>
      <c r="G18" s="393"/>
      <c r="H18" s="392">
        <f>'Sources and Uses Budget'!T18</f>
        <v>0</v>
      </c>
      <c r="I18" s="393"/>
      <c r="J18" s="393"/>
      <c r="K18" s="390"/>
    </row>
    <row r="19" spans="1:11" s="391" customFormat="1" ht="11.75">
      <c r="A19" s="395" t="s">
        <v>609</v>
      </c>
      <c r="B19" s="392">
        <f>'Sources and Uses Budget'!C19</f>
        <v>0</v>
      </c>
      <c r="C19" s="393"/>
      <c r="D19" s="393"/>
      <c r="E19" s="392">
        <f>'Sources and Uses Budget'!S19</f>
        <v>0</v>
      </c>
      <c r="F19" s="393"/>
      <c r="G19" s="393"/>
      <c r="H19" s="392">
        <f>'Sources and Uses Budget'!T19</f>
        <v>0</v>
      </c>
      <c r="I19" s="393"/>
      <c r="J19" s="393"/>
      <c r="K19" s="390"/>
    </row>
    <row r="20" spans="1:11" s="391" customFormat="1" ht="11.75">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ht="11.75">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ht="11.75">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ht="11.75">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ht="11.75">
      <c r="A24" s="542" t="s">
        <v>1754</v>
      </c>
      <c r="B24" s="392">
        <f>'Sources and Uses Budget'!C24</f>
        <v>0</v>
      </c>
      <c r="C24" s="393"/>
      <c r="D24" s="393"/>
      <c r="E24" s="392">
        <f>'Sources and Uses Budget'!S24</f>
        <v>0</v>
      </c>
      <c r="F24" s="393"/>
      <c r="G24" s="393"/>
      <c r="H24" s="392">
        <f>'Sources and Uses Budget'!T24</f>
        <v>0</v>
      </c>
      <c r="I24" s="393"/>
      <c r="J24" s="393"/>
      <c r="K24" s="390"/>
    </row>
    <row r="25" spans="1:11" s="391" customFormat="1" ht="11.75">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ht="11.75">
      <c r="A28" s="388" t="s">
        <v>142</v>
      </c>
      <c r="B28" s="389"/>
      <c r="C28" s="389"/>
      <c r="D28" s="389"/>
      <c r="E28" s="389"/>
      <c r="F28" s="389"/>
      <c r="G28" s="389"/>
      <c r="H28" s="389"/>
      <c r="I28" s="389"/>
      <c r="J28" s="389"/>
      <c r="K28" s="390"/>
    </row>
    <row r="29" spans="1:11" s="391" customFormat="1" ht="11.75">
      <c r="A29" s="145" t="s">
        <v>607</v>
      </c>
      <c r="B29" s="392">
        <f>'Sources and Uses Budget'!C29</f>
        <v>1310338</v>
      </c>
      <c r="C29" s="393"/>
      <c r="D29" s="393">
        <v>1310338</v>
      </c>
      <c r="E29" s="392">
        <f>'Sources and Uses Budget'!S29</f>
        <v>1310338</v>
      </c>
      <c r="F29" s="393"/>
      <c r="G29" s="393">
        <v>1310338</v>
      </c>
      <c r="H29" s="392">
        <f>'Sources and Uses Budget'!T29</f>
        <v>0</v>
      </c>
      <c r="I29" s="393"/>
      <c r="J29" s="393"/>
      <c r="K29" s="390"/>
    </row>
    <row r="30" spans="1:11" s="391" customFormat="1" ht="11.75">
      <c r="A30" s="145" t="s">
        <v>608</v>
      </c>
      <c r="B30" s="392">
        <f>'Sources and Uses Budget'!C30</f>
        <v>21279898</v>
      </c>
      <c r="C30" s="393"/>
      <c r="D30" s="393">
        <v>21096898</v>
      </c>
      <c r="E30" s="392">
        <f>'Sources and Uses Budget'!S30</f>
        <v>21279898</v>
      </c>
      <c r="F30" s="393"/>
      <c r="G30" s="393">
        <f>D30</f>
        <v>21096898</v>
      </c>
      <c r="H30" s="392">
        <f>'Sources and Uses Budget'!T30</f>
        <v>0</v>
      </c>
      <c r="I30" s="393"/>
      <c r="J30" s="393"/>
      <c r="K30" s="390"/>
    </row>
    <row r="31" spans="1:11" s="391" customFormat="1" ht="11.75">
      <c r="A31" s="145" t="s">
        <v>609</v>
      </c>
      <c r="B31" s="392">
        <f>'Sources and Uses Budget'!C31</f>
        <v>1685419</v>
      </c>
      <c r="C31" s="393"/>
      <c r="D31" s="393">
        <v>1685419</v>
      </c>
      <c r="E31" s="392">
        <f>'Sources and Uses Budget'!S31</f>
        <v>1685419</v>
      </c>
      <c r="F31" s="393"/>
      <c r="G31" s="393">
        <f>D31</f>
        <v>1685419</v>
      </c>
      <c r="H31" s="392">
        <f>'Sources and Uses Budget'!T31</f>
        <v>0</v>
      </c>
      <c r="I31" s="393"/>
      <c r="J31" s="393"/>
      <c r="K31" s="390"/>
    </row>
    <row r="32" spans="1:11" s="391" customFormat="1" ht="11.75">
      <c r="A32" s="145" t="s">
        <v>137</v>
      </c>
      <c r="B32" s="392">
        <f>'Sources and Uses Budget'!C32</f>
        <v>510786.5</v>
      </c>
      <c r="C32" s="393"/>
      <c r="D32" s="393">
        <v>510786.5</v>
      </c>
      <c r="E32" s="392">
        <f>'Sources and Uses Budget'!S32</f>
        <v>510786.5</v>
      </c>
      <c r="F32" s="393"/>
      <c r="G32" s="393">
        <f>D32</f>
        <v>510786.5</v>
      </c>
      <c r="H32" s="392">
        <f>'Sources and Uses Budget'!T32</f>
        <v>0</v>
      </c>
      <c r="I32" s="393"/>
      <c r="J32" s="393"/>
      <c r="K32" s="390"/>
    </row>
    <row r="33" spans="1:11" s="391" customFormat="1" ht="11.75">
      <c r="A33" s="145" t="s">
        <v>138</v>
      </c>
      <c r="B33" s="392">
        <f>'Sources and Uses Budget'!C33</f>
        <v>510786.5</v>
      </c>
      <c r="C33" s="393"/>
      <c r="D33" s="393">
        <v>510786.5</v>
      </c>
      <c r="E33" s="392">
        <f>'Sources and Uses Budget'!S33</f>
        <v>510786.5</v>
      </c>
      <c r="F33" s="393"/>
      <c r="G33" s="393">
        <f>D33</f>
        <v>510786.5</v>
      </c>
      <c r="H33" s="392">
        <f>'Sources and Uses Budget'!T33</f>
        <v>0</v>
      </c>
      <c r="I33" s="393"/>
      <c r="J33" s="393"/>
      <c r="K33" s="390"/>
    </row>
    <row r="34" spans="1:11" s="391" customFormat="1" ht="11.75">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ht="11.75">
      <c r="A35" s="145" t="s">
        <v>140</v>
      </c>
      <c r="B35" s="392">
        <f>'Sources and Uses Budget'!C35</f>
        <v>118175</v>
      </c>
      <c r="C35" s="393"/>
      <c r="D35" s="393">
        <v>118175</v>
      </c>
      <c r="E35" s="392">
        <f>'Sources and Uses Budget'!S35</f>
        <v>118175</v>
      </c>
      <c r="F35" s="393"/>
      <c r="G35" s="393">
        <f>D35</f>
        <v>118175</v>
      </c>
      <c r="H35" s="392">
        <f>'Sources and Uses Budget'!T35</f>
        <v>0</v>
      </c>
      <c r="I35" s="393"/>
      <c r="J35" s="393"/>
      <c r="K35" s="390"/>
    </row>
    <row r="36" spans="1:11" s="391" customFormat="1" ht="11.75">
      <c r="A36" s="542" t="s">
        <v>1754</v>
      </c>
      <c r="B36" s="392">
        <f>'Sources and Uses Budget'!C36</f>
        <v>0</v>
      </c>
      <c r="C36" s="393"/>
      <c r="D36" s="393"/>
      <c r="E36" s="392">
        <f>'Sources and Uses Budget'!S36</f>
        <v>0</v>
      </c>
      <c r="F36" s="393"/>
      <c r="G36" s="393"/>
      <c r="H36" s="392">
        <f>'Sources and Uses Budget'!T36</f>
        <v>0</v>
      </c>
      <c r="I36" s="393"/>
      <c r="J36" s="393"/>
      <c r="K36" s="390"/>
    </row>
    <row r="37" spans="1:11" s="391" customFormat="1" ht="11.75">
      <c r="A37" s="395">
        <f>'Sources and Uses Budget'!$A37</f>
        <v>0</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25415403</v>
      </c>
      <c r="C38" s="392">
        <f>SUM(C29:C37)</f>
        <v>0</v>
      </c>
      <c r="D38" s="392">
        <f>SUM(D29:D37)</f>
        <v>25232403</v>
      </c>
      <c r="E38" s="392">
        <f>'Sources and Uses Budget'!S38</f>
        <v>25415403</v>
      </c>
      <c r="F38" s="398">
        <f>SUM(F29:F37)</f>
        <v>0</v>
      </c>
      <c r="G38" s="398">
        <f>SUM(G29:G37)</f>
        <v>25232403</v>
      </c>
      <c r="H38" s="392">
        <f>'Sources and Uses Budget'!T38</f>
        <v>0</v>
      </c>
      <c r="I38" s="398">
        <f>SUM(I29:I37)</f>
        <v>0</v>
      </c>
      <c r="J38" s="398">
        <f>SUM(J29:J37)</f>
        <v>0</v>
      </c>
      <c r="K38" s="390"/>
    </row>
    <row r="39" spans="1:11" s="391" customFormat="1" ht="11.75">
      <c r="A39" s="388" t="s">
        <v>144</v>
      </c>
      <c r="B39" s="389"/>
      <c r="C39" s="389"/>
      <c r="D39" s="389"/>
      <c r="E39" s="389"/>
      <c r="F39" s="389"/>
      <c r="G39" s="389"/>
      <c r="H39" s="389"/>
      <c r="I39" s="389"/>
      <c r="J39" s="389"/>
      <c r="K39" s="390"/>
    </row>
    <row r="40" spans="1:11" s="391" customFormat="1" ht="11.75">
      <c r="A40" s="395" t="s">
        <v>145</v>
      </c>
      <c r="B40" s="392">
        <f>'Sources and Uses Budget'!C40</f>
        <v>560000</v>
      </c>
      <c r="C40" s="393"/>
      <c r="D40" s="393">
        <v>560000</v>
      </c>
      <c r="E40" s="392">
        <f>'Sources and Uses Budget'!S40</f>
        <v>560000</v>
      </c>
      <c r="F40" s="393"/>
      <c r="G40" s="393">
        <f>D40</f>
        <v>560000</v>
      </c>
      <c r="H40" s="392">
        <f>'Sources and Uses Budget'!T40</f>
        <v>0</v>
      </c>
      <c r="I40" s="393"/>
      <c r="J40" s="393"/>
      <c r="K40" s="390"/>
    </row>
    <row r="41" spans="1:11" s="391" customFormat="1" ht="11.75">
      <c r="A41" s="395" t="s">
        <v>146</v>
      </c>
      <c r="B41" s="392">
        <f>'Sources and Uses Budget'!C41</f>
        <v>336000</v>
      </c>
      <c r="C41" s="393"/>
      <c r="D41" s="393">
        <v>336000</v>
      </c>
      <c r="E41" s="392">
        <f>'Sources and Uses Budget'!S41</f>
        <v>336000</v>
      </c>
      <c r="F41" s="393"/>
      <c r="G41" s="393">
        <f>D41</f>
        <v>336000</v>
      </c>
      <c r="H41" s="392">
        <f>'Sources and Uses Budget'!T41</f>
        <v>0</v>
      </c>
      <c r="I41" s="393"/>
      <c r="J41" s="393"/>
      <c r="K41" s="390"/>
    </row>
    <row r="42" spans="1:11" s="391" customFormat="1">
      <c r="A42" s="396" t="s">
        <v>147</v>
      </c>
      <c r="B42" s="392">
        <f>'Sources and Uses Budget'!C42</f>
        <v>896000</v>
      </c>
      <c r="C42" s="392">
        <f>SUM(C39:C41)</f>
        <v>0</v>
      </c>
      <c r="D42" s="392">
        <f>SUM(D39:D41)</f>
        <v>896000</v>
      </c>
      <c r="E42" s="392">
        <f>'Sources and Uses Budget'!S42</f>
        <v>896000</v>
      </c>
      <c r="F42" s="398">
        <f>SUM(F40:F41)</f>
        <v>0</v>
      </c>
      <c r="G42" s="398">
        <f>SUM(G40:G41)</f>
        <v>896000</v>
      </c>
      <c r="H42" s="392">
        <f>'Sources and Uses Budget'!T42</f>
        <v>0</v>
      </c>
      <c r="I42" s="398">
        <f>SUM(I40:I41)</f>
        <v>0</v>
      </c>
      <c r="J42" s="398">
        <f>SUM(J40:J41)</f>
        <v>0</v>
      </c>
      <c r="K42" s="390"/>
    </row>
    <row r="43" spans="1:11" s="391" customFormat="1">
      <c r="A43" s="396" t="s">
        <v>148</v>
      </c>
      <c r="B43" s="392">
        <f>'Sources and Uses Budget'!C43</f>
        <v>733000</v>
      </c>
      <c r="C43" s="393"/>
      <c r="D43" s="393">
        <v>733000</v>
      </c>
      <c r="E43" s="392">
        <f>'Sources and Uses Budget'!S43</f>
        <v>733000</v>
      </c>
      <c r="F43" s="393"/>
      <c r="G43" s="393"/>
      <c r="H43" s="392">
        <f>'Sources and Uses Budget'!T43</f>
        <v>0</v>
      </c>
      <c r="I43" s="393"/>
      <c r="J43" s="393"/>
      <c r="K43" s="390"/>
    </row>
    <row r="44" spans="1:11" s="391" customFormat="1" ht="11.75">
      <c r="A44" s="388" t="s">
        <v>149</v>
      </c>
      <c r="B44" s="389"/>
      <c r="C44" s="389"/>
      <c r="D44" s="389"/>
      <c r="E44" s="389"/>
      <c r="F44" s="389"/>
      <c r="G44" s="389"/>
      <c r="H44" s="389"/>
      <c r="I44" s="389"/>
      <c r="J44" s="389"/>
      <c r="K44" s="390"/>
    </row>
    <row r="45" spans="1:11" s="391" customFormat="1" ht="11.75">
      <c r="A45" s="395" t="s">
        <v>150</v>
      </c>
      <c r="B45" s="392">
        <f>'Sources and Uses Budget'!C45</f>
        <v>1927294</v>
      </c>
      <c r="C45" s="393"/>
      <c r="D45" s="393">
        <v>1027294</v>
      </c>
      <c r="E45" s="392">
        <f>'Sources and Uses Budget'!S45</f>
        <v>744851</v>
      </c>
      <c r="F45" s="393"/>
      <c r="G45" s="393">
        <f>35710107-35283256</f>
        <v>426851</v>
      </c>
      <c r="H45" s="392">
        <f>'Sources and Uses Budget'!T45</f>
        <v>0</v>
      </c>
      <c r="I45" s="393"/>
      <c r="J45" s="393"/>
      <c r="K45" s="390"/>
    </row>
    <row r="46" spans="1:11" s="391" customFormat="1" ht="11.75">
      <c r="A46" s="395" t="s">
        <v>151</v>
      </c>
      <c r="B46" s="392">
        <f>'Sources and Uses Budget'!C46</f>
        <v>223000</v>
      </c>
      <c r="C46" s="393"/>
      <c r="D46" s="393">
        <v>223000</v>
      </c>
      <c r="E46" s="392">
        <f>'Sources and Uses Budget'!S46</f>
        <v>223000</v>
      </c>
      <c r="F46" s="393"/>
      <c r="G46" s="393">
        <f t="shared" ref="G46:G53" si="0">D46</f>
        <v>223000</v>
      </c>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f t="shared" si="0"/>
        <v>0</v>
      </c>
      <c r="H47" s="392">
        <f>'Sources and Uses Budget'!T47</f>
        <v>0</v>
      </c>
      <c r="I47" s="393"/>
      <c r="J47" s="393"/>
      <c r="K47" s="390"/>
    </row>
    <row r="48" spans="1:11" s="391" customFormat="1" ht="11.75">
      <c r="A48" s="395" t="s">
        <v>153</v>
      </c>
      <c r="B48" s="392">
        <f>'Sources and Uses Budget'!C48</f>
        <v>259985</v>
      </c>
      <c r="C48" s="393"/>
      <c r="D48" s="393">
        <v>259985</v>
      </c>
      <c r="E48" s="392">
        <f>'Sources and Uses Budget'!S48</f>
        <v>259985</v>
      </c>
      <c r="F48" s="393"/>
      <c r="G48" s="393">
        <f t="shared" si="0"/>
        <v>259985</v>
      </c>
      <c r="H48" s="392">
        <f>'Sources and Uses Budget'!T48</f>
        <v>0</v>
      </c>
      <c r="I48" s="393"/>
      <c r="J48" s="393"/>
      <c r="K48" s="390"/>
    </row>
    <row r="49" spans="1:11" s="391" customFormat="1" ht="11.75">
      <c r="A49" s="304" t="s">
        <v>57</v>
      </c>
      <c r="B49" s="392">
        <f>'Sources and Uses Budget'!C49</f>
        <v>35000</v>
      </c>
      <c r="C49" s="393"/>
      <c r="D49" s="393">
        <v>35000</v>
      </c>
      <c r="E49" s="392">
        <f>'Sources and Uses Budget'!S49</f>
        <v>35000</v>
      </c>
      <c r="F49" s="393"/>
      <c r="G49" s="393">
        <f t="shared" si="0"/>
        <v>35000</v>
      </c>
      <c r="H49" s="392">
        <f>'Sources and Uses Budget'!T49</f>
        <v>0</v>
      </c>
      <c r="I49" s="393"/>
      <c r="J49" s="393"/>
      <c r="K49" s="390"/>
    </row>
    <row r="50" spans="1:11" s="391" customFormat="1" ht="11.75">
      <c r="A50" s="395" t="s">
        <v>156</v>
      </c>
      <c r="B50" s="392">
        <f>'Sources and Uses Budget'!C50</f>
        <v>75000</v>
      </c>
      <c r="C50" s="393"/>
      <c r="D50" s="393">
        <v>75000</v>
      </c>
      <c r="E50" s="392">
        <f>'Sources and Uses Budget'!S50</f>
        <v>75000</v>
      </c>
      <c r="F50" s="393"/>
      <c r="G50" s="393">
        <f t="shared" si="0"/>
        <v>75000</v>
      </c>
      <c r="H50" s="392">
        <f>'Sources and Uses Budget'!T50</f>
        <v>0</v>
      </c>
      <c r="I50" s="393"/>
      <c r="J50" s="393"/>
      <c r="K50" s="390"/>
    </row>
    <row r="51" spans="1:11" s="391" customFormat="1" ht="11.75">
      <c r="A51" s="395" t="s">
        <v>154</v>
      </c>
      <c r="B51" s="392">
        <f>'Sources and Uses Budget'!C51</f>
        <v>750000</v>
      </c>
      <c r="C51" s="393"/>
      <c r="D51" s="393">
        <v>750000</v>
      </c>
      <c r="E51" s="392">
        <f>'Sources and Uses Budget'!S51</f>
        <v>750000</v>
      </c>
      <c r="F51" s="393"/>
      <c r="G51" s="393">
        <f t="shared" si="0"/>
        <v>750000</v>
      </c>
      <c r="H51" s="392">
        <f>'Sources and Uses Budget'!T51</f>
        <v>0</v>
      </c>
      <c r="I51" s="393"/>
      <c r="J51" s="393"/>
      <c r="K51" s="390"/>
    </row>
    <row r="52" spans="1:11" s="391" customFormat="1" ht="11.75">
      <c r="A52" s="395" t="s">
        <v>155</v>
      </c>
      <c r="B52" s="392">
        <f>'Sources and Uses Budget'!C52</f>
        <v>27000</v>
      </c>
      <c r="C52" s="393"/>
      <c r="D52" s="393">
        <v>27000</v>
      </c>
      <c r="E52" s="392">
        <f>'Sources and Uses Budget'!S52</f>
        <v>27000</v>
      </c>
      <c r="F52" s="393"/>
      <c r="G52" s="393">
        <f t="shared" si="0"/>
        <v>27000</v>
      </c>
      <c r="H52" s="392">
        <f>'Sources and Uses Budget'!T52</f>
        <v>0</v>
      </c>
      <c r="I52" s="393"/>
      <c r="J52" s="393"/>
      <c r="K52" s="390"/>
    </row>
    <row r="53" spans="1:11" s="391" customFormat="1" ht="11.75">
      <c r="A53" s="395" t="str">
        <f>'Sources and Uses Budget'!$A53</f>
        <v>Other: Legal, Construction Inspections</v>
      </c>
      <c r="B53" s="392">
        <f>'Sources and Uses Budget'!C53</f>
        <v>18000</v>
      </c>
      <c r="C53" s="393"/>
      <c r="D53" s="393">
        <v>1097000</v>
      </c>
      <c r="E53" s="392">
        <f>'Sources and Uses Budget'!S53</f>
        <v>18000</v>
      </c>
      <c r="F53" s="393"/>
      <c r="G53" s="393">
        <f t="shared" si="0"/>
        <v>1097000</v>
      </c>
      <c r="H53" s="392">
        <f>'Sources and Uses Budget'!T53</f>
        <v>0</v>
      </c>
      <c r="I53" s="393"/>
      <c r="J53" s="393"/>
      <c r="K53" s="390"/>
    </row>
    <row r="54" spans="1:11" s="400" customFormat="1">
      <c r="A54" s="396" t="s">
        <v>157</v>
      </c>
      <c r="B54" s="392">
        <f>'Sources and Uses Budget'!C54</f>
        <v>3315279</v>
      </c>
      <c r="C54" s="398">
        <f>SUM(C45:C53)</f>
        <v>0</v>
      </c>
      <c r="D54" s="398">
        <f>SUM(D45:D53)</f>
        <v>3494279</v>
      </c>
      <c r="E54" s="392">
        <f>'Sources and Uses Budget'!S54</f>
        <v>2132836</v>
      </c>
      <c r="F54" s="398">
        <f>SUM(F45:F53)</f>
        <v>0</v>
      </c>
      <c r="G54" s="398">
        <f>SUM(G45:G53)</f>
        <v>2893836</v>
      </c>
      <c r="H54" s="392">
        <f>'Sources and Uses Budget'!T54</f>
        <v>0</v>
      </c>
      <c r="I54" s="398">
        <f>SUM(I45:I53)</f>
        <v>0</v>
      </c>
      <c r="J54" s="398">
        <f>SUM(J45:J53)</f>
        <v>0</v>
      </c>
      <c r="K54" s="399"/>
    </row>
    <row r="55" spans="1:11" s="391" customFormat="1" ht="11.75">
      <c r="A55" s="388" t="s">
        <v>419</v>
      </c>
      <c r="B55" s="389"/>
      <c r="C55" s="389"/>
      <c r="D55" s="389"/>
      <c r="E55" s="389"/>
      <c r="F55" s="389"/>
      <c r="G55" s="389"/>
      <c r="H55" s="389"/>
      <c r="I55" s="389"/>
      <c r="J55" s="389"/>
      <c r="K55" s="390"/>
    </row>
    <row r="56" spans="1:11" s="391" customFormat="1" ht="11.75">
      <c r="A56" s="395" t="s">
        <v>158</v>
      </c>
      <c r="B56" s="392">
        <f>'Sources and Uses Budget'!C56</f>
        <v>27150</v>
      </c>
      <c r="C56" s="393"/>
      <c r="D56" s="393">
        <v>27150</v>
      </c>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ht="11.75">
      <c r="A58" s="395" t="s">
        <v>156</v>
      </c>
      <c r="B58" s="392">
        <f>'Sources and Uses Budget'!C58</f>
        <v>13050</v>
      </c>
      <c r="C58" s="393"/>
      <c r="D58" s="393">
        <v>13050</v>
      </c>
      <c r="E58" s="394"/>
      <c r="F58" s="394"/>
      <c r="G58" s="394"/>
      <c r="H58" s="394"/>
      <c r="I58" s="394"/>
      <c r="J58" s="394"/>
      <c r="K58" s="390"/>
    </row>
    <row r="59" spans="1:11" s="391" customFormat="1" ht="11.75">
      <c r="A59" s="395" t="s">
        <v>154</v>
      </c>
      <c r="B59" s="392">
        <f>'Sources and Uses Budget'!C59</f>
        <v>8500</v>
      </c>
      <c r="C59" s="393"/>
      <c r="D59" s="393">
        <v>8500</v>
      </c>
      <c r="E59" s="394"/>
      <c r="F59" s="394"/>
      <c r="G59" s="394"/>
      <c r="H59" s="394"/>
      <c r="I59" s="394"/>
      <c r="J59" s="394"/>
      <c r="K59" s="390"/>
    </row>
    <row r="60" spans="1:11" s="391" customFormat="1" ht="11.75">
      <c r="A60" s="395" t="s">
        <v>155</v>
      </c>
      <c r="B60" s="392">
        <f>'Sources and Uses Budget'!C60</f>
        <v>27000</v>
      </c>
      <c r="C60" s="393"/>
      <c r="D60" s="393">
        <v>27000</v>
      </c>
      <c r="E60" s="394"/>
      <c r="F60" s="394"/>
      <c r="G60" s="394"/>
      <c r="H60" s="394"/>
      <c r="I60" s="394"/>
      <c r="J60" s="394"/>
      <c r="K60" s="390"/>
    </row>
    <row r="61" spans="1:11" s="391" customFormat="1" ht="11.75">
      <c r="A61" s="395" t="str">
        <f>'Sources and Uses Budget'!$A61</f>
        <v>Other: compliance, &amp; misc. fees</v>
      </c>
      <c r="B61" s="392">
        <f>'Sources and Uses Budget'!C61</f>
        <v>248000</v>
      </c>
      <c r="C61" s="393"/>
      <c r="D61" s="393">
        <v>130999</v>
      </c>
      <c r="E61" s="394"/>
      <c r="F61" s="394"/>
      <c r="G61" s="394"/>
      <c r="H61" s="394"/>
      <c r="I61" s="394"/>
      <c r="J61" s="394"/>
      <c r="K61" s="390"/>
    </row>
    <row r="62" spans="1:11" s="391" customFormat="1" ht="13.7" customHeight="1">
      <c r="A62" s="396" t="s">
        <v>302</v>
      </c>
      <c r="B62" s="392">
        <f>'Sources and Uses Budget'!C62</f>
        <v>323700</v>
      </c>
      <c r="C62" s="392">
        <f>SUM(C56:C61)</f>
        <v>0</v>
      </c>
      <c r="D62" s="392">
        <f>SUM(D56:D61)</f>
        <v>206699</v>
      </c>
      <c r="E62" s="394"/>
      <c r="F62" s="394"/>
      <c r="G62" s="394"/>
      <c r="H62" s="394"/>
      <c r="I62" s="394"/>
      <c r="J62" s="394"/>
      <c r="K62" s="390"/>
    </row>
    <row r="63" spans="1:11" s="391" customFormat="1" ht="11.75">
      <c r="A63" s="401" t="s">
        <v>303</v>
      </c>
      <c r="B63" s="392">
        <f>'Sources and Uses Budget'!C63</f>
        <v>33218542</v>
      </c>
      <c r="C63" s="392">
        <f>SUM(C8+C11+C13+C14+C15+C26+C27+C38+C42+C43+C54+C62)</f>
        <v>0</v>
      </c>
      <c r="D63" s="392">
        <f>SUM(D8+D11+D13+D14+D15+D26+D27+D38+D42+D43+D54+D62)</f>
        <v>33097541</v>
      </c>
      <c r="E63" s="392">
        <f>'Sources and Uses Budget'!S63</f>
        <v>29177239</v>
      </c>
      <c r="F63" s="392">
        <f>SUM(F10+F13+F14+F15+F26+F27+F38+F42+F43+F54)</f>
        <v>0</v>
      </c>
      <c r="G63" s="392">
        <f>SUM(G10+G13+G14+G15+G26+G27+G38+G42+G43+G54)</f>
        <v>29022239</v>
      </c>
      <c r="H63" s="392">
        <f>'Sources and Uses Budget'!T63</f>
        <v>0</v>
      </c>
      <c r="I63" s="392">
        <f>SUM(I11+I13+I14+I15+I26+I27+I38+I42+I43+I54)</f>
        <v>0</v>
      </c>
      <c r="J63" s="392">
        <f>SUM(J11+J13+J14+J15+J26+J27+J38+J42+J43+J54)</f>
        <v>0</v>
      </c>
      <c r="K63" s="390"/>
    </row>
    <row r="64" spans="1:11" s="391" customFormat="1" ht="23.5">
      <c r="A64" s="141" t="s">
        <v>1758</v>
      </c>
      <c r="B64" s="389"/>
      <c r="C64" s="389"/>
      <c r="D64" s="389"/>
      <c r="E64" s="389"/>
      <c r="F64" s="389"/>
      <c r="G64" s="389"/>
      <c r="H64" s="389"/>
      <c r="I64" s="389"/>
      <c r="J64" s="389"/>
      <c r="K64" s="390"/>
    </row>
    <row r="65" spans="1:11" s="391" customFormat="1" ht="11.75">
      <c r="A65" s="145" t="s">
        <v>171</v>
      </c>
      <c r="B65" s="392">
        <f>'Sources and Uses Budget'!C65</f>
        <v>160000</v>
      </c>
      <c r="C65" s="393"/>
      <c r="D65" s="393">
        <v>160000</v>
      </c>
      <c r="E65" s="392">
        <f>'Sources and Uses Budget'!S65</f>
        <v>100000</v>
      </c>
      <c r="F65" s="393"/>
      <c r="G65" s="393">
        <f>D65</f>
        <v>160000</v>
      </c>
      <c r="H65" s="392">
        <f>'Sources and Uses Budget'!T65</f>
        <v>0</v>
      </c>
      <c r="I65" s="393"/>
      <c r="J65" s="393"/>
      <c r="K65" s="390"/>
    </row>
    <row r="66" spans="1:11" s="391" customFormat="1" ht="23.5">
      <c r="A66" s="304" t="s">
        <v>1755</v>
      </c>
      <c r="B66" s="392">
        <f>'Sources and Uses Budget'!C66</f>
        <v>55000</v>
      </c>
      <c r="C66" s="393"/>
      <c r="D66" s="393">
        <v>55000</v>
      </c>
      <c r="E66" s="392">
        <f>'Sources and Uses Budget'!S66</f>
        <v>0</v>
      </c>
      <c r="F66" s="393"/>
      <c r="G66" s="393">
        <f>D66</f>
        <v>55000</v>
      </c>
      <c r="H66" s="392">
        <f>'Sources and Uses Budget'!T66</f>
        <v>0</v>
      </c>
      <c r="I66" s="393"/>
      <c r="J66" s="393"/>
      <c r="K66" s="390"/>
    </row>
    <row r="67" spans="1:11" s="391" customFormat="1" ht="23.5">
      <c r="A67" s="304" t="s">
        <v>1756</v>
      </c>
      <c r="B67" s="392">
        <f>'Sources and Uses Budget'!C67</f>
        <v>0</v>
      </c>
      <c r="C67" s="393"/>
      <c r="D67" s="393"/>
      <c r="E67" s="392">
        <f>'Sources and Uses Budget'!S67</f>
        <v>0</v>
      </c>
      <c r="F67" s="393"/>
      <c r="G67" s="393"/>
      <c r="H67" s="392">
        <f>'Sources and Uses Budget'!T67</f>
        <v>0</v>
      </c>
      <c r="I67" s="393"/>
      <c r="J67" s="393"/>
      <c r="K67" s="390"/>
    </row>
    <row r="68" spans="1:11" s="391" customFormat="1" ht="11.75">
      <c r="A68" s="304" t="s">
        <v>1762</v>
      </c>
      <c r="B68" s="392">
        <f>'Sources and Uses Budget'!C68</f>
        <v>0</v>
      </c>
      <c r="C68" s="393"/>
      <c r="D68" s="393"/>
      <c r="E68" s="392">
        <f>'Sources and Uses Budget'!S68</f>
        <v>0</v>
      </c>
      <c r="F68" s="393"/>
      <c r="G68" s="393"/>
      <c r="H68" s="392">
        <f>'Sources and Uses Budget'!T68</f>
        <v>0</v>
      </c>
      <c r="I68" s="393"/>
      <c r="J68" s="393"/>
      <c r="K68" s="390"/>
    </row>
    <row r="69" spans="1:11" s="391" customFormat="1" ht="11.75">
      <c r="A69" s="395" t="str">
        <f>'Sources and Uses Budget'!$A69</f>
        <v>Other: (Specify)</v>
      </c>
      <c r="B69" s="392">
        <f>'Sources and Uses Budget'!C69</f>
        <v>0</v>
      </c>
      <c r="C69" s="393"/>
      <c r="D69" s="393"/>
      <c r="E69" s="392">
        <f>'Sources and Uses Budget'!S69</f>
        <v>0</v>
      </c>
      <c r="F69" s="393"/>
      <c r="G69" s="393"/>
      <c r="H69" s="392">
        <f>'Sources and Uses Budget'!T69</f>
        <v>0</v>
      </c>
      <c r="I69" s="393"/>
      <c r="J69" s="393"/>
      <c r="K69" s="390"/>
    </row>
    <row r="70" spans="1:11" s="391" customFormat="1">
      <c r="A70" s="396" t="s">
        <v>610</v>
      </c>
      <c r="B70" s="392">
        <f>'Sources and Uses Budget'!C70</f>
        <v>215000</v>
      </c>
      <c r="C70" s="392">
        <f>SUM(C64:C69)</f>
        <v>0</v>
      </c>
      <c r="D70" s="392">
        <f>SUM(D64:D69)</f>
        <v>215000</v>
      </c>
      <c r="E70" s="392">
        <f>'Sources and Uses Budget'!S70</f>
        <v>100000</v>
      </c>
      <c r="F70" s="398">
        <f>SUM(F65:F69)</f>
        <v>0</v>
      </c>
      <c r="G70" s="398">
        <f>SUM(G65:G69)</f>
        <v>215000</v>
      </c>
      <c r="H70" s="392">
        <f>'Sources and Uses Budget'!T70</f>
        <v>0</v>
      </c>
      <c r="I70" s="398">
        <f>SUM(I65:I69)</f>
        <v>0</v>
      </c>
      <c r="J70" s="398">
        <f>SUM(J65:J69)</f>
        <v>0</v>
      </c>
      <c r="K70" s="390"/>
    </row>
    <row r="71" spans="1:11" s="391" customFormat="1" ht="11.75">
      <c r="A71" s="388" t="s">
        <v>611</v>
      </c>
      <c r="B71" s="389"/>
      <c r="C71" s="389"/>
      <c r="D71" s="389"/>
      <c r="E71" s="389"/>
      <c r="F71" s="389"/>
      <c r="G71" s="389"/>
      <c r="H71" s="389"/>
      <c r="I71" s="389"/>
      <c r="J71" s="389"/>
      <c r="K71" s="390"/>
    </row>
    <row r="72" spans="1:11" s="391" customFormat="1" ht="11.75">
      <c r="A72" s="395" t="s">
        <v>612</v>
      </c>
      <c r="B72" s="392">
        <f>'Sources and Uses Budget'!C72</f>
        <v>0</v>
      </c>
      <c r="C72" s="393"/>
      <c r="D72" s="393"/>
      <c r="E72" s="394"/>
      <c r="F72" s="394"/>
      <c r="G72" s="394"/>
      <c r="H72" s="394"/>
      <c r="I72" s="394"/>
      <c r="J72" s="394"/>
      <c r="K72" s="390"/>
    </row>
    <row r="73" spans="1:11" s="391" customFormat="1" ht="11.75">
      <c r="A73" s="395" t="s">
        <v>613</v>
      </c>
      <c r="B73" s="392">
        <f>'Sources and Uses Budget'!C73</f>
        <v>0</v>
      </c>
      <c r="C73" s="393"/>
      <c r="D73" s="393"/>
      <c r="E73" s="394"/>
      <c r="F73" s="394"/>
      <c r="G73" s="394"/>
      <c r="H73" s="394"/>
      <c r="I73" s="394"/>
      <c r="J73" s="394"/>
      <c r="K73" s="390"/>
    </row>
    <row r="74" spans="1:11" s="391" customFormat="1" ht="11.75">
      <c r="A74" s="397" t="s">
        <v>1008</v>
      </c>
      <c r="B74" s="392">
        <f>'Sources and Uses Budget'!C74</f>
        <v>0</v>
      </c>
      <c r="C74" s="393"/>
      <c r="D74" s="393"/>
      <c r="E74" s="394"/>
      <c r="F74" s="394"/>
      <c r="G74" s="394"/>
      <c r="H74" s="394"/>
      <c r="I74" s="394"/>
      <c r="J74" s="394"/>
      <c r="K74" s="390"/>
    </row>
    <row r="75" spans="1:11" s="391" customFormat="1" ht="11.75">
      <c r="A75" s="395" t="s">
        <v>614</v>
      </c>
      <c r="B75" s="392">
        <f>'Sources and Uses Budget'!C75</f>
        <v>467426</v>
      </c>
      <c r="C75" s="393"/>
      <c r="D75" s="393">
        <v>467426</v>
      </c>
      <c r="E75" s="394"/>
      <c r="F75" s="394"/>
      <c r="G75" s="394"/>
      <c r="H75" s="394"/>
      <c r="I75" s="394"/>
      <c r="J75" s="394"/>
      <c r="K75" s="390"/>
    </row>
    <row r="76" spans="1:11" s="391" customFormat="1" ht="11.75">
      <c r="A76" s="395" t="str">
        <f>'Sources and Uses Budget'!$A76</f>
        <v>Other: (Specify)</v>
      </c>
      <c r="B76" s="392">
        <f>'Sources and Uses Budget'!C76</f>
        <v>0</v>
      </c>
      <c r="C76" s="393"/>
      <c r="D76" s="393"/>
      <c r="E76" s="394"/>
      <c r="F76" s="394"/>
      <c r="G76" s="394"/>
      <c r="H76" s="394"/>
      <c r="I76" s="394"/>
      <c r="J76" s="394"/>
      <c r="K76" s="390"/>
    </row>
    <row r="77" spans="1:11" s="391" customFormat="1">
      <c r="A77" s="396" t="s">
        <v>615</v>
      </c>
      <c r="B77" s="392">
        <f>'Sources and Uses Budget'!C77</f>
        <v>467426</v>
      </c>
      <c r="C77" s="392">
        <f>SUM(C72:C76)</f>
        <v>0</v>
      </c>
      <c r="D77" s="392">
        <f>SUM(D72:D76)</f>
        <v>467426</v>
      </c>
      <c r="E77" s="394"/>
      <c r="F77" s="394"/>
      <c r="G77" s="394"/>
      <c r="H77" s="394"/>
      <c r="I77" s="394"/>
      <c r="J77" s="394"/>
      <c r="K77" s="390"/>
    </row>
    <row r="78" spans="1:11" s="391" customFormat="1" ht="11.75">
      <c r="A78" s="388" t="s">
        <v>1317</v>
      </c>
      <c r="B78" s="389"/>
      <c r="C78" s="389"/>
      <c r="D78" s="389"/>
      <c r="E78" s="389"/>
      <c r="F78" s="389"/>
      <c r="G78" s="389"/>
      <c r="H78" s="389"/>
      <c r="I78" s="389"/>
      <c r="J78" s="389"/>
      <c r="K78" s="390"/>
    </row>
    <row r="79" spans="1:11" s="391" customFormat="1" ht="11.75">
      <c r="A79" s="395" t="s">
        <v>1319</v>
      </c>
      <c r="B79" s="392">
        <f>'Sources and Uses Budget'!C79</f>
        <v>1299397</v>
      </c>
      <c r="C79" s="393"/>
      <c r="D79" s="393">
        <v>1299397</v>
      </c>
      <c r="E79" s="392">
        <f>'Sources and Uses Budget'!S79</f>
        <v>1299397</v>
      </c>
      <c r="F79" s="393"/>
      <c r="G79" s="393">
        <f>D79</f>
        <v>1299397</v>
      </c>
      <c r="H79" s="392">
        <f>'Sources and Uses Budget'!T79</f>
        <v>0</v>
      </c>
      <c r="I79" s="393"/>
      <c r="J79" s="393"/>
      <c r="K79" s="390"/>
    </row>
    <row r="80" spans="1:11" s="391" customFormat="1" ht="11.75">
      <c r="A80" s="395" t="s">
        <v>58</v>
      </c>
      <c r="B80" s="392">
        <f>'Sources and Uses Budget'!C80</f>
        <v>354553</v>
      </c>
      <c r="C80" s="393"/>
      <c r="D80" s="393">
        <v>354553</v>
      </c>
      <c r="E80" s="392">
        <f>'Sources and Uses Budget'!S80</f>
        <v>354553</v>
      </c>
      <c r="F80" s="393"/>
      <c r="G80" s="393">
        <f>D80</f>
        <v>354553</v>
      </c>
      <c r="H80" s="392">
        <f>'Sources and Uses Budget'!T80</f>
        <v>0</v>
      </c>
      <c r="I80" s="393"/>
      <c r="J80" s="393"/>
      <c r="K80" s="390"/>
    </row>
    <row r="81" spans="1:11" s="391" customFormat="1">
      <c r="A81" s="396" t="s">
        <v>1316</v>
      </c>
      <c r="B81" s="392">
        <f>'Sources and Uses Budget'!C81</f>
        <v>1653950</v>
      </c>
      <c r="C81" s="392">
        <f>SUM(C79:C80)</f>
        <v>0</v>
      </c>
      <c r="D81" s="392">
        <f>SUM(D79:D80)</f>
        <v>1653950</v>
      </c>
      <c r="E81" s="392">
        <f>'Sources and Uses Budget'!S81</f>
        <v>1653950</v>
      </c>
      <c r="F81" s="392">
        <f>SUM(F79:F80)</f>
        <v>0</v>
      </c>
      <c r="G81" s="392">
        <f>SUM(G79:G80)</f>
        <v>1653950</v>
      </c>
      <c r="H81" s="392">
        <f>'Sources and Uses Budget'!T81</f>
        <v>0</v>
      </c>
      <c r="I81" s="392">
        <f>SUM(I79:I80)</f>
        <v>0</v>
      </c>
      <c r="J81" s="392">
        <f>SUM(J79:J80)</f>
        <v>0</v>
      </c>
      <c r="K81" s="390"/>
    </row>
    <row r="82" spans="1:11" s="391" customFormat="1" ht="11.75">
      <c r="A82" s="388" t="s">
        <v>775</v>
      </c>
      <c r="B82" s="389"/>
      <c r="C82" s="389"/>
      <c r="D82" s="389"/>
      <c r="E82" s="389"/>
      <c r="F82" s="389"/>
      <c r="G82" s="389"/>
      <c r="H82" s="389"/>
      <c r="I82" s="389"/>
      <c r="J82" s="389"/>
      <c r="K82" s="390"/>
    </row>
    <row r="83" spans="1:11" s="391" customFormat="1" ht="13.7" customHeight="1">
      <c r="A83" s="145" t="s">
        <v>2412</v>
      </c>
      <c r="B83" s="392">
        <f>'Sources and Uses Budget'!C83</f>
        <v>83138</v>
      </c>
      <c r="C83" s="393"/>
      <c r="D83" s="393">
        <v>83139</v>
      </c>
      <c r="E83" s="394"/>
      <c r="F83" s="394"/>
      <c r="G83" s="394"/>
      <c r="H83" s="394"/>
      <c r="I83" s="394"/>
      <c r="J83" s="394"/>
      <c r="K83" s="390"/>
    </row>
    <row r="84" spans="1:11" s="391" customFormat="1" ht="11.75">
      <c r="A84" s="145" t="s">
        <v>777</v>
      </c>
      <c r="B84" s="392">
        <f>'Sources and Uses Budget'!C84</f>
        <v>0</v>
      </c>
      <c r="C84" s="393"/>
      <c r="D84" s="393"/>
      <c r="E84" s="392">
        <f>'Sources and Uses Budget'!S84</f>
        <v>0</v>
      </c>
      <c r="F84" s="393"/>
      <c r="G84" s="393"/>
      <c r="H84" s="392">
        <f>'Sources and Uses Budget'!T84</f>
        <v>0</v>
      </c>
      <c r="I84" s="393"/>
      <c r="J84" s="393"/>
      <c r="K84" s="390"/>
    </row>
    <row r="85" spans="1:11" s="391" customFormat="1" ht="11.75">
      <c r="A85" s="145" t="s">
        <v>778</v>
      </c>
      <c r="B85" s="392">
        <f>'Sources and Uses Budget'!C85</f>
        <v>213918</v>
      </c>
      <c r="C85" s="393"/>
      <c r="D85" s="393">
        <v>213918</v>
      </c>
      <c r="E85" s="392">
        <f>'Sources and Uses Budget'!S85</f>
        <v>213918</v>
      </c>
      <c r="F85" s="393"/>
      <c r="G85" s="393">
        <f>D85</f>
        <v>213918</v>
      </c>
      <c r="H85" s="392">
        <f>'Sources and Uses Budget'!T85</f>
        <v>0</v>
      </c>
      <c r="I85" s="393"/>
      <c r="J85" s="393"/>
      <c r="K85" s="390"/>
    </row>
    <row r="86" spans="1:11" s="391" customFormat="1" ht="11.75">
      <c r="A86" s="145" t="s">
        <v>779</v>
      </c>
      <c r="B86" s="392">
        <f>'Sources and Uses Budget'!C86</f>
        <v>500000</v>
      </c>
      <c r="C86" s="393"/>
      <c r="D86" s="393">
        <v>500000</v>
      </c>
      <c r="E86" s="392">
        <f>'Sources and Uses Budget'!S86</f>
        <v>500000</v>
      </c>
      <c r="F86" s="393"/>
      <c r="G86" s="393">
        <f>D86</f>
        <v>500000</v>
      </c>
      <c r="H86" s="392">
        <f>'Sources and Uses Budget'!T86</f>
        <v>0</v>
      </c>
      <c r="I86" s="393"/>
      <c r="J86" s="393"/>
      <c r="K86" s="390"/>
    </row>
    <row r="87" spans="1:11" s="391" customFormat="1" ht="11.75">
      <c r="A87" s="145" t="s">
        <v>780</v>
      </c>
      <c r="B87" s="392">
        <f>'Sources and Uses Budget'!C87</f>
        <v>0</v>
      </c>
      <c r="C87" s="393"/>
      <c r="D87" s="393"/>
      <c r="E87" s="392">
        <f>'Sources and Uses Budget'!S87</f>
        <v>0</v>
      </c>
      <c r="F87" s="393"/>
      <c r="G87" s="393"/>
      <c r="H87" s="392">
        <f>'Sources and Uses Budget'!T87</f>
        <v>0</v>
      </c>
      <c r="I87" s="393"/>
      <c r="J87" s="393"/>
      <c r="K87" s="390"/>
    </row>
    <row r="88" spans="1:11" s="391" customFormat="1" ht="11.75">
      <c r="A88" s="145" t="s">
        <v>781</v>
      </c>
      <c r="B88" s="392">
        <f>'Sources and Uses Budget'!C88</f>
        <v>100000</v>
      </c>
      <c r="C88" s="393"/>
      <c r="D88" s="393">
        <v>100000</v>
      </c>
      <c r="E88" s="394"/>
      <c r="F88" s="394"/>
      <c r="G88" s="394"/>
      <c r="H88" s="394"/>
      <c r="I88" s="394"/>
      <c r="J88" s="394"/>
      <c r="K88" s="390"/>
    </row>
    <row r="89" spans="1:11" s="391" customFormat="1" ht="11.75">
      <c r="A89" s="145" t="s">
        <v>782</v>
      </c>
      <c r="B89" s="392">
        <f>'Sources and Uses Budget'!C89</f>
        <v>250000</v>
      </c>
      <c r="C89" s="393"/>
      <c r="D89" s="393">
        <v>250000</v>
      </c>
      <c r="E89" s="392">
        <f>'Sources and Uses Budget'!S89</f>
        <v>250000</v>
      </c>
      <c r="F89" s="393"/>
      <c r="G89" s="393">
        <f>D89</f>
        <v>250000</v>
      </c>
      <c r="H89" s="392">
        <f>'Sources and Uses Budget'!T89</f>
        <v>0</v>
      </c>
      <c r="I89" s="393"/>
      <c r="J89" s="393"/>
      <c r="K89" s="390"/>
    </row>
    <row r="90" spans="1:11" s="391" customFormat="1" ht="11.75">
      <c r="A90" s="145" t="s">
        <v>783</v>
      </c>
      <c r="B90" s="392">
        <f>'Sources and Uses Budget'!C90</f>
        <v>15000</v>
      </c>
      <c r="C90" s="393"/>
      <c r="D90" s="393">
        <v>15000</v>
      </c>
      <c r="E90" s="392">
        <f>'Sources and Uses Budget'!S90</f>
        <v>0</v>
      </c>
      <c r="F90" s="393"/>
      <c r="G90" s="393">
        <f>D90</f>
        <v>15000</v>
      </c>
      <c r="H90" s="392">
        <f>'Sources and Uses Budget'!T90</f>
        <v>0</v>
      </c>
      <c r="I90" s="393"/>
      <c r="J90" s="393"/>
      <c r="K90" s="390"/>
    </row>
    <row r="91" spans="1:11" s="391" customFormat="1" ht="11.75">
      <c r="A91" s="155" t="s">
        <v>373</v>
      </c>
      <c r="B91" s="392">
        <f>'Sources and Uses Budget'!C91</f>
        <v>25000</v>
      </c>
      <c r="C91" s="393"/>
      <c r="D91" s="393">
        <v>25000</v>
      </c>
      <c r="E91" s="392">
        <f>'Sources and Uses Budget'!S91</f>
        <v>0</v>
      </c>
      <c r="F91" s="393"/>
      <c r="G91" s="393">
        <f>D91</f>
        <v>25000</v>
      </c>
      <c r="H91" s="392">
        <f>'Sources and Uses Budget'!T91</f>
        <v>0</v>
      </c>
      <c r="I91" s="393"/>
      <c r="J91" s="393"/>
      <c r="K91" s="390"/>
    </row>
    <row r="92" spans="1:11" s="391" customFormat="1" ht="11.75">
      <c r="A92" s="542" t="s">
        <v>1318</v>
      </c>
      <c r="B92" s="392">
        <f>'Sources and Uses Budget'!C92</f>
        <v>15000</v>
      </c>
      <c r="C92" s="393"/>
      <c r="D92" s="393">
        <v>15000</v>
      </c>
      <c r="E92" s="392">
        <f>'Sources and Uses Budget'!S92</f>
        <v>15000</v>
      </c>
      <c r="F92" s="393"/>
      <c r="G92" s="393">
        <f>D92</f>
        <v>15000</v>
      </c>
      <c r="H92" s="392">
        <f>'Sources and Uses Budget'!T92</f>
        <v>0</v>
      </c>
      <c r="I92" s="393"/>
      <c r="J92" s="393"/>
      <c r="K92" s="390"/>
    </row>
    <row r="93" spans="1:11" s="391" customFormat="1" ht="11.75">
      <c r="A93" s="395" t="str">
        <f>'Sources and Uses Budget'!$A93</f>
        <v>Other: (Specify)</v>
      </c>
      <c r="B93" s="392">
        <f>'Sources and Uses Budget'!C93</f>
        <v>0</v>
      </c>
      <c r="C93" s="393"/>
      <c r="D93" s="393"/>
      <c r="E93" s="392">
        <f>'Sources and Uses Budget'!S93</f>
        <v>0</v>
      </c>
      <c r="F93" s="393"/>
      <c r="G93" s="393"/>
      <c r="H93" s="392">
        <f>'Sources and Uses Budget'!T93</f>
        <v>0</v>
      </c>
      <c r="I93" s="393"/>
      <c r="J93" s="393"/>
      <c r="K93" s="390"/>
    </row>
    <row r="94" spans="1:11" s="391" customFormat="1" ht="11.75">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ht="11.75">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784</v>
      </c>
      <c r="B96" s="392">
        <f>'Sources and Uses Budget'!C96</f>
        <v>1202056</v>
      </c>
      <c r="C96" s="392">
        <f>SUM(C83:C95)</f>
        <v>0</v>
      </c>
      <c r="D96" s="392">
        <f>SUM(D83:D95)</f>
        <v>1202057</v>
      </c>
      <c r="E96" s="392">
        <f>'Sources and Uses Budget'!S96</f>
        <v>978918</v>
      </c>
      <c r="F96" s="398">
        <f>SUM(F84:F87,F89:F95)</f>
        <v>0</v>
      </c>
      <c r="G96" s="398">
        <f>SUM(G84:G87,G89:G95)</f>
        <v>1018918</v>
      </c>
      <c r="H96" s="392">
        <f>'Sources and Uses Budget'!T96</f>
        <v>0</v>
      </c>
      <c r="I96" s="392">
        <f>SUM(I84:I87,I89:I95)</f>
        <v>0</v>
      </c>
      <c r="J96" s="392">
        <f>SUM(J84:J87,J89:J95)</f>
        <v>0</v>
      </c>
      <c r="K96" s="390"/>
    </row>
    <row r="97" spans="1:11" s="391" customFormat="1">
      <c r="A97" s="396" t="s">
        <v>1054</v>
      </c>
      <c r="B97" s="392">
        <f>'Sources and Uses Budget'!C97</f>
        <v>36756974</v>
      </c>
      <c r="C97" s="392">
        <f>SUM(C63+C70+C77+C81+C96)</f>
        <v>0</v>
      </c>
      <c r="D97" s="392">
        <f>SUM(D63+D70+D77+D81+D96)</f>
        <v>36635974</v>
      </c>
      <c r="E97" s="392">
        <f>'Sources and Uses Budget'!S97</f>
        <v>31910107</v>
      </c>
      <c r="F97" s="398">
        <f>SUM(+F63+F70+F81+F96)</f>
        <v>0</v>
      </c>
      <c r="G97" s="398">
        <f>SUM(+G63+G70+G81+G96)</f>
        <v>31910107</v>
      </c>
      <c r="H97" s="392">
        <f>'Sources and Uses Budget'!T97</f>
        <v>0</v>
      </c>
      <c r="I97" s="398">
        <f>SUM(I63+I70+I81+I96)</f>
        <v>0</v>
      </c>
      <c r="J97" s="398">
        <f>SUM(J63+J70+J81+J96)</f>
        <v>0</v>
      </c>
      <c r="K97" s="390"/>
    </row>
    <row r="98" spans="1:11" s="391" customFormat="1" ht="11.75">
      <c r="A98" s="388" t="s">
        <v>786</v>
      </c>
      <c r="B98" s="389"/>
      <c r="C98" s="389"/>
      <c r="D98" s="389"/>
      <c r="E98" s="389"/>
      <c r="F98" s="389"/>
      <c r="G98" s="389"/>
      <c r="H98" s="389"/>
      <c r="I98" s="389"/>
      <c r="J98" s="389"/>
      <c r="K98" s="390"/>
    </row>
    <row r="99" spans="1:11" s="391" customFormat="1" ht="11.75">
      <c r="A99" s="145" t="s">
        <v>787</v>
      </c>
      <c r="B99" s="392">
        <f>'Sources and Uses Budget'!C99</f>
        <v>3800000</v>
      </c>
      <c r="C99" s="393"/>
      <c r="D99" s="393">
        <v>3800000</v>
      </c>
      <c r="E99" s="392">
        <f>'Sources and Uses Budget'!S99</f>
        <v>3800000</v>
      </c>
      <c r="F99" s="393"/>
      <c r="G99" s="393">
        <f>D99</f>
        <v>3800000</v>
      </c>
      <c r="H99" s="392">
        <f>'Sources and Uses Budget'!T99</f>
        <v>0</v>
      </c>
      <c r="I99" s="393"/>
      <c r="J99" s="393"/>
      <c r="K99" s="390"/>
    </row>
    <row r="100" spans="1:11" s="391" customFormat="1" ht="11.75">
      <c r="A100" s="304" t="s">
        <v>1760</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ht="11.75">
      <c r="A101" s="145" t="s">
        <v>788</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1761</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ht="11.75">
      <c r="A103" s="395" t="str">
        <f>'Sources and Uses Budget'!$A103</f>
        <v>Other: (Specify)</v>
      </c>
      <c r="B103" s="392">
        <f>'Sources and Uses Budget'!C103</f>
        <v>0</v>
      </c>
      <c r="C103" s="393"/>
      <c r="D103" s="393">
        <v>103000</v>
      </c>
      <c r="E103" s="392">
        <f>'Sources and Uses Budget'!S103</f>
        <v>0</v>
      </c>
      <c r="F103" s="393"/>
      <c r="G103" s="393"/>
      <c r="H103" s="392">
        <f>'Sources and Uses Budget'!T103</f>
        <v>0</v>
      </c>
      <c r="I103" s="393"/>
      <c r="J103" s="393"/>
      <c r="K103" s="390"/>
    </row>
    <row r="104" spans="1:11" s="391" customFormat="1">
      <c r="A104" s="396" t="s">
        <v>789</v>
      </c>
      <c r="B104" s="392">
        <f>'Sources and Uses Budget'!C104</f>
        <v>3800000</v>
      </c>
      <c r="C104" s="392">
        <f>SUM(C99:C103)</f>
        <v>0</v>
      </c>
      <c r="D104" s="392">
        <f>SUM(D99:D103)</f>
        <v>3903000</v>
      </c>
      <c r="E104" s="392">
        <f>'Sources and Uses Budget'!S104</f>
        <v>3800000</v>
      </c>
      <c r="F104" s="398">
        <f>SUM(F99:F103)</f>
        <v>0</v>
      </c>
      <c r="G104" s="398">
        <f>SUM(G99:G103)</f>
        <v>3800000</v>
      </c>
      <c r="H104" s="392">
        <f>'Sources and Uses Budget'!T104</f>
        <v>0</v>
      </c>
      <c r="I104" s="398">
        <f>SUM(I99:I103)</f>
        <v>0</v>
      </c>
      <c r="J104" s="398">
        <f>SUM(J99:J103)</f>
        <v>0</v>
      </c>
      <c r="K104" s="390"/>
    </row>
    <row r="105" spans="1:11" s="391" customFormat="1">
      <c r="A105" s="396" t="s">
        <v>1055</v>
      </c>
      <c r="B105" s="392">
        <f>'Sources and Uses Budget'!C105</f>
        <v>40556974</v>
      </c>
      <c r="C105" s="398">
        <f>SUM(C97+C104)</f>
        <v>0</v>
      </c>
      <c r="D105" s="398">
        <f>SUM(D97+D104)</f>
        <v>40538974</v>
      </c>
      <c r="E105" s="392">
        <f>'Sources and Uses Budget'!S105</f>
        <v>35710107</v>
      </c>
      <c r="F105" s="398">
        <f>F97+F104</f>
        <v>0</v>
      </c>
      <c r="G105" s="398">
        <f>G97+G104</f>
        <v>35710107</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35710107</v>
      </c>
      <c r="F107" s="398">
        <f>F105+F106</f>
        <v>0</v>
      </c>
      <c r="G107" s="398">
        <f>G105+G106</f>
        <v>35710107</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3">
      <c r="A111" s="408"/>
      <c r="B111" s="406"/>
      <c r="C111" s="406"/>
      <c r="D111" s="406"/>
      <c r="J111" s="407"/>
      <c r="K111" s="390"/>
    </row>
    <row r="112" spans="1:11" s="391" customFormat="1" ht="13">
      <c r="A112" s="408"/>
      <c r="B112" s="406"/>
      <c r="C112" s="406"/>
      <c r="D112" s="406"/>
      <c r="J112" s="407"/>
      <c r="K112" s="390"/>
    </row>
    <row r="113" spans="1:11" s="391" customFormat="1" ht="15">
      <c r="A113" s="409"/>
      <c r="B113" s="406"/>
      <c r="C113" s="406"/>
      <c r="D113" s="406"/>
      <c r="J113" s="407"/>
      <c r="K113" s="390"/>
    </row>
    <row r="114" spans="1:11" s="391" customFormat="1" ht="13">
      <c r="A114" s="408"/>
      <c r="J114" s="407"/>
      <c r="K114" s="390"/>
    </row>
    <row r="115" spans="1:11" s="391" customFormat="1" ht="15">
      <c r="A115" s="409"/>
      <c r="J115" s="407"/>
      <c r="K115" s="390"/>
    </row>
    <row r="116" spans="1:11" s="391" customFormat="1" ht="15">
      <c r="A116" s="409"/>
      <c r="J116" s="407"/>
      <c r="K116" s="390"/>
    </row>
    <row r="117" spans="1:11" s="391" customFormat="1" ht="11.75">
      <c r="B117" s="406"/>
      <c r="C117" s="406"/>
      <c r="D117" s="406"/>
      <c r="J117" s="407"/>
      <c r="K117" s="390"/>
    </row>
    <row r="118" spans="1:11" s="391" customFormat="1" ht="11.75">
      <c r="J118" s="407"/>
      <c r="K118" s="390"/>
    </row>
    <row r="119" spans="1:11" s="391" customFormat="1" ht="11.75">
      <c r="J119" s="407"/>
      <c r="K119" s="390"/>
    </row>
    <row r="120" spans="1:11" s="391" customFormat="1" ht="11.75">
      <c r="J120" s="407"/>
      <c r="K120" s="390"/>
    </row>
    <row r="121" spans="1:11" s="391" customFormat="1" ht="15">
      <c r="A121" s="409"/>
      <c r="J121" s="407"/>
      <c r="K121" s="390"/>
    </row>
    <row r="122" spans="1:11" s="411" customFormat="1" ht="15.5">
      <c r="A122" s="410"/>
      <c r="J122" s="412"/>
      <c r="K122" s="413"/>
    </row>
    <row r="123" spans="1:11" s="391" customFormat="1" ht="11.75">
      <c r="A123" s="414"/>
      <c r="J123" s="407"/>
      <c r="K123" s="390"/>
    </row>
    <row r="124" spans="1:11" s="391" customFormat="1" ht="11.75">
      <c r="B124" s="415"/>
      <c r="D124" s="1895"/>
      <c r="E124" s="1342"/>
      <c r="F124" s="1342"/>
      <c r="G124" s="1342"/>
      <c r="H124" s="1342"/>
      <c r="I124" s="1342"/>
      <c r="J124" s="407"/>
      <c r="K124" s="390"/>
    </row>
    <row r="125" spans="1:11" s="391" customFormat="1" ht="13">
      <c r="A125" s="416"/>
      <c r="B125" s="415"/>
      <c r="C125" s="416"/>
      <c r="D125" s="1342"/>
      <c r="E125" s="1342"/>
      <c r="F125" s="1342"/>
      <c r="G125" s="1342"/>
      <c r="H125" s="1342"/>
      <c r="I125" s="1342"/>
      <c r="J125" s="407"/>
      <c r="K125" s="390"/>
    </row>
    <row r="126" spans="1:11" s="391" customFormat="1" ht="13">
      <c r="A126" s="416"/>
      <c r="B126" s="415"/>
      <c r="C126" s="416"/>
      <c r="D126" s="1342"/>
      <c r="E126" s="1342"/>
      <c r="F126" s="1342"/>
      <c r="G126" s="1342"/>
      <c r="H126" s="1342"/>
      <c r="I126" s="1342"/>
      <c r="J126" s="407"/>
      <c r="K126" s="390"/>
    </row>
    <row r="127" spans="1:11" s="391" customFormat="1" ht="13">
      <c r="A127" s="416"/>
      <c r="B127" s="415"/>
      <c r="C127" s="416"/>
      <c r="D127" s="417"/>
      <c r="E127" s="416"/>
      <c r="F127" s="416"/>
      <c r="G127" s="416"/>
      <c r="J127" s="407"/>
      <c r="K127" s="390"/>
    </row>
    <row r="128" spans="1:11" s="391" customFormat="1" ht="13">
      <c r="A128" s="416"/>
      <c r="B128" s="415"/>
      <c r="C128" s="416"/>
      <c r="D128" s="417"/>
      <c r="E128" s="416"/>
      <c r="F128" s="416"/>
      <c r="G128" s="416"/>
      <c r="J128" s="407"/>
      <c r="K128" s="390"/>
    </row>
    <row r="129" spans="1:11" s="391" customFormat="1" ht="13">
      <c r="A129" s="416"/>
      <c r="B129" s="415"/>
      <c r="C129" s="416"/>
      <c r="D129" s="416"/>
      <c r="E129" s="416"/>
      <c r="F129" s="416"/>
      <c r="G129" s="416"/>
      <c r="J129" s="407"/>
      <c r="K129" s="390"/>
    </row>
    <row r="130" spans="1:11" s="391" customFormat="1" ht="13">
      <c r="A130" s="416"/>
      <c r="B130" s="415"/>
      <c r="C130" s="416"/>
      <c r="D130" s="416"/>
      <c r="E130" s="416"/>
      <c r="F130" s="416"/>
      <c r="G130" s="416"/>
      <c r="J130" s="407"/>
      <c r="K130" s="390"/>
    </row>
    <row r="131" spans="1:11" s="391" customFormat="1" ht="13">
      <c r="A131" s="416"/>
      <c r="B131" s="418"/>
      <c r="C131" s="416"/>
      <c r="D131" s="416"/>
      <c r="E131" s="416"/>
      <c r="F131" s="416"/>
      <c r="G131" s="416"/>
      <c r="J131" s="407"/>
      <c r="K131" s="390"/>
    </row>
    <row r="132" spans="1:11" s="391" customFormat="1" ht="13">
      <c r="A132" s="419"/>
      <c r="B132" s="420"/>
      <c r="C132" s="416"/>
      <c r="D132" s="421"/>
      <c r="E132" s="416"/>
      <c r="F132" s="416"/>
      <c r="G132" s="416"/>
      <c r="J132" s="407"/>
      <c r="K132" s="390"/>
    </row>
    <row r="133" spans="1:11" s="391" customFormat="1" ht="13">
      <c r="A133" s="422"/>
      <c r="B133" s="416"/>
      <c r="C133" s="416"/>
      <c r="D133" s="416"/>
      <c r="E133" s="416"/>
      <c r="F133" s="416"/>
      <c r="G133" s="416"/>
      <c r="J133" s="407"/>
      <c r="K133" s="390"/>
    </row>
    <row r="134" spans="1:11" s="391" customFormat="1" ht="13">
      <c r="A134" s="422"/>
      <c r="B134" s="416"/>
      <c r="C134" s="416"/>
      <c r="D134" s="416"/>
      <c r="E134" s="416"/>
      <c r="F134" s="416"/>
      <c r="G134" s="416"/>
      <c r="J134" s="407"/>
      <c r="K134" s="390"/>
    </row>
    <row r="135" spans="1:11" s="391" customFormat="1" ht="13">
      <c r="A135" s="423"/>
      <c r="B135" s="416"/>
      <c r="C135" s="416"/>
      <c r="D135" s="416"/>
      <c r="E135" s="416"/>
      <c r="F135" s="416"/>
      <c r="G135" s="416"/>
      <c r="J135" s="407"/>
      <c r="K135" s="390"/>
    </row>
    <row r="136" spans="1:11" s="391" customFormat="1" ht="13">
      <c r="A136" s="408"/>
      <c r="B136" s="416"/>
      <c r="C136" s="416"/>
      <c r="D136" s="416"/>
      <c r="E136" s="416"/>
      <c r="F136" s="416"/>
      <c r="G136" s="416"/>
      <c r="J136" s="407"/>
      <c r="K136" s="390"/>
    </row>
    <row r="137" spans="1:11" ht="13">
      <c r="A137" s="422"/>
      <c r="B137" s="416"/>
      <c r="C137" s="416"/>
      <c r="D137" s="416"/>
      <c r="E137" s="416"/>
      <c r="F137" s="416"/>
      <c r="G137" s="416"/>
    </row>
    <row r="138" spans="1:11" ht="12" customHeight="1">
      <c r="A138" s="422"/>
      <c r="B138" s="416"/>
      <c r="C138" s="416"/>
      <c r="D138" s="416"/>
      <c r="E138" s="416"/>
      <c r="F138" s="416"/>
      <c r="G138" s="416"/>
    </row>
    <row r="139" spans="1:11" ht="12" customHeight="1">
      <c r="A139" s="1896"/>
      <c r="B139" s="1342"/>
      <c r="C139" s="1342"/>
      <c r="D139" s="387"/>
      <c r="E139" s="416"/>
      <c r="F139" s="416"/>
      <c r="G139" s="416"/>
    </row>
    <row r="140" spans="1:11" ht="12" customHeight="1">
      <c r="A140" s="1302"/>
      <c r="B140" s="1302"/>
      <c r="C140" s="1302"/>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291" workbookViewId="0">
      <selection activeCell="F281" sqref="F281:AD283"/>
    </sheetView>
  </sheetViews>
  <sheetFormatPr defaultColWidth="0" defaultRowHeight="13" zeroHeight="1"/>
  <cols>
    <col min="1" max="1" width="2.7265625" style="14" customWidth="1"/>
    <col min="2" max="3" width="2.40625" style="14" customWidth="1"/>
    <col min="4" max="4" width="3.1328125" style="14" customWidth="1"/>
    <col min="5" max="5" width="3.40625" style="14" customWidth="1"/>
    <col min="6" max="6" width="2.86328125" style="14" customWidth="1"/>
    <col min="7" max="14" width="2.40625" style="14" customWidth="1"/>
    <col min="15" max="15" width="2.86328125" style="14" customWidth="1"/>
    <col min="16" max="16" width="2.40625" style="14" customWidth="1"/>
    <col min="17" max="17" width="3.86328125" style="14" customWidth="1"/>
    <col min="18" max="18" width="4.54296875" style="14" customWidth="1"/>
    <col min="19" max="19" width="3.26953125" style="14" customWidth="1"/>
    <col min="20" max="26" width="2.40625" style="14" customWidth="1"/>
    <col min="27" max="30" width="2.54296875" style="14" customWidth="1"/>
    <col min="31" max="32" width="2.40625" style="14" customWidth="1"/>
    <col min="33" max="33" width="3.40625" style="14" customWidth="1"/>
    <col min="34" max="36" width="2.40625" style="14" customWidth="1"/>
    <col min="37" max="37" width="5.54296875" style="14" customWidth="1"/>
    <col min="38" max="38" width="2.40625" style="14" customWidth="1"/>
    <col min="39" max="39" width="3.40625" style="14" customWidth="1"/>
    <col min="40" max="40" width="5.54296875" style="568" customWidth="1"/>
    <col min="41" max="41" width="5.54296875" style="30" hidden="1" customWidth="1"/>
    <col min="42" max="45" width="5.54296875" style="14" hidden="1" customWidth="1"/>
    <col min="46" max="46" width="10.86328125" style="14" hidden="1" customWidth="1"/>
    <col min="47" max="48" width="5.54296875" style="14" hidden="1" customWidth="1"/>
    <col min="49" max="49" width="8.7265625" style="14" hidden="1" customWidth="1"/>
    <col min="50" max="50" width="7.40625" style="14" hidden="1" customWidth="1"/>
    <col min="51" max="55" width="5.54296875" style="14" hidden="1" customWidth="1"/>
    <col min="56" max="60" width="5.54296875" style="32" hidden="1" customWidth="1"/>
    <col min="61" max="81" width="5.54296875" style="14" hidden="1" customWidth="1"/>
    <col min="82" max="16384" width="9.1328125" style="14" hidden="1"/>
  </cols>
  <sheetData>
    <row r="1" spans="1:42" ht="15.75" customHeight="1">
      <c r="A1" s="1932" t="s">
        <v>1412</v>
      </c>
      <c r="B1" s="1932"/>
      <c r="C1" s="1932"/>
      <c r="D1" s="1932"/>
      <c r="E1" s="1932"/>
      <c r="F1" s="1932"/>
      <c r="G1" s="1932"/>
      <c r="H1" s="1932"/>
      <c r="I1" s="1932"/>
      <c r="J1" s="1932"/>
      <c r="K1" s="1932"/>
      <c r="L1" s="1932"/>
      <c r="M1" s="1932"/>
      <c r="N1" s="1932"/>
      <c r="O1" s="1932"/>
      <c r="P1" s="1932"/>
      <c r="Q1" s="1932"/>
      <c r="R1" s="1932"/>
      <c r="S1" s="1932"/>
      <c r="T1" s="1932"/>
      <c r="U1" s="1932"/>
      <c r="V1" s="1932"/>
      <c r="W1" s="1932"/>
      <c r="X1" s="1932"/>
      <c r="Y1" s="1932"/>
      <c r="Z1" s="1932"/>
      <c r="AA1" s="1932"/>
      <c r="AB1" s="1932"/>
      <c r="AC1" s="1932"/>
      <c r="AD1" s="1932"/>
      <c r="AE1" s="1932"/>
      <c r="AF1" s="1932"/>
      <c r="AG1" s="1932"/>
      <c r="AH1" s="1932"/>
      <c r="AI1" s="1932"/>
      <c r="AJ1" s="1932"/>
      <c r="AK1" s="1932"/>
      <c r="AL1" s="1932"/>
      <c r="AM1" s="1932"/>
    </row>
    <row r="2" spans="1:42" s="570" customFormat="1" ht="12.75" customHeight="1" thickBot="1">
      <c r="A2" s="1933"/>
      <c r="B2" s="1933"/>
      <c r="C2" s="1933"/>
      <c r="D2" s="1933"/>
      <c r="E2" s="1933"/>
      <c r="F2" s="1933"/>
      <c r="G2" s="1933"/>
      <c r="H2" s="1933"/>
      <c r="I2" s="1933"/>
      <c r="J2" s="1933"/>
      <c r="K2" s="1933"/>
      <c r="L2" s="1933"/>
      <c r="M2" s="1933"/>
      <c r="N2" s="1933"/>
      <c r="O2" s="1933"/>
      <c r="P2" s="1933"/>
      <c r="Q2" s="1933"/>
      <c r="R2" s="1933"/>
      <c r="S2" s="1933"/>
      <c r="T2" s="1933"/>
      <c r="U2" s="1933"/>
      <c r="V2" s="1933"/>
      <c r="W2" s="1933"/>
      <c r="X2" s="1933"/>
      <c r="Y2" s="1933"/>
      <c r="Z2" s="1933"/>
      <c r="AA2" s="1933"/>
      <c r="AB2" s="1933"/>
      <c r="AC2" s="1933"/>
      <c r="AD2" s="1933"/>
      <c r="AE2" s="1933"/>
      <c r="AF2" s="1933"/>
      <c r="AG2" s="1933"/>
      <c r="AH2" s="1933"/>
      <c r="AI2" s="1933"/>
      <c r="AJ2" s="1933"/>
      <c r="AK2" s="1933"/>
      <c r="AL2" s="1933"/>
      <c r="AM2" s="1933"/>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1413</v>
      </c>
      <c r="B4" s="573" t="s">
        <v>1414</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1415</v>
      </c>
      <c r="B7" s="573" t="s">
        <v>1416</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16" t="s">
        <v>1417</v>
      </c>
      <c r="AF7" s="1916"/>
      <c r="AG7" s="1916"/>
      <c r="AH7" s="1916"/>
      <c r="AI7" s="1916"/>
      <c r="AJ7" s="1916"/>
      <c r="AK7" s="1916"/>
      <c r="AL7" s="574"/>
      <c r="AM7" s="574"/>
      <c r="AN7" s="569"/>
    </row>
    <row r="8" spans="1:42" s="570" customFormat="1" ht="12.75" customHeight="1">
      <c r="A8" s="572"/>
      <c r="B8" s="573" t="s">
        <v>1920</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2325</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2319</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906" t="s">
        <v>600</v>
      </c>
      <c r="C13" s="1906"/>
      <c r="D13" s="581"/>
      <c r="E13" s="582" t="s">
        <v>1418</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34"/>
      <c r="AH13" s="1934"/>
      <c r="AI13" s="1934"/>
      <c r="AJ13" s="1935"/>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906" t="s">
        <v>600</v>
      </c>
      <c r="C16" s="1906"/>
      <c r="D16" s="581"/>
      <c r="E16" s="1917" t="s">
        <v>1419</v>
      </c>
      <c r="F16" s="1918"/>
      <c r="G16" s="1918"/>
      <c r="H16" s="1918"/>
      <c r="I16" s="1918"/>
      <c r="J16" s="1918"/>
      <c r="K16" s="1918"/>
      <c r="L16" s="1918"/>
      <c r="M16" s="1918"/>
      <c r="N16" s="1918"/>
      <c r="O16" s="1918"/>
      <c r="P16" s="1918"/>
      <c r="Q16" s="1918"/>
      <c r="R16" s="1918"/>
      <c r="S16" s="1918"/>
      <c r="T16" s="1918"/>
      <c r="U16" s="1918"/>
      <c r="V16" s="1918"/>
      <c r="W16" s="1918"/>
      <c r="X16" s="1918"/>
      <c r="Y16" s="1918"/>
      <c r="Z16" s="1918"/>
      <c r="AA16" s="1918"/>
      <c r="AB16" s="1918"/>
      <c r="AC16" s="1918"/>
      <c r="AD16" s="1918"/>
      <c r="AE16" s="1918"/>
      <c r="AF16" s="1918"/>
      <c r="AG16" s="1918"/>
      <c r="AH16" s="1918"/>
      <c r="AI16" s="1918"/>
      <c r="AJ16" s="1919"/>
      <c r="AK16" s="574"/>
      <c r="AL16" s="574"/>
      <c r="AM16" s="574"/>
      <c r="AN16" s="569"/>
      <c r="AO16" s="584">
        <f>IF($B25="yes",20,0)</f>
        <v>0</v>
      </c>
      <c r="AP16" s="14"/>
    </row>
    <row r="17" spans="1:42" s="570" customFormat="1" ht="12.75" customHeight="1">
      <c r="A17" s="574"/>
      <c r="B17" s="574"/>
      <c r="C17" s="574"/>
      <c r="D17" s="585"/>
      <c r="E17" s="1920"/>
      <c r="F17" s="1921"/>
      <c r="G17" s="1921"/>
      <c r="H17" s="1921"/>
      <c r="I17" s="1921"/>
      <c r="J17" s="1921"/>
      <c r="K17" s="1921"/>
      <c r="L17" s="1921"/>
      <c r="M17" s="1921"/>
      <c r="N17" s="1921"/>
      <c r="O17" s="1921"/>
      <c r="P17" s="1921"/>
      <c r="Q17" s="1921"/>
      <c r="R17" s="1921"/>
      <c r="S17" s="1921"/>
      <c r="T17" s="1921"/>
      <c r="U17" s="1921"/>
      <c r="V17" s="1921"/>
      <c r="W17" s="1921"/>
      <c r="X17" s="1921"/>
      <c r="Y17" s="1921"/>
      <c r="Z17" s="1921"/>
      <c r="AA17" s="1921"/>
      <c r="AB17" s="1921"/>
      <c r="AC17" s="1921"/>
      <c r="AD17" s="1921"/>
      <c r="AE17" s="1921"/>
      <c r="AF17" s="1921"/>
      <c r="AG17" s="1921"/>
      <c r="AH17" s="1921"/>
      <c r="AI17" s="1921"/>
      <c r="AJ17" s="1922"/>
      <c r="AK17" s="574"/>
      <c r="AL17" s="574"/>
      <c r="AM17" s="574"/>
      <c r="AN17" s="569"/>
      <c r="AO17" s="570">
        <f>IF(SUM(AO13:AO16)&gt;20,20,(SUM(AO13:AO16)))</f>
        <v>0</v>
      </c>
      <c r="AP17" s="570" t="s">
        <v>1420</v>
      </c>
    </row>
    <row r="18" spans="1:42" s="570" customFormat="1" ht="12.75" customHeight="1">
      <c r="A18" s="574"/>
      <c r="B18" s="574"/>
      <c r="C18" s="574"/>
      <c r="D18" s="585"/>
      <c r="E18" s="1920"/>
      <c r="F18" s="1921"/>
      <c r="G18" s="1921"/>
      <c r="H18" s="1921"/>
      <c r="I18" s="1921"/>
      <c r="J18" s="1921"/>
      <c r="K18" s="1921"/>
      <c r="L18" s="1921"/>
      <c r="M18" s="1921"/>
      <c r="N18" s="1921"/>
      <c r="O18" s="1921"/>
      <c r="P18" s="1921"/>
      <c r="Q18" s="1921"/>
      <c r="R18" s="1921"/>
      <c r="S18" s="1921"/>
      <c r="T18" s="1921"/>
      <c r="U18" s="1921"/>
      <c r="V18" s="1921"/>
      <c r="W18" s="1921"/>
      <c r="X18" s="1921"/>
      <c r="Y18" s="1921"/>
      <c r="Z18" s="1921"/>
      <c r="AA18" s="1921"/>
      <c r="AB18" s="1921"/>
      <c r="AC18" s="1921"/>
      <c r="AD18" s="1921"/>
      <c r="AE18" s="1921"/>
      <c r="AF18" s="1921"/>
      <c r="AG18" s="1921"/>
      <c r="AH18" s="1921"/>
      <c r="AI18" s="1921"/>
      <c r="AJ18" s="1922"/>
      <c r="AK18" s="574"/>
      <c r="AL18" s="574"/>
      <c r="AM18" s="574"/>
      <c r="AN18" s="569"/>
    </row>
    <row r="19" spans="1:42" s="570" customFormat="1" ht="12.75" customHeight="1">
      <c r="A19" s="574"/>
      <c r="B19" s="574"/>
      <c r="C19" s="574"/>
      <c r="D19" s="585"/>
      <c r="E19" s="586" t="s">
        <v>1421</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45"/>
      <c r="F20" s="1946"/>
      <c r="G20" s="1946"/>
      <c r="H20" s="1946"/>
      <c r="I20" s="1946"/>
      <c r="J20" s="1946"/>
      <c r="K20" s="1946"/>
      <c r="L20" s="1946"/>
      <c r="M20" s="1946"/>
      <c r="N20" s="1946"/>
      <c r="O20" s="1946"/>
      <c r="P20" s="1946"/>
      <c r="Q20" s="1946"/>
      <c r="R20" s="1946"/>
      <c r="S20" s="1946"/>
      <c r="T20" s="1946"/>
      <c r="U20" s="1946"/>
      <c r="V20" s="1946"/>
      <c r="W20" s="1946"/>
      <c r="X20" s="1946"/>
      <c r="Y20" s="1946"/>
      <c r="Z20" s="1946"/>
      <c r="AA20" s="1946"/>
      <c r="AB20" s="1946"/>
      <c r="AC20" s="1946"/>
      <c r="AD20" s="1946"/>
      <c r="AE20" s="1946"/>
      <c r="AF20" s="1946"/>
      <c r="AG20" s="1946"/>
      <c r="AH20" s="1946"/>
      <c r="AI20" s="1946"/>
      <c r="AJ20" s="1947"/>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906" t="s">
        <v>600</v>
      </c>
      <c r="C22" s="1906"/>
      <c r="D22" s="581"/>
      <c r="E22" s="1939" t="s">
        <v>1422</v>
      </c>
      <c r="F22" s="1940"/>
      <c r="G22" s="1940"/>
      <c r="H22" s="1940"/>
      <c r="I22" s="1940"/>
      <c r="J22" s="1940"/>
      <c r="K22" s="1940"/>
      <c r="L22" s="1940"/>
      <c r="M22" s="1940"/>
      <c r="N22" s="1940"/>
      <c r="O22" s="1940"/>
      <c r="P22" s="1940"/>
      <c r="Q22" s="1940"/>
      <c r="R22" s="1940"/>
      <c r="S22" s="1940"/>
      <c r="T22" s="1940"/>
      <c r="U22" s="1940"/>
      <c r="V22" s="1940"/>
      <c r="W22" s="1940"/>
      <c r="X22" s="1940"/>
      <c r="Y22" s="1940"/>
      <c r="Z22" s="1940"/>
      <c r="AA22" s="1940"/>
      <c r="AB22" s="1940"/>
      <c r="AC22" s="1940"/>
      <c r="AD22" s="1940"/>
      <c r="AE22" s="1940"/>
      <c r="AF22" s="1940"/>
      <c r="AG22" s="1940"/>
      <c r="AH22" s="1940"/>
      <c r="AI22" s="1940"/>
      <c r="AJ22" s="1941"/>
      <c r="AK22" s="574"/>
      <c r="AL22" s="574"/>
      <c r="AM22" s="574"/>
      <c r="AN22" s="569"/>
      <c r="AO22" s="570">
        <f>IF(SUM(AO20:AO21)&gt;14,14,SUM(AO20:AO21))</f>
        <v>0</v>
      </c>
      <c r="AP22" s="570" t="s">
        <v>1420</v>
      </c>
    </row>
    <row r="23" spans="1:42" s="570" customFormat="1" ht="12.75" customHeight="1">
      <c r="A23" s="574"/>
      <c r="B23" s="574"/>
      <c r="C23" s="574"/>
      <c r="D23" s="584"/>
      <c r="E23" s="1942"/>
      <c r="F23" s="1943"/>
      <c r="G23" s="1943"/>
      <c r="H23" s="1943"/>
      <c r="I23" s="1943"/>
      <c r="J23" s="1943"/>
      <c r="K23" s="1943"/>
      <c r="L23" s="1943"/>
      <c r="M23" s="1943"/>
      <c r="N23" s="1943"/>
      <c r="O23" s="1943"/>
      <c r="P23" s="1943"/>
      <c r="Q23" s="1943"/>
      <c r="R23" s="1943"/>
      <c r="S23" s="1943"/>
      <c r="T23" s="1943"/>
      <c r="U23" s="1943"/>
      <c r="V23" s="1943"/>
      <c r="W23" s="1943"/>
      <c r="X23" s="1943"/>
      <c r="Y23" s="1943"/>
      <c r="Z23" s="1943"/>
      <c r="AA23" s="1943"/>
      <c r="AB23" s="1943"/>
      <c r="AC23" s="1943"/>
      <c r="AD23" s="1943"/>
      <c r="AE23" s="1943"/>
      <c r="AF23" s="1943"/>
      <c r="AG23" s="1943"/>
      <c r="AH23" s="1943"/>
      <c r="AI23" s="1943"/>
      <c r="AJ23" s="1944"/>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906" t="s">
        <v>600</v>
      </c>
      <c r="C25" s="1906"/>
      <c r="D25" s="581"/>
      <c r="E25" s="1907" t="s">
        <v>2349</v>
      </c>
      <c r="F25" s="1908"/>
      <c r="G25" s="1908"/>
      <c r="H25" s="1908"/>
      <c r="I25" s="1908"/>
      <c r="J25" s="1908"/>
      <c r="K25" s="1908"/>
      <c r="L25" s="1908"/>
      <c r="M25" s="1908"/>
      <c r="N25" s="1908"/>
      <c r="O25" s="1908"/>
      <c r="P25" s="1908"/>
      <c r="Q25" s="1908"/>
      <c r="R25" s="1908"/>
      <c r="S25" s="1908"/>
      <c r="T25" s="1908"/>
      <c r="U25" s="1908"/>
      <c r="V25" s="1908"/>
      <c r="W25" s="1908"/>
      <c r="X25" s="1908"/>
      <c r="Y25" s="1908"/>
      <c r="Z25" s="1908"/>
      <c r="AA25" s="1908"/>
      <c r="AB25" s="1908"/>
      <c r="AC25" s="1908"/>
      <c r="AD25" s="1908"/>
      <c r="AE25" s="1908"/>
      <c r="AF25" s="1908"/>
      <c r="AG25" s="1908"/>
      <c r="AH25" s="1908"/>
      <c r="AI25" s="1908"/>
      <c r="AJ25" s="1909"/>
      <c r="AK25" s="574"/>
      <c r="AL25" s="574"/>
      <c r="AM25" s="574"/>
      <c r="AN25" s="569"/>
      <c r="AO25" s="570">
        <f>IF(AO24&gt;6,6,AO24)</f>
        <v>0</v>
      </c>
      <c r="AP25" s="570" t="s">
        <v>1420</v>
      </c>
    </row>
    <row r="26" spans="1:42" s="570" customFormat="1" ht="12.75" customHeight="1">
      <c r="A26" s="574"/>
      <c r="B26" s="574"/>
      <c r="C26" s="574"/>
      <c r="D26" s="584"/>
      <c r="E26" s="1910"/>
      <c r="F26" s="1911"/>
      <c r="G26" s="1911"/>
      <c r="H26" s="1911"/>
      <c r="I26" s="1911"/>
      <c r="J26" s="1911"/>
      <c r="K26" s="1911"/>
      <c r="L26" s="1911"/>
      <c r="M26" s="1911"/>
      <c r="N26" s="1911"/>
      <c r="O26" s="1911"/>
      <c r="P26" s="1911"/>
      <c r="Q26" s="1911"/>
      <c r="R26" s="1911"/>
      <c r="S26" s="1911"/>
      <c r="T26" s="1911"/>
      <c r="U26" s="1911"/>
      <c r="V26" s="1911"/>
      <c r="W26" s="1911"/>
      <c r="X26" s="1911"/>
      <c r="Y26" s="1911"/>
      <c r="Z26" s="1911"/>
      <c r="AA26" s="1911"/>
      <c r="AB26" s="1911"/>
      <c r="AC26" s="1911"/>
      <c r="AD26" s="1911"/>
      <c r="AE26" s="1911"/>
      <c r="AF26" s="1911"/>
      <c r="AG26" s="1911"/>
      <c r="AH26" s="1911"/>
      <c r="AI26" s="1911"/>
      <c r="AJ26" s="1912"/>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2320</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1420</v>
      </c>
    </row>
    <row r="30" spans="1:42" s="570" customFormat="1" ht="12.75" customHeight="1">
      <c r="A30" s="574"/>
      <c r="B30" s="1906" t="s">
        <v>600</v>
      </c>
      <c r="C30" s="1906"/>
      <c r="D30" s="581"/>
      <c r="E30" s="1939" t="s">
        <v>2321</v>
      </c>
      <c r="F30" s="1940"/>
      <c r="G30" s="1940"/>
      <c r="H30" s="1940"/>
      <c r="I30" s="1940"/>
      <c r="J30" s="1940"/>
      <c r="K30" s="1940"/>
      <c r="L30" s="1940"/>
      <c r="M30" s="1940"/>
      <c r="N30" s="1940"/>
      <c r="O30" s="1940"/>
      <c r="P30" s="1940"/>
      <c r="Q30" s="1940"/>
      <c r="R30" s="1940"/>
      <c r="S30" s="1940"/>
      <c r="T30" s="1940"/>
      <c r="U30" s="1940"/>
      <c r="V30" s="1940"/>
      <c r="W30" s="1940"/>
      <c r="X30" s="1940"/>
      <c r="Y30" s="1940"/>
      <c r="Z30" s="1940"/>
      <c r="AA30" s="1940"/>
      <c r="AB30" s="1940"/>
      <c r="AC30" s="1940"/>
      <c r="AD30" s="1940"/>
      <c r="AE30" s="1940"/>
      <c r="AF30" s="1940"/>
      <c r="AG30" s="1940"/>
      <c r="AH30" s="1940"/>
      <c r="AI30" s="1940"/>
      <c r="AJ30" s="1941"/>
      <c r="AK30" s="574"/>
      <c r="AL30" s="574"/>
      <c r="AM30" s="574"/>
      <c r="AN30" s="569"/>
      <c r="AO30" s="584"/>
    </row>
    <row r="31" spans="1:42" s="570" customFormat="1" ht="12.75" customHeight="1">
      <c r="A31" s="574"/>
      <c r="B31" s="574"/>
      <c r="C31" s="574"/>
      <c r="E31" s="1942"/>
      <c r="F31" s="1943"/>
      <c r="G31" s="1943"/>
      <c r="H31" s="1943"/>
      <c r="I31" s="1943"/>
      <c r="J31" s="1943"/>
      <c r="K31" s="1943"/>
      <c r="L31" s="1943"/>
      <c r="M31" s="1943"/>
      <c r="N31" s="1943"/>
      <c r="O31" s="1943"/>
      <c r="P31" s="1943"/>
      <c r="Q31" s="1943"/>
      <c r="R31" s="1943"/>
      <c r="S31" s="1943"/>
      <c r="T31" s="1943"/>
      <c r="U31" s="1943"/>
      <c r="V31" s="1943"/>
      <c r="W31" s="1943"/>
      <c r="X31" s="1943"/>
      <c r="Y31" s="1943"/>
      <c r="Z31" s="1943"/>
      <c r="AA31" s="1943"/>
      <c r="AB31" s="1943"/>
      <c r="AC31" s="1943"/>
      <c r="AD31" s="1943"/>
      <c r="AE31" s="1943"/>
      <c r="AF31" s="1943"/>
      <c r="AG31" s="1943"/>
      <c r="AH31" s="1943"/>
      <c r="AI31" s="1943"/>
      <c r="AJ31" s="1944"/>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906" t="s">
        <v>600</v>
      </c>
      <c r="C33" s="1906"/>
      <c r="D33" s="581"/>
      <c r="E33" s="1907" t="s">
        <v>2322</v>
      </c>
      <c r="F33" s="1908"/>
      <c r="G33" s="1908"/>
      <c r="H33" s="1908"/>
      <c r="I33" s="1908"/>
      <c r="J33" s="1908"/>
      <c r="K33" s="1908"/>
      <c r="L33" s="1908"/>
      <c r="M33" s="1908"/>
      <c r="N33" s="1908"/>
      <c r="O33" s="1908"/>
      <c r="P33" s="1908"/>
      <c r="Q33" s="1908"/>
      <c r="R33" s="1908"/>
      <c r="S33" s="1908"/>
      <c r="T33" s="1908"/>
      <c r="U33" s="1908"/>
      <c r="V33" s="1908"/>
      <c r="W33" s="1908"/>
      <c r="X33" s="1908"/>
      <c r="Y33" s="1908"/>
      <c r="Z33" s="1908"/>
      <c r="AA33" s="1908"/>
      <c r="AB33" s="1908"/>
      <c r="AC33" s="1908"/>
      <c r="AD33" s="1908"/>
      <c r="AE33" s="1908"/>
      <c r="AF33" s="1908"/>
      <c r="AG33" s="1908"/>
      <c r="AH33" s="1908"/>
      <c r="AI33" s="1908"/>
      <c r="AJ33" s="1909"/>
      <c r="AK33" s="574"/>
      <c r="AL33" s="574"/>
      <c r="AM33" s="574"/>
      <c r="AN33" s="569"/>
    </row>
    <row r="34" spans="1:41" s="570" customFormat="1" ht="12.75" customHeight="1">
      <c r="A34" s="574"/>
      <c r="B34" s="574"/>
      <c r="C34" s="574"/>
      <c r="E34" s="1913"/>
      <c r="F34" s="1914"/>
      <c r="G34" s="1914"/>
      <c r="H34" s="1914"/>
      <c r="I34" s="1914"/>
      <c r="J34" s="1914"/>
      <c r="K34" s="1914"/>
      <c r="L34" s="1914"/>
      <c r="M34" s="1914"/>
      <c r="N34" s="1914"/>
      <c r="O34" s="1914"/>
      <c r="P34" s="1914"/>
      <c r="Q34" s="1914"/>
      <c r="R34" s="1914"/>
      <c r="S34" s="1914"/>
      <c r="T34" s="1914"/>
      <c r="U34" s="1914"/>
      <c r="V34" s="1914"/>
      <c r="W34" s="1914"/>
      <c r="X34" s="1914"/>
      <c r="Y34" s="1914"/>
      <c r="Z34" s="1914"/>
      <c r="AA34" s="1914"/>
      <c r="AB34" s="1914"/>
      <c r="AC34" s="1914"/>
      <c r="AD34" s="1914"/>
      <c r="AE34" s="1914"/>
      <c r="AF34" s="1914"/>
      <c r="AG34" s="1914"/>
      <c r="AH34" s="1914"/>
      <c r="AI34" s="1914"/>
      <c r="AJ34" s="1915"/>
      <c r="AK34" s="574"/>
      <c r="AL34" s="574"/>
      <c r="AM34" s="574"/>
      <c r="AN34" s="569"/>
    </row>
    <row r="35" spans="1:41" s="570" customFormat="1" ht="12.75" customHeight="1">
      <c r="A35" s="574"/>
      <c r="B35" s="574"/>
      <c r="C35" s="574"/>
      <c r="E35" s="1910"/>
      <c r="F35" s="1911"/>
      <c r="G35" s="1911"/>
      <c r="H35" s="1911"/>
      <c r="I35" s="1911"/>
      <c r="J35" s="1911"/>
      <c r="K35" s="1911"/>
      <c r="L35" s="1911"/>
      <c r="M35" s="1911"/>
      <c r="N35" s="1911"/>
      <c r="O35" s="1911"/>
      <c r="P35" s="1911"/>
      <c r="Q35" s="1911"/>
      <c r="R35" s="1911"/>
      <c r="S35" s="1911"/>
      <c r="T35" s="1911"/>
      <c r="U35" s="1911"/>
      <c r="V35" s="1911"/>
      <c r="W35" s="1911"/>
      <c r="X35" s="1911"/>
      <c r="Y35" s="1911"/>
      <c r="Z35" s="1911"/>
      <c r="AA35" s="1911"/>
      <c r="AB35" s="1911"/>
      <c r="AC35" s="1911"/>
      <c r="AD35" s="1911"/>
      <c r="AE35" s="1911"/>
      <c r="AF35" s="1911"/>
      <c r="AG35" s="1911"/>
      <c r="AH35" s="1911"/>
      <c r="AI35" s="1911"/>
      <c r="AJ35" s="1912"/>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2324</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1906" t="s">
        <v>600</v>
      </c>
      <c r="C39" s="1906"/>
      <c r="D39" s="1186"/>
      <c r="E39" s="1907" t="s">
        <v>2323</v>
      </c>
      <c r="F39" s="1908"/>
      <c r="G39" s="1908"/>
      <c r="H39" s="1908"/>
      <c r="I39" s="1908"/>
      <c r="J39" s="1908"/>
      <c r="K39" s="1908"/>
      <c r="L39" s="1908"/>
      <c r="M39" s="1908"/>
      <c r="N39" s="1908"/>
      <c r="O39" s="1908"/>
      <c r="P39" s="1908"/>
      <c r="Q39" s="1908"/>
      <c r="R39" s="1908"/>
      <c r="S39" s="1908"/>
      <c r="T39" s="1908"/>
      <c r="U39" s="1908"/>
      <c r="V39" s="1908"/>
      <c r="W39" s="1908"/>
      <c r="X39" s="1908"/>
      <c r="Y39" s="1908"/>
      <c r="Z39" s="1908"/>
      <c r="AA39" s="1908"/>
      <c r="AB39" s="1908"/>
      <c r="AC39" s="1908"/>
      <c r="AD39" s="1908"/>
      <c r="AE39" s="1908"/>
      <c r="AF39" s="1908"/>
      <c r="AG39" s="1908"/>
      <c r="AH39" s="1908"/>
      <c r="AI39" s="1908"/>
      <c r="AJ39" s="1909"/>
      <c r="AK39" s="1186"/>
      <c r="AL39" s="574"/>
      <c r="AM39" s="574"/>
      <c r="AN39" s="569"/>
    </row>
    <row r="40" spans="1:41" s="570" customFormat="1" ht="12.75" customHeight="1">
      <c r="A40" s="574"/>
      <c r="B40" s="574"/>
      <c r="C40" s="574"/>
      <c r="E40" s="1913"/>
      <c r="F40" s="1914"/>
      <c r="G40" s="1914"/>
      <c r="H40" s="1914"/>
      <c r="I40" s="1914"/>
      <c r="J40" s="1914"/>
      <c r="K40" s="1914"/>
      <c r="L40" s="1914"/>
      <c r="M40" s="1914"/>
      <c r="N40" s="1914"/>
      <c r="O40" s="1914"/>
      <c r="P40" s="1914"/>
      <c r="Q40" s="1914"/>
      <c r="R40" s="1914"/>
      <c r="S40" s="1914"/>
      <c r="T40" s="1914"/>
      <c r="U40" s="1914"/>
      <c r="V40" s="1914"/>
      <c r="W40" s="1914"/>
      <c r="X40" s="1914"/>
      <c r="Y40" s="1914"/>
      <c r="Z40" s="1914"/>
      <c r="AA40" s="1914"/>
      <c r="AB40" s="1914"/>
      <c r="AC40" s="1914"/>
      <c r="AD40" s="1914"/>
      <c r="AE40" s="1914"/>
      <c r="AF40" s="1914"/>
      <c r="AG40" s="1914"/>
      <c r="AH40" s="1914"/>
      <c r="AI40" s="1914"/>
      <c r="AJ40" s="1915"/>
      <c r="AK40" s="574"/>
      <c r="AL40" s="574"/>
      <c r="AM40" s="574"/>
      <c r="AN40" s="569"/>
    </row>
    <row r="41" spans="1:41" s="570" customFormat="1" ht="12.75" customHeight="1">
      <c r="A41" s="574"/>
      <c r="D41" s="581"/>
      <c r="E41" s="1910"/>
      <c r="F41" s="1911"/>
      <c r="G41" s="1911"/>
      <c r="H41" s="1911"/>
      <c r="I41" s="1911"/>
      <c r="J41" s="1911"/>
      <c r="K41" s="1911"/>
      <c r="L41" s="1911"/>
      <c r="M41" s="1911"/>
      <c r="N41" s="1911"/>
      <c r="O41" s="1911"/>
      <c r="P41" s="1911"/>
      <c r="Q41" s="1911"/>
      <c r="R41" s="1911"/>
      <c r="S41" s="1911"/>
      <c r="T41" s="1911"/>
      <c r="U41" s="1911"/>
      <c r="V41" s="1911"/>
      <c r="W41" s="1911"/>
      <c r="X41" s="1911"/>
      <c r="Y41" s="1911"/>
      <c r="Z41" s="1911"/>
      <c r="AA41" s="1911"/>
      <c r="AB41" s="1911"/>
      <c r="AC41" s="1911"/>
      <c r="AD41" s="1911"/>
      <c r="AE41" s="1911"/>
      <c r="AF41" s="1911"/>
      <c r="AG41" s="1911"/>
      <c r="AH41" s="1911"/>
      <c r="AI41" s="1911"/>
      <c r="AJ41" s="1912"/>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2326</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2327</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906" t="s">
        <v>600</v>
      </c>
      <c r="C46" s="1906"/>
      <c r="D46" s="574"/>
      <c r="E46" s="1907" t="s">
        <v>2328</v>
      </c>
      <c r="F46" s="1908"/>
      <c r="G46" s="1908"/>
      <c r="H46" s="1908"/>
      <c r="I46" s="1908"/>
      <c r="J46" s="1908"/>
      <c r="K46" s="1908"/>
      <c r="L46" s="1908"/>
      <c r="M46" s="1908"/>
      <c r="N46" s="1908"/>
      <c r="O46" s="1908"/>
      <c r="P46" s="1908"/>
      <c r="Q46" s="1908"/>
      <c r="R46" s="1908"/>
      <c r="S46" s="1908"/>
      <c r="T46" s="1908"/>
      <c r="U46" s="1908"/>
      <c r="V46" s="1908"/>
      <c r="W46" s="1908"/>
      <c r="X46" s="1908"/>
      <c r="Y46" s="1908"/>
      <c r="Z46" s="1908"/>
      <c r="AA46" s="1908"/>
      <c r="AB46" s="1908"/>
      <c r="AC46" s="1908"/>
      <c r="AD46" s="1908"/>
      <c r="AE46" s="1908"/>
      <c r="AF46" s="1908"/>
      <c r="AG46" s="1908"/>
      <c r="AH46" s="1908"/>
      <c r="AI46" s="1908"/>
      <c r="AJ46" s="1909"/>
      <c r="AK46" s="574"/>
      <c r="AL46" s="574"/>
      <c r="AM46" s="574"/>
      <c r="AN46" s="569"/>
      <c r="AO46" s="593"/>
    </row>
    <row r="47" spans="1:41" s="570" customFormat="1" ht="12.75" customHeight="1">
      <c r="A47" s="574"/>
      <c r="D47" s="581"/>
      <c r="E47" s="1913"/>
      <c r="F47" s="1914"/>
      <c r="G47" s="1914"/>
      <c r="H47" s="1914"/>
      <c r="I47" s="1914"/>
      <c r="J47" s="1914"/>
      <c r="K47" s="1914"/>
      <c r="L47" s="1914"/>
      <c r="M47" s="1914"/>
      <c r="N47" s="1914"/>
      <c r="O47" s="1914"/>
      <c r="P47" s="1914"/>
      <c r="Q47" s="1914"/>
      <c r="R47" s="1914"/>
      <c r="S47" s="1914"/>
      <c r="T47" s="1914"/>
      <c r="U47" s="1914"/>
      <c r="V47" s="1914"/>
      <c r="W47" s="1914"/>
      <c r="X47" s="1914"/>
      <c r="Y47" s="1914"/>
      <c r="Z47" s="1914"/>
      <c r="AA47" s="1914"/>
      <c r="AB47" s="1914"/>
      <c r="AC47" s="1914"/>
      <c r="AD47" s="1914"/>
      <c r="AE47" s="1914"/>
      <c r="AF47" s="1914"/>
      <c r="AG47" s="1914"/>
      <c r="AH47" s="1914"/>
      <c r="AI47" s="1914"/>
      <c r="AJ47" s="1915"/>
      <c r="AK47" s="574"/>
      <c r="AL47" s="574"/>
      <c r="AM47" s="574"/>
      <c r="AN47" s="569"/>
      <c r="AO47" s="593"/>
    </row>
    <row r="48" spans="1:41" s="570" customFormat="1" ht="12.75" customHeight="1">
      <c r="A48" s="574"/>
      <c r="D48" s="574"/>
      <c r="E48" s="1910"/>
      <c r="F48" s="1911"/>
      <c r="G48" s="1911"/>
      <c r="H48" s="1911"/>
      <c r="I48" s="1911"/>
      <c r="J48" s="1911"/>
      <c r="K48" s="1911"/>
      <c r="L48" s="1911"/>
      <c r="M48" s="1911"/>
      <c r="N48" s="1911"/>
      <c r="O48" s="1911"/>
      <c r="P48" s="1911"/>
      <c r="Q48" s="1911"/>
      <c r="R48" s="1911"/>
      <c r="S48" s="1911"/>
      <c r="T48" s="1911"/>
      <c r="U48" s="1911"/>
      <c r="V48" s="1911"/>
      <c r="W48" s="1911"/>
      <c r="X48" s="1911"/>
      <c r="Y48" s="1911"/>
      <c r="Z48" s="1911"/>
      <c r="AA48" s="1911"/>
      <c r="AB48" s="1911"/>
      <c r="AC48" s="1911"/>
      <c r="AD48" s="1911"/>
      <c r="AE48" s="1911"/>
      <c r="AF48" s="1911"/>
      <c r="AG48" s="1911"/>
      <c r="AH48" s="1911"/>
      <c r="AI48" s="1911"/>
      <c r="AJ48" s="1912"/>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906" t="s">
        <v>600</v>
      </c>
      <c r="C50" s="1906"/>
      <c r="D50" s="574"/>
      <c r="E50" s="1927" t="s">
        <v>2329</v>
      </c>
      <c r="F50" s="1928"/>
      <c r="G50" s="1928"/>
      <c r="H50" s="1928"/>
      <c r="I50" s="1928"/>
      <c r="J50" s="1928"/>
      <c r="K50" s="1928"/>
      <c r="L50" s="1928"/>
      <c r="M50" s="1928"/>
      <c r="N50" s="1928"/>
      <c r="O50" s="1928"/>
      <c r="P50" s="1928"/>
      <c r="Q50" s="1928"/>
      <c r="R50" s="1928"/>
      <c r="S50" s="1928"/>
      <c r="T50" s="1928"/>
      <c r="U50" s="1928"/>
      <c r="V50" s="1928"/>
      <c r="W50" s="1928"/>
      <c r="X50" s="1928"/>
      <c r="Y50" s="1928"/>
      <c r="Z50" s="1928"/>
      <c r="AA50" s="1928"/>
      <c r="AB50" s="1928"/>
      <c r="AC50" s="1928"/>
      <c r="AD50" s="1928"/>
      <c r="AE50" s="1928"/>
      <c r="AF50" s="1928"/>
      <c r="AG50" s="1928"/>
      <c r="AH50" s="1928"/>
      <c r="AI50" s="1928"/>
      <c r="AJ50" s="1929"/>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906" t="s">
        <v>600</v>
      </c>
      <c r="C52" s="1906"/>
      <c r="D52" s="574"/>
      <c r="E52" s="1907" t="s">
        <v>2330</v>
      </c>
      <c r="F52" s="1908"/>
      <c r="G52" s="1908"/>
      <c r="H52" s="1908"/>
      <c r="I52" s="1908"/>
      <c r="J52" s="1908"/>
      <c r="K52" s="1908"/>
      <c r="L52" s="1908"/>
      <c r="M52" s="1908"/>
      <c r="N52" s="1908"/>
      <c r="O52" s="1908"/>
      <c r="P52" s="1908"/>
      <c r="Q52" s="1908"/>
      <c r="R52" s="1908"/>
      <c r="S52" s="1908"/>
      <c r="T52" s="1908"/>
      <c r="U52" s="1908"/>
      <c r="V52" s="1908"/>
      <c r="W52" s="1908"/>
      <c r="X52" s="1908"/>
      <c r="Y52" s="1908"/>
      <c r="Z52" s="1908"/>
      <c r="AA52" s="1908"/>
      <c r="AB52" s="1908"/>
      <c r="AC52" s="1908"/>
      <c r="AD52" s="1908"/>
      <c r="AE52" s="1908"/>
      <c r="AF52" s="1908"/>
      <c r="AG52" s="1908"/>
      <c r="AH52" s="1908"/>
      <c r="AI52" s="1908"/>
      <c r="AJ52" s="1909"/>
      <c r="AK52" s="574"/>
      <c r="AL52" s="574"/>
      <c r="AM52" s="574"/>
      <c r="AN52" s="569"/>
    </row>
    <row r="53" spans="1:50" s="570" customFormat="1" ht="12.75" customHeight="1">
      <c r="A53" s="574"/>
      <c r="B53" s="581"/>
      <c r="C53" s="581"/>
      <c r="D53" s="581"/>
      <c r="E53" s="1910"/>
      <c r="F53" s="1911"/>
      <c r="G53" s="1911"/>
      <c r="H53" s="1911"/>
      <c r="I53" s="1911"/>
      <c r="J53" s="1911"/>
      <c r="K53" s="1911"/>
      <c r="L53" s="1911"/>
      <c r="M53" s="1911"/>
      <c r="N53" s="1911"/>
      <c r="O53" s="1911"/>
      <c r="P53" s="1911"/>
      <c r="Q53" s="1911"/>
      <c r="R53" s="1911"/>
      <c r="S53" s="1911"/>
      <c r="T53" s="1911"/>
      <c r="U53" s="1911"/>
      <c r="V53" s="1911"/>
      <c r="W53" s="1911"/>
      <c r="X53" s="1911"/>
      <c r="Y53" s="1911"/>
      <c r="Z53" s="1911"/>
      <c r="AA53" s="1911"/>
      <c r="AB53" s="1911"/>
      <c r="AC53" s="1911"/>
      <c r="AD53" s="1911"/>
      <c r="AE53" s="1911"/>
      <c r="AF53" s="1911"/>
      <c r="AG53" s="1911"/>
      <c r="AH53" s="1911"/>
      <c r="AI53" s="1911"/>
      <c r="AJ53" s="1912"/>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1423</v>
      </c>
      <c r="AK56" s="1936">
        <f>AO36</f>
        <v>0</v>
      </c>
      <c r="AL56" s="1937"/>
      <c r="AM56" s="1938"/>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1424</v>
      </c>
      <c r="B59" s="573" t="s">
        <v>1425</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16" t="s">
        <v>1426</v>
      </c>
      <c r="AF59" s="1916"/>
      <c r="AG59" s="1916"/>
      <c r="AH59" s="1916"/>
      <c r="AI59" s="1916"/>
      <c r="AJ59" s="1916"/>
      <c r="AK59" s="1916"/>
      <c r="AL59" s="574"/>
      <c r="AM59" s="574"/>
      <c r="AN59" s="569"/>
    </row>
    <row r="60" spans="1:50" s="570" customFormat="1" ht="12.75" customHeight="1">
      <c r="A60" s="572"/>
      <c r="B60" s="573" t="s">
        <v>1919</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906" t="s">
        <v>600</v>
      </c>
      <c r="C62" s="1906"/>
      <c r="D62" s="581" t="s">
        <v>1427</v>
      </c>
      <c r="E62" s="1917" t="s">
        <v>2331</v>
      </c>
      <c r="F62" s="1918"/>
      <c r="G62" s="1918"/>
      <c r="H62" s="1918"/>
      <c r="I62" s="1918"/>
      <c r="J62" s="1918"/>
      <c r="K62" s="1918"/>
      <c r="L62" s="1918"/>
      <c r="M62" s="1918"/>
      <c r="N62" s="1918"/>
      <c r="O62" s="1918"/>
      <c r="P62" s="1918"/>
      <c r="Q62" s="1918"/>
      <c r="R62" s="1918"/>
      <c r="S62" s="1918"/>
      <c r="T62" s="1918"/>
      <c r="U62" s="1918"/>
      <c r="V62" s="1918"/>
      <c r="W62" s="1918"/>
      <c r="X62" s="1918"/>
      <c r="Y62" s="1918"/>
      <c r="Z62" s="1918"/>
      <c r="AA62" s="1918"/>
      <c r="AB62" s="1918"/>
      <c r="AC62" s="1918"/>
      <c r="AD62" s="1918"/>
      <c r="AE62" s="1918"/>
      <c r="AF62" s="1918"/>
      <c r="AG62" s="1918"/>
      <c r="AH62" s="1918"/>
      <c r="AI62" s="1918"/>
      <c r="AJ62" s="1919"/>
      <c r="AK62" s="577"/>
      <c r="AL62" s="574"/>
      <c r="AM62" s="574"/>
      <c r="AN62" s="569"/>
      <c r="AO62" s="584">
        <f>IF($B62="yes",10,0)</f>
        <v>0</v>
      </c>
    </row>
    <row r="63" spans="1:50" s="570" customFormat="1" ht="12.75" customHeight="1">
      <c r="A63" s="572"/>
      <c r="B63" s="574"/>
      <c r="C63" s="574"/>
      <c r="D63" s="585"/>
      <c r="E63" s="1920"/>
      <c r="F63" s="1921"/>
      <c r="G63" s="1921"/>
      <c r="H63" s="1921"/>
      <c r="I63" s="1921"/>
      <c r="J63" s="1921"/>
      <c r="K63" s="1921"/>
      <c r="L63" s="1921"/>
      <c r="M63" s="1921"/>
      <c r="N63" s="1921"/>
      <c r="O63" s="1921"/>
      <c r="P63" s="1921"/>
      <c r="Q63" s="1921"/>
      <c r="R63" s="1921"/>
      <c r="S63" s="1921"/>
      <c r="T63" s="1921"/>
      <c r="U63" s="1921"/>
      <c r="V63" s="1921"/>
      <c r="W63" s="1921"/>
      <c r="X63" s="1921"/>
      <c r="Y63" s="1921"/>
      <c r="Z63" s="1921"/>
      <c r="AA63" s="1921"/>
      <c r="AB63" s="1921"/>
      <c r="AC63" s="1921"/>
      <c r="AD63" s="1921"/>
      <c r="AE63" s="1921"/>
      <c r="AF63" s="1921"/>
      <c r="AG63" s="1921"/>
      <c r="AH63" s="1921"/>
      <c r="AI63" s="1921"/>
      <c r="AJ63" s="1922"/>
      <c r="AK63" s="577"/>
      <c r="AL63" s="574"/>
      <c r="AM63" s="574"/>
      <c r="AN63" s="569"/>
      <c r="AO63" s="584">
        <f>IF($B68="yes",10,0)</f>
        <v>10</v>
      </c>
    </row>
    <row r="64" spans="1:50" s="570" customFormat="1" ht="12.75" customHeight="1">
      <c r="A64" s="572"/>
      <c r="B64" s="574"/>
      <c r="C64" s="574"/>
      <c r="D64" s="585"/>
      <c r="E64" s="1920"/>
      <c r="F64" s="1921"/>
      <c r="G64" s="1921"/>
      <c r="H64" s="1921"/>
      <c r="I64" s="1921"/>
      <c r="J64" s="1921"/>
      <c r="K64" s="1921"/>
      <c r="L64" s="1921"/>
      <c r="M64" s="1921"/>
      <c r="N64" s="1921"/>
      <c r="O64" s="1921"/>
      <c r="P64" s="1921"/>
      <c r="Q64" s="1921"/>
      <c r="R64" s="1921"/>
      <c r="S64" s="1921"/>
      <c r="T64" s="1921"/>
      <c r="U64" s="1921"/>
      <c r="V64" s="1921"/>
      <c r="W64" s="1921"/>
      <c r="X64" s="1921"/>
      <c r="Y64" s="1921"/>
      <c r="Z64" s="1921"/>
      <c r="AA64" s="1921"/>
      <c r="AB64" s="1921"/>
      <c r="AC64" s="1921"/>
      <c r="AD64" s="1921"/>
      <c r="AE64" s="1921"/>
      <c r="AF64" s="1921"/>
      <c r="AG64" s="1921"/>
      <c r="AH64" s="1921"/>
      <c r="AI64" s="1921"/>
      <c r="AJ64" s="1922"/>
      <c r="AK64" s="577"/>
      <c r="AL64" s="574"/>
      <c r="AM64" s="574"/>
      <c r="AN64" s="569"/>
      <c r="AO64" s="584">
        <f>IF($B75="yes",10,0)</f>
        <v>0</v>
      </c>
    </row>
    <row r="65" spans="1:42" s="570" customFormat="1" ht="12.75" customHeight="1">
      <c r="A65" s="572"/>
      <c r="B65" s="574"/>
      <c r="C65" s="574"/>
      <c r="D65" s="585"/>
      <c r="E65" s="1920"/>
      <c r="F65" s="1921"/>
      <c r="G65" s="1921"/>
      <c r="H65" s="1921"/>
      <c r="I65" s="1921"/>
      <c r="J65" s="1921"/>
      <c r="K65" s="1921"/>
      <c r="L65" s="1921"/>
      <c r="M65" s="1921"/>
      <c r="N65" s="1921"/>
      <c r="O65" s="1921"/>
      <c r="P65" s="1921"/>
      <c r="Q65" s="1921"/>
      <c r="R65" s="1921"/>
      <c r="S65" s="1921"/>
      <c r="T65" s="1921"/>
      <c r="U65" s="1921"/>
      <c r="V65" s="1921"/>
      <c r="W65" s="1921"/>
      <c r="X65" s="1921"/>
      <c r="Y65" s="1921"/>
      <c r="Z65" s="1921"/>
      <c r="AA65" s="1921"/>
      <c r="AB65" s="1921"/>
      <c r="AC65" s="1921"/>
      <c r="AD65" s="1921"/>
      <c r="AE65" s="1921"/>
      <c r="AF65" s="1921"/>
      <c r="AG65" s="1921"/>
      <c r="AH65" s="1921"/>
      <c r="AI65" s="1921"/>
      <c r="AJ65" s="1922"/>
      <c r="AK65" s="577"/>
      <c r="AL65" s="574"/>
      <c r="AM65" s="574"/>
      <c r="AN65" s="569"/>
      <c r="AO65" s="570">
        <f>IF(SUM(AO62:AO64)&gt;10,10,(SUM(AO62:AO64)))</f>
        <v>10</v>
      </c>
      <c r="AP65" s="608" t="s">
        <v>1428</v>
      </c>
    </row>
    <row r="66" spans="1:42" s="570" customFormat="1" ht="12.75" customHeight="1">
      <c r="A66" s="572"/>
      <c r="B66" s="574"/>
      <c r="C66" s="574"/>
      <c r="D66" s="585"/>
      <c r="E66" s="1923"/>
      <c r="F66" s="1924"/>
      <c r="G66" s="1924"/>
      <c r="H66" s="1924"/>
      <c r="I66" s="1924"/>
      <c r="J66" s="1924"/>
      <c r="K66" s="1924"/>
      <c r="L66" s="1924"/>
      <c r="M66" s="1924"/>
      <c r="N66" s="1924"/>
      <c r="O66" s="1924"/>
      <c r="P66" s="1924"/>
      <c r="Q66" s="1924"/>
      <c r="R66" s="1924"/>
      <c r="S66" s="1924"/>
      <c r="T66" s="1924"/>
      <c r="U66" s="1924"/>
      <c r="V66" s="1924"/>
      <c r="W66" s="1924"/>
      <c r="X66" s="1924"/>
      <c r="Y66" s="1924"/>
      <c r="Z66" s="1924"/>
      <c r="AA66" s="1924"/>
      <c r="AB66" s="1924"/>
      <c r="AC66" s="1924"/>
      <c r="AD66" s="1924"/>
      <c r="AE66" s="1924"/>
      <c r="AF66" s="1924"/>
      <c r="AG66" s="1924"/>
      <c r="AH66" s="1924"/>
      <c r="AI66" s="1924"/>
      <c r="AJ66" s="1925"/>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906" t="s">
        <v>554</v>
      </c>
      <c r="C68" s="1906"/>
      <c r="D68" s="581" t="s">
        <v>1429</v>
      </c>
      <c r="E68" s="1006" t="s">
        <v>1915</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26" t="s">
        <v>554</v>
      </c>
      <c r="F69" s="1906"/>
      <c r="G69" s="609"/>
      <c r="H69" s="592" t="s">
        <v>1430</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904" t="s">
        <v>600</v>
      </c>
      <c r="F70" s="1905"/>
      <c r="G70" s="609"/>
      <c r="H70" s="592" t="s">
        <v>1431</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904" t="s">
        <v>600</v>
      </c>
      <c r="F71" s="1905"/>
      <c r="G71" s="609"/>
      <c r="H71" s="592" t="s">
        <v>1930</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26" t="s">
        <v>600</v>
      </c>
      <c r="F73" s="1906"/>
      <c r="G73" s="941"/>
      <c r="H73" s="1011" t="s">
        <v>1929</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906" t="s">
        <v>600</v>
      </c>
      <c r="C75" s="1906"/>
      <c r="D75" s="581" t="s">
        <v>1432</v>
      </c>
      <c r="E75" s="1907" t="s">
        <v>1931</v>
      </c>
      <c r="F75" s="1908"/>
      <c r="G75" s="1908"/>
      <c r="H75" s="1908"/>
      <c r="I75" s="1908"/>
      <c r="J75" s="1908"/>
      <c r="K75" s="1908"/>
      <c r="L75" s="1908"/>
      <c r="M75" s="1908"/>
      <c r="N75" s="1908"/>
      <c r="O75" s="1908"/>
      <c r="P75" s="1908"/>
      <c r="Q75" s="1908"/>
      <c r="R75" s="1908"/>
      <c r="S75" s="1908"/>
      <c r="T75" s="1908"/>
      <c r="U75" s="1908"/>
      <c r="V75" s="1908"/>
      <c r="W75" s="1908"/>
      <c r="X75" s="1908"/>
      <c r="Y75" s="1908"/>
      <c r="Z75" s="1908"/>
      <c r="AA75" s="1908"/>
      <c r="AB75" s="1908"/>
      <c r="AC75" s="1908"/>
      <c r="AD75" s="1908"/>
      <c r="AE75" s="1908"/>
      <c r="AF75" s="1908"/>
      <c r="AG75" s="1908"/>
      <c r="AH75" s="1908"/>
      <c r="AI75" s="1908"/>
      <c r="AJ75" s="1909"/>
      <c r="AK75" s="577"/>
      <c r="AL75" s="574"/>
      <c r="AM75" s="574"/>
      <c r="AN75" s="569"/>
    </row>
    <row r="76" spans="1:42" s="570" customFormat="1" ht="12.75" customHeight="1">
      <c r="A76" s="572"/>
      <c r="B76" s="574"/>
      <c r="C76" s="574"/>
      <c r="D76" s="584"/>
      <c r="E76" s="1910"/>
      <c r="F76" s="1911"/>
      <c r="G76" s="1911"/>
      <c r="H76" s="1911"/>
      <c r="I76" s="1911"/>
      <c r="J76" s="1911"/>
      <c r="K76" s="1911"/>
      <c r="L76" s="1911"/>
      <c r="M76" s="1911"/>
      <c r="N76" s="1911"/>
      <c r="O76" s="1911"/>
      <c r="P76" s="1911"/>
      <c r="Q76" s="1911"/>
      <c r="R76" s="1911"/>
      <c r="S76" s="1911"/>
      <c r="T76" s="1911"/>
      <c r="U76" s="1911"/>
      <c r="V76" s="1911"/>
      <c r="W76" s="1911"/>
      <c r="X76" s="1911"/>
      <c r="Y76" s="1911"/>
      <c r="Z76" s="1911"/>
      <c r="AA76" s="1911"/>
      <c r="AB76" s="1911"/>
      <c r="AC76" s="1911"/>
      <c r="AD76" s="1911"/>
      <c r="AE76" s="1911"/>
      <c r="AF76" s="1911"/>
      <c r="AG76" s="1911"/>
      <c r="AH76" s="1911"/>
      <c r="AI76" s="1911"/>
      <c r="AJ76" s="1912"/>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1433</v>
      </c>
      <c r="AK78" s="1936">
        <f>IF(AK56&gt;0,0,AO65)</f>
        <v>10</v>
      </c>
      <c r="AL78" s="1937"/>
      <c r="AM78" s="1938"/>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1434</v>
      </c>
      <c r="B81" s="573" t="s">
        <v>1435</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16" t="s">
        <v>1417</v>
      </c>
      <c r="AF81" s="1916"/>
      <c r="AG81" s="1916"/>
      <c r="AH81" s="1916"/>
      <c r="AI81" s="1916"/>
      <c r="AJ81" s="1916"/>
      <c r="AK81" s="1916"/>
      <c r="AL81" s="574"/>
      <c r="AM81" s="574"/>
      <c r="AN81" s="569"/>
    </row>
    <row r="82" spans="1:43" s="570" customFormat="1" ht="12.75" customHeight="1">
      <c r="A82" s="572"/>
      <c r="B82" s="573" t="s">
        <v>1436</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906" t="s">
        <v>600</v>
      </c>
      <c r="C84" s="1906"/>
      <c r="D84" s="581" t="s">
        <v>1427</v>
      </c>
      <c r="E84" s="1917" t="s">
        <v>1437</v>
      </c>
      <c r="F84" s="1918"/>
      <c r="G84" s="1918"/>
      <c r="H84" s="1918"/>
      <c r="I84" s="1918"/>
      <c r="J84" s="1918"/>
      <c r="K84" s="1918"/>
      <c r="L84" s="1918"/>
      <c r="M84" s="1918"/>
      <c r="N84" s="1918"/>
      <c r="O84" s="1918"/>
      <c r="P84" s="1918"/>
      <c r="Q84" s="1918"/>
      <c r="R84" s="1918"/>
      <c r="S84" s="1918"/>
      <c r="T84" s="1918"/>
      <c r="U84" s="1918"/>
      <c r="V84" s="1918"/>
      <c r="W84" s="1918"/>
      <c r="X84" s="1918"/>
      <c r="Y84" s="1918"/>
      <c r="Z84" s="1918"/>
      <c r="AA84" s="1918"/>
      <c r="AB84" s="1918"/>
      <c r="AC84" s="1918"/>
      <c r="AD84" s="1918"/>
      <c r="AE84" s="1918"/>
      <c r="AF84" s="1918"/>
      <c r="AG84" s="1918"/>
      <c r="AH84" s="1918"/>
      <c r="AI84" s="1918"/>
      <c r="AJ84" s="1919"/>
      <c r="AK84" s="577"/>
      <c r="AL84" s="574"/>
      <c r="AM84" s="574"/>
      <c r="AN84" s="569"/>
    </row>
    <row r="85" spans="1:43" s="570" customFormat="1" ht="12.75" customHeight="1">
      <c r="A85" s="572"/>
      <c r="B85" s="573"/>
      <c r="C85" s="573"/>
      <c r="D85" s="573"/>
      <c r="E85" s="1920"/>
      <c r="F85" s="1921"/>
      <c r="G85" s="1921"/>
      <c r="H85" s="1921"/>
      <c r="I85" s="1921"/>
      <c r="J85" s="1921"/>
      <c r="K85" s="1921"/>
      <c r="L85" s="1921"/>
      <c r="M85" s="1921"/>
      <c r="N85" s="1921"/>
      <c r="O85" s="1921"/>
      <c r="P85" s="1921"/>
      <c r="Q85" s="1921"/>
      <c r="R85" s="1921"/>
      <c r="S85" s="1921"/>
      <c r="T85" s="1921"/>
      <c r="U85" s="1921"/>
      <c r="V85" s="1921"/>
      <c r="W85" s="1921"/>
      <c r="X85" s="1921"/>
      <c r="Y85" s="1921"/>
      <c r="Z85" s="1921"/>
      <c r="AA85" s="1921"/>
      <c r="AB85" s="1921"/>
      <c r="AC85" s="1921"/>
      <c r="AD85" s="1921"/>
      <c r="AE85" s="1921"/>
      <c r="AF85" s="1921"/>
      <c r="AG85" s="1921"/>
      <c r="AH85" s="1921"/>
      <c r="AI85" s="1921"/>
      <c r="AJ85" s="1922"/>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900">
        <f>Application!AC753</f>
        <v>0.35714285714285715</v>
      </c>
      <c r="F87" s="1901"/>
      <c r="G87" s="1901"/>
      <c r="H87" s="1901"/>
      <c r="I87" s="611"/>
      <c r="J87" s="614" t="s">
        <v>1438</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902">
        <f>0.6-ROUNDUP(E87,2)</f>
        <v>0.24</v>
      </c>
      <c r="F88" s="1903"/>
      <c r="G88" s="1903"/>
      <c r="H88" s="1903"/>
      <c r="I88" s="611"/>
      <c r="J88" s="614" t="s">
        <v>1439</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30">
        <f>IF(E88*200&gt;20,20,E88*200)</f>
        <v>20</v>
      </c>
      <c r="F89" s="1931"/>
      <c r="G89" s="1931"/>
      <c r="H89" s="1931"/>
      <c r="I89" s="611"/>
      <c r="J89" s="614" t="s">
        <v>1440</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1420</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906" t="s">
        <v>554</v>
      </c>
      <c r="C92" s="1906"/>
      <c r="D92" s="581" t="s">
        <v>1429</v>
      </c>
      <c r="E92" s="1917" t="s">
        <v>1916</v>
      </c>
      <c r="F92" s="1918"/>
      <c r="G92" s="1918"/>
      <c r="H92" s="1918"/>
      <c r="I92" s="1918"/>
      <c r="J92" s="1918"/>
      <c r="K92" s="1918"/>
      <c r="L92" s="1918"/>
      <c r="M92" s="1918"/>
      <c r="N92" s="1918"/>
      <c r="O92" s="1918"/>
      <c r="P92" s="1918"/>
      <c r="Q92" s="1918"/>
      <c r="R92" s="1918"/>
      <c r="S92" s="1918"/>
      <c r="T92" s="1918"/>
      <c r="U92" s="1918"/>
      <c r="V92" s="1918"/>
      <c r="W92" s="1918"/>
      <c r="X92" s="1918"/>
      <c r="Y92" s="1918"/>
      <c r="Z92" s="1918"/>
      <c r="AA92" s="1918"/>
      <c r="AB92" s="1918"/>
      <c r="AC92" s="1918"/>
      <c r="AD92" s="1918"/>
      <c r="AE92" s="1918"/>
      <c r="AF92" s="1918"/>
      <c r="AG92" s="1918"/>
      <c r="AH92" s="1918"/>
      <c r="AI92" s="1918"/>
      <c r="AJ92" s="1919"/>
      <c r="AK92" s="577"/>
      <c r="AL92" s="574"/>
      <c r="AM92" s="574"/>
      <c r="AN92" s="569"/>
    </row>
    <row r="93" spans="1:43" s="570" customFormat="1" ht="12.75" customHeight="1">
      <c r="A93" s="572"/>
      <c r="B93" s="573"/>
      <c r="C93" s="573"/>
      <c r="D93" s="573"/>
      <c r="E93" s="1920"/>
      <c r="F93" s="1921"/>
      <c r="G93" s="1921"/>
      <c r="H93" s="1921"/>
      <c r="I93" s="1921"/>
      <c r="J93" s="1921"/>
      <c r="K93" s="1921"/>
      <c r="L93" s="1921"/>
      <c r="M93" s="1921"/>
      <c r="N93" s="1921"/>
      <c r="O93" s="1921"/>
      <c r="P93" s="1921"/>
      <c r="Q93" s="1921"/>
      <c r="R93" s="1921"/>
      <c r="S93" s="1921"/>
      <c r="T93" s="1921"/>
      <c r="U93" s="1921"/>
      <c r="V93" s="1921"/>
      <c r="W93" s="1921"/>
      <c r="X93" s="1921"/>
      <c r="Y93" s="1921"/>
      <c r="Z93" s="1921"/>
      <c r="AA93" s="1921"/>
      <c r="AB93" s="1921"/>
      <c r="AC93" s="1921"/>
      <c r="AD93" s="1921"/>
      <c r="AE93" s="1921"/>
      <c r="AF93" s="1921"/>
      <c r="AG93" s="1921"/>
      <c r="AH93" s="1921"/>
      <c r="AI93" s="1921"/>
      <c r="AJ93" s="1922"/>
      <c r="AK93" s="577"/>
      <c r="AL93" s="574"/>
      <c r="AM93" s="574"/>
      <c r="AN93" s="569"/>
    </row>
    <row r="94" spans="1:43" s="570" customFormat="1" ht="12.75" customHeight="1">
      <c r="A94" s="572"/>
      <c r="B94" s="573"/>
      <c r="C94" s="573"/>
      <c r="D94" s="573"/>
      <c r="E94" s="1920"/>
      <c r="F94" s="1921"/>
      <c r="G94" s="1921"/>
      <c r="H94" s="1921"/>
      <c r="I94" s="1921"/>
      <c r="J94" s="1921"/>
      <c r="K94" s="1921"/>
      <c r="L94" s="1921"/>
      <c r="M94" s="1921"/>
      <c r="N94" s="1921"/>
      <c r="O94" s="1921"/>
      <c r="P94" s="1921"/>
      <c r="Q94" s="1921"/>
      <c r="R94" s="1921"/>
      <c r="S94" s="1921"/>
      <c r="T94" s="1921"/>
      <c r="U94" s="1921"/>
      <c r="V94" s="1921"/>
      <c r="W94" s="1921"/>
      <c r="X94" s="1921"/>
      <c r="Y94" s="1921"/>
      <c r="Z94" s="1921"/>
      <c r="AA94" s="1921"/>
      <c r="AB94" s="1921"/>
      <c r="AC94" s="1921"/>
      <c r="AD94" s="1921"/>
      <c r="AE94" s="1921"/>
      <c r="AF94" s="1921"/>
      <c r="AG94" s="1921"/>
      <c r="AH94" s="1921"/>
      <c r="AI94" s="1921"/>
      <c r="AJ94" s="1922"/>
      <c r="AK94" s="577"/>
      <c r="AL94" s="574"/>
      <c r="AM94" s="574"/>
      <c r="AN94" s="569"/>
    </row>
    <row r="95" spans="1:43" s="570" customFormat="1" ht="12.75" customHeight="1">
      <c r="A95" s="572"/>
      <c r="B95" s="573"/>
      <c r="C95" s="573"/>
      <c r="D95" s="573"/>
      <c r="E95" s="1920"/>
      <c r="F95" s="1921"/>
      <c r="G95" s="1921"/>
      <c r="H95" s="1921"/>
      <c r="I95" s="1921"/>
      <c r="J95" s="1921"/>
      <c r="K95" s="1921"/>
      <c r="L95" s="1921"/>
      <c r="M95" s="1921"/>
      <c r="N95" s="1921"/>
      <c r="O95" s="1921"/>
      <c r="P95" s="1921"/>
      <c r="Q95" s="1921"/>
      <c r="R95" s="1921"/>
      <c r="S95" s="1921"/>
      <c r="T95" s="1921"/>
      <c r="U95" s="1921"/>
      <c r="V95" s="1921"/>
      <c r="W95" s="1921"/>
      <c r="X95" s="1921"/>
      <c r="Y95" s="1921"/>
      <c r="Z95" s="1921"/>
      <c r="AA95" s="1921"/>
      <c r="AB95" s="1921"/>
      <c r="AC95" s="1921"/>
      <c r="AD95" s="1921"/>
      <c r="AE95" s="1921"/>
      <c r="AF95" s="1921"/>
      <c r="AG95" s="1921"/>
      <c r="AH95" s="1921"/>
      <c r="AI95" s="1921"/>
      <c r="AJ95" s="1922"/>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900">
        <f>Application!AC753</f>
        <v>0.35714285714285715</v>
      </c>
      <c r="F97" s="1901"/>
      <c r="G97" s="1901"/>
      <c r="H97" s="1901"/>
      <c r="I97" s="611"/>
      <c r="J97" s="614" t="s">
        <v>1438</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900">
        <f ca="1">SUMIF(Application!AC718:AG752,0.2,Application!G718:J752)/Application!G753+SUMIF(Application!AC718:AG752,0.25,Application!G718:J752)/Application!G753+SUMIF(Application!AC718:AG752,0.3,Application!G718:J752)/Application!G753</f>
        <v>0.7142857142857143</v>
      </c>
      <c r="F98" s="1901"/>
      <c r="G98" s="1901"/>
      <c r="H98" s="1901"/>
      <c r="I98" s="611"/>
      <c r="J98" s="614" t="s">
        <v>1441</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900">
        <f ca="1">SUMIF(Application!AC718:AG752,0.35,Application!G718:J752)/Application!G753+SUMIF(Application!AC718:AG752,0.4,Application!G718:J752)/Application!G753+SUMIF(Application!AC718:AG752,0.45,Application!G718:J752)/Application!G753+SUMIF(Application!AC718:AG752,0.5,Application!G718:J752)/Application!G753</f>
        <v>0.2857142857142857</v>
      </c>
      <c r="F99" s="1901"/>
      <c r="G99" s="1901"/>
      <c r="H99" s="1901"/>
      <c r="I99" s="611"/>
      <c r="J99" s="614" t="s">
        <v>1442</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1955">
        <f ca="1">IF(AND(E97&lt;=0.6,E98&gt;=0.1,OR(E99&gt;=0.1,E98&gt;=0.2)),20,0)</f>
        <v>20</v>
      </c>
      <c r="F100" s="1956"/>
      <c r="G100" s="1956"/>
      <c r="H100" s="1956"/>
      <c r="I100" s="587"/>
      <c r="J100" s="621" t="s">
        <v>1440</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1420</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1443</v>
      </c>
      <c r="AK103" s="1936">
        <f ca="1">MAX(AP89,AP100)</f>
        <v>20</v>
      </c>
      <c r="AL103" s="1937"/>
      <c r="AM103" s="1938"/>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1444</v>
      </c>
      <c r="B106" s="573" t="s">
        <v>1445</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16" t="s">
        <v>1426</v>
      </c>
      <c r="AF106" s="1916"/>
      <c r="AG106" s="1916"/>
      <c r="AH106" s="1916"/>
      <c r="AI106" s="1916"/>
      <c r="AJ106" s="1916"/>
      <c r="AK106" s="1916"/>
      <c r="AL106" s="574"/>
      <c r="AM106" s="574"/>
      <c r="AN106" s="569"/>
      <c r="AO106" s="570" t="str">
        <f>Application!B718</f>
        <v>1 Bedroom</v>
      </c>
      <c r="AQ106" s="570">
        <f>Application!O718</f>
        <v>628</v>
      </c>
    </row>
    <row r="107" spans="1:49" s="570" customFormat="1" ht="12.75" customHeight="1">
      <c r="A107" s="574"/>
      <c r="B107" s="573" t="s">
        <v>1436</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2 Bedrooms</v>
      </c>
      <c r="AQ107" s="570">
        <f>Application!O719</f>
        <v>748</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1101</v>
      </c>
    </row>
    <row r="109" spans="1:49" s="570" customFormat="1" ht="12.75" customHeight="1">
      <c r="A109" s="574"/>
      <c r="B109" s="1906" t="s">
        <v>554</v>
      </c>
      <c r="C109" s="1906"/>
      <c r="D109" s="581" t="s">
        <v>1427</v>
      </c>
      <c r="E109" s="1917" t="s">
        <v>2050</v>
      </c>
      <c r="F109" s="1918"/>
      <c r="G109" s="1918"/>
      <c r="H109" s="1918"/>
      <c r="I109" s="1918"/>
      <c r="J109" s="1918"/>
      <c r="K109" s="1918"/>
      <c r="L109" s="1918"/>
      <c r="M109" s="1918"/>
      <c r="N109" s="1918"/>
      <c r="O109" s="1918"/>
      <c r="P109" s="1918"/>
      <c r="Q109" s="1918"/>
      <c r="R109" s="1918"/>
      <c r="S109" s="1918"/>
      <c r="T109" s="1918"/>
      <c r="U109" s="1918"/>
      <c r="V109" s="1918"/>
      <c r="W109" s="1918"/>
      <c r="X109" s="1918"/>
      <c r="Y109" s="1918"/>
      <c r="Z109" s="1918"/>
      <c r="AA109" s="1918"/>
      <c r="AB109" s="1918"/>
      <c r="AC109" s="1918"/>
      <c r="AD109" s="1918"/>
      <c r="AE109" s="1918"/>
      <c r="AF109" s="1918"/>
      <c r="AG109" s="1918"/>
      <c r="AH109" s="1918"/>
      <c r="AI109" s="1918"/>
      <c r="AJ109" s="1919"/>
      <c r="AK109" s="574"/>
      <c r="AL109" s="574"/>
      <c r="AM109" s="574"/>
      <c r="AN109" s="569"/>
      <c r="AO109" s="570" t="str">
        <f>Application!B721</f>
        <v>2 Bedrooms</v>
      </c>
      <c r="AQ109" s="570">
        <f>Application!O721</f>
        <v>1315</v>
      </c>
      <c r="AU109" s="570" t="s">
        <v>2032</v>
      </c>
      <c r="AV109" s="629" t="s">
        <v>2033</v>
      </c>
      <c r="AW109" s="570" t="s">
        <v>2034</v>
      </c>
    </row>
    <row r="110" spans="1:49" s="570" customFormat="1" ht="12.75" customHeight="1">
      <c r="A110" s="574"/>
      <c r="B110" s="573"/>
      <c r="C110" s="573"/>
      <c r="D110" s="573"/>
      <c r="E110" s="1920"/>
      <c r="F110" s="1921"/>
      <c r="G110" s="1921"/>
      <c r="H110" s="1921"/>
      <c r="I110" s="1921"/>
      <c r="J110" s="1921"/>
      <c r="K110" s="1921"/>
      <c r="L110" s="1921"/>
      <c r="M110" s="1921"/>
      <c r="N110" s="1921"/>
      <c r="O110" s="1921"/>
      <c r="P110" s="1921"/>
      <c r="Q110" s="1921"/>
      <c r="R110" s="1921"/>
      <c r="S110" s="1921"/>
      <c r="T110" s="1921"/>
      <c r="U110" s="1921"/>
      <c r="V110" s="1921"/>
      <c r="W110" s="1921"/>
      <c r="X110" s="1921"/>
      <c r="Y110" s="1921"/>
      <c r="Z110" s="1921"/>
      <c r="AA110" s="1921"/>
      <c r="AB110" s="1921"/>
      <c r="AC110" s="1921"/>
      <c r="AD110" s="1921"/>
      <c r="AE110" s="1921"/>
      <c r="AF110" s="1921"/>
      <c r="AG110" s="1921"/>
      <c r="AH110" s="1921"/>
      <c r="AI110" s="1921"/>
      <c r="AJ110" s="1922"/>
      <c r="AK110" s="574"/>
      <c r="AL110" s="574"/>
      <c r="AM110" s="574"/>
      <c r="AN110" s="569"/>
      <c r="AO110" s="570">
        <f>Application!B722</f>
        <v>0</v>
      </c>
      <c r="AQ110" s="570">
        <f>Application!O722</f>
        <v>0</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1920"/>
      <c r="F111" s="1921"/>
      <c r="G111" s="1921"/>
      <c r="H111" s="1921"/>
      <c r="I111" s="1921"/>
      <c r="J111" s="1921"/>
      <c r="K111" s="1921"/>
      <c r="L111" s="1921"/>
      <c r="M111" s="1921"/>
      <c r="N111" s="1921"/>
      <c r="O111" s="1921"/>
      <c r="P111" s="1921"/>
      <c r="Q111" s="1921"/>
      <c r="R111" s="1921"/>
      <c r="S111" s="1921"/>
      <c r="T111" s="1921"/>
      <c r="U111" s="1921"/>
      <c r="V111" s="1921"/>
      <c r="W111" s="1921"/>
      <c r="X111" s="1921"/>
      <c r="Y111" s="1921"/>
      <c r="Z111" s="1921"/>
      <c r="AA111" s="1921"/>
      <c r="AB111" s="1921"/>
      <c r="AC111" s="1921"/>
      <c r="AD111" s="1921"/>
      <c r="AE111" s="1921"/>
      <c r="AF111" s="1921"/>
      <c r="AG111" s="1921"/>
      <c r="AH111" s="1921"/>
      <c r="AI111" s="1921"/>
      <c r="AJ111" s="1922"/>
      <c r="AK111" s="574"/>
      <c r="AL111" s="574"/>
      <c r="AM111" s="574"/>
      <c r="AN111" s="569"/>
      <c r="AO111" s="570">
        <f>Application!B723</f>
        <v>0</v>
      </c>
      <c r="AQ111" s="570">
        <f>Application!O723</f>
        <v>0</v>
      </c>
      <c r="AU111" s="890" t="str">
        <f>J118</f>
        <v>1-bedroom</v>
      </c>
      <c r="AV111" s="570">
        <f t="array" ref="AV111">SUM(IF(Application!B718:F752="1 Bedroom",Application!G718:J752))</f>
        <v>30</v>
      </c>
      <c r="AW111" s="1046">
        <f>AV111/AV116</f>
        <v>0.61224489795918369</v>
      </c>
    </row>
    <row r="112" spans="1:49" s="570" customFormat="1" ht="12.75" customHeight="1">
      <c r="A112" s="574"/>
      <c r="B112" s="573"/>
      <c r="C112" s="573"/>
      <c r="D112" s="573"/>
      <c r="E112" s="1920"/>
      <c r="F112" s="1921"/>
      <c r="G112" s="1921"/>
      <c r="H112" s="1921"/>
      <c r="I112" s="1921"/>
      <c r="J112" s="1921"/>
      <c r="K112" s="1921"/>
      <c r="L112" s="1921"/>
      <c r="M112" s="1921"/>
      <c r="N112" s="1921"/>
      <c r="O112" s="1921"/>
      <c r="P112" s="1921"/>
      <c r="Q112" s="1921"/>
      <c r="R112" s="1921"/>
      <c r="S112" s="1921"/>
      <c r="T112" s="1921"/>
      <c r="U112" s="1921"/>
      <c r="V112" s="1921"/>
      <c r="W112" s="1921"/>
      <c r="X112" s="1921"/>
      <c r="Y112" s="1921"/>
      <c r="Z112" s="1921"/>
      <c r="AA112" s="1921"/>
      <c r="AB112" s="1921"/>
      <c r="AC112" s="1921"/>
      <c r="AD112" s="1921"/>
      <c r="AE112" s="1921"/>
      <c r="AF112" s="1921"/>
      <c r="AG112" s="1921"/>
      <c r="AH112" s="1921"/>
      <c r="AI112" s="1921"/>
      <c r="AJ112" s="1922"/>
      <c r="AK112" s="574"/>
      <c r="AL112" s="574"/>
      <c r="AM112" s="574"/>
      <c r="AN112" s="569"/>
      <c r="AO112" s="570">
        <f>Application!B724</f>
        <v>0</v>
      </c>
      <c r="AQ112" s="570">
        <f>Application!O724</f>
        <v>0</v>
      </c>
      <c r="AU112" s="890" t="str">
        <f>O118</f>
        <v>2-bedroom</v>
      </c>
      <c r="AV112" s="570">
        <f t="array" ref="AV112">SUM(IF(Application!B718:F752="2 Bedrooms",Application!G718:J752))</f>
        <v>19</v>
      </c>
      <c r="AW112" s="1046">
        <f>AV112/AV116</f>
        <v>0.38775510204081631</v>
      </c>
    </row>
    <row r="113" spans="1:52" s="570" customFormat="1" ht="12.75" customHeight="1">
      <c r="A113" s="574"/>
      <c r="B113" s="573"/>
      <c r="C113" s="573"/>
      <c r="D113" s="573"/>
      <c r="E113" s="1920"/>
      <c r="F113" s="1921"/>
      <c r="G113" s="1921"/>
      <c r="H113" s="1921"/>
      <c r="I113" s="1921"/>
      <c r="J113" s="1921"/>
      <c r="K113" s="1921"/>
      <c r="L113" s="1921"/>
      <c r="M113" s="1921"/>
      <c r="N113" s="1921"/>
      <c r="O113" s="1921"/>
      <c r="P113" s="1921"/>
      <c r="Q113" s="1921"/>
      <c r="R113" s="1921"/>
      <c r="S113" s="1921"/>
      <c r="T113" s="1921"/>
      <c r="U113" s="1921"/>
      <c r="V113" s="1921"/>
      <c r="W113" s="1921"/>
      <c r="X113" s="1921"/>
      <c r="Y113" s="1921"/>
      <c r="Z113" s="1921"/>
      <c r="AA113" s="1921"/>
      <c r="AB113" s="1921"/>
      <c r="AC113" s="1921"/>
      <c r="AD113" s="1921"/>
      <c r="AE113" s="1921"/>
      <c r="AF113" s="1921"/>
      <c r="AG113" s="1921"/>
      <c r="AH113" s="1921"/>
      <c r="AI113" s="1921"/>
      <c r="AJ113" s="1922"/>
      <c r="AK113" s="574"/>
      <c r="AL113" s="574"/>
      <c r="AM113" s="574"/>
      <c r="AN113" s="569"/>
      <c r="AO113" s="570">
        <f>Application!B725</f>
        <v>0</v>
      </c>
      <c r="AQ113" s="570">
        <f>Application!O725</f>
        <v>0</v>
      </c>
      <c r="AU113" s="890" t="str">
        <f>T118</f>
        <v>3-bedroom</v>
      </c>
      <c r="AV113" s="570">
        <f t="array" ref="AV113">SUM(IF(Application!B718:F752="3 Bedrooms",Application!G718:J752))</f>
        <v>0</v>
      </c>
      <c r="AW113" s="1046">
        <f>AV113/AV116</f>
        <v>0</v>
      </c>
    </row>
    <row r="114" spans="1:52" s="570" customFormat="1" ht="12.75" customHeight="1">
      <c r="A114" s="574"/>
      <c r="B114" s="573"/>
      <c r="C114" s="573"/>
      <c r="D114" s="573"/>
      <c r="E114" s="1920"/>
      <c r="F114" s="1921"/>
      <c r="G114" s="1921"/>
      <c r="H114" s="1921"/>
      <c r="I114" s="1921"/>
      <c r="J114" s="1921"/>
      <c r="K114" s="1921"/>
      <c r="L114" s="1921"/>
      <c r="M114" s="1921"/>
      <c r="N114" s="1921"/>
      <c r="O114" s="1921"/>
      <c r="P114" s="1921"/>
      <c r="Q114" s="1921"/>
      <c r="R114" s="1921"/>
      <c r="S114" s="1921"/>
      <c r="T114" s="1921"/>
      <c r="U114" s="1921"/>
      <c r="V114" s="1921"/>
      <c r="W114" s="1921"/>
      <c r="X114" s="1921"/>
      <c r="Y114" s="1921"/>
      <c r="Z114" s="1921"/>
      <c r="AA114" s="1921"/>
      <c r="AB114" s="1921"/>
      <c r="AC114" s="1921"/>
      <c r="AD114" s="1921"/>
      <c r="AE114" s="1921"/>
      <c r="AF114" s="1921"/>
      <c r="AG114" s="1921"/>
      <c r="AH114" s="1921"/>
      <c r="AI114" s="1921"/>
      <c r="AJ114" s="1922"/>
      <c r="AK114" s="574"/>
      <c r="AL114" s="574"/>
      <c r="AM114" s="574"/>
      <c r="AN114" s="569"/>
      <c r="AO114" s="570">
        <f>Application!B726</f>
        <v>0</v>
      </c>
      <c r="AQ114" s="570">
        <f>Application!O726</f>
        <v>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1920"/>
      <c r="F115" s="1921"/>
      <c r="G115" s="1921"/>
      <c r="H115" s="1921"/>
      <c r="I115" s="1921"/>
      <c r="J115" s="1921"/>
      <c r="K115" s="1921"/>
      <c r="L115" s="1921"/>
      <c r="M115" s="1921"/>
      <c r="N115" s="1921"/>
      <c r="O115" s="1921"/>
      <c r="P115" s="1921"/>
      <c r="Q115" s="1921"/>
      <c r="R115" s="1921"/>
      <c r="S115" s="1921"/>
      <c r="T115" s="1921"/>
      <c r="U115" s="1921"/>
      <c r="V115" s="1921"/>
      <c r="W115" s="1921"/>
      <c r="X115" s="1921"/>
      <c r="Y115" s="1921"/>
      <c r="Z115" s="1921"/>
      <c r="AA115" s="1921"/>
      <c r="AB115" s="1921"/>
      <c r="AC115" s="1921"/>
      <c r="AD115" s="1921"/>
      <c r="AE115" s="1921"/>
      <c r="AF115" s="1921"/>
      <c r="AG115" s="1921"/>
      <c r="AH115" s="1921"/>
      <c r="AI115" s="1921"/>
      <c r="AJ115" s="1922"/>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1920"/>
      <c r="F116" s="1921"/>
      <c r="G116" s="1921"/>
      <c r="H116" s="1921"/>
      <c r="I116" s="1921"/>
      <c r="J116" s="1921"/>
      <c r="K116" s="1921"/>
      <c r="L116" s="1921"/>
      <c r="M116" s="1921"/>
      <c r="N116" s="1921"/>
      <c r="O116" s="1921"/>
      <c r="P116" s="1921"/>
      <c r="Q116" s="1921"/>
      <c r="R116" s="1921"/>
      <c r="S116" s="1921"/>
      <c r="T116" s="1921"/>
      <c r="U116" s="1921"/>
      <c r="V116" s="1921"/>
      <c r="W116" s="1921"/>
      <c r="X116" s="1921"/>
      <c r="Y116" s="1921"/>
      <c r="Z116" s="1921"/>
      <c r="AA116" s="1921"/>
      <c r="AB116" s="1921"/>
      <c r="AC116" s="1921"/>
      <c r="AD116" s="1921"/>
      <c r="AE116" s="1921"/>
      <c r="AF116" s="1921"/>
      <c r="AG116" s="1921"/>
      <c r="AH116" s="1921"/>
      <c r="AI116" s="1921"/>
      <c r="AJ116" s="1922"/>
      <c r="AK116" s="574"/>
      <c r="AL116" s="574"/>
      <c r="AM116" s="574"/>
      <c r="AN116" s="569"/>
      <c r="AO116" s="570">
        <f>Application!B728</f>
        <v>0</v>
      </c>
      <c r="AQ116" s="570">
        <f>Application!O728</f>
        <v>0</v>
      </c>
      <c r="AV116" s="570">
        <f>SUM(AV110:AV115)</f>
        <v>49</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1900" t="s">
        <v>1701</v>
      </c>
      <c r="F118" s="1901"/>
      <c r="G118" s="1901"/>
      <c r="H118" s="1901"/>
      <c r="I118" s="611"/>
      <c r="J118" s="1901" t="s">
        <v>1745</v>
      </c>
      <c r="K118" s="1901"/>
      <c r="L118" s="1901"/>
      <c r="M118" s="1901"/>
      <c r="N118" s="611"/>
      <c r="O118" s="1901" t="s">
        <v>1746</v>
      </c>
      <c r="P118" s="1901"/>
      <c r="Q118" s="1901"/>
      <c r="R118" s="1901"/>
      <c r="S118" s="611"/>
      <c r="T118" s="1901" t="s">
        <v>1446</v>
      </c>
      <c r="U118" s="1901"/>
      <c r="V118" s="1901"/>
      <c r="W118" s="1901"/>
      <c r="X118" s="611"/>
      <c r="Y118" s="1901" t="s">
        <v>1747</v>
      </c>
      <c r="Z118" s="1901"/>
      <c r="AA118" s="1901"/>
      <c r="AB118" s="1901"/>
      <c r="AC118" s="611"/>
      <c r="AD118" s="1901" t="s">
        <v>1748</v>
      </c>
      <c r="AE118" s="1901"/>
      <c r="AF118" s="1901"/>
      <c r="AG118" s="1901"/>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1749</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1957"/>
      <c r="F121" s="1958"/>
      <c r="G121" s="1958"/>
      <c r="H121" s="1958"/>
      <c r="I121" s="898"/>
      <c r="J121" s="1958">
        <v>2460</v>
      </c>
      <c r="K121" s="1958"/>
      <c r="L121" s="1958"/>
      <c r="M121" s="1958"/>
      <c r="N121" s="898"/>
      <c r="O121" s="1958">
        <v>2974</v>
      </c>
      <c r="P121" s="1958"/>
      <c r="Q121" s="1958"/>
      <c r="R121" s="1958"/>
      <c r="S121" s="898"/>
      <c r="T121" s="1958"/>
      <c r="U121" s="1958"/>
      <c r="V121" s="1958"/>
      <c r="W121" s="1958"/>
      <c r="X121" s="898"/>
      <c r="Y121" s="1958"/>
      <c r="Z121" s="1958"/>
      <c r="AA121" s="1958"/>
      <c r="AB121" s="1958"/>
      <c r="AC121" s="898"/>
      <c r="AD121" s="1958"/>
      <c r="AE121" s="1958"/>
      <c r="AF121" s="1958"/>
      <c r="AG121" s="1958"/>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2036</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1950">
        <f>Application!DX670</f>
        <v>0</v>
      </c>
      <c r="F124" s="1951"/>
      <c r="G124" s="1951"/>
      <c r="H124" s="1951"/>
      <c r="I124" s="898"/>
      <c r="J124" s="1951">
        <f>Application!EC670</f>
        <v>785.66666666666663</v>
      </c>
      <c r="K124" s="1951"/>
      <c r="L124" s="1951"/>
      <c r="M124" s="1951"/>
      <c r="N124" s="898"/>
      <c r="O124" s="1951">
        <f>Application!EH670</f>
        <v>867.36842105263145</v>
      </c>
      <c r="P124" s="1951"/>
      <c r="Q124" s="1951"/>
      <c r="R124" s="1951"/>
      <c r="S124" s="902"/>
      <c r="T124" s="1951">
        <f>Application!EM670</f>
        <v>0</v>
      </c>
      <c r="U124" s="1951"/>
      <c r="V124" s="1951"/>
      <c r="W124" s="1951"/>
      <c r="X124" s="902"/>
      <c r="Y124" s="1951">
        <f>Application!ER670</f>
        <v>0</v>
      </c>
      <c r="Z124" s="1951"/>
      <c r="AA124" s="1951"/>
      <c r="AB124" s="1951"/>
      <c r="AC124" s="902"/>
      <c r="AD124" s="1951">
        <f>Application!EW670</f>
        <v>0</v>
      </c>
      <c r="AE124" s="1951"/>
      <c r="AF124" s="1951"/>
      <c r="AG124" s="1951"/>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2037</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2147" t="e">
        <f>(E121-E124)/E121</f>
        <v>#DIV/0!</v>
      </c>
      <c r="F127" s="1903"/>
      <c r="G127" s="1903"/>
      <c r="H127" s="2148"/>
      <c r="I127" s="611"/>
      <c r="J127" s="2147">
        <f>(J121-J124)/J121</f>
        <v>0.68062330623306244</v>
      </c>
      <c r="K127" s="1903"/>
      <c r="L127" s="1903"/>
      <c r="M127" s="2148"/>
      <c r="N127" s="611"/>
      <c r="O127" s="2147">
        <f>(O121-O124)/O121</f>
        <v>0.70834955579938408</v>
      </c>
      <c r="P127" s="1903"/>
      <c r="Q127" s="1903"/>
      <c r="R127" s="2148"/>
      <c r="S127" s="611"/>
      <c r="T127" s="2147" t="e">
        <f>(T121-T124)/T121</f>
        <v>#DIV/0!</v>
      </c>
      <c r="U127" s="1903"/>
      <c r="V127" s="1903"/>
      <c r="W127" s="2148"/>
      <c r="X127" s="611"/>
      <c r="Y127" s="2147" t="e">
        <f>(Y121-Y124)/Y121</f>
        <v>#DIV/0!</v>
      </c>
      <c r="Z127" s="1903"/>
      <c r="AA127" s="1903"/>
      <c r="AB127" s="2148"/>
      <c r="AC127" s="611"/>
      <c r="AD127" s="2147" t="e">
        <f>(AD121-AD124)/AD121</f>
        <v>#DIV/0!</v>
      </c>
      <c r="AE127" s="1903"/>
      <c r="AF127" s="1903"/>
      <c r="AG127" s="2148"/>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2038</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1952" t="e">
        <f>IF(((E127-0.1)*AW110)&gt;0,((E127-0.1)*AW110),0)</f>
        <v>#DIV/0!</v>
      </c>
      <c r="F130" s="1953"/>
      <c r="G130" s="1953"/>
      <c r="H130" s="1954"/>
      <c r="I130" s="611"/>
      <c r="J130" s="1952">
        <f>IF(((J127-0.1)*AW111)&gt;0,((J127-0.1)*AW111),0)</f>
        <v>0.3554836568773852</v>
      </c>
      <c r="K130" s="1953"/>
      <c r="L130" s="1953"/>
      <c r="M130" s="1954"/>
      <c r="N130" s="611"/>
      <c r="O130" s="1952">
        <f>IF(((O127-0.1)*AW112)&gt;0,((O127-0.1)*AW112),0)</f>
        <v>0.23589064408547547</v>
      </c>
      <c r="P130" s="1953"/>
      <c r="Q130" s="1953"/>
      <c r="R130" s="1954"/>
      <c r="S130" s="611"/>
      <c r="T130" s="1952" t="e">
        <f>IF(((T127-0.1)*AW113)&gt;0,((T127-0.1)*AW113),0)</f>
        <v>#DIV/0!</v>
      </c>
      <c r="U130" s="1953"/>
      <c r="V130" s="1953"/>
      <c r="W130" s="1954"/>
      <c r="X130" s="611"/>
      <c r="Y130" s="1952" t="e">
        <f>IF(((Y127-0.1)*AW114)&gt;0,((Y127-0.1)*AW114),0)</f>
        <v>#DIV/0!</v>
      </c>
      <c r="Z130" s="1953"/>
      <c r="AA130" s="1953"/>
      <c r="AB130" s="1954"/>
      <c r="AC130" s="611"/>
      <c r="AD130" s="1952" t="e">
        <f>IF(((AD127-0.1)*AW115)&gt;0,((AD127-0.1)*AW115),0)</f>
        <v>#DIV/0!</v>
      </c>
      <c r="AE130" s="1953"/>
      <c r="AF130" s="1953"/>
      <c r="AG130" s="1954"/>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147">
        <f>ROUNDDOWN(SUMIF(E130:AG130,"&gt;0"),2)</f>
        <v>0.59</v>
      </c>
      <c r="F132" s="1903"/>
      <c r="G132" s="1903"/>
      <c r="H132" s="2148"/>
      <c r="I132" s="611"/>
      <c r="J132" s="614" t="s">
        <v>2039</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1936">
        <f>IF((E132*100)&gt;10,10,E132*100)</f>
        <v>10</v>
      </c>
      <c r="F133" s="1937"/>
      <c r="G133" s="1937"/>
      <c r="H133" s="1938"/>
      <c r="I133" s="611"/>
      <c r="J133" s="614" t="s">
        <v>1440</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1447</v>
      </c>
      <c r="AK137" s="1936">
        <f>E133</f>
        <v>10</v>
      </c>
      <c r="AL137" s="1937"/>
      <c r="AM137" s="1938"/>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1448</v>
      </c>
      <c r="AE140" s="1916" t="s">
        <v>1426</v>
      </c>
      <c r="AF140" s="1916"/>
      <c r="AG140" s="1916"/>
      <c r="AH140" s="1916"/>
      <c r="AI140" s="1916"/>
      <c r="AJ140" s="1916"/>
      <c r="AK140" s="1916"/>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1449</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48" t="s">
        <v>1450</v>
      </c>
      <c r="AG142" s="1948"/>
      <c r="AH142" s="1948"/>
      <c r="AI142" s="1948"/>
      <c r="AJ142" s="1948"/>
      <c r="AK142" s="1948"/>
      <c r="AL142" s="1948"/>
      <c r="AM142" s="573"/>
      <c r="AN142" s="569"/>
    </row>
    <row r="143" spans="1:52" s="570" customFormat="1" ht="12.75" customHeight="1">
      <c r="A143" s="572"/>
      <c r="B143" s="572" t="s">
        <v>541</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49" t="s">
        <v>2800</v>
      </c>
      <c r="C144" s="1949"/>
      <c r="D144" s="1949"/>
      <c r="E144" s="1949"/>
      <c r="F144" s="1949"/>
      <c r="G144" s="1949"/>
      <c r="H144" s="1949"/>
      <c r="I144" s="1949"/>
      <c r="J144" s="1949"/>
      <c r="K144" s="1949"/>
      <c r="L144" s="1949"/>
      <c r="M144" s="1949"/>
      <c r="N144" s="1949"/>
      <c r="O144" s="1949"/>
      <c r="P144" s="1949"/>
      <c r="Q144" s="1949"/>
      <c r="R144" s="1949"/>
      <c r="S144" s="1949"/>
      <c r="T144" s="1949"/>
      <c r="U144" s="1949"/>
      <c r="V144" s="1949"/>
      <c r="W144" s="1949"/>
      <c r="X144" s="1949"/>
      <c r="Y144" s="1949"/>
      <c r="Z144" s="1949"/>
      <c r="AA144" s="1949"/>
      <c r="AB144" s="1949"/>
      <c r="AC144" s="1949"/>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1451</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1452</v>
      </c>
      <c r="AP146" s="523">
        <v>5</v>
      </c>
    </row>
    <row r="147" spans="1:42" s="570" customFormat="1" ht="12.75" customHeight="1">
      <c r="A147" s="572"/>
      <c r="B147" s="1974" t="s">
        <v>1453</v>
      </c>
      <c r="C147" s="1974"/>
      <c r="D147" s="1974"/>
      <c r="E147" s="1974"/>
      <c r="F147" s="1974"/>
      <c r="G147" s="1974"/>
      <c r="H147" s="1974"/>
      <c r="I147" s="1974"/>
      <c r="J147" s="1974"/>
      <c r="K147" s="1974"/>
      <c r="L147" s="1974"/>
      <c r="M147" s="1974"/>
      <c r="N147" s="1974"/>
      <c r="O147" s="1974"/>
      <c r="P147" s="1974"/>
      <c r="Q147" s="1974"/>
      <c r="R147" s="1974"/>
      <c r="S147" s="1974"/>
      <c r="T147" s="1974"/>
      <c r="U147" s="1974"/>
      <c r="V147" s="1974"/>
      <c r="W147" s="1974"/>
      <c r="X147" s="1974"/>
      <c r="Y147" s="1974"/>
      <c r="Z147" s="1974"/>
      <c r="AA147" s="1974"/>
      <c r="AB147" s="1974"/>
      <c r="AC147" s="1974"/>
      <c r="AD147" s="1974"/>
      <c r="AE147" s="1974"/>
      <c r="AF147" s="1974"/>
      <c r="AG147" s="1974"/>
      <c r="AH147" s="1974"/>
      <c r="AI147" s="1974"/>
      <c r="AM147" s="573"/>
      <c r="AN147" s="569"/>
      <c r="AO147" s="510" t="s">
        <v>1453</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2332</v>
      </c>
      <c r="AP148" s="523">
        <v>7</v>
      </c>
    </row>
    <row r="149" spans="1:42" s="570" customFormat="1" ht="12.75" customHeight="1">
      <c r="A149" s="572"/>
      <c r="B149" s="573" t="s">
        <v>1454</v>
      </c>
      <c r="AB149" s="1975" t="s">
        <v>600</v>
      </c>
      <c r="AC149" s="1975"/>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1455</v>
      </c>
      <c r="AP150" s="523"/>
    </row>
    <row r="151" spans="1:42" s="570" customFormat="1" ht="12.75" customHeight="1">
      <c r="A151" s="572"/>
      <c r="B151" s="572" t="s">
        <v>1456</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1457</v>
      </c>
      <c r="AP151" s="523">
        <v>5</v>
      </c>
    </row>
    <row r="152" spans="1:42" s="570" customFormat="1" ht="12.75" customHeight="1">
      <c r="A152" s="572"/>
      <c r="B152" s="1974" t="s">
        <v>1455</v>
      </c>
      <c r="C152" s="1974"/>
      <c r="D152" s="1974"/>
      <c r="E152" s="1974"/>
      <c r="F152" s="1974"/>
      <c r="G152" s="1974"/>
      <c r="H152" s="1974"/>
      <c r="I152" s="1974"/>
      <c r="J152" s="1974"/>
      <c r="K152" s="1974"/>
      <c r="L152" s="1974"/>
      <c r="M152" s="1974"/>
      <c r="N152" s="1974"/>
      <c r="O152" s="1974"/>
      <c r="P152" s="1974"/>
      <c r="Q152" s="1974"/>
      <c r="R152" s="1974"/>
      <c r="S152" s="1974"/>
      <c r="T152" s="1974"/>
      <c r="U152" s="1974"/>
      <c r="V152" s="1974"/>
      <c r="W152" s="1974"/>
      <c r="X152" s="1974"/>
      <c r="Y152" s="1974"/>
      <c r="Z152" s="1974"/>
      <c r="AA152" s="1974"/>
      <c r="AB152" s="1974"/>
      <c r="AC152" s="1974"/>
      <c r="AD152" s="1974"/>
      <c r="AE152" s="1974"/>
      <c r="AF152" s="1974"/>
      <c r="AG152" s="1974"/>
      <c r="AH152" s="1974"/>
      <c r="AI152" s="1974"/>
      <c r="AJ152" s="1974"/>
      <c r="AN152" s="569"/>
      <c r="AO152" s="510" t="s">
        <v>1458</v>
      </c>
      <c r="AP152" s="523">
        <v>7</v>
      </c>
    </row>
    <row r="153" spans="1:42" s="570" customFormat="1" ht="12.75" customHeight="1">
      <c r="B153" s="573" t="s">
        <v>1459</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1461</v>
      </c>
      <c r="AJ155" s="1977">
        <f>IF($AB$149="N/A",VLOOKUP($B$147,$AO$145:$AP$148,2,FALSE),VLOOKUP($B$152,$AO$150:$AP$152,2,FALSE))</f>
        <v>7</v>
      </c>
      <c r="AK155" s="1977"/>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1463</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48" t="s">
        <v>1464</v>
      </c>
      <c r="AG157" s="1948"/>
      <c r="AH157" s="1948"/>
      <c r="AI157" s="1948"/>
      <c r="AJ157" s="1948"/>
      <c r="AK157" s="1948"/>
      <c r="AL157" s="1948"/>
      <c r="AM157" s="637"/>
      <c r="AN157" s="632"/>
    </row>
    <row r="158" spans="1:42" s="584" customFormat="1" ht="12.75" customHeight="1">
      <c r="A158" s="570"/>
      <c r="B158" s="573" t="s">
        <v>1465</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74" t="s">
        <v>1462</v>
      </c>
      <c r="D159" s="1974"/>
      <c r="E159" s="1974"/>
      <c r="F159" s="1974"/>
      <c r="G159" s="1974"/>
      <c r="H159" s="1974"/>
      <c r="I159" s="1974"/>
      <c r="J159" s="1974"/>
      <c r="K159" s="1974"/>
      <c r="L159" s="1974"/>
      <c r="M159" s="1974"/>
      <c r="N159" s="1974"/>
      <c r="O159" s="1974"/>
      <c r="P159" s="1974"/>
      <c r="Q159" s="1974"/>
      <c r="R159" s="1974"/>
      <c r="S159" s="1974"/>
      <c r="T159" s="1974"/>
      <c r="U159" s="1974"/>
      <c r="V159" s="1974"/>
      <c r="W159" s="1974"/>
      <c r="X159" s="1974"/>
      <c r="Y159" s="1974"/>
      <c r="Z159" s="1974"/>
      <c r="AA159" s="1974"/>
      <c r="AB159" s="1974"/>
      <c r="AC159" s="1974"/>
      <c r="AD159" s="1974"/>
      <c r="AE159" s="1974"/>
      <c r="AF159" s="1974"/>
      <c r="AG159" s="1974"/>
      <c r="AH159" s="1974"/>
      <c r="AI159" s="1974"/>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1460</v>
      </c>
      <c r="AP160" s="633">
        <v>2</v>
      </c>
    </row>
    <row r="161" spans="1:73" s="584" customFormat="1" ht="12.75" customHeight="1">
      <c r="A161" s="570"/>
      <c r="B161" s="570"/>
      <c r="C161" s="573" t="s">
        <v>1467</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75" t="s">
        <v>600</v>
      </c>
      <c r="AG161" s="1975"/>
      <c r="AH161" s="570"/>
      <c r="AI161" s="570"/>
      <c r="AJ161" s="570"/>
      <c r="AK161" s="570"/>
      <c r="AL161" s="570"/>
      <c r="AM161" s="637"/>
      <c r="AN161" s="631"/>
      <c r="AO161" s="510" t="s">
        <v>1462</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2534</v>
      </c>
      <c r="AP162" s="633">
        <v>3</v>
      </c>
    </row>
    <row r="163" spans="1:73" s="584" customFormat="1" ht="12.75" customHeight="1">
      <c r="A163" s="570"/>
      <c r="B163" s="570"/>
      <c r="C163" s="1974" t="s">
        <v>1455</v>
      </c>
      <c r="D163" s="1974"/>
      <c r="E163" s="1974"/>
      <c r="F163" s="1974"/>
      <c r="G163" s="1974"/>
      <c r="H163" s="1974"/>
      <c r="I163" s="1974"/>
      <c r="J163" s="1974"/>
      <c r="K163" s="1974"/>
      <c r="L163" s="1974"/>
      <c r="M163" s="1974"/>
      <c r="N163" s="1974"/>
      <c r="O163" s="1974"/>
      <c r="P163" s="1974"/>
      <c r="Q163" s="1974"/>
      <c r="R163" s="1974"/>
      <c r="S163" s="1974"/>
      <c r="T163" s="1974"/>
      <c r="U163" s="1974"/>
      <c r="V163" s="1974"/>
      <c r="W163" s="1974"/>
      <c r="X163" s="1974"/>
      <c r="Y163" s="1974"/>
      <c r="Z163" s="1974"/>
      <c r="AA163" s="1974"/>
      <c r="AB163" s="1974"/>
      <c r="AC163" s="1974"/>
      <c r="AD163" s="1974"/>
      <c r="AE163" s="570"/>
      <c r="AF163" s="570"/>
      <c r="AG163" s="570"/>
      <c r="AH163" s="570"/>
      <c r="AI163" s="570"/>
      <c r="AJ163" s="570"/>
      <c r="AK163" s="570"/>
      <c r="AL163" s="570"/>
      <c r="AM163" s="637"/>
      <c r="AN163" s="631"/>
      <c r="AO163" s="636"/>
      <c r="AP163" s="633"/>
    </row>
    <row r="164" spans="1:73" s="584" customFormat="1" ht="12.75" customHeight="1">
      <c r="A164" s="570"/>
      <c r="B164" s="570"/>
      <c r="C164" s="573" t="s">
        <v>1459</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1469</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1455</v>
      </c>
      <c r="AP166" s="510"/>
    </row>
    <row r="167" spans="1:73" s="584" customFormat="1" ht="12.75" customHeight="1">
      <c r="A167" s="570"/>
      <c r="B167" s="570"/>
      <c r="C167" s="1949" t="s">
        <v>2772</v>
      </c>
      <c r="D167" s="1949"/>
      <c r="E167" s="1949"/>
      <c r="F167" s="1949"/>
      <c r="G167" s="1949"/>
      <c r="H167" s="1949"/>
      <c r="I167" s="1949"/>
      <c r="J167" s="1949"/>
      <c r="K167" s="1949"/>
      <c r="L167" s="1949"/>
      <c r="M167" s="1949"/>
      <c r="N167" s="1949"/>
      <c r="O167" s="1949"/>
      <c r="P167" s="1949"/>
      <c r="Q167" s="1949"/>
      <c r="R167" s="1949"/>
      <c r="S167" s="1949"/>
      <c r="T167" s="1949"/>
      <c r="U167" s="1949"/>
      <c r="V167" s="1949"/>
      <c r="W167" s="1949"/>
      <c r="X167" s="1949"/>
      <c r="Y167" s="1949"/>
      <c r="Z167" s="1949"/>
      <c r="AA167" s="1949"/>
      <c r="AB167" s="1949"/>
      <c r="AC167" s="1949"/>
      <c r="AD167" s="1949"/>
      <c r="AE167" s="570"/>
      <c r="AF167" s="570"/>
      <c r="AG167" s="570"/>
      <c r="AH167" s="570"/>
      <c r="AI167" s="570"/>
      <c r="AJ167" s="570"/>
      <c r="AK167" s="570"/>
      <c r="AL167" s="570"/>
      <c r="AM167" s="637"/>
      <c r="AN167" s="631"/>
      <c r="AO167" s="510" t="s">
        <v>1466</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1468</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1470</v>
      </c>
      <c r="AJ169" s="1976">
        <f>IF($AF$161="N/A",VLOOKUP($C$159,$AO$159:$AP$162,2,FALSE),VLOOKUP($C$163,$AO$166:$AP$168,2,FALSE))</f>
        <v>3</v>
      </c>
      <c r="AK169" s="1976"/>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1471</v>
      </c>
      <c r="AK172" s="1936">
        <f>$AJ$155+$AJ$169</f>
        <v>10</v>
      </c>
      <c r="AL172" s="1937"/>
      <c r="AM172" s="1938"/>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1472</v>
      </c>
      <c r="AQ174" s="646">
        <v>0</v>
      </c>
    </row>
    <row r="175" spans="1:73" s="584" customFormat="1" ht="12.75" customHeight="1">
      <c r="A175" s="572" t="s">
        <v>1473</v>
      </c>
      <c r="B175" s="572" t="s">
        <v>1918</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16" t="s">
        <v>1426</v>
      </c>
      <c r="AF175" s="1916"/>
      <c r="AG175" s="1916"/>
      <c r="AH175" s="1916"/>
      <c r="AI175" s="1916"/>
      <c r="AJ175" s="1916"/>
      <c r="AK175" s="1916"/>
      <c r="AL175" s="625"/>
      <c r="AN175" s="631"/>
      <c r="AP175" s="584" t="s">
        <v>1066</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1474</v>
      </c>
      <c r="AQ176" s="584">
        <v>10</v>
      </c>
    </row>
    <row r="177" spans="1:45" s="584" customFormat="1" ht="12.75" customHeight="1">
      <c r="A177" s="570"/>
      <c r="B177" s="1972" t="s">
        <v>1068</v>
      </c>
      <c r="C177" s="1972"/>
      <c r="D177" s="1972"/>
      <c r="E177" s="1972"/>
      <c r="F177" s="1972"/>
      <c r="G177" s="1972"/>
      <c r="H177" s="1972"/>
      <c r="I177" s="1972"/>
      <c r="J177" s="1972"/>
      <c r="K177" s="1972"/>
      <c r="L177" s="1972"/>
      <c r="M177" s="1972"/>
      <c r="N177" s="1972"/>
      <c r="O177" s="1972"/>
      <c r="P177" s="1972"/>
      <c r="Q177" s="1972"/>
      <c r="R177" s="1972"/>
      <c r="S177" s="1972"/>
      <c r="T177" s="1972"/>
      <c r="U177" s="1972"/>
      <c r="V177" s="1972"/>
      <c r="W177" s="1972"/>
      <c r="X177" s="1972"/>
      <c r="Y177" s="1972"/>
      <c r="Z177" s="1972"/>
      <c r="AA177" s="1972"/>
      <c r="AB177" s="1972"/>
      <c r="AC177" s="1972"/>
      <c r="AD177" s="570"/>
      <c r="AE177" s="570"/>
      <c r="AF177" s="1948" t="s">
        <v>1475</v>
      </c>
      <c r="AG177" s="1948"/>
      <c r="AH177" s="1948"/>
      <c r="AI177" s="1948"/>
      <c r="AJ177" s="1948"/>
      <c r="AK177" s="1948"/>
      <c r="AL177" s="1948"/>
      <c r="AN177" s="631"/>
      <c r="AP177" s="584" t="s">
        <v>1068</v>
      </c>
      <c r="AQ177" s="584">
        <v>10</v>
      </c>
    </row>
    <row r="178" spans="1:45" s="584" customFormat="1" ht="12.75" customHeight="1">
      <c r="A178" s="570"/>
      <c r="B178" s="1973" t="s">
        <v>1917</v>
      </c>
      <c r="C178" s="1973"/>
      <c r="D178" s="1973"/>
      <c r="E178" s="1973"/>
      <c r="F178" s="1973"/>
      <c r="G178" s="1973"/>
      <c r="H178" s="1973"/>
      <c r="I178" s="1973"/>
      <c r="J178" s="1973"/>
      <c r="K178" s="1973"/>
      <c r="L178" s="1973"/>
      <c r="M178" s="1973"/>
      <c r="N178" s="1973"/>
      <c r="O178" s="1973"/>
      <c r="P178" s="1973"/>
      <c r="Q178" s="1973"/>
      <c r="R178" s="1973"/>
      <c r="S178" s="1973"/>
      <c r="T178" s="1949" t="s">
        <v>600</v>
      </c>
      <c r="U178" s="1949"/>
      <c r="V178" s="1949"/>
      <c r="W178" s="1949"/>
      <c r="X178" s="1949"/>
      <c r="Y178" s="1949"/>
      <c r="Z178" s="1949"/>
      <c r="AA178" s="1949"/>
      <c r="AB178" s="1949"/>
      <c r="AC178" s="1949"/>
      <c r="AD178" s="570"/>
      <c r="AE178" s="570"/>
      <c r="AF178" s="570"/>
      <c r="AG178" s="570"/>
      <c r="AH178" s="570"/>
      <c r="AI178" s="570"/>
      <c r="AJ178" s="577"/>
      <c r="AK178" s="629"/>
      <c r="AL178" s="629"/>
      <c r="AM178" s="629"/>
      <c r="AN178" s="631"/>
      <c r="AP178" s="584" t="s">
        <v>1476</v>
      </c>
      <c r="AQ178" s="584">
        <v>10</v>
      </c>
      <c r="AS178" s="584" t="s">
        <v>600</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1479</v>
      </c>
      <c r="AQ179" s="584">
        <v>10</v>
      </c>
      <c r="AS179" s="584" t="s">
        <v>1477</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1478</v>
      </c>
      <c r="AK180" s="1981">
        <f>IF(AK78&gt;0,VLOOKUP($B$177,AP174:AQ180,2,FALSE),0)</f>
        <v>10</v>
      </c>
      <c r="AL180" s="1982"/>
      <c r="AM180" s="1983"/>
      <c r="AN180" s="569"/>
      <c r="AP180" s="584" t="s">
        <v>1481</v>
      </c>
      <c r="AQ180" s="584">
        <v>10</v>
      </c>
      <c r="AS180" s="584" t="s">
        <v>1480</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1482</v>
      </c>
      <c r="B183" s="572" t="s">
        <v>1483</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16" t="s">
        <v>1484</v>
      </c>
      <c r="AF183" s="1916"/>
      <c r="AG183" s="1916"/>
      <c r="AH183" s="1916"/>
      <c r="AI183" s="1916"/>
      <c r="AJ183" s="1916"/>
      <c r="AK183" s="1916"/>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1702</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1738</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60" t="s">
        <v>2641</v>
      </c>
      <c r="C188" s="1960"/>
      <c r="D188" s="1960"/>
      <c r="E188" s="1960"/>
      <c r="F188" s="1960"/>
      <c r="G188" s="1960"/>
      <c r="H188" s="1960"/>
      <c r="I188" s="1960"/>
      <c r="J188" s="1960"/>
      <c r="K188" s="1960"/>
      <c r="L188" s="1960"/>
      <c r="M188" s="1960"/>
      <c r="N188" s="1960"/>
      <c r="O188" s="1960"/>
      <c r="P188" s="1960"/>
      <c r="Q188" s="1960"/>
      <c r="R188" s="1960"/>
      <c r="S188" s="1960"/>
      <c r="T188" s="1960"/>
      <c r="U188" s="1960"/>
      <c r="V188" s="1960"/>
      <c r="W188" s="1960"/>
      <c r="X188" s="1960"/>
      <c r="Y188" s="1960"/>
      <c r="Z188" s="1960"/>
      <c r="AA188" s="1960"/>
      <c r="AB188" s="1960"/>
      <c r="AC188" s="880"/>
      <c r="AD188" s="1961">
        <v>5380000</v>
      </c>
      <c r="AE188" s="1961"/>
      <c r="AF188" s="1961"/>
      <c r="AG188" s="1961"/>
      <c r="AH188" s="1961"/>
      <c r="AI188" s="1961"/>
      <c r="AJ188" s="1961"/>
      <c r="AK188" s="644"/>
    </row>
    <row r="189" spans="1:45">
      <c r="A189" s="639"/>
      <c r="B189" s="1960" t="s">
        <v>2777</v>
      </c>
      <c r="C189" s="1960"/>
      <c r="D189" s="1960"/>
      <c r="E189" s="1960"/>
      <c r="F189" s="1960"/>
      <c r="G189" s="1960"/>
      <c r="H189" s="1960"/>
      <c r="I189" s="1960"/>
      <c r="J189" s="1960"/>
      <c r="K189" s="1960"/>
      <c r="L189" s="1960"/>
      <c r="M189" s="1960"/>
      <c r="N189" s="1960"/>
      <c r="O189" s="1960"/>
      <c r="P189" s="1960"/>
      <c r="Q189" s="1960"/>
      <c r="R189" s="1960"/>
      <c r="S189" s="1960"/>
      <c r="T189" s="1960"/>
      <c r="U189" s="1960"/>
      <c r="V189" s="1960"/>
      <c r="W189" s="1960"/>
      <c r="X189" s="1960"/>
      <c r="Y189" s="1960"/>
      <c r="Z189" s="1960"/>
      <c r="AA189" s="1960"/>
      <c r="AB189" s="1960"/>
      <c r="AC189" s="880"/>
      <c r="AD189" s="1961">
        <v>1000000</v>
      </c>
      <c r="AE189" s="1961"/>
      <c r="AF189" s="1961"/>
      <c r="AG189" s="1961"/>
      <c r="AH189" s="1961"/>
      <c r="AI189" s="1961"/>
      <c r="AJ189" s="1961"/>
      <c r="AK189" s="644"/>
    </row>
    <row r="190" spans="1:45">
      <c r="A190" s="639"/>
      <c r="B190" s="1960" t="s">
        <v>2745</v>
      </c>
      <c r="C190" s="1960"/>
      <c r="D190" s="1960"/>
      <c r="E190" s="1960"/>
      <c r="F190" s="1960"/>
      <c r="G190" s="1960"/>
      <c r="H190" s="1960"/>
      <c r="I190" s="1960"/>
      <c r="J190" s="1960"/>
      <c r="K190" s="1960"/>
      <c r="L190" s="1960"/>
      <c r="M190" s="1960"/>
      <c r="N190" s="1960"/>
      <c r="O190" s="1960"/>
      <c r="P190" s="1960"/>
      <c r="Q190" s="1960"/>
      <c r="R190" s="1960"/>
      <c r="S190" s="1960"/>
      <c r="T190" s="1960"/>
      <c r="U190" s="1960"/>
      <c r="V190" s="1960"/>
      <c r="W190" s="1960"/>
      <c r="X190" s="1960"/>
      <c r="Y190" s="1960"/>
      <c r="Z190" s="1960"/>
      <c r="AA190" s="1960"/>
      <c r="AB190" s="1960"/>
      <c r="AC190" s="880"/>
      <c r="AD190" s="1961">
        <v>5350000</v>
      </c>
      <c r="AE190" s="1961"/>
      <c r="AF190" s="1961"/>
      <c r="AG190" s="1961"/>
      <c r="AH190" s="1961"/>
      <c r="AI190" s="1961"/>
      <c r="AJ190" s="1961"/>
      <c r="AK190" s="644"/>
    </row>
    <row r="191" spans="1:45">
      <c r="A191" s="639"/>
      <c r="B191" s="1960"/>
      <c r="C191" s="1960"/>
      <c r="D191" s="1960"/>
      <c r="E191" s="1960"/>
      <c r="F191" s="1960"/>
      <c r="G191" s="1960"/>
      <c r="H191" s="1960"/>
      <c r="I191" s="1960"/>
      <c r="J191" s="1960"/>
      <c r="K191" s="1960"/>
      <c r="L191" s="1960"/>
      <c r="M191" s="1960"/>
      <c r="N191" s="1960"/>
      <c r="O191" s="1960"/>
      <c r="P191" s="1960"/>
      <c r="Q191" s="1960"/>
      <c r="R191" s="1960"/>
      <c r="S191" s="1960"/>
      <c r="T191" s="1960"/>
      <c r="U191" s="1960"/>
      <c r="V191" s="1960"/>
      <c r="W191" s="1960"/>
      <c r="X191" s="1960"/>
      <c r="Y191" s="1960"/>
      <c r="Z191" s="1960"/>
      <c r="AA191" s="1960"/>
      <c r="AB191" s="1960"/>
      <c r="AC191" s="880"/>
      <c r="AD191" s="1961"/>
      <c r="AE191" s="1961"/>
      <c r="AF191" s="1961"/>
      <c r="AG191" s="1961"/>
      <c r="AH191" s="1961"/>
      <c r="AI191" s="1961"/>
      <c r="AJ191" s="1961"/>
      <c r="AK191" s="644"/>
    </row>
    <row r="192" spans="1:45">
      <c r="A192" s="639"/>
      <c r="B192" s="1960"/>
      <c r="C192" s="1960"/>
      <c r="D192" s="1960"/>
      <c r="E192" s="1960"/>
      <c r="F192" s="1960"/>
      <c r="G192" s="1960"/>
      <c r="H192" s="1960"/>
      <c r="I192" s="1960"/>
      <c r="J192" s="1960"/>
      <c r="K192" s="1960"/>
      <c r="L192" s="1960"/>
      <c r="M192" s="1960"/>
      <c r="N192" s="1960"/>
      <c r="O192" s="1960"/>
      <c r="P192" s="1960"/>
      <c r="Q192" s="1960"/>
      <c r="R192" s="1960"/>
      <c r="S192" s="1960"/>
      <c r="T192" s="1960"/>
      <c r="U192" s="1960"/>
      <c r="V192" s="1960"/>
      <c r="W192" s="1960"/>
      <c r="X192" s="1960"/>
      <c r="Y192" s="1960"/>
      <c r="Z192" s="1960"/>
      <c r="AA192" s="1960"/>
      <c r="AB192" s="1960"/>
      <c r="AC192" s="880"/>
      <c r="AD192" s="1961"/>
      <c r="AE192" s="1961"/>
      <c r="AF192" s="1961"/>
      <c r="AG192" s="1961"/>
      <c r="AH192" s="1961"/>
      <c r="AI192" s="1961"/>
      <c r="AJ192" s="1961"/>
      <c r="AK192" s="644"/>
    </row>
    <row r="193" spans="1:37">
      <c r="A193" s="639"/>
      <c r="B193" s="1960"/>
      <c r="C193" s="1960"/>
      <c r="D193" s="1960"/>
      <c r="E193" s="1960"/>
      <c r="F193" s="1960"/>
      <c r="G193" s="1960"/>
      <c r="H193" s="1960"/>
      <c r="I193" s="1960"/>
      <c r="J193" s="1960"/>
      <c r="K193" s="1960"/>
      <c r="L193" s="1960"/>
      <c r="M193" s="1960"/>
      <c r="N193" s="1960"/>
      <c r="O193" s="1960"/>
      <c r="P193" s="1960"/>
      <c r="Q193" s="1960"/>
      <c r="R193" s="1960"/>
      <c r="S193" s="1960"/>
      <c r="T193" s="1960"/>
      <c r="U193" s="1960"/>
      <c r="V193" s="1960"/>
      <c r="W193" s="1960"/>
      <c r="X193" s="1960"/>
      <c r="Y193" s="1960"/>
      <c r="Z193" s="1960"/>
      <c r="AA193" s="1960"/>
      <c r="AB193" s="1960"/>
      <c r="AC193" s="880"/>
      <c r="AD193" s="1961"/>
      <c r="AE193" s="1961"/>
      <c r="AF193" s="1961"/>
      <c r="AG193" s="1961"/>
      <c r="AH193" s="1961"/>
      <c r="AI193" s="1961"/>
      <c r="AJ193" s="1961"/>
      <c r="AK193" s="644"/>
    </row>
    <row r="194" spans="1:37">
      <c r="A194" s="639"/>
      <c r="B194" s="1960"/>
      <c r="C194" s="1960"/>
      <c r="D194" s="1960"/>
      <c r="E194" s="1960"/>
      <c r="F194" s="1960"/>
      <c r="G194" s="1960"/>
      <c r="H194" s="1960"/>
      <c r="I194" s="1960"/>
      <c r="J194" s="1960"/>
      <c r="K194" s="1960"/>
      <c r="L194" s="1960"/>
      <c r="M194" s="1960"/>
      <c r="N194" s="1960"/>
      <c r="O194" s="1960"/>
      <c r="P194" s="1960"/>
      <c r="Q194" s="1960"/>
      <c r="R194" s="1960"/>
      <c r="S194" s="1960"/>
      <c r="T194" s="1960"/>
      <c r="U194" s="1960"/>
      <c r="V194" s="1960"/>
      <c r="W194" s="1960"/>
      <c r="X194" s="1960"/>
      <c r="Y194" s="1960"/>
      <c r="Z194" s="1960"/>
      <c r="AA194" s="1960"/>
      <c r="AB194" s="1960"/>
      <c r="AC194" s="880"/>
      <c r="AD194" s="1961"/>
      <c r="AE194" s="1961"/>
      <c r="AF194" s="1961"/>
      <c r="AG194" s="1961"/>
      <c r="AH194" s="1961"/>
      <c r="AI194" s="1961"/>
      <c r="AJ194" s="1961"/>
      <c r="AK194" s="644"/>
    </row>
    <row r="195" spans="1:37">
      <c r="A195" s="639"/>
      <c r="B195" s="1960"/>
      <c r="C195" s="1960"/>
      <c r="D195" s="1960"/>
      <c r="E195" s="1960"/>
      <c r="F195" s="1960"/>
      <c r="G195" s="1960"/>
      <c r="H195" s="1960"/>
      <c r="I195" s="1960"/>
      <c r="J195" s="1960"/>
      <c r="K195" s="1960"/>
      <c r="L195" s="1960"/>
      <c r="M195" s="1960"/>
      <c r="N195" s="1960"/>
      <c r="O195" s="1960"/>
      <c r="P195" s="1960"/>
      <c r="Q195" s="1960"/>
      <c r="R195" s="1960"/>
      <c r="S195" s="1960"/>
      <c r="T195" s="1960"/>
      <c r="U195" s="1960"/>
      <c r="V195" s="1960"/>
      <c r="W195" s="1960"/>
      <c r="X195" s="1960"/>
      <c r="Y195" s="1960"/>
      <c r="Z195" s="1960"/>
      <c r="AA195" s="1960"/>
      <c r="AB195" s="1960"/>
      <c r="AC195" s="880"/>
      <c r="AD195" s="1961"/>
      <c r="AE195" s="1961"/>
      <c r="AF195" s="1961"/>
      <c r="AG195" s="1961"/>
      <c r="AH195" s="1961"/>
      <c r="AI195" s="1961"/>
      <c r="AJ195" s="1961"/>
      <c r="AK195" s="644"/>
    </row>
    <row r="196" spans="1:37">
      <c r="A196" s="639"/>
      <c r="B196" s="1960"/>
      <c r="C196" s="1960"/>
      <c r="D196" s="1960"/>
      <c r="E196" s="1960"/>
      <c r="F196" s="1960"/>
      <c r="G196" s="1960"/>
      <c r="H196" s="1960"/>
      <c r="I196" s="1960"/>
      <c r="J196" s="1960"/>
      <c r="K196" s="1960"/>
      <c r="L196" s="1960"/>
      <c r="M196" s="1960"/>
      <c r="N196" s="1960"/>
      <c r="O196" s="1960"/>
      <c r="P196" s="1960"/>
      <c r="Q196" s="1960"/>
      <c r="R196" s="1960"/>
      <c r="S196" s="1960"/>
      <c r="T196" s="1960"/>
      <c r="U196" s="1960"/>
      <c r="V196" s="1960"/>
      <c r="W196" s="1960"/>
      <c r="X196" s="1960"/>
      <c r="Y196" s="1960"/>
      <c r="Z196" s="1960"/>
      <c r="AA196" s="1960"/>
      <c r="AB196" s="1960"/>
      <c r="AC196" s="880"/>
      <c r="AD196" s="1961"/>
      <c r="AE196" s="1961"/>
      <c r="AF196" s="1961"/>
      <c r="AG196" s="1961"/>
      <c r="AH196" s="1961"/>
      <c r="AI196" s="1961"/>
      <c r="AJ196" s="1961"/>
      <c r="AK196" s="644"/>
    </row>
    <row r="197" spans="1:37">
      <c r="A197" s="639"/>
      <c r="B197" s="1960"/>
      <c r="C197" s="1960"/>
      <c r="D197" s="1960"/>
      <c r="E197" s="1960"/>
      <c r="F197" s="1960"/>
      <c r="G197" s="1960"/>
      <c r="H197" s="1960"/>
      <c r="I197" s="1960"/>
      <c r="J197" s="1960"/>
      <c r="K197" s="1960"/>
      <c r="L197" s="1960"/>
      <c r="M197" s="1960"/>
      <c r="N197" s="1960"/>
      <c r="O197" s="1960"/>
      <c r="P197" s="1960"/>
      <c r="Q197" s="1960"/>
      <c r="R197" s="1960"/>
      <c r="S197" s="1960"/>
      <c r="T197" s="1960"/>
      <c r="U197" s="1960"/>
      <c r="V197" s="1960"/>
      <c r="W197" s="1960"/>
      <c r="X197" s="1960"/>
      <c r="Y197" s="1960"/>
      <c r="Z197" s="1960"/>
      <c r="AA197" s="1960"/>
      <c r="AB197" s="1960"/>
      <c r="AC197" s="880"/>
      <c r="AD197" s="1961"/>
      <c r="AE197" s="1961"/>
      <c r="AF197" s="1961"/>
      <c r="AG197" s="1961"/>
      <c r="AH197" s="1961"/>
      <c r="AI197" s="1961"/>
      <c r="AJ197" s="1961"/>
      <c r="AK197" s="644"/>
    </row>
    <row r="198" spans="1:37">
      <c r="A198" s="639"/>
      <c r="B198" s="2124" t="s">
        <v>1740</v>
      </c>
      <c r="C198" s="2124"/>
      <c r="D198" s="2124"/>
      <c r="E198" s="2124"/>
      <c r="F198" s="2124"/>
      <c r="G198" s="2124"/>
      <c r="H198" s="2124"/>
      <c r="I198" s="2124"/>
      <c r="J198" s="2124"/>
      <c r="K198" s="2124"/>
      <c r="L198" s="2124"/>
      <c r="M198" s="2124"/>
      <c r="N198" s="2124"/>
      <c r="O198" s="2124"/>
      <c r="P198" s="2124"/>
      <c r="Q198" s="2124"/>
      <c r="R198" s="2124"/>
      <c r="S198" s="2124"/>
      <c r="T198" s="2124"/>
      <c r="U198" s="2124"/>
      <c r="V198" s="2124"/>
      <c r="W198" s="2124"/>
      <c r="X198" s="2124"/>
      <c r="Y198" s="2124"/>
      <c r="Z198" s="2124"/>
      <c r="AA198" s="2124"/>
      <c r="AB198" s="2124"/>
      <c r="AC198" s="570"/>
      <c r="AD198" s="1988">
        <f>AB249</f>
        <v>14932795.728082601</v>
      </c>
      <c r="AE198" s="1988"/>
      <c r="AF198" s="1988"/>
      <c r="AG198" s="1988"/>
      <c r="AH198" s="1988"/>
      <c r="AI198" s="1988"/>
      <c r="AJ198" s="1988"/>
      <c r="AK198" s="644"/>
    </row>
    <row r="199" spans="1:37">
      <c r="A199" s="639"/>
      <c r="B199" s="2122" t="s">
        <v>1703</v>
      </c>
      <c r="C199" s="2122"/>
      <c r="D199" s="2122"/>
      <c r="E199" s="2122"/>
      <c r="F199" s="2122"/>
      <c r="G199" s="2122"/>
      <c r="H199" s="2122"/>
      <c r="I199" s="2122"/>
      <c r="J199" s="2122"/>
      <c r="K199" s="2122"/>
      <c r="L199" s="2122"/>
      <c r="M199" s="2122"/>
      <c r="N199" s="2122"/>
      <c r="O199" s="2122"/>
      <c r="P199" s="2122"/>
      <c r="Q199" s="2122"/>
      <c r="R199" s="2122"/>
      <c r="S199" s="2122"/>
      <c r="T199" s="2122"/>
      <c r="U199" s="2122"/>
      <c r="V199" s="2122"/>
      <c r="W199" s="2122"/>
      <c r="X199" s="2122"/>
      <c r="Y199" s="2122"/>
      <c r="Z199" s="2122"/>
      <c r="AA199" s="2122"/>
      <c r="AB199" s="2122"/>
      <c r="AC199" s="880"/>
      <c r="AD199" s="1989">
        <f>'Sources and Uses Budget'!B15</f>
        <v>0</v>
      </c>
      <c r="AE199" s="1989"/>
      <c r="AF199" s="1989"/>
      <c r="AG199" s="1989"/>
      <c r="AH199" s="1989"/>
      <c r="AI199" s="1989"/>
      <c r="AJ199" s="1989"/>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915</v>
      </c>
      <c r="AC200" s="570"/>
      <c r="AD200" s="1993">
        <f>SUM(AD188:AJ198)-AD199</f>
        <v>26662795.728082601</v>
      </c>
      <c r="AE200" s="1993"/>
      <c r="AF200" s="1993"/>
      <c r="AG200" s="1993"/>
      <c r="AH200" s="1993"/>
      <c r="AI200" s="1993"/>
      <c r="AJ200" s="1993"/>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1708</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1739</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1710</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1711</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2339</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1712</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1713</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1750</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64" t="s">
        <v>1720</v>
      </c>
      <c r="J211" s="1964"/>
      <c r="K211" s="1964"/>
      <c r="L211" s="570"/>
      <c r="M211" s="570"/>
      <c r="N211" s="570"/>
      <c r="O211" s="570"/>
      <c r="P211" s="570"/>
      <c r="Q211" s="570"/>
      <c r="R211" s="570"/>
      <c r="S211" s="570"/>
      <c r="T211" s="2150" t="s">
        <v>1714</v>
      </c>
      <c r="U211" s="2150"/>
      <c r="V211" s="2150"/>
      <c r="W211" s="2150"/>
      <c r="X211" s="2150"/>
      <c r="Y211" s="2150"/>
      <c r="Z211" s="883"/>
      <c r="AA211" s="523"/>
      <c r="AB211" s="1959" t="s">
        <v>1715</v>
      </c>
      <c r="AC211" s="1959"/>
      <c r="AD211" s="1959"/>
      <c r="AE211" s="1959"/>
      <c r="AF211" s="1959"/>
      <c r="AG211" s="1959"/>
      <c r="AH211" s="861"/>
      <c r="AI211" s="861"/>
      <c r="AJ211" s="861"/>
      <c r="AK211" s="644"/>
    </row>
    <row r="212" spans="1:37">
      <c r="A212" s="639"/>
      <c r="B212" s="1962" t="s">
        <v>1700</v>
      </c>
      <c r="C212" s="1962"/>
      <c r="D212" s="1962"/>
      <c r="E212" s="1962"/>
      <c r="F212" s="1962"/>
      <c r="G212" s="1962"/>
      <c r="I212" s="1963" t="s">
        <v>1721</v>
      </c>
      <c r="J212" s="1963"/>
      <c r="K212" s="1963"/>
      <c r="L212" s="1043"/>
      <c r="N212" s="1969" t="s">
        <v>1716</v>
      </c>
      <c r="O212" s="1969"/>
      <c r="P212" s="1969"/>
      <c r="Q212" s="1969"/>
      <c r="R212" s="1969"/>
      <c r="T212" s="1969" t="s">
        <v>1717</v>
      </c>
      <c r="U212" s="1969"/>
      <c r="V212" s="1969"/>
      <c r="W212" s="1969"/>
      <c r="X212" s="1969"/>
      <c r="Y212" s="1969"/>
      <c r="Z212" s="884"/>
      <c r="AA212" s="523"/>
      <c r="AB212" s="2125" t="s">
        <v>1718</v>
      </c>
      <c r="AC212" s="2125"/>
      <c r="AD212" s="2125"/>
      <c r="AE212" s="2125"/>
      <c r="AF212" s="2125"/>
      <c r="AG212" s="2125"/>
      <c r="AH212" s="861"/>
      <c r="AI212" s="861"/>
      <c r="AJ212" s="861"/>
      <c r="AK212" s="644"/>
    </row>
    <row r="213" spans="1:37">
      <c r="A213" s="639"/>
      <c r="B213" s="1966" t="s">
        <v>2773</v>
      </c>
      <c r="C213" s="1966"/>
      <c r="D213" s="1966"/>
      <c r="E213" s="1966"/>
      <c r="F213" s="1966"/>
      <c r="G213" s="1966"/>
      <c r="H213" s="886"/>
      <c r="I213" s="1965">
        <v>20</v>
      </c>
      <c r="J213" s="1965"/>
      <c r="K213" s="1965"/>
      <c r="L213" s="1043"/>
      <c r="N213" s="1970">
        <v>709</v>
      </c>
      <c r="O213" s="1970"/>
      <c r="P213" s="1970"/>
      <c r="Q213" s="1970"/>
      <c r="R213" s="1970"/>
      <c r="T213" s="2123">
        <v>2096</v>
      </c>
      <c r="U213" s="2123"/>
      <c r="V213" s="2123"/>
      <c r="W213" s="2123"/>
      <c r="X213" s="2123"/>
      <c r="Y213" s="2123"/>
      <c r="Z213" s="885"/>
      <c r="AA213" s="885"/>
      <c r="AB213" s="1967">
        <f t="shared" ref="AB213:AB222" si="0">MAX(($T213-$N213)*$I213*12,0)</f>
        <v>332880</v>
      </c>
      <c r="AC213" s="1967"/>
      <c r="AD213" s="1967"/>
      <c r="AE213" s="1967"/>
      <c r="AF213" s="1967"/>
      <c r="AG213" s="1967"/>
      <c r="AH213" s="861"/>
      <c r="AI213" s="861"/>
      <c r="AJ213" s="861"/>
      <c r="AK213" s="644"/>
    </row>
    <row r="214" spans="1:37">
      <c r="A214" s="639"/>
      <c r="B214" s="1966" t="s">
        <v>2774</v>
      </c>
      <c r="C214" s="1966"/>
      <c r="D214" s="1966"/>
      <c r="E214" s="1966"/>
      <c r="F214" s="1966"/>
      <c r="G214" s="1966"/>
      <c r="I214" s="1965">
        <v>15</v>
      </c>
      <c r="J214" s="1965"/>
      <c r="K214" s="1965"/>
      <c r="L214" s="1043"/>
      <c r="N214" s="1970">
        <v>851</v>
      </c>
      <c r="O214" s="1970"/>
      <c r="P214" s="1970"/>
      <c r="Q214" s="1970"/>
      <c r="R214" s="1970"/>
      <c r="T214" s="2123">
        <v>2666</v>
      </c>
      <c r="U214" s="2123"/>
      <c r="V214" s="2123"/>
      <c r="W214" s="2123"/>
      <c r="X214" s="2123"/>
      <c r="Y214" s="2123"/>
      <c r="Z214" s="885"/>
      <c r="AA214" s="885"/>
      <c r="AB214" s="1967">
        <f t="shared" si="0"/>
        <v>326700</v>
      </c>
      <c r="AC214" s="1967"/>
      <c r="AD214" s="1967"/>
      <c r="AE214" s="1967"/>
      <c r="AF214" s="1967"/>
      <c r="AG214" s="1967"/>
      <c r="AH214" s="861"/>
      <c r="AI214" s="861"/>
      <c r="AJ214" s="861"/>
      <c r="AK214" s="644"/>
    </row>
    <row r="215" spans="1:37">
      <c r="A215" s="639"/>
      <c r="B215" s="1966" t="s">
        <v>1291</v>
      </c>
      <c r="C215" s="1966"/>
      <c r="D215" s="1966"/>
      <c r="E215" s="1966"/>
      <c r="F215" s="1966"/>
      <c r="G215" s="1966"/>
      <c r="I215" s="1965"/>
      <c r="J215" s="1965"/>
      <c r="K215" s="1965"/>
      <c r="L215" s="1043"/>
      <c r="N215" s="1970"/>
      <c r="O215" s="1970"/>
      <c r="P215" s="1970"/>
      <c r="Q215" s="1970"/>
      <c r="R215" s="1970"/>
      <c r="T215" s="2123"/>
      <c r="U215" s="2123"/>
      <c r="V215" s="2123"/>
      <c r="W215" s="2123"/>
      <c r="X215" s="2123"/>
      <c r="Y215" s="2123"/>
      <c r="Z215" s="885"/>
      <c r="AA215" s="885"/>
      <c r="AB215" s="1967">
        <f t="shared" si="0"/>
        <v>0</v>
      </c>
      <c r="AC215" s="1967"/>
      <c r="AD215" s="1967"/>
      <c r="AE215" s="1967"/>
      <c r="AF215" s="1967"/>
      <c r="AG215" s="1967"/>
      <c r="AH215" s="861"/>
      <c r="AI215" s="861"/>
      <c r="AJ215" s="861"/>
      <c r="AK215" s="644"/>
    </row>
    <row r="216" spans="1:37">
      <c r="A216" s="639"/>
      <c r="B216" s="1966" t="s">
        <v>1291</v>
      </c>
      <c r="C216" s="1966"/>
      <c r="D216" s="1966"/>
      <c r="E216" s="1966"/>
      <c r="F216" s="1966"/>
      <c r="G216" s="1966"/>
      <c r="I216" s="1965"/>
      <c r="J216" s="1965"/>
      <c r="K216" s="1965"/>
      <c r="L216" s="1043"/>
      <c r="N216" s="1970"/>
      <c r="O216" s="1970"/>
      <c r="P216" s="1970"/>
      <c r="Q216" s="1970"/>
      <c r="R216" s="1970"/>
      <c r="T216" s="2123"/>
      <c r="U216" s="2123"/>
      <c r="V216" s="2123"/>
      <c r="W216" s="2123"/>
      <c r="X216" s="2123"/>
      <c r="Y216" s="2123"/>
      <c r="Z216" s="885"/>
      <c r="AA216" s="885"/>
      <c r="AB216" s="1967">
        <f t="shared" si="0"/>
        <v>0</v>
      </c>
      <c r="AC216" s="1967"/>
      <c r="AD216" s="1967"/>
      <c r="AE216" s="1967"/>
      <c r="AF216" s="1967"/>
      <c r="AG216" s="1967"/>
      <c r="AH216" s="861"/>
      <c r="AI216" s="861"/>
      <c r="AJ216" s="861"/>
      <c r="AK216" s="644"/>
    </row>
    <row r="217" spans="1:37">
      <c r="A217" s="639"/>
      <c r="B217" s="1966" t="s">
        <v>1291</v>
      </c>
      <c r="C217" s="1966"/>
      <c r="D217" s="1966"/>
      <c r="E217" s="1966"/>
      <c r="F217" s="1966"/>
      <c r="G217" s="1966"/>
      <c r="I217" s="1965"/>
      <c r="J217" s="1965"/>
      <c r="K217" s="1965"/>
      <c r="L217" s="1050"/>
      <c r="N217" s="1970"/>
      <c r="O217" s="1970"/>
      <c r="P217" s="1970"/>
      <c r="Q217" s="1970"/>
      <c r="R217" s="1970"/>
      <c r="T217" s="2123"/>
      <c r="U217" s="2123"/>
      <c r="V217" s="2123"/>
      <c r="W217" s="2123"/>
      <c r="X217" s="2123"/>
      <c r="Y217" s="2123"/>
      <c r="Z217" s="885"/>
      <c r="AA217" s="885"/>
      <c r="AB217" s="1967">
        <f t="shared" si="0"/>
        <v>0</v>
      </c>
      <c r="AC217" s="1967"/>
      <c r="AD217" s="1967"/>
      <c r="AE217" s="1967"/>
      <c r="AF217" s="1967"/>
      <c r="AG217" s="1967"/>
      <c r="AH217" s="861"/>
      <c r="AI217" s="861"/>
      <c r="AJ217" s="861"/>
      <c r="AK217" s="644"/>
    </row>
    <row r="218" spans="1:37">
      <c r="A218" s="639"/>
      <c r="B218" s="1966" t="s">
        <v>1291</v>
      </c>
      <c r="C218" s="1966"/>
      <c r="D218" s="1966"/>
      <c r="E218" s="1966"/>
      <c r="F218" s="1966"/>
      <c r="G218" s="1966"/>
      <c r="I218" s="1965"/>
      <c r="J218" s="1965"/>
      <c r="K218" s="1965"/>
      <c r="L218" s="1050"/>
      <c r="N218" s="1970"/>
      <c r="O218" s="1970"/>
      <c r="P218" s="1970"/>
      <c r="Q218" s="1970"/>
      <c r="R218" s="1970"/>
      <c r="T218" s="2123"/>
      <c r="U218" s="2123"/>
      <c r="V218" s="2123"/>
      <c r="W218" s="2123"/>
      <c r="X218" s="2123"/>
      <c r="Y218" s="2123"/>
      <c r="Z218" s="885"/>
      <c r="AA218" s="885"/>
      <c r="AB218" s="1967">
        <f t="shared" si="0"/>
        <v>0</v>
      </c>
      <c r="AC218" s="1967"/>
      <c r="AD218" s="1967"/>
      <c r="AE218" s="1967"/>
      <c r="AF218" s="1967"/>
      <c r="AG218" s="1967"/>
      <c r="AH218" s="861"/>
      <c r="AI218" s="861"/>
      <c r="AJ218" s="861"/>
      <c r="AK218" s="644"/>
    </row>
    <row r="219" spans="1:37">
      <c r="A219" s="639"/>
      <c r="B219" s="1966" t="s">
        <v>1291</v>
      </c>
      <c r="C219" s="1966"/>
      <c r="D219" s="1966"/>
      <c r="E219" s="1966"/>
      <c r="F219" s="1966"/>
      <c r="G219" s="1966"/>
      <c r="I219" s="1965"/>
      <c r="J219" s="1965"/>
      <c r="K219" s="1965"/>
      <c r="L219" s="1050"/>
      <c r="N219" s="1970"/>
      <c r="O219" s="1970"/>
      <c r="P219" s="1970"/>
      <c r="Q219" s="1970"/>
      <c r="R219" s="1970"/>
      <c r="T219" s="2123"/>
      <c r="U219" s="2123"/>
      <c r="V219" s="2123"/>
      <c r="W219" s="2123"/>
      <c r="X219" s="2123"/>
      <c r="Y219" s="2123"/>
      <c r="Z219" s="885"/>
      <c r="AA219" s="885"/>
      <c r="AB219" s="1967">
        <f t="shared" si="0"/>
        <v>0</v>
      </c>
      <c r="AC219" s="1967"/>
      <c r="AD219" s="1967"/>
      <c r="AE219" s="1967"/>
      <c r="AF219" s="1967"/>
      <c r="AG219" s="1967"/>
      <c r="AH219" s="861"/>
      <c r="AI219" s="861"/>
      <c r="AJ219" s="861"/>
      <c r="AK219" s="644"/>
    </row>
    <row r="220" spans="1:37">
      <c r="A220" s="639"/>
      <c r="B220" s="1966" t="s">
        <v>1291</v>
      </c>
      <c r="C220" s="1966"/>
      <c r="D220" s="1966"/>
      <c r="E220" s="1966"/>
      <c r="F220" s="1966"/>
      <c r="G220" s="1966"/>
      <c r="I220" s="1965"/>
      <c r="J220" s="1965"/>
      <c r="K220" s="1965"/>
      <c r="L220" s="1050"/>
      <c r="N220" s="1970"/>
      <c r="O220" s="1970"/>
      <c r="P220" s="1970"/>
      <c r="Q220" s="1970"/>
      <c r="R220" s="1970"/>
      <c r="T220" s="2123"/>
      <c r="U220" s="2123"/>
      <c r="V220" s="2123"/>
      <c r="W220" s="2123"/>
      <c r="X220" s="2123"/>
      <c r="Y220" s="2123"/>
      <c r="Z220" s="885"/>
      <c r="AA220" s="885"/>
      <c r="AB220" s="1967">
        <f t="shared" si="0"/>
        <v>0</v>
      </c>
      <c r="AC220" s="1967"/>
      <c r="AD220" s="1967"/>
      <c r="AE220" s="1967"/>
      <c r="AF220" s="1967"/>
      <c r="AG220" s="1967"/>
      <c r="AH220" s="861"/>
      <c r="AI220" s="861"/>
      <c r="AJ220" s="861"/>
      <c r="AK220" s="644"/>
    </row>
    <row r="221" spans="1:37">
      <c r="A221" s="639"/>
      <c r="B221" s="1966" t="s">
        <v>1291</v>
      </c>
      <c r="C221" s="1966"/>
      <c r="D221" s="1966"/>
      <c r="E221" s="1966"/>
      <c r="F221" s="1966"/>
      <c r="G221" s="1966"/>
      <c r="I221" s="1965"/>
      <c r="J221" s="1965"/>
      <c r="K221" s="1965"/>
      <c r="L221" s="1050"/>
      <c r="N221" s="1970"/>
      <c r="O221" s="1970"/>
      <c r="P221" s="1970"/>
      <c r="Q221" s="1970"/>
      <c r="R221" s="1970"/>
      <c r="T221" s="2123"/>
      <c r="U221" s="2123"/>
      <c r="V221" s="2123"/>
      <c r="W221" s="2123"/>
      <c r="X221" s="2123"/>
      <c r="Y221" s="2123"/>
      <c r="Z221" s="885"/>
      <c r="AA221" s="885"/>
      <c r="AB221" s="1967">
        <f t="shared" si="0"/>
        <v>0</v>
      </c>
      <c r="AC221" s="1967"/>
      <c r="AD221" s="1967"/>
      <c r="AE221" s="1967"/>
      <c r="AF221" s="1967"/>
      <c r="AG221" s="1967"/>
      <c r="AH221" s="861"/>
      <c r="AI221" s="861"/>
      <c r="AJ221" s="861"/>
      <c r="AK221" s="644"/>
    </row>
    <row r="222" spans="1:37">
      <c r="A222" s="639"/>
      <c r="B222" s="1966" t="s">
        <v>1291</v>
      </c>
      <c r="C222" s="1966"/>
      <c r="D222" s="1966"/>
      <c r="E222" s="1966"/>
      <c r="F222" s="1966"/>
      <c r="G222" s="1966"/>
      <c r="I222" s="1968"/>
      <c r="J222" s="1968"/>
      <c r="K222" s="1968"/>
      <c r="L222" s="1050"/>
      <c r="N222" s="1970"/>
      <c r="O222" s="1970"/>
      <c r="P222" s="1970"/>
      <c r="Q222" s="1970"/>
      <c r="R222" s="1970"/>
      <c r="T222" s="2123"/>
      <c r="U222" s="2123"/>
      <c r="V222" s="2123"/>
      <c r="W222" s="2123"/>
      <c r="X222" s="2123"/>
      <c r="Y222" s="2123"/>
      <c r="Z222" s="885"/>
      <c r="AA222" s="885"/>
      <c r="AB222" s="2121">
        <f t="shared" si="0"/>
        <v>0</v>
      </c>
      <c r="AC222" s="2121"/>
      <c r="AD222" s="2121"/>
      <c r="AE222" s="2121"/>
      <c r="AF222" s="2121"/>
      <c r="AG222" s="2121"/>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1719</v>
      </c>
      <c r="AA223" s="887"/>
      <c r="AB223" s="1967">
        <f>SUM(AB213:AB222)</f>
        <v>659580</v>
      </c>
      <c r="AC223" s="1967"/>
      <c r="AD223" s="1967"/>
      <c r="AE223" s="1967"/>
      <c r="AF223" s="1967"/>
      <c r="AG223" s="1967"/>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1709</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1737</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1735</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1729</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26">
        <v>944940</v>
      </c>
      <c r="AC229" s="2126"/>
      <c r="AD229" s="2126"/>
      <c r="AE229" s="2126"/>
      <c r="AF229" s="2126"/>
      <c r="AG229" s="2126"/>
      <c r="AH229" s="644"/>
      <c r="AI229" s="644"/>
      <c r="AJ229" s="644"/>
      <c r="AK229" s="644"/>
    </row>
    <row r="230" spans="1:37">
      <c r="A230" s="639"/>
      <c r="B230" s="871" t="s">
        <v>1734</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1736</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1730</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26"/>
      <c r="AC232" s="2126"/>
      <c r="AD232" s="2126"/>
      <c r="AE232" s="2126"/>
      <c r="AF232" s="2126"/>
      <c r="AG232" s="2126"/>
      <c r="AH232" s="644"/>
      <c r="AI232" s="644"/>
      <c r="AJ232" s="644"/>
      <c r="AK232" s="644"/>
    </row>
    <row r="233" spans="1:37">
      <c r="A233" s="639"/>
      <c r="B233" s="872" t="s">
        <v>1731</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49"/>
      <c r="AC233" s="2149"/>
      <c r="AD233" s="2149"/>
      <c r="AE233" s="2149"/>
      <c r="AF233" s="2149"/>
      <c r="AG233" s="2149"/>
      <c r="AH233" s="644"/>
      <c r="AI233" s="644"/>
      <c r="AJ233" s="644"/>
      <c r="AK233" s="644"/>
    </row>
    <row r="234" spans="1:37">
      <c r="A234" s="639"/>
      <c r="B234" s="872" t="s">
        <v>1732</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32">
        <f>IFERROR(AB232/AB233,0)</f>
        <v>0</v>
      </c>
      <c r="AC234" s="2132"/>
      <c r="AD234" s="2132"/>
      <c r="AE234" s="2132"/>
      <c r="AF234" s="2132"/>
      <c r="AG234" s="2132"/>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1733</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21">
        <f>MAX(AB229,AB234)</f>
        <v>944940</v>
      </c>
      <c r="AC236" s="2121"/>
      <c r="AD236" s="2121"/>
      <c r="AE236" s="2121"/>
      <c r="AF236" s="2121"/>
      <c r="AG236" s="2121"/>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1722</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67">
        <f>AB223+AB236</f>
        <v>1604520</v>
      </c>
      <c r="AC239" s="1967"/>
      <c r="AD239" s="1967"/>
      <c r="AE239" s="1967"/>
      <c r="AF239" s="1967"/>
      <c r="AG239" s="1967"/>
      <c r="AH239" s="644"/>
      <c r="AI239" s="644"/>
      <c r="AJ239" s="644"/>
      <c r="AK239" s="644"/>
    </row>
    <row r="240" spans="1:37">
      <c r="A240" s="639"/>
      <c r="B240" s="510" t="s">
        <v>850</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97">
        <v>0.05</v>
      </c>
      <c r="AC240" s="1997"/>
      <c r="AD240" s="1997"/>
      <c r="AE240" s="1997"/>
      <c r="AF240" s="1997"/>
      <c r="AG240" s="1997"/>
      <c r="AH240" s="644"/>
      <c r="AI240" s="644"/>
      <c r="AJ240" s="644"/>
      <c r="AK240" s="644"/>
    </row>
    <row r="241" spans="1:37">
      <c r="A241" s="639"/>
      <c r="B241" s="510" t="s">
        <v>1723</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98">
        <f>AB239-(AB239*AB240)</f>
        <v>1524294</v>
      </c>
      <c r="AC241" s="1998"/>
      <c r="AD241" s="1998"/>
      <c r="AE241" s="1998"/>
      <c r="AF241" s="1998"/>
      <c r="AG241" s="1998"/>
      <c r="AH241" s="644"/>
      <c r="AI241" s="644"/>
      <c r="AJ241" s="644"/>
      <c r="AK241" s="644"/>
    </row>
    <row r="242" spans="1:37">
      <c r="A242" s="639"/>
      <c r="B242" s="510" t="s">
        <v>1724</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1725</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67">
        <f>AB241/AB247</f>
        <v>1325473.043478261</v>
      </c>
      <c r="AC243" s="1967"/>
      <c r="AD243" s="1967"/>
      <c r="AE243" s="1967"/>
      <c r="AF243" s="1967"/>
      <c r="AG243" s="1967"/>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1726</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59">
        <v>15</v>
      </c>
      <c r="AC245" s="1959"/>
      <c r="AD245" s="1959"/>
      <c r="AE245" s="1959"/>
      <c r="AF245" s="1959"/>
      <c r="AG245" s="1959"/>
      <c r="AH245" s="644"/>
      <c r="AI245" s="644"/>
      <c r="AJ245" s="644"/>
      <c r="AK245" s="644"/>
    </row>
    <row r="246" spans="1:37">
      <c r="A246" s="639"/>
      <c r="B246" s="510" t="s">
        <v>1727</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99">
        <v>0.04</v>
      </c>
      <c r="AC246" s="1999"/>
      <c r="AD246" s="1999"/>
      <c r="AE246" s="1999"/>
      <c r="AF246" s="1999"/>
      <c r="AG246" s="1999"/>
      <c r="AH246" s="644"/>
      <c r="AI246" s="644"/>
      <c r="AJ246" s="644"/>
      <c r="AK246" s="644"/>
    </row>
    <row r="247" spans="1:37">
      <c r="A247" s="639"/>
      <c r="B247" s="510" t="s">
        <v>862</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71">
        <v>1.1499999999999999</v>
      </c>
      <c r="AC247" s="1971"/>
      <c r="AD247" s="1971"/>
      <c r="AE247" s="1971"/>
      <c r="AF247" s="1971"/>
      <c r="AG247" s="1971"/>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1728</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90">
        <f>PV(AB246/12,AB245*12,-AB243/12, ,0)</f>
        <v>14932795.728082601</v>
      </c>
      <c r="AC249" s="1991"/>
      <c r="AD249" s="1991"/>
      <c r="AE249" s="1991"/>
      <c r="AF249" s="1991"/>
      <c r="AG249" s="1992"/>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1704</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1707</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1706</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1705</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94">
        <f>'Sources and Uses Budget'!D105/'Sources and Uses Budget'!B105</f>
        <v>6.4880119339053327E-2</v>
      </c>
      <c r="AC255" s="1995"/>
      <c r="AD255" s="1995"/>
      <c r="AE255" s="1995"/>
      <c r="AF255" s="1995"/>
      <c r="AG255" s="1996"/>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1485</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84">
        <f>AD200*(1-AB255)</f>
        <v>24932910.359331802</v>
      </c>
      <c r="AH257" s="1984"/>
      <c r="AI257" s="1984"/>
      <c r="AJ257" s="1984"/>
      <c r="AK257" s="1984"/>
    </row>
    <row r="258" spans="1:52">
      <c r="A258" s="656"/>
      <c r="B258" s="659" t="s">
        <v>1486</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84">
        <f>'Sources and Uses Budget'!C105</f>
        <v>40556974</v>
      </c>
      <c r="AH258" s="1984"/>
      <c r="AI258" s="1984"/>
      <c r="AJ258" s="1984"/>
      <c r="AK258" s="1984"/>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85">
        <f>ROUNDDOWN(IF(AND(C281="Yes",AK78=10),((AG257*2)/AG258),AG257/AG258),2)</f>
        <v>1.22</v>
      </c>
      <c r="AH259" s="1985"/>
      <c r="AI259" s="1985"/>
      <c r="AJ259" s="1985"/>
      <c r="AK259" s="1985"/>
    </row>
    <row r="260" spans="1:52">
      <c r="A260" s="656"/>
      <c r="B260" s="1013" t="s">
        <v>1932</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1487</v>
      </c>
      <c r="AK262" s="1986">
        <f>IFERROR(IF(AG259=0,0,IF((AG259*100)&gt;8,8,(AG259*100))),0)</f>
        <v>8</v>
      </c>
      <c r="AL262" s="1986"/>
      <c r="AM262" s="1987"/>
    </row>
    <row r="263" spans="1:52" ht="13.7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1488</v>
      </c>
      <c r="B265" s="572" t="s">
        <v>1489</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1426</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78" t="s">
        <v>554</v>
      </c>
      <c r="D267" s="1978"/>
      <c r="E267" s="581"/>
      <c r="F267" s="2135" t="s">
        <v>2340</v>
      </c>
      <c r="G267" s="2136"/>
      <c r="H267" s="2136"/>
      <c r="I267" s="2136"/>
      <c r="J267" s="2136"/>
      <c r="K267" s="2136"/>
      <c r="L267" s="2136"/>
      <c r="M267" s="2136"/>
      <c r="N267" s="2136"/>
      <c r="O267" s="2136"/>
      <c r="P267" s="2136"/>
      <c r="Q267" s="2136"/>
      <c r="R267" s="2136"/>
      <c r="S267" s="2136"/>
      <c r="T267" s="2136"/>
      <c r="U267" s="2136"/>
      <c r="V267" s="2136"/>
      <c r="W267" s="2136"/>
      <c r="X267" s="2136"/>
      <c r="Y267" s="2136"/>
      <c r="Z267" s="2136"/>
      <c r="AA267" s="2136"/>
      <c r="AB267" s="2136"/>
      <c r="AC267" s="2136"/>
      <c r="AD267" s="2137"/>
      <c r="AE267" s="584"/>
      <c r="AF267" s="669"/>
      <c r="AG267" s="1979" t="s">
        <v>1475</v>
      </c>
      <c r="AH267" s="1979"/>
      <c r="AI267" s="1979"/>
      <c r="AJ267" s="1979"/>
      <c r="AK267" s="584"/>
      <c r="AL267" s="584"/>
      <c r="AM267" s="584"/>
      <c r="AO267" s="584"/>
    </row>
    <row r="268" spans="1:52" ht="13.7" customHeight="1">
      <c r="A268" s="584"/>
      <c r="B268" s="630"/>
      <c r="C268" s="670"/>
      <c r="D268" s="584"/>
      <c r="E268" s="581"/>
      <c r="F268" s="2138"/>
      <c r="G268" s="2139"/>
      <c r="H268" s="2139"/>
      <c r="I268" s="2139"/>
      <c r="J268" s="2139"/>
      <c r="K268" s="2139"/>
      <c r="L268" s="2139"/>
      <c r="M268" s="2139"/>
      <c r="N268" s="2139"/>
      <c r="O268" s="2139"/>
      <c r="P268" s="2139"/>
      <c r="Q268" s="2139"/>
      <c r="R268" s="2139"/>
      <c r="S268" s="2139"/>
      <c r="T268" s="2139"/>
      <c r="U268" s="2139"/>
      <c r="V268" s="2139"/>
      <c r="W268" s="2139"/>
      <c r="X268" s="2139"/>
      <c r="Y268" s="2139"/>
      <c r="Z268" s="2139"/>
      <c r="AA268" s="2139"/>
      <c r="AB268" s="2139"/>
      <c r="AC268" s="2139"/>
      <c r="AD268" s="2140"/>
      <c r="AE268" s="584"/>
      <c r="AF268" s="669"/>
      <c r="AG268" s="669"/>
      <c r="AH268" s="669"/>
      <c r="AI268" s="669"/>
      <c r="AJ268" s="584"/>
      <c r="AK268" s="584"/>
      <c r="AL268" s="584"/>
      <c r="AM268" s="584"/>
      <c r="AO268" s="584"/>
    </row>
    <row r="269" spans="1:52">
      <c r="A269" s="584"/>
      <c r="B269" s="630"/>
      <c r="C269" s="670"/>
      <c r="D269" s="584"/>
      <c r="E269" s="581"/>
      <c r="F269" s="2138"/>
      <c r="G269" s="2139"/>
      <c r="H269" s="2139"/>
      <c r="I269" s="2139"/>
      <c r="J269" s="2139"/>
      <c r="K269" s="2139"/>
      <c r="L269" s="2139"/>
      <c r="M269" s="2139"/>
      <c r="N269" s="2139"/>
      <c r="O269" s="2139"/>
      <c r="P269" s="2139"/>
      <c r="Q269" s="2139"/>
      <c r="R269" s="2139"/>
      <c r="S269" s="2139"/>
      <c r="T269" s="2139"/>
      <c r="U269" s="2139"/>
      <c r="V269" s="2139"/>
      <c r="W269" s="2139"/>
      <c r="X269" s="2139"/>
      <c r="Y269" s="2139"/>
      <c r="Z269" s="2139"/>
      <c r="AA269" s="2139"/>
      <c r="AB269" s="2139"/>
      <c r="AC269" s="2139"/>
      <c r="AD269" s="2140"/>
      <c r="AE269" s="584"/>
      <c r="AF269" s="669"/>
      <c r="AG269" s="669"/>
      <c r="AH269" s="669"/>
      <c r="AI269" s="669"/>
      <c r="AJ269" s="584"/>
      <c r="AK269" s="584"/>
      <c r="AL269" s="584"/>
      <c r="AM269" s="584"/>
      <c r="AO269" s="584"/>
      <c r="AP269" s="671"/>
    </row>
    <row r="270" spans="1:52">
      <c r="A270" s="584"/>
      <c r="B270" s="630"/>
      <c r="C270" s="670"/>
      <c r="D270" s="584"/>
      <c r="E270" s="581"/>
      <c r="F270" s="2138"/>
      <c r="G270" s="2139"/>
      <c r="H270" s="2139"/>
      <c r="I270" s="2139"/>
      <c r="J270" s="2139"/>
      <c r="K270" s="2139"/>
      <c r="L270" s="2139"/>
      <c r="M270" s="2139"/>
      <c r="N270" s="2139"/>
      <c r="O270" s="2139"/>
      <c r="P270" s="2139"/>
      <c r="Q270" s="2139"/>
      <c r="R270" s="2139"/>
      <c r="S270" s="2139"/>
      <c r="T270" s="2139"/>
      <c r="U270" s="2139"/>
      <c r="V270" s="2139"/>
      <c r="W270" s="2139"/>
      <c r="X270" s="2139"/>
      <c r="Y270" s="2139"/>
      <c r="Z270" s="2139"/>
      <c r="AA270" s="2139"/>
      <c r="AB270" s="2139"/>
      <c r="AC270" s="2139"/>
      <c r="AD270" s="2140"/>
      <c r="AE270" s="584"/>
      <c r="AF270" s="669"/>
      <c r="AG270" s="669"/>
      <c r="AH270" s="669"/>
      <c r="AI270" s="669"/>
      <c r="AJ270" s="584"/>
      <c r="AK270" s="584"/>
      <c r="AL270" s="584"/>
      <c r="AM270" s="584"/>
      <c r="AO270" s="584"/>
      <c r="AP270" s="671"/>
    </row>
    <row r="271" spans="1:52" ht="13.7" customHeight="1">
      <c r="A271" s="584"/>
      <c r="B271" s="630"/>
      <c r="C271" s="1980"/>
      <c r="D271" s="1980"/>
      <c r="E271" s="581"/>
      <c r="F271" s="2141"/>
      <c r="G271" s="2142"/>
      <c r="H271" s="2142"/>
      <c r="I271" s="2142"/>
      <c r="J271" s="2142"/>
      <c r="K271" s="2142"/>
      <c r="L271" s="2142"/>
      <c r="M271" s="2142"/>
      <c r="N271" s="2142"/>
      <c r="O271" s="2142"/>
      <c r="P271" s="2142"/>
      <c r="Q271" s="2142"/>
      <c r="R271" s="2142"/>
      <c r="S271" s="2142"/>
      <c r="T271" s="2142"/>
      <c r="U271" s="2142"/>
      <c r="V271" s="2142"/>
      <c r="W271" s="2142"/>
      <c r="X271" s="2142"/>
      <c r="Y271" s="2142"/>
      <c r="Z271" s="2142"/>
      <c r="AA271" s="2142"/>
      <c r="AB271" s="2142"/>
      <c r="AC271" s="2142"/>
      <c r="AD271" s="2143"/>
      <c r="AE271" s="584"/>
      <c r="AF271" s="669"/>
      <c r="AG271" s="1979"/>
      <c r="AH271" s="1979"/>
      <c r="AI271" s="1979"/>
      <c r="AJ271" s="1979"/>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1491</v>
      </c>
      <c r="AK274" s="1986">
        <f>IF($C$267="yes",10,0)</f>
        <v>10</v>
      </c>
      <c r="AL274" s="1986"/>
      <c r="AM274" s="1987"/>
      <c r="AN274" s="73"/>
    </row>
    <row r="275" spans="1:49" ht="13.75" thickBot="1"/>
    <row r="276" spans="1:49" ht="13.7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1492</v>
      </c>
      <c r="B277" s="572" t="s">
        <v>2046</v>
      </c>
      <c r="AH277" s="625" t="s">
        <v>1426</v>
      </c>
    </row>
    <row r="278" spans="1:49" ht="15" customHeight="1">
      <c r="B278" s="573"/>
    </row>
    <row r="279" spans="1:49" ht="15" customHeight="1">
      <c r="B279" s="573" t="s">
        <v>1919</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705" t="s">
        <v>1494</v>
      </c>
      <c r="B281" s="1705"/>
      <c r="C281" s="1975" t="s">
        <v>554</v>
      </c>
      <c r="D281" s="1978"/>
      <c r="E281" s="581"/>
      <c r="F281" s="2006" t="s">
        <v>1495</v>
      </c>
      <c r="G281" s="2007"/>
      <c r="H281" s="2007"/>
      <c r="I281" s="2007"/>
      <c r="J281" s="2007"/>
      <c r="K281" s="2007"/>
      <c r="L281" s="2007"/>
      <c r="M281" s="2007"/>
      <c r="N281" s="2007"/>
      <c r="O281" s="2007"/>
      <c r="P281" s="2007"/>
      <c r="Q281" s="2007"/>
      <c r="R281" s="2007"/>
      <c r="S281" s="2007"/>
      <c r="T281" s="2007"/>
      <c r="U281" s="2007"/>
      <c r="V281" s="2007"/>
      <c r="W281" s="2007"/>
      <c r="X281" s="2007"/>
      <c r="Y281" s="2007"/>
      <c r="Z281" s="2007"/>
      <c r="AA281" s="2007"/>
      <c r="AB281" s="2007"/>
      <c r="AC281" s="2007"/>
      <c r="AD281" s="2008"/>
      <c r="AE281" s="676"/>
      <c r="AF281" s="584"/>
      <c r="AG281" s="2009" t="s">
        <v>2333</v>
      </c>
      <c r="AH281" s="2009"/>
      <c r="AI281" s="2009"/>
      <c r="AJ281" s="2009"/>
      <c r="AK281" s="2009"/>
      <c r="AL281" s="584"/>
      <c r="AM281" s="584"/>
      <c r="AN281" s="73"/>
      <c r="AO281" s="14"/>
      <c r="AP281" s="30"/>
      <c r="AS281" s="604"/>
      <c r="AT281" s="604"/>
      <c r="AU281" s="604"/>
      <c r="AV281" s="32"/>
      <c r="AW281" s="32"/>
    </row>
    <row r="282" spans="1:49">
      <c r="A282" s="674"/>
      <c r="B282" s="630"/>
      <c r="F282" s="2000"/>
      <c r="G282" s="2001"/>
      <c r="H282" s="2001"/>
      <c r="I282" s="2001"/>
      <c r="J282" s="2001"/>
      <c r="K282" s="2001"/>
      <c r="L282" s="2001"/>
      <c r="M282" s="2001"/>
      <c r="N282" s="2001"/>
      <c r="O282" s="2001"/>
      <c r="P282" s="2001"/>
      <c r="Q282" s="2001"/>
      <c r="R282" s="2001"/>
      <c r="S282" s="2001"/>
      <c r="T282" s="2001"/>
      <c r="U282" s="2001"/>
      <c r="V282" s="2001"/>
      <c r="W282" s="2001"/>
      <c r="X282" s="2001"/>
      <c r="Y282" s="2001"/>
      <c r="Z282" s="2001"/>
      <c r="AA282" s="2001"/>
      <c r="AB282" s="2001"/>
      <c r="AC282" s="2001"/>
      <c r="AD282" s="2002"/>
      <c r="AE282" s="676"/>
      <c r="AF282" s="585"/>
      <c r="AH282" s="585"/>
      <c r="AI282" s="585"/>
      <c r="AJ282" s="584"/>
      <c r="AK282" s="584"/>
      <c r="AL282" s="584"/>
      <c r="AM282" s="584"/>
      <c r="AN282" s="73"/>
      <c r="AO282" s="14"/>
      <c r="AP282" s="584">
        <f>IF($C$281="yes",10,IF(C281="50% Met",9,0))</f>
        <v>10</v>
      </c>
      <c r="AS282" s="604"/>
      <c r="AT282" s="604"/>
      <c r="AU282" s="604"/>
      <c r="AV282" s="32"/>
      <c r="AW282" s="32"/>
    </row>
    <row r="283" spans="1:49" ht="15" customHeight="1">
      <c r="A283" s="674"/>
      <c r="B283" s="630"/>
      <c r="F283" s="2000"/>
      <c r="G283" s="2001"/>
      <c r="H283" s="2001"/>
      <c r="I283" s="2001"/>
      <c r="J283" s="2001"/>
      <c r="K283" s="2001"/>
      <c r="L283" s="2001"/>
      <c r="M283" s="2001"/>
      <c r="N283" s="2001"/>
      <c r="O283" s="2001"/>
      <c r="P283" s="2001"/>
      <c r="Q283" s="2001"/>
      <c r="R283" s="2001"/>
      <c r="S283" s="2001"/>
      <c r="T283" s="2001"/>
      <c r="U283" s="2001"/>
      <c r="V283" s="2001"/>
      <c r="W283" s="2001"/>
      <c r="X283" s="2001"/>
      <c r="Y283" s="2001"/>
      <c r="Z283" s="2001"/>
      <c r="AA283" s="2001"/>
      <c r="AB283" s="2001"/>
      <c r="AC283" s="2001"/>
      <c r="AD283" s="2002"/>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2000" t="s">
        <v>2341</v>
      </c>
      <c r="G284" s="2001"/>
      <c r="H284" s="2001"/>
      <c r="I284" s="2001"/>
      <c r="J284" s="2001"/>
      <c r="K284" s="2001"/>
      <c r="L284" s="2001"/>
      <c r="M284" s="2001"/>
      <c r="N284" s="2001"/>
      <c r="O284" s="2001"/>
      <c r="P284" s="2001"/>
      <c r="Q284" s="2001"/>
      <c r="R284" s="2001"/>
      <c r="S284" s="2001"/>
      <c r="T284" s="2001"/>
      <c r="U284" s="2001"/>
      <c r="V284" s="2001"/>
      <c r="W284" s="2001"/>
      <c r="X284" s="2001"/>
      <c r="Y284" s="2001"/>
      <c r="Z284" s="2001"/>
      <c r="AA284" s="2001"/>
      <c r="AB284" s="2001"/>
      <c r="AC284" s="2001"/>
      <c r="AD284" s="2002"/>
      <c r="AE284" s="676"/>
      <c r="AF284" s="585"/>
      <c r="AH284" s="585"/>
      <c r="AI284" s="585"/>
      <c r="AJ284" s="584"/>
      <c r="AK284" s="584"/>
      <c r="AL284" s="584"/>
      <c r="AM284" s="584"/>
      <c r="AN284" s="73"/>
      <c r="AO284" s="14"/>
      <c r="AP284" s="645">
        <f>MAX(AP282,AP283)</f>
        <v>10</v>
      </c>
      <c r="AQ284" s="608" t="s">
        <v>1428</v>
      </c>
      <c r="AS284" s="604"/>
      <c r="AT284" s="604"/>
      <c r="AU284" s="604"/>
      <c r="AV284" s="32"/>
      <c r="AW284" s="32"/>
    </row>
    <row r="285" spans="1:49">
      <c r="A285" s="674"/>
      <c r="B285" s="630"/>
      <c r="F285" s="2000"/>
      <c r="G285" s="2001"/>
      <c r="H285" s="2001"/>
      <c r="I285" s="2001"/>
      <c r="J285" s="2001"/>
      <c r="K285" s="2001"/>
      <c r="L285" s="2001"/>
      <c r="M285" s="2001"/>
      <c r="N285" s="2001"/>
      <c r="O285" s="2001"/>
      <c r="P285" s="2001"/>
      <c r="Q285" s="2001"/>
      <c r="R285" s="2001"/>
      <c r="S285" s="2001"/>
      <c r="T285" s="2001"/>
      <c r="U285" s="2001"/>
      <c r="V285" s="2001"/>
      <c r="W285" s="2001"/>
      <c r="X285" s="2001"/>
      <c r="Y285" s="2001"/>
      <c r="Z285" s="2001"/>
      <c r="AA285" s="2001"/>
      <c r="AB285" s="2001"/>
      <c r="AC285" s="2001"/>
      <c r="AD285" s="2002"/>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2000" t="s">
        <v>1496</v>
      </c>
      <c r="G286" s="2001"/>
      <c r="H286" s="2001"/>
      <c r="I286" s="2001"/>
      <c r="J286" s="2001"/>
      <c r="K286" s="2001"/>
      <c r="L286" s="2001"/>
      <c r="M286" s="2001"/>
      <c r="N286" s="2001"/>
      <c r="O286" s="2001"/>
      <c r="P286" s="2001"/>
      <c r="Q286" s="2001"/>
      <c r="R286" s="2001"/>
      <c r="S286" s="2001"/>
      <c r="T286" s="2001"/>
      <c r="U286" s="2001"/>
      <c r="V286" s="2001"/>
      <c r="W286" s="2001"/>
      <c r="X286" s="2001"/>
      <c r="Y286" s="2001"/>
      <c r="Z286" s="2001"/>
      <c r="AA286" s="2001"/>
      <c r="AB286" s="2001"/>
      <c r="AC286" s="2001"/>
      <c r="AD286" s="2002"/>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2000"/>
      <c r="G287" s="2001"/>
      <c r="H287" s="2001"/>
      <c r="I287" s="2001"/>
      <c r="J287" s="2001"/>
      <c r="K287" s="2001"/>
      <c r="L287" s="2001"/>
      <c r="M287" s="2001"/>
      <c r="N287" s="2001"/>
      <c r="O287" s="2001"/>
      <c r="P287" s="2001"/>
      <c r="Q287" s="2001"/>
      <c r="R287" s="2001"/>
      <c r="S287" s="2001"/>
      <c r="T287" s="2001"/>
      <c r="U287" s="2001"/>
      <c r="V287" s="2001"/>
      <c r="W287" s="2001"/>
      <c r="X287" s="2001"/>
      <c r="Y287" s="2001"/>
      <c r="Z287" s="2001"/>
      <c r="AA287" s="2001"/>
      <c r="AB287" s="2001"/>
      <c r="AC287" s="2001"/>
      <c r="AD287" s="2002"/>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2000" t="s">
        <v>1497</v>
      </c>
      <c r="G288" s="2001"/>
      <c r="H288" s="2001"/>
      <c r="I288" s="2001"/>
      <c r="J288" s="2001"/>
      <c r="K288" s="2001"/>
      <c r="L288" s="2001"/>
      <c r="M288" s="2001"/>
      <c r="N288" s="2001"/>
      <c r="O288" s="2001"/>
      <c r="P288" s="2001"/>
      <c r="Q288" s="2001"/>
      <c r="R288" s="2001"/>
      <c r="S288" s="2001"/>
      <c r="T288" s="2001"/>
      <c r="U288" s="2001"/>
      <c r="V288" s="2001"/>
      <c r="W288" s="2001"/>
      <c r="X288" s="2001"/>
      <c r="Y288" s="2001"/>
      <c r="Z288" s="2001"/>
      <c r="AA288" s="2001"/>
      <c r="AB288" s="2001"/>
      <c r="AC288" s="2001"/>
      <c r="AD288" s="2002"/>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2003"/>
      <c r="G289" s="2004"/>
      <c r="H289" s="2004"/>
      <c r="I289" s="2004"/>
      <c r="J289" s="2004"/>
      <c r="K289" s="2004"/>
      <c r="L289" s="2004"/>
      <c r="M289" s="2004"/>
      <c r="N289" s="2004"/>
      <c r="O289" s="2004"/>
      <c r="P289" s="2004"/>
      <c r="Q289" s="2004"/>
      <c r="R289" s="2004"/>
      <c r="S289" s="2004"/>
      <c r="T289" s="2004"/>
      <c r="U289" s="2004"/>
      <c r="V289" s="2004"/>
      <c r="W289" s="2004"/>
      <c r="X289" s="2004"/>
      <c r="Y289" s="2004"/>
      <c r="Z289" s="2004"/>
      <c r="AA289" s="2004"/>
      <c r="AB289" s="2004"/>
      <c r="AC289" s="2004"/>
      <c r="AD289" s="2005"/>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705" t="s">
        <v>1498</v>
      </c>
      <c r="B291" s="1705"/>
      <c r="C291" s="1978" t="s">
        <v>600</v>
      </c>
      <c r="D291" s="1978"/>
      <c r="E291" s="581"/>
      <c r="F291" s="678" t="s">
        <v>2334</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1500</v>
      </c>
      <c r="AH291" s="585"/>
      <c r="AI291" s="585"/>
      <c r="AJ291" s="584"/>
      <c r="AK291" s="584"/>
      <c r="AL291" s="584"/>
      <c r="AM291" s="584"/>
      <c r="AN291" s="681"/>
      <c r="AO291" s="14"/>
    </row>
    <row r="292" spans="1:49">
      <c r="A292" s="584"/>
      <c r="B292" s="585"/>
      <c r="C292" s="584"/>
      <c r="D292" s="585"/>
      <c r="E292" s="584"/>
      <c r="F292" s="1913" t="s">
        <v>2335</v>
      </c>
      <c r="G292" s="1914"/>
      <c r="H292" s="1914"/>
      <c r="I292" s="1914"/>
      <c r="J292" s="1914"/>
      <c r="K292" s="1914"/>
      <c r="L292" s="1914"/>
      <c r="M292" s="1914"/>
      <c r="N292" s="1914"/>
      <c r="O292" s="1914"/>
      <c r="P292" s="1914"/>
      <c r="Q292" s="1914"/>
      <c r="R292" s="1914"/>
      <c r="S292" s="1914"/>
      <c r="T292" s="1914"/>
      <c r="U292" s="1914"/>
      <c r="V292" s="1914"/>
      <c r="W292" s="1914"/>
      <c r="X292" s="1914"/>
      <c r="Y292" s="1914"/>
      <c r="Z292" s="1914"/>
      <c r="AA292" s="1914"/>
      <c r="AB292" s="1914"/>
      <c r="AC292" s="1914"/>
      <c r="AD292" s="1915"/>
      <c r="AE292" s="585"/>
      <c r="AF292" s="585"/>
      <c r="AG292" s="585"/>
      <c r="AH292" s="585"/>
      <c r="AI292" s="585"/>
      <c r="AJ292" s="584"/>
      <c r="AK292" s="584"/>
      <c r="AL292" s="584"/>
      <c r="AM292" s="584"/>
      <c r="AR292" s="682"/>
    </row>
    <row r="293" spans="1:49" ht="15" customHeight="1">
      <c r="A293" s="584"/>
      <c r="B293" s="585"/>
      <c r="C293" s="584"/>
      <c r="D293" s="585"/>
      <c r="E293" s="584"/>
      <c r="F293" s="1913"/>
      <c r="G293" s="1914"/>
      <c r="H293" s="1914"/>
      <c r="I293" s="1914"/>
      <c r="J293" s="1914"/>
      <c r="K293" s="1914"/>
      <c r="L293" s="1914"/>
      <c r="M293" s="1914"/>
      <c r="N293" s="1914"/>
      <c r="O293" s="1914"/>
      <c r="P293" s="1914"/>
      <c r="Q293" s="1914"/>
      <c r="R293" s="1914"/>
      <c r="S293" s="1914"/>
      <c r="T293" s="1914"/>
      <c r="U293" s="1914"/>
      <c r="V293" s="1914"/>
      <c r="W293" s="1914"/>
      <c r="X293" s="1914"/>
      <c r="Y293" s="1914"/>
      <c r="Z293" s="1914"/>
      <c r="AA293" s="1914"/>
      <c r="AB293" s="1914"/>
      <c r="AC293" s="1914"/>
      <c r="AD293" s="1915"/>
      <c r="AE293" s="585"/>
      <c r="AF293" s="585"/>
      <c r="AG293" s="585"/>
      <c r="AH293" s="585"/>
      <c r="AI293" s="585"/>
      <c r="AJ293" s="584"/>
      <c r="AK293" s="584"/>
      <c r="AL293" s="584"/>
      <c r="AM293" s="584"/>
      <c r="AR293" s="682"/>
    </row>
    <row r="294" spans="1:49">
      <c r="A294" s="584"/>
      <c r="B294" s="585"/>
      <c r="C294" s="584"/>
      <c r="D294" s="585"/>
      <c r="E294" s="584"/>
      <c r="F294" s="1913"/>
      <c r="G294" s="1914"/>
      <c r="H294" s="1914"/>
      <c r="I294" s="1914"/>
      <c r="J294" s="1914"/>
      <c r="K294" s="1914"/>
      <c r="L294" s="1914"/>
      <c r="M294" s="1914"/>
      <c r="N294" s="1914"/>
      <c r="O294" s="1914"/>
      <c r="P294" s="1914"/>
      <c r="Q294" s="1914"/>
      <c r="R294" s="1914"/>
      <c r="S294" s="1914"/>
      <c r="T294" s="1914"/>
      <c r="U294" s="1914"/>
      <c r="V294" s="1914"/>
      <c r="W294" s="1914"/>
      <c r="X294" s="1914"/>
      <c r="Y294" s="1914"/>
      <c r="Z294" s="1914"/>
      <c r="AA294" s="1914"/>
      <c r="AB294" s="1914"/>
      <c r="AC294" s="1914"/>
      <c r="AD294" s="1915"/>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910"/>
      <c r="G295" s="1911"/>
      <c r="H295" s="1911"/>
      <c r="I295" s="1911"/>
      <c r="J295" s="1911"/>
      <c r="K295" s="1911"/>
      <c r="L295" s="1911"/>
      <c r="M295" s="1911"/>
      <c r="N295" s="1911"/>
      <c r="O295" s="1911"/>
      <c r="P295" s="1911"/>
      <c r="Q295" s="1911"/>
      <c r="R295" s="1911"/>
      <c r="S295" s="1911"/>
      <c r="T295" s="1911"/>
      <c r="U295" s="1911"/>
      <c r="V295" s="1911"/>
      <c r="W295" s="1911"/>
      <c r="X295" s="1911"/>
      <c r="Y295" s="1911"/>
      <c r="Z295" s="1911"/>
      <c r="AA295" s="1911"/>
      <c r="AB295" s="1911"/>
      <c r="AC295" s="1911"/>
      <c r="AD295" s="1912"/>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705" t="s">
        <v>1501</v>
      </c>
      <c r="B299" s="1705"/>
      <c r="C299" s="1978" t="s">
        <v>600</v>
      </c>
      <c r="D299" s="1978"/>
      <c r="E299" s="581"/>
      <c r="F299" s="678" t="s">
        <v>1499</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1500</v>
      </c>
      <c r="AH299" s="585"/>
      <c r="AI299" s="585"/>
      <c r="AJ299" s="584"/>
      <c r="AK299" s="584"/>
      <c r="AL299" s="584"/>
      <c r="AM299" s="584"/>
      <c r="AN299" s="73"/>
      <c r="AO299" s="14"/>
    </row>
    <row r="300" spans="1:49" hidden="1">
      <c r="A300" s="89"/>
      <c r="B300" s="89"/>
      <c r="C300" s="764"/>
      <c r="D300" s="764"/>
      <c r="E300" s="581"/>
      <c r="F300" s="2000" t="s">
        <v>2342</v>
      </c>
      <c r="G300" s="2001"/>
      <c r="H300" s="2001"/>
      <c r="I300" s="2001"/>
      <c r="J300" s="2001"/>
      <c r="K300" s="2001"/>
      <c r="L300" s="2001"/>
      <c r="M300" s="2001"/>
      <c r="N300" s="2001"/>
      <c r="O300" s="2001"/>
      <c r="P300" s="2001"/>
      <c r="Q300" s="2001"/>
      <c r="R300" s="2001"/>
      <c r="S300" s="2001"/>
      <c r="T300" s="2001"/>
      <c r="U300" s="2001"/>
      <c r="V300" s="2001"/>
      <c r="W300" s="2001"/>
      <c r="X300" s="2001"/>
      <c r="Y300" s="2001"/>
      <c r="Z300" s="2001"/>
      <c r="AA300" s="2001"/>
      <c r="AB300" s="2001"/>
      <c r="AC300" s="2001"/>
      <c r="AD300" s="2002"/>
      <c r="AE300" s="585"/>
      <c r="AF300" s="585"/>
      <c r="AG300" s="573"/>
      <c r="AH300" s="585"/>
      <c r="AI300" s="585"/>
      <c r="AJ300" s="584"/>
      <c r="AK300" s="584"/>
      <c r="AL300" s="584"/>
      <c r="AM300" s="584"/>
      <c r="AN300" s="73"/>
      <c r="AO300" s="14"/>
      <c r="AP300" s="591" t="s">
        <v>1291</v>
      </c>
    </row>
    <row r="301" spans="1:49" hidden="1">
      <c r="F301" s="2000"/>
      <c r="G301" s="2001"/>
      <c r="H301" s="2001"/>
      <c r="I301" s="2001"/>
      <c r="J301" s="2001"/>
      <c r="K301" s="2001"/>
      <c r="L301" s="2001"/>
      <c r="M301" s="2001"/>
      <c r="N301" s="2001"/>
      <c r="O301" s="2001"/>
      <c r="P301" s="2001"/>
      <c r="Q301" s="2001"/>
      <c r="R301" s="2001"/>
      <c r="S301" s="2001"/>
      <c r="T301" s="2001"/>
      <c r="U301" s="2001"/>
      <c r="V301" s="2001"/>
      <c r="W301" s="2001"/>
      <c r="X301" s="2001"/>
      <c r="Y301" s="2001"/>
      <c r="Z301" s="2001"/>
      <c r="AA301" s="2001"/>
      <c r="AB301" s="2001"/>
      <c r="AC301" s="2001"/>
      <c r="AD301" s="2002"/>
      <c r="AE301" s="585"/>
      <c r="AF301" s="585"/>
      <c r="AH301" s="585"/>
      <c r="AI301" s="585"/>
      <c r="AJ301" s="584"/>
      <c r="AK301" s="584"/>
      <c r="AL301" s="584"/>
      <c r="AM301" s="584"/>
      <c r="AN301" s="73"/>
      <c r="AO301" s="14"/>
      <c r="AP301" s="591" t="s">
        <v>1921</v>
      </c>
    </row>
    <row r="302" spans="1:49" hidden="1">
      <c r="A302" s="584"/>
      <c r="B302" s="585"/>
      <c r="C302" s="764"/>
      <c r="D302" s="764"/>
      <c r="E302" s="581"/>
      <c r="F302" s="686" t="s">
        <v>1502</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1923</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2048</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10" t="s">
        <v>1291</v>
      </c>
      <c r="G305" s="2011"/>
      <c r="H305" s="2011"/>
      <c r="I305" s="2011"/>
      <c r="J305" s="2011"/>
      <c r="K305" s="2011"/>
      <c r="L305" s="2011"/>
      <c r="M305" s="2011"/>
      <c r="N305" s="2011"/>
      <c r="O305" s="2011"/>
      <c r="P305" s="2011"/>
      <c r="Q305" s="2011"/>
      <c r="R305" s="2011"/>
      <c r="S305" s="2011"/>
      <c r="T305" s="2011"/>
      <c r="U305" s="2011"/>
      <c r="V305" s="2011"/>
      <c r="W305" s="2011"/>
      <c r="X305" s="2011"/>
      <c r="Y305" s="2011"/>
      <c r="Z305" s="2011"/>
      <c r="AA305" s="2011"/>
      <c r="AB305" s="2011"/>
      <c r="AC305" s="2011"/>
      <c r="AD305" s="2012"/>
      <c r="AE305" s="676"/>
      <c r="AF305" s="676"/>
      <c r="AG305" s="676"/>
      <c r="AH305" s="676"/>
      <c r="AI305" s="676"/>
      <c r="AJ305" s="676"/>
      <c r="AK305" s="676"/>
      <c r="AL305" s="584"/>
      <c r="AM305" s="584"/>
      <c r="AN305" s="73"/>
      <c r="AO305" s="14"/>
      <c r="AP305" s="30"/>
    </row>
    <row r="306" spans="1:42" hidden="1">
      <c r="A306" s="584"/>
      <c r="B306" s="585"/>
      <c r="C306" s="764"/>
      <c r="D306" s="764"/>
      <c r="E306" s="581"/>
      <c r="F306" s="2010"/>
      <c r="G306" s="2011"/>
      <c r="H306" s="2011"/>
      <c r="I306" s="2011"/>
      <c r="J306" s="2011"/>
      <c r="K306" s="2011"/>
      <c r="L306" s="2011"/>
      <c r="M306" s="2011"/>
      <c r="N306" s="2011"/>
      <c r="O306" s="2011"/>
      <c r="P306" s="2011"/>
      <c r="Q306" s="2011"/>
      <c r="R306" s="2011"/>
      <c r="S306" s="2011"/>
      <c r="T306" s="2011"/>
      <c r="U306" s="2011"/>
      <c r="V306" s="2011"/>
      <c r="W306" s="2011"/>
      <c r="X306" s="2011"/>
      <c r="Y306" s="2011"/>
      <c r="Z306" s="2011"/>
      <c r="AA306" s="2011"/>
      <c r="AB306" s="2011"/>
      <c r="AC306" s="2011"/>
      <c r="AD306" s="2012"/>
      <c r="AE306" s="585"/>
      <c r="AF306" s="585"/>
      <c r="AG306" s="573"/>
      <c r="AH306" s="585"/>
      <c r="AI306" s="585"/>
      <c r="AJ306" s="584"/>
      <c r="AK306" s="584"/>
      <c r="AL306" s="584"/>
      <c r="AM306" s="584"/>
      <c r="AN306" s="73"/>
      <c r="AO306" s="14"/>
      <c r="AP306" s="30"/>
    </row>
    <row r="307" spans="1:42" hidden="1">
      <c r="A307" s="584"/>
      <c r="B307" s="585"/>
      <c r="C307" s="764"/>
      <c r="D307" s="764"/>
      <c r="E307" s="581"/>
      <c r="F307" s="2010"/>
      <c r="G307" s="2011"/>
      <c r="H307" s="2011"/>
      <c r="I307" s="2011"/>
      <c r="J307" s="2011"/>
      <c r="K307" s="2011"/>
      <c r="L307" s="2011"/>
      <c r="M307" s="2011"/>
      <c r="N307" s="2011"/>
      <c r="O307" s="2011"/>
      <c r="P307" s="2011"/>
      <c r="Q307" s="2011"/>
      <c r="R307" s="2011"/>
      <c r="S307" s="2011"/>
      <c r="T307" s="2011"/>
      <c r="U307" s="2011"/>
      <c r="V307" s="2011"/>
      <c r="W307" s="2011"/>
      <c r="X307" s="2011"/>
      <c r="Y307" s="2011"/>
      <c r="Z307" s="2011"/>
      <c r="AA307" s="2011"/>
      <c r="AB307" s="2011"/>
      <c r="AC307" s="2011"/>
      <c r="AD307" s="2012"/>
      <c r="AE307" s="585"/>
      <c r="AF307" s="585"/>
      <c r="AG307" s="573"/>
      <c r="AH307" s="585"/>
      <c r="AI307" s="585"/>
      <c r="AJ307" s="584"/>
      <c r="AK307" s="584"/>
      <c r="AL307" s="584"/>
      <c r="AM307" s="584"/>
      <c r="AN307" s="73"/>
      <c r="AO307" s="14"/>
      <c r="AP307" s="30"/>
    </row>
    <row r="308" spans="1:42" hidden="1">
      <c r="A308" s="584"/>
      <c r="B308" s="585"/>
      <c r="C308" s="764"/>
      <c r="D308" s="764"/>
      <c r="E308" s="581"/>
      <c r="F308" s="2010"/>
      <c r="G308" s="2011"/>
      <c r="H308" s="2011"/>
      <c r="I308" s="2011"/>
      <c r="J308" s="2011"/>
      <c r="K308" s="2011"/>
      <c r="L308" s="2011"/>
      <c r="M308" s="2011"/>
      <c r="N308" s="2011"/>
      <c r="O308" s="2011"/>
      <c r="P308" s="2011"/>
      <c r="Q308" s="2011"/>
      <c r="R308" s="2011"/>
      <c r="S308" s="2011"/>
      <c r="T308" s="2011"/>
      <c r="U308" s="2011"/>
      <c r="V308" s="2011"/>
      <c r="W308" s="2011"/>
      <c r="X308" s="2011"/>
      <c r="Y308" s="2011"/>
      <c r="Z308" s="2011"/>
      <c r="AA308" s="2011"/>
      <c r="AB308" s="2011"/>
      <c r="AC308" s="2011"/>
      <c r="AD308" s="2012"/>
      <c r="AE308" s="585"/>
      <c r="AF308" s="585"/>
      <c r="AG308" s="573"/>
      <c r="AH308" s="585"/>
      <c r="AI308" s="585"/>
      <c r="AJ308" s="584"/>
      <c r="AK308" s="584"/>
      <c r="AL308" s="584"/>
      <c r="AM308" s="584"/>
      <c r="AN308" s="73"/>
      <c r="AO308" s="14"/>
      <c r="AP308" s="30"/>
    </row>
    <row r="309" spans="1:42" hidden="1">
      <c r="A309" s="584"/>
      <c r="B309" s="585"/>
      <c r="C309" s="764"/>
      <c r="D309" s="764"/>
      <c r="E309" s="581"/>
      <c r="F309" s="2013"/>
      <c r="G309" s="2014"/>
      <c r="H309" s="2014"/>
      <c r="I309" s="2014"/>
      <c r="J309" s="2014"/>
      <c r="K309" s="2014"/>
      <c r="L309" s="2014"/>
      <c r="M309" s="2014"/>
      <c r="N309" s="2014"/>
      <c r="O309" s="2014"/>
      <c r="P309" s="2014"/>
      <c r="Q309" s="2014"/>
      <c r="R309" s="2014"/>
      <c r="S309" s="2014"/>
      <c r="T309" s="2014"/>
      <c r="U309" s="2014"/>
      <c r="V309" s="2014"/>
      <c r="W309" s="2014"/>
      <c r="X309" s="2014"/>
      <c r="Y309" s="2014"/>
      <c r="Z309" s="2014"/>
      <c r="AA309" s="2014"/>
      <c r="AB309" s="2014"/>
      <c r="AC309" s="2014"/>
      <c r="AD309" s="2015"/>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1922</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1291</v>
      </c>
    </row>
    <row r="313" spans="1:42" ht="12.75" hidden="1" customHeight="1">
      <c r="A313" s="584"/>
      <c r="B313" s="585"/>
      <c r="C313" s="764"/>
      <c r="D313" s="764"/>
      <c r="E313" s="581"/>
      <c r="F313" s="690"/>
      <c r="G313" s="609" t="s">
        <v>697</v>
      </c>
      <c r="H313" s="609"/>
      <c r="I313" s="2016" t="s">
        <v>1291</v>
      </c>
      <c r="J313" s="2016"/>
      <c r="K313" s="2016"/>
      <c r="L313" s="2016"/>
      <c r="M313" s="2016"/>
      <c r="N313" s="2016"/>
      <c r="O313" s="2016"/>
      <c r="P313" s="2016"/>
      <c r="Q313" s="2016"/>
      <c r="R313" s="2016"/>
      <c r="S313" s="2016"/>
      <c r="T313" s="2016"/>
      <c r="U313" s="2016"/>
      <c r="V313" s="2016"/>
      <c r="W313" s="2016"/>
      <c r="X313" s="2016"/>
      <c r="Y313" s="2016"/>
      <c r="Z313" s="2016"/>
      <c r="AA313" s="2016"/>
      <c r="AB313" s="2016"/>
      <c r="AC313" s="2016"/>
      <c r="AD313" s="2017"/>
      <c r="AE313" s="585"/>
      <c r="AF313" s="585"/>
      <c r="AG313" s="573"/>
      <c r="AH313" s="585"/>
      <c r="AI313" s="585"/>
      <c r="AJ313" s="584"/>
      <c r="AK313" s="584"/>
      <c r="AL313" s="584"/>
      <c r="AM313" s="584"/>
      <c r="AN313" s="73"/>
      <c r="AO313" s="14"/>
      <c r="AP313" s="591" t="s">
        <v>1751</v>
      </c>
    </row>
    <row r="314" spans="1:42" hidden="1">
      <c r="A314" s="584"/>
      <c r="B314" s="585"/>
      <c r="C314" s="764"/>
      <c r="D314" s="764"/>
      <c r="E314" s="581"/>
      <c r="F314" s="690"/>
      <c r="G314" s="609"/>
      <c r="H314" s="609"/>
      <c r="I314" s="2016"/>
      <c r="J314" s="2016"/>
      <c r="K314" s="2016"/>
      <c r="L314" s="2016"/>
      <c r="M314" s="2016"/>
      <c r="N314" s="2016"/>
      <c r="O314" s="2016"/>
      <c r="P314" s="2016"/>
      <c r="Q314" s="2016"/>
      <c r="R314" s="2016"/>
      <c r="S314" s="2016"/>
      <c r="T314" s="2016"/>
      <c r="U314" s="2016"/>
      <c r="V314" s="2016"/>
      <c r="W314" s="2016"/>
      <c r="X314" s="2016"/>
      <c r="Y314" s="2016"/>
      <c r="Z314" s="2016"/>
      <c r="AA314" s="2016"/>
      <c r="AB314" s="2016"/>
      <c r="AC314" s="2016"/>
      <c r="AD314" s="2017"/>
      <c r="AE314" s="585"/>
      <c r="AF314" s="585"/>
      <c r="AG314" s="573"/>
      <c r="AH314" s="585"/>
      <c r="AI314" s="585"/>
      <c r="AJ314" s="584"/>
      <c r="AK314" s="584"/>
      <c r="AL314" s="584"/>
      <c r="AM314" s="584"/>
      <c r="AN314" s="73"/>
      <c r="AO314" s="14"/>
      <c r="AP314" s="591" t="s">
        <v>1924</v>
      </c>
    </row>
    <row r="315" spans="1:42" hidden="1">
      <c r="A315" s="584"/>
      <c r="B315" s="585"/>
      <c r="C315" s="685"/>
      <c r="D315" s="685"/>
      <c r="E315" s="581"/>
      <c r="F315" s="690"/>
      <c r="G315" s="609"/>
      <c r="H315" s="609"/>
      <c r="I315" s="2016"/>
      <c r="J315" s="2016"/>
      <c r="K315" s="2016"/>
      <c r="L315" s="2016"/>
      <c r="M315" s="2016"/>
      <c r="N315" s="2016"/>
      <c r="O315" s="2016"/>
      <c r="P315" s="2016"/>
      <c r="Q315" s="2016"/>
      <c r="R315" s="2016"/>
      <c r="S315" s="2016"/>
      <c r="T315" s="2016"/>
      <c r="U315" s="2016"/>
      <c r="V315" s="2016"/>
      <c r="W315" s="2016"/>
      <c r="X315" s="2016"/>
      <c r="Y315" s="2016"/>
      <c r="Z315" s="2016"/>
      <c r="AA315" s="2016"/>
      <c r="AB315" s="2016"/>
      <c r="AC315" s="2016"/>
      <c r="AD315" s="2017"/>
      <c r="AE315" s="585"/>
      <c r="AF315" s="585"/>
      <c r="AG315" s="573"/>
      <c r="AH315" s="585"/>
      <c r="AI315" s="585"/>
      <c r="AJ315" s="584"/>
      <c r="AK315" s="584"/>
      <c r="AL315" s="584"/>
      <c r="AM315" s="584"/>
      <c r="AN315" s="73"/>
      <c r="AO315" s="14"/>
      <c r="AP315" s="591" t="s">
        <v>1926</v>
      </c>
    </row>
    <row r="316" spans="1:42" hidden="1">
      <c r="A316" s="584"/>
      <c r="B316" s="585"/>
      <c r="C316" s="685"/>
      <c r="D316" s="685"/>
      <c r="E316" s="581"/>
      <c r="F316" s="688"/>
      <c r="G316" s="585"/>
      <c r="H316" s="585"/>
      <c r="I316" s="2018"/>
      <c r="J316" s="2018"/>
      <c r="K316" s="2018"/>
      <c r="L316" s="2018"/>
      <c r="M316" s="2018"/>
      <c r="N316" s="2018"/>
      <c r="O316" s="2018"/>
      <c r="P316" s="2018"/>
      <c r="Q316" s="2018"/>
      <c r="R316" s="2018"/>
      <c r="S316" s="2018"/>
      <c r="T316" s="2018"/>
      <c r="U316" s="2018"/>
      <c r="V316" s="2018"/>
      <c r="W316" s="2018"/>
      <c r="X316" s="2018"/>
      <c r="Y316" s="2018"/>
      <c r="Z316" s="2018"/>
      <c r="AA316" s="2018"/>
      <c r="AB316" s="2018"/>
      <c r="AC316" s="2018"/>
      <c r="AD316" s="2019"/>
      <c r="AE316" s="585"/>
      <c r="AF316" s="585"/>
      <c r="AG316" s="573"/>
      <c r="AH316" s="585"/>
      <c r="AI316" s="585"/>
      <c r="AJ316" s="584"/>
      <c r="AK316" s="584"/>
      <c r="AL316" s="584"/>
      <c r="AM316" s="584"/>
      <c r="AN316" s="73"/>
      <c r="AO316" s="14"/>
      <c r="AP316" s="591" t="s">
        <v>1925</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518</v>
      </c>
      <c r="H318" s="585"/>
      <c r="I318" s="2016" t="s">
        <v>1291</v>
      </c>
      <c r="J318" s="2016"/>
      <c r="K318" s="2016"/>
      <c r="L318" s="2016"/>
      <c r="M318" s="2016"/>
      <c r="N318" s="2016"/>
      <c r="O318" s="2016"/>
      <c r="P318" s="2016"/>
      <c r="Q318" s="2016"/>
      <c r="R318" s="2016"/>
      <c r="S318" s="2016"/>
      <c r="T318" s="2016"/>
      <c r="U318" s="2016"/>
      <c r="V318" s="2016"/>
      <c r="W318" s="2016"/>
      <c r="X318" s="2016"/>
      <c r="Y318" s="2016"/>
      <c r="Z318" s="2016"/>
      <c r="AA318" s="2016"/>
      <c r="AB318" s="2016"/>
      <c r="AC318" s="2016"/>
      <c r="AD318" s="2017"/>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16"/>
      <c r="J319" s="2016"/>
      <c r="K319" s="2016"/>
      <c r="L319" s="2016"/>
      <c r="M319" s="2016"/>
      <c r="N319" s="2016"/>
      <c r="O319" s="2016"/>
      <c r="P319" s="2016"/>
      <c r="Q319" s="2016"/>
      <c r="R319" s="2016"/>
      <c r="S319" s="2016"/>
      <c r="T319" s="2016"/>
      <c r="U319" s="2016"/>
      <c r="V319" s="2016"/>
      <c r="W319" s="2016"/>
      <c r="X319" s="2016"/>
      <c r="Y319" s="2016"/>
      <c r="Z319" s="2016"/>
      <c r="AA319" s="2016"/>
      <c r="AB319" s="2016"/>
      <c r="AC319" s="2016"/>
      <c r="AD319" s="2017"/>
      <c r="AE319" s="585"/>
      <c r="AF319" s="585"/>
      <c r="AG319" s="573"/>
      <c r="AH319" s="585"/>
      <c r="AI319" s="585"/>
      <c r="AJ319" s="584"/>
      <c r="AK319" s="584"/>
      <c r="AL319" s="584"/>
      <c r="AM319" s="584"/>
      <c r="AN319" s="73"/>
      <c r="AO319" s="14"/>
      <c r="AP319" s="591" t="s">
        <v>1291</v>
      </c>
    </row>
    <row r="320" spans="1:42" hidden="1">
      <c r="A320" s="584"/>
      <c r="B320" s="585"/>
      <c r="C320" s="685"/>
      <c r="D320" s="685"/>
      <c r="E320" s="581"/>
      <c r="F320" s="691"/>
      <c r="G320" s="692"/>
      <c r="H320" s="692"/>
      <c r="I320" s="2018"/>
      <c r="J320" s="2018"/>
      <c r="K320" s="2018"/>
      <c r="L320" s="2018"/>
      <c r="M320" s="2018"/>
      <c r="N320" s="2018"/>
      <c r="O320" s="2018"/>
      <c r="P320" s="2018"/>
      <c r="Q320" s="2018"/>
      <c r="R320" s="2018"/>
      <c r="S320" s="2018"/>
      <c r="T320" s="2018"/>
      <c r="U320" s="2018"/>
      <c r="V320" s="2018"/>
      <c r="W320" s="2018"/>
      <c r="X320" s="2018"/>
      <c r="Y320" s="2018"/>
      <c r="Z320" s="2018"/>
      <c r="AA320" s="2018"/>
      <c r="AB320" s="2018"/>
      <c r="AC320" s="2018"/>
      <c r="AD320" s="2019"/>
      <c r="AE320" s="585"/>
      <c r="AF320" s="585"/>
      <c r="AG320" s="573"/>
      <c r="AH320" s="585"/>
      <c r="AI320" s="585"/>
      <c r="AJ320" s="584"/>
      <c r="AK320" s="584"/>
      <c r="AL320" s="584"/>
      <c r="AM320" s="584"/>
      <c r="AN320" s="73"/>
      <c r="AO320" s="14"/>
      <c r="AP320" s="591" t="s">
        <v>1503</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1752</v>
      </c>
    </row>
    <row r="322" spans="1:44" ht="12.75" hidden="1" customHeight="1">
      <c r="A322" s="1705" t="s">
        <v>1504</v>
      </c>
      <c r="B322" s="1705"/>
      <c r="C322" s="1978" t="s">
        <v>600</v>
      </c>
      <c r="D322" s="1978"/>
      <c r="E322" s="581"/>
      <c r="F322" s="1907" t="s">
        <v>2343</v>
      </c>
      <c r="G322" s="1908"/>
      <c r="H322" s="1908"/>
      <c r="I322" s="1908"/>
      <c r="J322" s="1908"/>
      <c r="K322" s="1908"/>
      <c r="L322" s="1908"/>
      <c r="M322" s="1908"/>
      <c r="N322" s="1908"/>
      <c r="O322" s="1908"/>
      <c r="P322" s="1908"/>
      <c r="Q322" s="1908"/>
      <c r="R322" s="1908"/>
      <c r="S322" s="1908"/>
      <c r="T322" s="1908"/>
      <c r="U322" s="1908"/>
      <c r="V322" s="1908"/>
      <c r="W322" s="1908"/>
      <c r="X322" s="1908"/>
      <c r="Y322" s="1908"/>
      <c r="Z322" s="1908"/>
      <c r="AA322" s="1908"/>
      <c r="AB322" s="1908"/>
      <c r="AC322" s="1908"/>
      <c r="AD322" s="1909"/>
      <c r="AE322" s="585"/>
      <c r="AF322" s="585"/>
      <c r="AG322" s="573" t="s">
        <v>1500</v>
      </c>
      <c r="AH322" s="585"/>
      <c r="AI322" s="585"/>
      <c r="AJ322" s="584"/>
      <c r="AK322" s="584"/>
      <c r="AL322" s="584"/>
      <c r="AM322" s="584"/>
      <c r="AN322" s="73"/>
      <c r="AO322" s="14"/>
    </row>
    <row r="323" spans="1:44" ht="15" hidden="1" customHeight="1">
      <c r="A323" s="584"/>
      <c r="B323" s="585"/>
      <c r="C323" s="585"/>
      <c r="D323" s="585"/>
      <c r="E323" s="585"/>
      <c r="F323" s="1913"/>
      <c r="G323" s="1914"/>
      <c r="H323" s="1914"/>
      <c r="I323" s="1914"/>
      <c r="J323" s="1914"/>
      <c r="K323" s="1914"/>
      <c r="L323" s="1914"/>
      <c r="M323" s="1914"/>
      <c r="N323" s="1914"/>
      <c r="O323" s="1914"/>
      <c r="P323" s="1914"/>
      <c r="Q323" s="1914"/>
      <c r="R323" s="1914"/>
      <c r="S323" s="1914"/>
      <c r="T323" s="1914"/>
      <c r="U323" s="1914"/>
      <c r="V323" s="1914"/>
      <c r="W323" s="1914"/>
      <c r="X323" s="1914"/>
      <c r="Y323" s="1914"/>
      <c r="Z323" s="1914"/>
      <c r="AA323" s="1914"/>
      <c r="AB323" s="1914"/>
      <c r="AC323" s="1914"/>
      <c r="AD323" s="1915"/>
      <c r="AE323" s="585"/>
      <c r="AF323" s="585"/>
      <c r="AG323" s="585"/>
      <c r="AH323" s="585"/>
      <c r="AI323" s="585"/>
      <c r="AJ323" s="584"/>
      <c r="AK323" s="584"/>
      <c r="AL323" s="584"/>
      <c r="AM323" s="584"/>
      <c r="AN323" s="73"/>
      <c r="AO323" s="14"/>
    </row>
    <row r="324" spans="1:44" ht="15" hidden="1" customHeight="1">
      <c r="A324" s="584"/>
      <c r="B324" s="585"/>
      <c r="C324" s="585"/>
      <c r="D324" s="585"/>
      <c r="E324" s="585"/>
      <c r="F324" s="1913"/>
      <c r="G324" s="1914"/>
      <c r="H324" s="1914"/>
      <c r="I324" s="1914"/>
      <c r="J324" s="1914"/>
      <c r="K324" s="1914"/>
      <c r="L324" s="1914"/>
      <c r="M324" s="1914"/>
      <c r="N324" s="1914"/>
      <c r="O324" s="1914"/>
      <c r="P324" s="1914"/>
      <c r="Q324" s="1914"/>
      <c r="R324" s="1914"/>
      <c r="S324" s="1914"/>
      <c r="T324" s="1914"/>
      <c r="U324" s="1914"/>
      <c r="V324" s="1914"/>
      <c r="W324" s="1914"/>
      <c r="X324" s="1914"/>
      <c r="Y324" s="1914"/>
      <c r="Z324" s="1914"/>
      <c r="AA324" s="1914"/>
      <c r="AB324" s="1914"/>
      <c r="AC324" s="1914"/>
      <c r="AD324" s="1915"/>
      <c r="AE324" s="585"/>
      <c r="AF324" s="585"/>
      <c r="AG324" s="585"/>
      <c r="AH324" s="585"/>
      <c r="AI324" s="585"/>
      <c r="AJ324" s="584"/>
      <c r="AK324" s="584"/>
      <c r="AL324" s="584"/>
      <c r="AM324" s="693"/>
      <c r="AN324" s="14"/>
      <c r="AO324" s="14"/>
    </row>
    <row r="325" spans="1:44" hidden="1">
      <c r="A325" s="584"/>
      <c r="B325" s="585"/>
      <c r="C325" s="584"/>
      <c r="D325" s="585"/>
      <c r="E325" s="584"/>
      <c r="F325" s="694" t="s">
        <v>1505</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1564</v>
      </c>
      <c r="AK327" s="1981">
        <f>IF(NOT(OR(Application!M355="Yes",Application!M356="Yes")),0,AP284)</f>
        <v>10</v>
      </c>
      <c r="AL327" s="1982"/>
      <c r="AM327" s="1983"/>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1565</v>
      </c>
      <c r="B330" s="573" t="s">
        <v>857</v>
      </c>
      <c r="C330" s="570"/>
      <c r="AC330" s="573"/>
      <c r="AE330" s="1916" t="s">
        <v>1426</v>
      </c>
      <c r="AF330" s="1916"/>
      <c r="AG330" s="1916"/>
      <c r="AH330" s="1916"/>
      <c r="AI330" s="1916"/>
      <c r="AJ330" s="1916"/>
      <c r="AK330" s="1916"/>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20" t="s">
        <v>1566</v>
      </c>
      <c r="D332" s="2020"/>
      <c r="E332" s="2020"/>
      <c r="F332" s="2020"/>
      <c r="G332" s="2020"/>
      <c r="H332" s="2020"/>
      <c r="I332" s="2020"/>
      <c r="J332" s="2020"/>
      <c r="K332" s="2020"/>
      <c r="L332" s="2020"/>
      <c r="M332" s="2020"/>
      <c r="N332" s="2020"/>
      <c r="O332" s="2020"/>
      <c r="P332" s="2020"/>
      <c r="Q332" s="2020"/>
      <c r="R332" s="2020"/>
      <c r="S332" s="2020"/>
      <c r="T332" s="2020"/>
      <c r="U332" s="2020"/>
      <c r="V332" s="2020"/>
      <c r="W332" s="2020"/>
      <c r="X332" s="2020"/>
      <c r="Y332" s="2020"/>
      <c r="Z332" s="2020"/>
      <c r="AA332" s="2020"/>
      <c r="AB332" s="2020"/>
      <c r="AC332" s="2020"/>
      <c r="AD332" s="2020"/>
      <c r="AE332" s="2020"/>
      <c r="AF332" s="2020"/>
      <c r="AG332" s="2020"/>
      <c r="AH332" s="2020"/>
      <c r="AI332" s="2020"/>
      <c r="AJ332" s="2020"/>
      <c r="AK332" s="637"/>
      <c r="AL332" s="637"/>
      <c r="AM332" s="637"/>
      <c r="AN332" s="631"/>
    </row>
    <row r="333" spans="1:44" s="584" customFormat="1" ht="12.75" customHeight="1">
      <c r="A333" s="637"/>
      <c r="B333" s="645"/>
      <c r="C333" s="2020"/>
      <c r="D333" s="2020"/>
      <c r="E333" s="2020"/>
      <c r="F333" s="2020"/>
      <c r="G333" s="2020"/>
      <c r="H333" s="2020"/>
      <c r="I333" s="2020"/>
      <c r="J333" s="2020"/>
      <c r="K333" s="2020"/>
      <c r="L333" s="2020"/>
      <c r="M333" s="2020"/>
      <c r="N333" s="2020"/>
      <c r="O333" s="2020"/>
      <c r="P333" s="2020"/>
      <c r="Q333" s="2020"/>
      <c r="R333" s="2020"/>
      <c r="S333" s="2020"/>
      <c r="T333" s="2020"/>
      <c r="U333" s="2020"/>
      <c r="V333" s="2020"/>
      <c r="W333" s="2020"/>
      <c r="X333" s="2020"/>
      <c r="Y333" s="2020"/>
      <c r="Z333" s="2020"/>
      <c r="AA333" s="2020"/>
      <c r="AB333" s="2020"/>
      <c r="AC333" s="2020"/>
      <c r="AD333" s="2020"/>
      <c r="AE333" s="2020"/>
      <c r="AF333" s="2020"/>
      <c r="AG333" s="2020"/>
      <c r="AH333" s="2020"/>
      <c r="AI333" s="2020"/>
      <c r="AJ333" s="2020"/>
      <c r="AK333" s="637"/>
      <c r="AL333" s="637"/>
      <c r="AM333" s="637"/>
      <c r="AN333" s="631"/>
    </row>
    <row r="334" spans="1:44" s="584" customFormat="1" ht="12.75" customHeight="1">
      <c r="A334" s="637"/>
      <c r="B334" s="645"/>
      <c r="C334" s="2020"/>
      <c r="D334" s="2020"/>
      <c r="E334" s="2020"/>
      <c r="F334" s="2020"/>
      <c r="G334" s="2020"/>
      <c r="H334" s="2020"/>
      <c r="I334" s="2020"/>
      <c r="J334" s="2020"/>
      <c r="K334" s="2020"/>
      <c r="L334" s="2020"/>
      <c r="M334" s="2020"/>
      <c r="N334" s="2020"/>
      <c r="O334" s="2020"/>
      <c r="P334" s="2020"/>
      <c r="Q334" s="2020"/>
      <c r="R334" s="2020"/>
      <c r="S334" s="2020"/>
      <c r="T334" s="2020"/>
      <c r="U334" s="2020"/>
      <c r="V334" s="2020"/>
      <c r="W334" s="2020"/>
      <c r="X334" s="2020"/>
      <c r="Y334" s="2020"/>
      <c r="Z334" s="2020"/>
      <c r="AA334" s="2020"/>
      <c r="AB334" s="2020"/>
      <c r="AC334" s="2020"/>
      <c r="AD334" s="2020"/>
      <c r="AE334" s="2020"/>
      <c r="AF334" s="2020"/>
      <c r="AG334" s="2020"/>
      <c r="AH334" s="2020"/>
      <c r="AI334" s="2020"/>
      <c r="AJ334" s="2020"/>
      <c r="AK334" s="637"/>
      <c r="AL334" s="637"/>
      <c r="AM334" s="637"/>
      <c r="AN334" s="631"/>
      <c r="AQ334" s="604"/>
    </row>
    <row r="335" spans="1:44" s="584" customFormat="1" ht="12.75" customHeight="1">
      <c r="A335" s="637"/>
      <c r="B335" s="645"/>
      <c r="C335" s="2020"/>
      <c r="D335" s="2020"/>
      <c r="E335" s="2020"/>
      <c r="F335" s="2020"/>
      <c r="G335" s="2020"/>
      <c r="H335" s="2020"/>
      <c r="I335" s="2020"/>
      <c r="J335" s="2020"/>
      <c r="K335" s="2020"/>
      <c r="L335" s="2020"/>
      <c r="M335" s="2020"/>
      <c r="N335" s="2020"/>
      <c r="O335" s="2020"/>
      <c r="P335" s="2020"/>
      <c r="Q335" s="2020"/>
      <c r="R335" s="2020"/>
      <c r="S335" s="2020"/>
      <c r="T335" s="2020"/>
      <c r="U335" s="2020"/>
      <c r="V335" s="2020"/>
      <c r="W335" s="2020"/>
      <c r="X335" s="2020"/>
      <c r="Y335" s="2020"/>
      <c r="Z335" s="2020"/>
      <c r="AA335" s="2020"/>
      <c r="AB335" s="2020"/>
      <c r="AC335" s="2020"/>
      <c r="AD335" s="2020"/>
      <c r="AE335" s="2020"/>
      <c r="AF335" s="2020"/>
      <c r="AG335" s="2020"/>
      <c r="AH335" s="2020"/>
      <c r="AI335" s="2020"/>
      <c r="AJ335" s="2020"/>
      <c r="AK335" s="637"/>
      <c r="AL335" s="637"/>
      <c r="AM335" s="637"/>
      <c r="AN335" s="631"/>
      <c r="AQ335" s="604"/>
    </row>
    <row r="336" spans="1:44" s="584" customFormat="1" ht="12.4" customHeight="1">
      <c r="A336" s="637"/>
      <c r="B336" s="645"/>
      <c r="C336" s="2020"/>
      <c r="D336" s="2020"/>
      <c r="E336" s="2020"/>
      <c r="F336" s="2020"/>
      <c r="G336" s="2020"/>
      <c r="H336" s="2020"/>
      <c r="I336" s="2020"/>
      <c r="J336" s="2020"/>
      <c r="K336" s="2020"/>
      <c r="L336" s="2020"/>
      <c r="M336" s="2020"/>
      <c r="N336" s="2020"/>
      <c r="O336" s="2020"/>
      <c r="P336" s="2020"/>
      <c r="Q336" s="2020"/>
      <c r="R336" s="2020"/>
      <c r="S336" s="2020"/>
      <c r="T336" s="2020"/>
      <c r="U336" s="2020"/>
      <c r="V336" s="2020"/>
      <c r="W336" s="2020"/>
      <c r="X336" s="2020"/>
      <c r="Y336" s="2020"/>
      <c r="Z336" s="2020"/>
      <c r="AA336" s="2020"/>
      <c r="AB336" s="2020"/>
      <c r="AC336" s="2020"/>
      <c r="AD336" s="2020"/>
      <c r="AE336" s="2020"/>
      <c r="AF336" s="2020"/>
      <c r="AG336" s="2020"/>
      <c r="AH336" s="2020"/>
      <c r="AI336" s="2020"/>
      <c r="AJ336" s="2020"/>
      <c r="AK336" s="637"/>
      <c r="AL336" s="637"/>
      <c r="AM336" s="637"/>
      <c r="AN336" s="631"/>
      <c r="AQ336" s="604"/>
      <c r="AR336" s="604"/>
    </row>
    <row r="337" spans="1:46" s="584" customFormat="1" ht="45.75" customHeight="1">
      <c r="A337" s="637"/>
      <c r="B337" s="645"/>
      <c r="C337" s="2020" t="s">
        <v>2410</v>
      </c>
      <c r="D337" s="2020"/>
      <c r="E337" s="2020"/>
      <c r="F337" s="2020"/>
      <c r="G337" s="2020"/>
      <c r="H337" s="2020"/>
      <c r="I337" s="2020"/>
      <c r="J337" s="2020"/>
      <c r="K337" s="2020"/>
      <c r="L337" s="2020"/>
      <c r="M337" s="2020"/>
      <c r="N337" s="2020"/>
      <c r="O337" s="2020"/>
      <c r="P337" s="2020"/>
      <c r="Q337" s="2020"/>
      <c r="R337" s="2020"/>
      <c r="S337" s="2020"/>
      <c r="T337" s="2020"/>
      <c r="U337" s="2020"/>
      <c r="V337" s="2020"/>
      <c r="W337" s="2020"/>
      <c r="X337" s="2020"/>
      <c r="Y337" s="2020"/>
      <c r="Z337" s="2020"/>
      <c r="AA337" s="2020"/>
      <c r="AB337" s="2020"/>
      <c r="AC337" s="2020"/>
      <c r="AD337" s="2020"/>
      <c r="AE337" s="2020"/>
      <c r="AF337" s="2020"/>
      <c r="AG337" s="2020"/>
      <c r="AH337" s="2020"/>
      <c r="AI337" s="2020"/>
      <c r="AJ337" s="2020"/>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20" t="s">
        <v>2574</v>
      </c>
      <c r="D339" s="2020"/>
      <c r="E339" s="2020"/>
      <c r="F339" s="2020"/>
      <c r="G339" s="2020"/>
      <c r="H339" s="2020"/>
      <c r="I339" s="2020"/>
      <c r="J339" s="2020"/>
      <c r="K339" s="2020"/>
      <c r="L339" s="2020"/>
      <c r="M339" s="2020"/>
      <c r="N339" s="2020"/>
      <c r="O339" s="2020"/>
      <c r="P339" s="2020"/>
      <c r="Q339" s="2020"/>
      <c r="R339" s="2020"/>
      <c r="S339" s="2020"/>
      <c r="T339" s="2020"/>
      <c r="U339" s="2020"/>
      <c r="V339" s="2020"/>
      <c r="W339" s="2020"/>
      <c r="X339" s="2020"/>
      <c r="Y339" s="2020"/>
      <c r="Z339" s="2020"/>
      <c r="AA339" s="2020"/>
      <c r="AB339" s="2020"/>
      <c r="AC339" s="2020"/>
      <c r="AD339" s="2020"/>
      <c r="AE339" s="2020"/>
      <c r="AF339" s="2020"/>
      <c r="AG339" s="2020"/>
      <c r="AH339" s="2020"/>
      <c r="AI339" s="2020"/>
      <c r="AJ339" s="2020"/>
      <c r="AK339" s="637"/>
      <c r="AL339" s="637"/>
      <c r="AM339" s="637"/>
      <c r="AN339" s="631"/>
      <c r="AQ339" s="604"/>
      <c r="AR339" s="604"/>
    </row>
    <row r="340" spans="1:46" s="584" customFormat="1" ht="30" customHeight="1">
      <c r="A340" s="637"/>
      <c r="B340" s="645"/>
      <c r="C340" s="2020"/>
      <c r="D340" s="2020"/>
      <c r="E340" s="2020"/>
      <c r="F340" s="2020"/>
      <c r="G340" s="2020"/>
      <c r="H340" s="2020"/>
      <c r="I340" s="2020"/>
      <c r="J340" s="2020"/>
      <c r="K340" s="2020"/>
      <c r="L340" s="2020"/>
      <c r="M340" s="2020"/>
      <c r="N340" s="2020"/>
      <c r="O340" s="2020"/>
      <c r="P340" s="2020"/>
      <c r="Q340" s="2020"/>
      <c r="R340" s="2020"/>
      <c r="S340" s="2020"/>
      <c r="T340" s="2020"/>
      <c r="U340" s="2020"/>
      <c r="V340" s="2020"/>
      <c r="W340" s="2020"/>
      <c r="X340" s="2020"/>
      <c r="Y340" s="2020"/>
      <c r="Z340" s="2020"/>
      <c r="AA340" s="2020"/>
      <c r="AB340" s="2020"/>
      <c r="AC340" s="2020"/>
      <c r="AD340" s="2020"/>
      <c r="AE340" s="2020"/>
      <c r="AF340" s="2020"/>
      <c r="AG340" s="2020"/>
      <c r="AH340" s="2020"/>
      <c r="AI340" s="2020"/>
      <c r="AJ340" s="2020"/>
      <c r="AK340" s="637"/>
      <c r="AL340" s="637"/>
      <c r="AM340" s="637"/>
      <c r="AN340" s="631"/>
      <c r="AR340" s="604"/>
    </row>
    <row r="341" spans="1:46" s="584" customFormat="1" ht="12.75" customHeight="1">
      <c r="A341" s="637"/>
      <c r="B341" s="645"/>
      <c r="C341" s="2020"/>
      <c r="D341" s="2020"/>
      <c r="E341" s="2020"/>
      <c r="F341" s="2020"/>
      <c r="G341" s="2020"/>
      <c r="H341" s="2020"/>
      <c r="I341" s="2020"/>
      <c r="J341" s="2020"/>
      <c r="K341" s="2020"/>
      <c r="L341" s="2020"/>
      <c r="M341" s="2020"/>
      <c r="N341" s="2020"/>
      <c r="O341" s="2020"/>
      <c r="P341" s="2020"/>
      <c r="Q341" s="2020"/>
      <c r="R341" s="2020"/>
      <c r="S341" s="2020"/>
      <c r="T341" s="2020"/>
      <c r="U341" s="2020"/>
      <c r="V341" s="2020"/>
      <c r="W341" s="2020"/>
      <c r="X341" s="2020"/>
      <c r="Y341" s="2020"/>
      <c r="Z341" s="2020"/>
      <c r="AA341" s="2020"/>
      <c r="AB341" s="2020"/>
      <c r="AC341" s="2020"/>
      <c r="AD341" s="2020"/>
      <c r="AE341" s="2020"/>
      <c r="AF341" s="2020"/>
      <c r="AG341" s="2020"/>
      <c r="AH341" s="2020"/>
      <c r="AI341" s="2020"/>
      <c r="AJ341" s="2020"/>
      <c r="AK341" s="637"/>
      <c r="AL341" s="637"/>
      <c r="AM341" s="637"/>
      <c r="AN341" s="631"/>
      <c r="AR341" s="604"/>
    </row>
    <row r="342" spans="1:46" s="584" customFormat="1" ht="12.75" customHeight="1">
      <c r="A342" s="637"/>
      <c r="B342" s="645"/>
      <c r="C342" s="2020" t="s">
        <v>1567</v>
      </c>
      <c r="D342" s="2020"/>
      <c r="E342" s="2020"/>
      <c r="F342" s="2020"/>
      <c r="G342" s="2020"/>
      <c r="H342" s="2020"/>
      <c r="I342" s="2020"/>
      <c r="J342" s="2020"/>
      <c r="K342" s="2020"/>
      <c r="L342" s="2020"/>
      <c r="M342" s="2020"/>
      <c r="N342" s="2020"/>
      <c r="O342" s="2020"/>
      <c r="P342" s="2020"/>
      <c r="Q342" s="2020"/>
      <c r="R342" s="2020"/>
      <c r="S342" s="2020"/>
      <c r="T342" s="2020"/>
      <c r="U342" s="2020"/>
      <c r="V342" s="2020"/>
      <c r="W342" s="2020"/>
      <c r="X342" s="2020"/>
      <c r="Y342" s="2020"/>
      <c r="Z342" s="2020"/>
      <c r="AA342" s="2020"/>
      <c r="AB342" s="2020"/>
      <c r="AC342" s="2020"/>
      <c r="AD342" s="2020"/>
      <c r="AE342" s="2020"/>
      <c r="AF342" s="2020"/>
      <c r="AG342" s="2020"/>
      <c r="AH342" s="2020"/>
      <c r="AI342" s="2020"/>
      <c r="AJ342" s="2020"/>
      <c r="AK342" s="637"/>
      <c r="AL342" s="637"/>
      <c r="AM342" s="637"/>
      <c r="AN342" s="631"/>
      <c r="AQ342" s="604"/>
      <c r="AR342" s="604"/>
    </row>
    <row r="343" spans="1:46" s="584" customFormat="1" ht="12.75" customHeight="1">
      <c r="A343" s="637"/>
      <c r="B343" s="645"/>
      <c r="C343" s="2020"/>
      <c r="D343" s="2020"/>
      <c r="E343" s="2020"/>
      <c r="F343" s="2020"/>
      <c r="G343" s="2020"/>
      <c r="H343" s="2020"/>
      <c r="I343" s="2020"/>
      <c r="J343" s="2020"/>
      <c r="K343" s="2020"/>
      <c r="L343" s="2020"/>
      <c r="M343" s="2020"/>
      <c r="N343" s="2020"/>
      <c r="O343" s="2020"/>
      <c r="P343" s="2020"/>
      <c r="Q343" s="2020"/>
      <c r="R343" s="2020"/>
      <c r="S343" s="2020"/>
      <c r="T343" s="2020"/>
      <c r="U343" s="2020"/>
      <c r="V343" s="2020"/>
      <c r="W343" s="2020"/>
      <c r="X343" s="2020"/>
      <c r="Y343" s="2020"/>
      <c r="Z343" s="2020"/>
      <c r="AA343" s="2020"/>
      <c r="AB343" s="2020"/>
      <c r="AC343" s="2020"/>
      <c r="AD343" s="2020"/>
      <c r="AE343" s="2020"/>
      <c r="AF343" s="2020"/>
      <c r="AG343" s="2020"/>
      <c r="AH343" s="2020"/>
      <c r="AI343" s="2020"/>
      <c r="AJ343" s="2020"/>
      <c r="AK343" s="637"/>
      <c r="AL343" s="637"/>
      <c r="AM343" s="637"/>
      <c r="AN343" s="631"/>
      <c r="AQ343" s="604"/>
      <c r="AR343" s="604"/>
    </row>
    <row r="344" spans="1:46" s="584" customFormat="1" ht="13.15" customHeight="1">
      <c r="A344" s="637"/>
      <c r="B344" s="645"/>
      <c r="C344" s="2020"/>
      <c r="D344" s="2020"/>
      <c r="E344" s="2020"/>
      <c r="F344" s="2020"/>
      <c r="G344" s="2020"/>
      <c r="H344" s="2020"/>
      <c r="I344" s="2020"/>
      <c r="J344" s="2020"/>
      <c r="K344" s="2020"/>
      <c r="L344" s="2020"/>
      <c r="M344" s="2020"/>
      <c r="N344" s="2020"/>
      <c r="O344" s="2020"/>
      <c r="P344" s="2020"/>
      <c r="Q344" s="2020"/>
      <c r="R344" s="2020"/>
      <c r="S344" s="2020"/>
      <c r="T344" s="2020"/>
      <c r="U344" s="2020"/>
      <c r="V344" s="2020"/>
      <c r="W344" s="2020"/>
      <c r="X344" s="2020"/>
      <c r="Y344" s="2020"/>
      <c r="Z344" s="2020"/>
      <c r="AA344" s="2020"/>
      <c r="AB344" s="2020"/>
      <c r="AC344" s="2020"/>
      <c r="AD344" s="2020"/>
      <c r="AE344" s="2020"/>
      <c r="AF344" s="2020"/>
      <c r="AG344" s="2020"/>
      <c r="AH344" s="2020"/>
      <c r="AI344" s="2020"/>
      <c r="AJ344" s="2020"/>
      <c r="AK344" s="637"/>
      <c r="AL344" s="637"/>
      <c r="AM344" s="637"/>
      <c r="AN344" s="631"/>
      <c r="AQ344" s="604"/>
      <c r="AR344" s="604"/>
    </row>
    <row r="345" spans="1:46" s="584" customFormat="1" ht="12.75" customHeight="1">
      <c r="A345" s="637"/>
      <c r="B345" s="645"/>
      <c r="C345" s="2020"/>
      <c r="D345" s="2020"/>
      <c r="E345" s="2020"/>
      <c r="F345" s="2020"/>
      <c r="G345" s="2020"/>
      <c r="H345" s="2020"/>
      <c r="I345" s="2020"/>
      <c r="J345" s="2020"/>
      <c r="K345" s="2020"/>
      <c r="L345" s="2020"/>
      <c r="M345" s="2020"/>
      <c r="N345" s="2020"/>
      <c r="O345" s="2020"/>
      <c r="P345" s="2020"/>
      <c r="Q345" s="2020"/>
      <c r="R345" s="2020"/>
      <c r="S345" s="2020"/>
      <c r="T345" s="2020"/>
      <c r="U345" s="2020"/>
      <c r="V345" s="2020"/>
      <c r="W345" s="2020"/>
      <c r="X345" s="2020"/>
      <c r="Y345" s="2020"/>
      <c r="Z345" s="2020"/>
      <c r="AA345" s="2020"/>
      <c r="AB345" s="2020"/>
      <c r="AC345" s="2020"/>
      <c r="AD345" s="2020"/>
      <c r="AE345" s="2020"/>
      <c r="AF345" s="2020"/>
      <c r="AG345" s="2020"/>
      <c r="AH345" s="2020"/>
      <c r="AI345" s="2020"/>
      <c r="AJ345" s="2020"/>
      <c r="AK345" s="637"/>
      <c r="AL345" s="637"/>
      <c r="AM345" s="637"/>
      <c r="AN345" s="631"/>
      <c r="AO345" s="728"/>
      <c r="AP345" s="728"/>
      <c r="AQ345" s="604"/>
    </row>
    <row r="346" spans="1:46" s="584" customFormat="1" ht="11.9" customHeight="1">
      <c r="A346" s="637"/>
      <c r="B346" s="645"/>
      <c r="C346" s="2020"/>
      <c r="D346" s="2020"/>
      <c r="E346" s="2020"/>
      <c r="F346" s="2020"/>
      <c r="G346" s="2020"/>
      <c r="H346" s="2020"/>
      <c r="I346" s="2020"/>
      <c r="J346" s="2020"/>
      <c r="K346" s="2020"/>
      <c r="L346" s="2020"/>
      <c r="M346" s="2020"/>
      <c r="N346" s="2020"/>
      <c r="O346" s="2020"/>
      <c r="P346" s="2020"/>
      <c r="Q346" s="2020"/>
      <c r="R346" s="2020"/>
      <c r="S346" s="2020"/>
      <c r="T346" s="2020"/>
      <c r="U346" s="2020"/>
      <c r="V346" s="2020"/>
      <c r="W346" s="2020"/>
      <c r="X346" s="2020"/>
      <c r="Y346" s="2020"/>
      <c r="Z346" s="2020"/>
      <c r="AA346" s="2020"/>
      <c r="AB346" s="2020"/>
      <c r="AC346" s="2020"/>
      <c r="AD346" s="2020"/>
      <c r="AE346" s="2020"/>
      <c r="AF346" s="2020"/>
      <c r="AG346" s="2020"/>
      <c r="AH346" s="2020"/>
      <c r="AI346" s="2020"/>
      <c r="AJ346" s="2020"/>
      <c r="AK346" s="637"/>
      <c r="AL346" s="637"/>
      <c r="AM346" s="637"/>
      <c r="AN346" s="631"/>
      <c r="AO346" s="729" t="s">
        <v>112</v>
      </c>
      <c r="AP346" s="730">
        <f>IF(C370="Yes",5,0)</f>
        <v>5</v>
      </c>
      <c r="AS346" s="573" t="s">
        <v>1568</v>
      </c>
    </row>
    <row r="347" spans="1:46" s="584" customFormat="1" ht="12.75" customHeight="1">
      <c r="A347" s="637"/>
      <c r="B347" s="645"/>
      <c r="C347" s="2020"/>
      <c r="D347" s="2020"/>
      <c r="E347" s="2020"/>
      <c r="F347" s="2020"/>
      <c r="G347" s="2020"/>
      <c r="H347" s="2020"/>
      <c r="I347" s="2020"/>
      <c r="J347" s="2020"/>
      <c r="K347" s="2020"/>
      <c r="L347" s="2020"/>
      <c r="M347" s="2020"/>
      <c r="N347" s="2020"/>
      <c r="O347" s="2020"/>
      <c r="P347" s="2020"/>
      <c r="Q347" s="2020"/>
      <c r="R347" s="2020"/>
      <c r="S347" s="2020"/>
      <c r="T347" s="2020"/>
      <c r="U347" s="2020"/>
      <c r="V347" s="2020"/>
      <c r="W347" s="2020"/>
      <c r="X347" s="2020"/>
      <c r="Y347" s="2020"/>
      <c r="Z347" s="2020"/>
      <c r="AA347" s="2020"/>
      <c r="AB347" s="2020"/>
      <c r="AC347" s="2020"/>
      <c r="AD347" s="2020"/>
      <c r="AE347" s="2020"/>
      <c r="AF347" s="2020"/>
      <c r="AG347" s="2020"/>
      <c r="AH347" s="2020"/>
      <c r="AI347" s="2020"/>
      <c r="AJ347" s="2020"/>
      <c r="AK347" s="637"/>
      <c r="AL347" s="637"/>
      <c r="AM347" s="637"/>
      <c r="AN347" s="631"/>
      <c r="AO347" s="729" t="s">
        <v>113</v>
      </c>
      <c r="AP347" s="730">
        <f>IF(C378="Yes",5,0)</f>
        <v>5</v>
      </c>
      <c r="AS347" s="2041">
        <f>IF(Application!D211="Non-Targeted",(SUM(AQ355+AQ364)),AS351)</f>
        <v>10</v>
      </c>
      <c r="AT347" s="2041"/>
    </row>
    <row r="348" spans="1:46" s="584" customFormat="1" ht="12.75" customHeight="1">
      <c r="A348" s="637"/>
      <c r="B348" s="645"/>
      <c r="C348" s="2020"/>
      <c r="D348" s="2020"/>
      <c r="E348" s="2020"/>
      <c r="F348" s="2020"/>
      <c r="G348" s="2020"/>
      <c r="H348" s="2020"/>
      <c r="I348" s="2020"/>
      <c r="J348" s="2020"/>
      <c r="K348" s="2020"/>
      <c r="L348" s="2020"/>
      <c r="M348" s="2020"/>
      <c r="N348" s="2020"/>
      <c r="O348" s="2020"/>
      <c r="P348" s="2020"/>
      <c r="Q348" s="2020"/>
      <c r="R348" s="2020"/>
      <c r="S348" s="2020"/>
      <c r="T348" s="2020"/>
      <c r="U348" s="2020"/>
      <c r="V348" s="2020"/>
      <c r="W348" s="2020"/>
      <c r="X348" s="2020"/>
      <c r="Y348" s="2020"/>
      <c r="Z348" s="2020"/>
      <c r="AA348" s="2020"/>
      <c r="AB348" s="2020"/>
      <c r="AC348" s="2020"/>
      <c r="AD348" s="2020"/>
      <c r="AE348" s="2020"/>
      <c r="AF348" s="2020"/>
      <c r="AG348" s="2020"/>
      <c r="AH348" s="2020"/>
      <c r="AI348" s="2020"/>
      <c r="AJ348" s="2020"/>
      <c r="AK348" s="637"/>
      <c r="AL348" s="637"/>
      <c r="AM348" s="637"/>
      <c r="AN348" s="631"/>
      <c r="AO348" s="729" t="s">
        <v>119</v>
      </c>
      <c r="AP348" s="730">
        <f>IF(C386="Yes",7,0)</f>
        <v>0</v>
      </c>
      <c r="AS348" s="573" t="s">
        <v>1569</v>
      </c>
    </row>
    <row r="349" spans="1:46" s="584" customFormat="1" ht="12.75" customHeight="1">
      <c r="A349" s="637"/>
      <c r="B349" s="645"/>
      <c r="C349" s="2020"/>
      <c r="D349" s="2020"/>
      <c r="E349" s="2020"/>
      <c r="F349" s="2020"/>
      <c r="G349" s="2020"/>
      <c r="H349" s="2020"/>
      <c r="I349" s="2020"/>
      <c r="J349" s="2020"/>
      <c r="K349" s="2020"/>
      <c r="L349" s="2020"/>
      <c r="M349" s="2020"/>
      <c r="N349" s="2020"/>
      <c r="O349" s="2020"/>
      <c r="P349" s="2020"/>
      <c r="Q349" s="2020"/>
      <c r="R349" s="2020"/>
      <c r="S349" s="2020"/>
      <c r="T349" s="2020"/>
      <c r="U349" s="2020"/>
      <c r="V349" s="2020"/>
      <c r="W349" s="2020"/>
      <c r="X349" s="2020"/>
      <c r="Y349" s="2020"/>
      <c r="Z349" s="2020"/>
      <c r="AA349" s="2020"/>
      <c r="AB349" s="2020"/>
      <c r="AC349" s="2020"/>
      <c r="AD349" s="2020"/>
      <c r="AE349" s="2020"/>
      <c r="AF349" s="2020"/>
      <c r="AG349" s="2020"/>
      <c r="AH349" s="2020"/>
      <c r="AI349" s="2020"/>
      <c r="AJ349" s="2020"/>
      <c r="AK349" s="637"/>
      <c r="AL349" s="637"/>
      <c r="AM349" s="637"/>
      <c r="AN349" s="631"/>
      <c r="AO349" s="631"/>
      <c r="AP349" s="730">
        <f>IF(C388="Yes",5,0)</f>
        <v>0</v>
      </c>
      <c r="AS349" s="2041">
        <f>IF(AND(AQ355&gt;0,AQ364&gt;0),(AQ355+AQ364)/2,0)</f>
        <v>10</v>
      </c>
      <c r="AT349" s="2041"/>
    </row>
    <row r="350" spans="1:46" s="584" customFormat="1" ht="12.75" customHeight="1">
      <c r="A350" s="637"/>
      <c r="B350" s="645"/>
      <c r="C350" s="2020"/>
      <c r="D350" s="2020"/>
      <c r="E350" s="2020"/>
      <c r="F350" s="2020"/>
      <c r="G350" s="2020"/>
      <c r="H350" s="2020"/>
      <c r="I350" s="2020"/>
      <c r="J350" s="2020"/>
      <c r="K350" s="2020"/>
      <c r="L350" s="2020"/>
      <c r="M350" s="2020"/>
      <c r="N350" s="2020"/>
      <c r="O350" s="2020"/>
      <c r="P350" s="2020"/>
      <c r="Q350" s="2020"/>
      <c r="R350" s="2020"/>
      <c r="S350" s="2020"/>
      <c r="T350" s="2020"/>
      <c r="U350" s="2020"/>
      <c r="V350" s="2020"/>
      <c r="W350" s="2020"/>
      <c r="X350" s="2020"/>
      <c r="Y350" s="2020"/>
      <c r="Z350" s="2020"/>
      <c r="AA350" s="2020"/>
      <c r="AB350" s="2020"/>
      <c r="AC350" s="2020"/>
      <c r="AD350" s="2020"/>
      <c r="AE350" s="2020"/>
      <c r="AF350" s="2020"/>
      <c r="AG350" s="2020"/>
      <c r="AH350" s="2020"/>
      <c r="AI350" s="2020"/>
      <c r="AJ350" s="2020"/>
      <c r="AK350" s="637"/>
      <c r="AL350" s="637"/>
      <c r="AM350" s="637"/>
      <c r="AN350" s="631"/>
      <c r="AO350" s="729" t="s">
        <v>590</v>
      </c>
      <c r="AP350" s="730">
        <f>IF(C396="Yes",5,0)</f>
        <v>0</v>
      </c>
      <c r="AS350" s="573" t="s">
        <v>2071</v>
      </c>
    </row>
    <row r="351" spans="1:46" s="584" customFormat="1" ht="12.75" customHeight="1">
      <c r="A351" s="637"/>
      <c r="B351" s="645"/>
      <c r="C351" s="2042" t="s">
        <v>1570</v>
      </c>
      <c r="D351" s="2042"/>
      <c r="E351" s="2042"/>
      <c r="F351" s="2042"/>
      <c r="G351" s="2042"/>
      <c r="H351" s="2042"/>
      <c r="I351" s="2042"/>
      <c r="J351" s="2042"/>
      <c r="K351" s="2042"/>
      <c r="L351" s="2042"/>
      <c r="M351" s="2042"/>
      <c r="N351" s="2042"/>
      <c r="O351" s="2042"/>
      <c r="P351" s="2042"/>
      <c r="Q351" s="2042"/>
      <c r="R351" s="2042"/>
      <c r="S351" s="2042"/>
      <c r="T351" s="2042"/>
      <c r="U351" s="2042"/>
      <c r="V351" s="2042"/>
      <c r="W351" s="2042"/>
      <c r="X351" s="2042"/>
      <c r="Y351" s="2042"/>
      <c r="Z351" s="2042"/>
      <c r="AA351" s="2042"/>
      <c r="AB351" s="2042"/>
      <c r="AC351" s="2042"/>
      <c r="AD351" s="2042"/>
      <c r="AE351" s="2042"/>
      <c r="AF351" s="2042"/>
      <c r="AG351" s="2042"/>
      <c r="AH351" s="2042"/>
      <c r="AI351" s="2042"/>
      <c r="AJ351" s="2042"/>
      <c r="AK351" s="637"/>
      <c r="AL351" s="637"/>
      <c r="AM351" s="637"/>
      <c r="AN351" s="631"/>
      <c r="AO351" s="631"/>
      <c r="AP351" s="730">
        <f>IF(C398="Yes",3,0)</f>
        <v>0</v>
      </c>
      <c r="AS351" s="2041">
        <f>IF(AQ355=0,AQ364,AQ355)</f>
        <v>10</v>
      </c>
      <c r="AT351" s="2041"/>
    </row>
    <row r="352" spans="1:46" s="584" customFormat="1" ht="12.75" customHeight="1">
      <c r="A352" s="637"/>
      <c r="B352" s="645"/>
      <c r="C352" s="2042"/>
      <c r="D352" s="2042"/>
      <c r="E352" s="2042"/>
      <c r="F352" s="2042"/>
      <c r="G352" s="2042"/>
      <c r="H352" s="2042"/>
      <c r="I352" s="2042"/>
      <c r="J352" s="2042"/>
      <c r="K352" s="2042"/>
      <c r="L352" s="2042"/>
      <c r="M352" s="2042"/>
      <c r="N352" s="2042"/>
      <c r="O352" s="2042"/>
      <c r="P352" s="2042"/>
      <c r="Q352" s="2042"/>
      <c r="R352" s="2042"/>
      <c r="S352" s="2042"/>
      <c r="T352" s="2042"/>
      <c r="U352" s="2042"/>
      <c r="V352" s="2042"/>
      <c r="W352" s="2042"/>
      <c r="X352" s="2042"/>
      <c r="Y352" s="2042"/>
      <c r="Z352" s="2042"/>
      <c r="AA352" s="2042"/>
      <c r="AB352" s="2042"/>
      <c r="AC352" s="2042"/>
      <c r="AD352" s="2042"/>
      <c r="AE352" s="2042"/>
      <c r="AF352" s="2042"/>
      <c r="AG352" s="2042"/>
      <c r="AH352" s="2042"/>
      <c r="AI352" s="2042"/>
      <c r="AJ352" s="2042"/>
      <c r="AK352" s="637"/>
      <c r="AL352" s="637"/>
      <c r="AM352" s="637"/>
      <c r="AN352" s="631"/>
      <c r="AO352" s="729" t="s">
        <v>773</v>
      </c>
      <c r="AP352" s="730">
        <f>IF(C401="Yes",5,0)</f>
        <v>0</v>
      </c>
    </row>
    <row r="353" spans="1:81" s="584" customFormat="1" ht="12.75" customHeight="1">
      <c r="A353" s="637"/>
      <c r="B353" s="645"/>
      <c r="C353" s="2042"/>
      <c r="D353" s="2042"/>
      <c r="E353" s="2042"/>
      <c r="F353" s="2042"/>
      <c r="G353" s="2042"/>
      <c r="H353" s="2042"/>
      <c r="I353" s="2042"/>
      <c r="J353" s="2042"/>
      <c r="K353" s="2042"/>
      <c r="L353" s="2042"/>
      <c r="M353" s="2042"/>
      <c r="N353" s="2042"/>
      <c r="O353" s="2042"/>
      <c r="P353" s="2042"/>
      <c r="Q353" s="2042"/>
      <c r="R353" s="2042"/>
      <c r="S353" s="2042"/>
      <c r="T353" s="2042"/>
      <c r="U353" s="2042"/>
      <c r="V353" s="2042"/>
      <c r="W353" s="2042"/>
      <c r="X353" s="2042"/>
      <c r="Y353" s="2042"/>
      <c r="Z353" s="2042"/>
      <c r="AA353" s="2042"/>
      <c r="AB353" s="2042"/>
      <c r="AC353" s="2042"/>
      <c r="AD353" s="2042"/>
      <c r="AE353" s="2042"/>
      <c r="AF353" s="2042"/>
      <c r="AG353" s="2042"/>
      <c r="AH353" s="2042"/>
      <c r="AI353" s="2042"/>
      <c r="AJ353" s="2042"/>
      <c r="AK353" s="637"/>
      <c r="AL353" s="637"/>
      <c r="AM353" s="637"/>
      <c r="AN353" s="631"/>
      <c r="AO353" s="729" t="s">
        <v>593</v>
      </c>
      <c r="AP353" s="730">
        <f>IF(C410="Yes",5,0)</f>
        <v>0</v>
      </c>
    </row>
    <row r="354" spans="1:81" s="584" customFormat="1" ht="11.9" customHeight="1">
      <c r="A354" s="637"/>
      <c r="B354" s="645"/>
      <c r="C354" s="2042"/>
      <c r="D354" s="2042"/>
      <c r="E354" s="2042"/>
      <c r="F354" s="2042"/>
      <c r="G354" s="2042"/>
      <c r="H354" s="2042"/>
      <c r="I354" s="2042"/>
      <c r="J354" s="2042"/>
      <c r="K354" s="2042"/>
      <c r="L354" s="2042"/>
      <c r="M354" s="2042"/>
      <c r="N354" s="2042"/>
      <c r="O354" s="2042"/>
      <c r="P354" s="2042"/>
      <c r="Q354" s="2042"/>
      <c r="R354" s="2042"/>
      <c r="S354" s="2042"/>
      <c r="T354" s="2042"/>
      <c r="U354" s="2042"/>
      <c r="V354" s="2042"/>
      <c r="W354" s="2042"/>
      <c r="X354" s="2042"/>
      <c r="Y354" s="2042"/>
      <c r="Z354" s="2042"/>
      <c r="AA354" s="2042"/>
      <c r="AB354" s="2042"/>
      <c r="AC354" s="2042"/>
      <c r="AD354" s="2042"/>
      <c r="AE354" s="2042"/>
      <c r="AF354" s="2042"/>
      <c r="AG354" s="2042"/>
      <c r="AH354" s="2042"/>
      <c r="AI354" s="2042"/>
      <c r="AJ354" s="2042"/>
      <c r="AK354" s="637"/>
      <c r="AL354" s="637"/>
      <c r="AM354" s="637"/>
      <c r="AN354" s="631"/>
      <c r="AO354" s="731"/>
      <c r="AP354" s="732">
        <f>IF(C412="Yes",3,0)</f>
        <v>0</v>
      </c>
    </row>
    <row r="355" spans="1:81" s="584" customFormat="1" ht="12.4" customHeight="1">
      <c r="A355" s="637"/>
      <c r="B355" s="645"/>
      <c r="C355" s="2042"/>
      <c r="D355" s="2042"/>
      <c r="E355" s="2042"/>
      <c r="F355" s="2042"/>
      <c r="G355" s="2042"/>
      <c r="H355" s="2042"/>
      <c r="I355" s="2042"/>
      <c r="J355" s="2042"/>
      <c r="K355" s="2042"/>
      <c r="L355" s="2042"/>
      <c r="M355" s="2042"/>
      <c r="N355" s="2042"/>
      <c r="O355" s="2042"/>
      <c r="P355" s="2042"/>
      <c r="Q355" s="2042"/>
      <c r="R355" s="2042"/>
      <c r="S355" s="2042"/>
      <c r="T355" s="2042"/>
      <c r="U355" s="2042"/>
      <c r="V355" s="2042"/>
      <c r="W355" s="2042"/>
      <c r="X355" s="2042"/>
      <c r="Y355" s="2042"/>
      <c r="Z355" s="2042"/>
      <c r="AA355" s="2042"/>
      <c r="AB355" s="2042"/>
      <c r="AC355" s="2042"/>
      <c r="AD355" s="2042"/>
      <c r="AE355" s="2042"/>
      <c r="AF355" s="2042"/>
      <c r="AG355" s="2042"/>
      <c r="AH355" s="2042"/>
      <c r="AI355" s="2042"/>
      <c r="AJ355" s="2042"/>
      <c r="AK355" s="637"/>
      <c r="AL355" s="637"/>
      <c r="AM355" s="637"/>
      <c r="AN355" s="631"/>
      <c r="AO355" s="733" t="s">
        <v>228</v>
      </c>
      <c r="AP355" s="734">
        <f>SUM(AP346:AP354)</f>
        <v>10</v>
      </c>
      <c r="AQ355" s="2043">
        <f>IF(AP355&gt;0,AP355,0)</f>
        <v>10</v>
      </c>
      <c r="AR355" s="2043"/>
    </row>
    <row r="356" spans="1:81" s="584" customFormat="1" ht="12.75" customHeight="1">
      <c r="A356" s="637"/>
      <c r="B356" s="645"/>
      <c r="C356" s="2042"/>
      <c r="D356" s="2042"/>
      <c r="E356" s="2042"/>
      <c r="F356" s="2042"/>
      <c r="G356" s="2042"/>
      <c r="H356" s="2042"/>
      <c r="I356" s="2042"/>
      <c r="J356" s="2042"/>
      <c r="K356" s="2042"/>
      <c r="L356" s="2042"/>
      <c r="M356" s="2042"/>
      <c r="N356" s="2042"/>
      <c r="O356" s="2042"/>
      <c r="P356" s="2042"/>
      <c r="Q356" s="2042"/>
      <c r="R356" s="2042"/>
      <c r="S356" s="2042"/>
      <c r="T356" s="2042"/>
      <c r="U356" s="2042"/>
      <c r="V356" s="2042"/>
      <c r="W356" s="2042"/>
      <c r="X356" s="2042"/>
      <c r="Y356" s="2042"/>
      <c r="Z356" s="2042"/>
      <c r="AA356" s="2042"/>
      <c r="AB356" s="2042"/>
      <c r="AC356" s="2042"/>
      <c r="AD356" s="2042"/>
      <c r="AE356" s="2042"/>
      <c r="AF356" s="2042"/>
      <c r="AG356" s="2042"/>
      <c r="AH356" s="2042"/>
      <c r="AI356" s="2042"/>
      <c r="AJ356" s="2042"/>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464</v>
      </c>
      <c r="AP357" s="730">
        <f>IF(C419="Yes",5,0)</f>
        <v>5</v>
      </c>
    </row>
    <row r="358" spans="1:81" s="584" customFormat="1" ht="12.75" customHeight="1">
      <c r="A358" s="637"/>
      <c r="B358" s="645"/>
      <c r="C358" s="2020" t="s">
        <v>1571</v>
      </c>
      <c r="D358" s="2020"/>
      <c r="E358" s="2020"/>
      <c r="F358" s="2020"/>
      <c r="G358" s="2020"/>
      <c r="H358" s="2020"/>
      <c r="I358" s="2020"/>
      <c r="J358" s="2020"/>
      <c r="K358" s="2020"/>
      <c r="L358" s="2020"/>
      <c r="M358" s="2020"/>
      <c r="N358" s="2020"/>
      <c r="O358" s="2020"/>
      <c r="P358" s="2020"/>
      <c r="Q358" s="2020"/>
      <c r="R358" s="2020"/>
      <c r="S358" s="2020"/>
      <c r="T358" s="2020"/>
      <c r="U358" s="2020"/>
      <c r="V358" s="2020"/>
      <c r="W358" s="2020"/>
      <c r="X358" s="2020"/>
      <c r="Y358" s="2020"/>
      <c r="Z358" s="2020"/>
      <c r="AA358" s="2020"/>
      <c r="AB358" s="2020"/>
      <c r="AC358" s="2020"/>
      <c r="AD358" s="2020"/>
      <c r="AE358" s="2020"/>
      <c r="AF358" s="2020"/>
      <c r="AG358" s="2020"/>
      <c r="AH358" s="2020"/>
      <c r="AI358" s="2020"/>
      <c r="AJ358" s="2020"/>
      <c r="AK358" s="637"/>
      <c r="AL358" s="637"/>
      <c r="AM358" s="637"/>
      <c r="AN358" s="631"/>
      <c r="AO358" s="729" t="s">
        <v>465</v>
      </c>
      <c r="AP358" s="730">
        <f>IF(C431="Yes",5,0)</f>
        <v>5</v>
      </c>
    </row>
    <row r="359" spans="1:81" s="584" customFormat="1" ht="12.75" customHeight="1">
      <c r="A359" s="637"/>
      <c r="B359" s="645"/>
      <c r="C359" s="2020"/>
      <c r="D359" s="2020"/>
      <c r="E359" s="2020"/>
      <c r="F359" s="2020"/>
      <c r="G359" s="2020"/>
      <c r="H359" s="2020"/>
      <c r="I359" s="2020"/>
      <c r="J359" s="2020"/>
      <c r="K359" s="2020"/>
      <c r="L359" s="2020"/>
      <c r="M359" s="2020"/>
      <c r="N359" s="2020"/>
      <c r="O359" s="2020"/>
      <c r="P359" s="2020"/>
      <c r="Q359" s="2020"/>
      <c r="R359" s="2020"/>
      <c r="S359" s="2020"/>
      <c r="T359" s="2020"/>
      <c r="U359" s="2020"/>
      <c r="V359" s="2020"/>
      <c r="W359" s="2020"/>
      <c r="X359" s="2020"/>
      <c r="Y359" s="2020"/>
      <c r="Z359" s="2020"/>
      <c r="AA359" s="2020"/>
      <c r="AB359" s="2020"/>
      <c r="AC359" s="2020"/>
      <c r="AD359" s="2020"/>
      <c r="AE359" s="2020"/>
      <c r="AF359" s="2020"/>
      <c r="AG359" s="2020"/>
      <c r="AH359" s="2020"/>
      <c r="AI359" s="2020"/>
      <c r="AJ359" s="2020"/>
      <c r="AK359" s="637"/>
      <c r="AL359" s="637"/>
      <c r="AM359" s="637"/>
      <c r="AN359" s="631"/>
      <c r="AO359" s="729" t="s">
        <v>470</v>
      </c>
      <c r="AP359" s="730">
        <f>IF(C438="Yes",5,0)</f>
        <v>0</v>
      </c>
    </row>
    <row r="360" spans="1:81" s="584" customFormat="1" ht="68.150000000000006" customHeight="1">
      <c r="A360" s="637"/>
      <c r="B360" s="645"/>
      <c r="C360" s="2020"/>
      <c r="D360" s="2020"/>
      <c r="E360" s="2020"/>
      <c r="F360" s="2020"/>
      <c r="G360" s="2020"/>
      <c r="H360" s="2020"/>
      <c r="I360" s="2020"/>
      <c r="J360" s="2020"/>
      <c r="K360" s="2020"/>
      <c r="L360" s="2020"/>
      <c r="M360" s="2020"/>
      <c r="N360" s="2020"/>
      <c r="O360" s="2020"/>
      <c r="P360" s="2020"/>
      <c r="Q360" s="2020"/>
      <c r="R360" s="2020"/>
      <c r="S360" s="2020"/>
      <c r="T360" s="2020"/>
      <c r="U360" s="2020"/>
      <c r="V360" s="2020"/>
      <c r="W360" s="2020"/>
      <c r="X360" s="2020"/>
      <c r="Y360" s="2020"/>
      <c r="Z360" s="2020"/>
      <c r="AA360" s="2020"/>
      <c r="AB360" s="2020"/>
      <c r="AC360" s="2020"/>
      <c r="AD360" s="2020"/>
      <c r="AE360" s="2020"/>
      <c r="AF360" s="2020"/>
      <c r="AG360" s="2020"/>
      <c r="AH360" s="2020"/>
      <c r="AI360" s="2020"/>
      <c r="AJ360" s="2020"/>
      <c r="AK360" s="637"/>
      <c r="AL360" s="637"/>
      <c r="AM360" s="637"/>
      <c r="AN360" s="631"/>
      <c r="AO360" s="729" t="s">
        <v>655</v>
      </c>
      <c r="AP360" s="735">
        <f>IF(C442="Yes",5,0)</f>
        <v>0</v>
      </c>
    </row>
    <row r="361" spans="1:81" s="584" customFormat="1" ht="12.4" customHeight="1">
      <c r="A361" s="637"/>
      <c r="B361" s="645"/>
      <c r="C361" s="584" t="s">
        <v>1572</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2577</v>
      </c>
      <c r="D362" s="737"/>
      <c r="E362" s="737"/>
      <c r="F362" s="737"/>
      <c r="G362" s="737"/>
      <c r="H362" s="737"/>
      <c r="I362" s="737"/>
      <c r="J362" s="737"/>
      <c r="K362" s="737"/>
      <c r="L362" s="737"/>
      <c r="M362" s="701"/>
      <c r="N362" s="701"/>
      <c r="O362" s="738"/>
      <c r="P362" s="737"/>
      <c r="Q362" s="737"/>
      <c r="R362" s="701"/>
      <c r="S362" s="701"/>
      <c r="T362" s="737"/>
      <c r="U362" s="2129">
        <f>Application!CS660-U363</f>
        <v>18</v>
      </c>
      <c r="V362" s="2129"/>
      <c r="W362" s="2129"/>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2578</v>
      </c>
      <c r="D363" s="728"/>
      <c r="E363" s="728"/>
      <c r="F363" s="728"/>
      <c r="G363" s="728"/>
      <c r="H363" s="728"/>
      <c r="I363" s="728"/>
      <c r="J363" s="728"/>
      <c r="K363" s="728"/>
      <c r="L363" s="728"/>
      <c r="M363" s="728"/>
      <c r="N363" s="728"/>
      <c r="O363" s="728"/>
      <c r="P363" s="728"/>
      <c r="Q363" s="728"/>
      <c r="R363" s="728"/>
      <c r="S363" s="728"/>
      <c r="T363" s="728"/>
      <c r="U363" s="2130">
        <f>Application!AG756</f>
        <v>50</v>
      </c>
      <c r="V363" s="2130"/>
      <c r="W363" s="2130"/>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10</v>
      </c>
      <c r="AQ364" s="2043">
        <f>IF(AP364&gt;0,AP364,0)</f>
        <v>10</v>
      </c>
      <c r="AR364" s="2043"/>
    </row>
    <row r="365" spans="1:81" s="584" customFormat="1" ht="12.75" customHeight="1">
      <c r="A365" s="637"/>
      <c r="B365" s="14"/>
      <c r="C365" s="746" t="s">
        <v>2575</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1427</v>
      </c>
      <c r="F366" s="2024" t="s">
        <v>1573</v>
      </c>
      <c r="G366" s="2024"/>
      <c r="H366" s="2024"/>
      <c r="I366" s="2024"/>
      <c r="J366" s="2024"/>
      <c r="K366" s="2024"/>
      <c r="L366" s="2024"/>
      <c r="M366" s="2024"/>
      <c r="N366" s="2024"/>
      <c r="O366" s="2024"/>
      <c r="P366" s="2024"/>
      <c r="Q366" s="2024"/>
      <c r="R366" s="2024"/>
      <c r="S366" s="2024"/>
      <c r="T366" s="2024"/>
      <c r="U366" s="2024"/>
      <c r="V366" s="2024"/>
      <c r="W366" s="2024"/>
      <c r="X366" s="2024"/>
      <c r="Y366" s="2024"/>
      <c r="Z366" s="2024"/>
      <c r="AA366" s="2024"/>
      <c r="AB366" s="2024"/>
      <c r="AC366" s="2024"/>
      <c r="AD366" s="2024"/>
      <c r="AE366" s="2024"/>
      <c r="AF366" s="2024"/>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25"/>
      <c r="G367" s="2025"/>
      <c r="H367" s="2025"/>
      <c r="I367" s="2025"/>
      <c r="J367" s="2025"/>
      <c r="K367" s="2025"/>
      <c r="L367" s="2025"/>
      <c r="M367" s="2025"/>
      <c r="N367" s="2025"/>
      <c r="O367" s="2025"/>
      <c r="P367" s="2025"/>
      <c r="Q367" s="2025"/>
      <c r="R367" s="2025"/>
      <c r="S367" s="2025"/>
      <c r="T367" s="2025"/>
      <c r="U367" s="2025"/>
      <c r="V367" s="2025"/>
      <c r="W367" s="2025"/>
      <c r="X367" s="2025"/>
      <c r="Y367" s="2025"/>
      <c r="Z367" s="2025"/>
      <c r="AA367" s="2025"/>
      <c r="AB367" s="2025"/>
      <c r="AC367" s="2025"/>
      <c r="AD367" s="2025"/>
      <c r="AE367" s="2025"/>
      <c r="AF367" s="2025"/>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25"/>
      <c r="G368" s="2025"/>
      <c r="H368" s="2025"/>
      <c r="I368" s="2025"/>
      <c r="J368" s="2025"/>
      <c r="K368" s="2025"/>
      <c r="L368" s="2025"/>
      <c r="M368" s="2025"/>
      <c r="N368" s="2025"/>
      <c r="O368" s="2025"/>
      <c r="P368" s="2025"/>
      <c r="Q368" s="2025"/>
      <c r="R368" s="2025"/>
      <c r="S368" s="2025"/>
      <c r="T368" s="2025"/>
      <c r="U368" s="2025"/>
      <c r="V368" s="2025"/>
      <c r="W368" s="2025"/>
      <c r="X368" s="2025"/>
      <c r="Y368" s="2025"/>
      <c r="Z368" s="2025"/>
      <c r="AA368" s="2025"/>
      <c r="AB368" s="2025"/>
      <c r="AC368" s="2025"/>
      <c r="AD368" s="2025"/>
      <c r="AE368" s="2025"/>
      <c r="AF368" s="2025"/>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25"/>
      <c r="G369" s="2025"/>
      <c r="H369" s="2025"/>
      <c r="I369" s="2025"/>
      <c r="J369" s="2025"/>
      <c r="K369" s="2025"/>
      <c r="L369" s="2025"/>
      <c r="M369" s="2025"/>
      <c r="N369" s="2025"/>
      <c r="O369" s="2025"/>
      <c r="P369" s="2025"/>
      <c r="Q369" s="2025"/>
      <c r="R369" s="2025"/>
      <c r="S369" s="2025"/>
      <c r="T369" s="2025"/>
      <c r="U369" s="2025"/>
      <c r="V369" s="2025"/>
      <c r="W369" s="2025"/>
      <c r="X369" s="2025"/>
      <c r="Y369" s="2025"/>
      <c r="Z369" s="2025"/>
      <c r="AA369" s="2025"/>
      <c r="AB369" s="2025"/>
      <c r="AC369" s="2025"/>
      <c r="AD369" s="2025"/>
      <c r="AE369" s="2025"/>
      <c r="AF369" s="2025"/>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21" t="s">
        <v>554</v>
      </c>
      <c r="D370" s="1978"/>
      <c r="E370" s="753"/>
      <c r="F370" s="755" t="s">
        <v>1574</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22" t="s">
        <v>1575</v>
      </c>
      <c r="AG370" s="2022"/>
      <c r="AH370" s="2022"/>
      <c r="AI370" s="2022"/>
      <c r="AJ370" s="2022"/>
      <c r="AK370" s="2022"/>
      <c r="AL370" s="2023"/>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1429</v>
      </c>
      <c r="F373" s="2024" t="s">
        <v>1576</v>
      </c>
      <c r="G373" s="2024"/>
      <c r="H373" s="2024"/>
      <c r="I373" s="2024"/>
      <c r="J373" s="2024"/>
      <c r="K373" s="2024"/>
      <c r="L373" s="2024"/>
      <c r="M373" s="2024"/>
      <c r="N373" s="2024"/>
      <c r="O373" s="2024"/>
      <c r="P373" s="2024"/>
      <c r="Q373" s="2024"/>
      <c r="R373" s="2024"/>
      <c r="S373" s="2024"/>
      <c r="T373" s="2024"/>
      <c r="U373" s="2024"/>
      <c r="V373" s="2024"/>
      <c r="W373" s="2024"/>
      <c r="X373" s="2024"/>
      <c r="Y373" s="2024"/>
      <c r="Z373" s="2024"/>
      <c r="AA373" s="2024"/>
      <c r="AB373" s="2024"/>
      <c r="AC373" s="2024"/>
      <c r="AD373" s="2024"/>
      <c r="AE373" s="2024"/>
      <c r="AF373" s="2024"/>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25"/>
      <c r="G374" s="2025"/>
      <c r="H374" s="2025"/>
      <c r="I374" s="2025"/>
      <c r="J374" s="2025"/>
      <c r="K374" s="2025"/>
      <c r="L374" s="2025"/>
      <c r="M374" s="2025"/>
      <c r="N374" s="2025"/>
      <c r="O374" s="2025"/>
      <c r="P374" s="2025"/>
      <c r="Q374" s="2025"/>
      <c r="R374" s="2025"/>
      <c r="S374" s="2025"/>
      <c r="T374" s="2025"/>
      <c r="U374" s="2025"/>
      <c r="V374" s="2025"/>
      <c r="W374" s="2025"/>
      <c r="X374" s="2025"/>
      <c r="Y374" s="2025"/>
      <c r="Z374" s="2025"/>
      <c r="AA374" s="2025"/>
      <c r="AB374" s="2025"/>
      <c r="AC374" s="2025"/>
      <c r="AD374" s="2025"/>
      <c r="AE374" s="2025"/>
      <c r="AF374" s="2025"/>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25"/>
      <c r="G375" s="2025"/>
      <c r="H375" s="2025"/>
      <c r="I375" s="2025"/>
      <c r="J375" s="2025"/>
      <c r="K375" s="2025"/>
      <c r="L375" s="2025"/>
      <c r="M375" s="2025"/>
      <c r="N375" s="2025"/>
      <c r="O375" s="2025"/>
      <c r="P375" s="2025"/>
      <c r="Q375" s="2025"/>
      <c r="R375" s="2025"/>
      <c r="S375" s="2025"/>
      <c r="T375" s="2025"/>
      <c r="U375" s="2025"/>
      <c r="V375" s="2025"/>
      <c r="W375" s="2025"/>
      <c r="X375" s="2025"/>
      <c r="Y375" s="2025"/>
      <c r="Z375" s="2025"/>
      <c r="AA375" s="2025"/>
      <c r="AB375" s="2025"/>
      <c r="AC375" s="2025"/>
      <c r="AD375" s="2025"/>
      <c r="AE375" s="2025"/>
      <c r="AF375" s="2025"/>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25"/>
      <c r="G376" s="2025"/>
      <c r="H376" s="2025"/>
      <c r="I376" s="2025"/>
      <c r="J376" s="2025"/>
      <c r="K376" s="2025"/>
      <c r="L376" s="2025"/>
      <c r="M376" s="2025"/>
      <c r="N376" s="2025"/>
      <c r="O376" s="2025"/>
      <c r="P376" s="2025"/>
      <c r="Q376" s="2025"/>
      <c r="R376" s="2025"/>
      <c r="S376" s="2025"/>
      <c r="T376" s="2025"/>
      <c r="U376" s="2025"/>
      <c r="V376" s="2025"/>
      <c r="W376" s="2025"/>
      <c r="X376" s="2025"/>
      <c r="Y376" s="2025"/>
      <c r="Z376" s="2025"/>
      <c r="AA376" s="2025"/>
      <c r="AB376" s="2025"/>
      <c r="AC376" s="2025"/>
      <c r="AD376" s="2025"/>
      <c r="AE376" s="2025"/>
      <c r="AF376" s="2025"/>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25"/>
      <c r="G377" s="2025"/>
      <c r="H377" s="2025"/>
      <c r="I377" s="2025"/>
      <c r="J377" s="2025"/>
      <c r="K377" s="2025"/>
      <c r="L377" s="2025"/>
      <c r="M377" s="2025"/>
      <c r="N377" s="2025"/>
      <c r="O377" s="2025"/>
      <c r="P377" s="2025"/>
      <c r="Q377" s="2025"/>
      <c r="R377" s="2025"/>
      <c r="S377" s="2025"/>
      <c r="T377" s="2025"/>
      <c r="U377" s="2025"/>
      <c r="V377" s="2025"/>
      <c r="W377" s="2025"/>
      <c r="X377" s="2025"/>
      <c r="Y377" s="2025"/>
      <c r="Z377" s="2025"/>
      <c r="AA377" s="2025"/>
      <c r="AB377" s="2025"/>
      <c r="AC377" s="2025"/>
      <c r="AD377" s="2025"/>
      <c r="AE377" s="2025"/>
      <c r="AF377" s="2025"/>
      <c r="AL377" s="766"/>
      <c r="AN377" s="631"/>
      <c r="BS377" s="30"/>
      <c r="BT377" s="30"/>
      <c r="BU377" s="14"/>
      <c r="BV377" s="14"/>
      <c r="BW377" s="14"/>
      <c r="BX377" s="14"/>
      <c r="BY377" s="14"/>
      <c r="BZ377" s="14"/>
      <c r="CA377" s="14"/>
      <c r="CB377" s="14"/>
      <c r="CC377" s="14"/>
    </row>
    <row r="378" spans="1:81" s="584" customFormat="1" ht="12.75" customHeight="1">
      <c r="A378" s="570"/>
      <c r="B378" s="14"/>
      <c r="C378" s="2021" t="s">
        <v>554</v>
      </c>
      <c r="D378" s="1978"/>
      <c r="E378" s="725"/>
      <c r="F378" s="755" t="s">
        <v>1577</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22" t="s">
        <v>1575</v>
      </c>
      <c r="AG378" s="2022"/>
      <c r="AH378" s="2022"/>
      <c r="AI378" s="2022"/>
      <c r="AJ378" s="2022"/>
      <c r="AK378" s="2022"/>
      <c r="AL378" s="2023"/>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1432</v>
      </c>
      <c r="F381" s="2024" t="s">
        <v>1578</v>
      </c>
      <c r="G381" s="2024"/>
      <c r="H381" s="2024"/>
      <c r="I381" s="2024"/>
      <c r="J381" s="2024"/>
      <c r="K381" s="2024"/>
      <c r="L381" s="2024"/>
      <c r="M381" s="2024"/>
      <c r="N381" s="2024"/>
      <c r="O381" s="2024"/>
      <c r="P381" s="2024"/>
      <c r="Q381" s="2024"/>
      <c r="R381" s="2024"/>
      <c r="S381" s="2024"/>
      <c r="T381" s="2024"/>
      <c r="U381" s="2024"/>
      <c r="V381" s="2024"/>
      <c r="W381" s="2024"/>
      <c r="X381" s="2024"/>
      <c r="Y381" s="2024"/>
      <c r="Z381" s="2024"/>
      <c r="AA381" s="2024"/>
      <c r="AB381" s="2024"/>
      <c r="AC381" s="2024"/>
      <c r="AD381" s="2024"/>
      <c r="AE381" s="2024"/>
      <c r="AF381" s="2024"/>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25"/>
      <c r="G382" s="2025"/>
      <c r="H382" s="2025"/>
      <c r="I382" s="2025"/>
      <c r="J382" s="2025"/>
      <c r="K382" s="2025"/>
      <c r="L382" s="2025"/>
      <c r="M382" s="2025"/>
      <c r="N382" s="2025"/>
      <c r="O382" s="2025"/>
      <c r="P382" s="2025"/>
      <c r="Q382" s="2025"/>
      <c r="R382" s="2025"/>
      <c r="S382" s="2025"/>
      <c r="T382" s="2025"/>
      <c r="U382" s="2025"/>
      <c r="V382" s="2025"/>
      <c r="W382" s="2025"/>
      <c r="X382" s="2025"/>
      <c r="Y382" s="2025"/>
      <c r="Z382" s="2025"/>
      <c r="AA382" s="2025"/>
      <c r="AB382" s="2025"/>
      <c r="AC382" s="2025"/>
      <c r="AD382" s="2025"/>
      <c r="AE382" s="2025"/>
      <c r="AF382" s="2025"/>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25"/>
      <c r="G383" s="2025"/>
      <c r="H383" s="2025"/>
      <c r="I383" s="2025"/>
      <c r="J383" s="2025"/>
      <c r="K383" s="2025"/>
      <c r="L383" s="2025"/>
      <c r="M383" s="2025"/>
      <c r="N383" s="2025"/>
      <c r="O383" s="2025"/>
      <c r="P383" s="2025"/>
      <c r="Q383" s="2025"/>
      <c r="R383" s="2025"/>
      <c r="S383" s="2025"/>
      <c r="T383" s="2025"/>
      <c r="U383" s="2025"/>
      <c r="V383" s="2025"/>
      <c r="W383" s="2025"/>
      <c r="X383" s="2025"/>
      <c r="Y383" s="2025"/>
      <c r="Z383" s="2025"/>
      <c r="AA383" s="2025"/>
      <c r="AB383" s="2025"/>
      <c r="AC383" s="2025"/>
      <c r="AD383" s="2025"/>
      <c r="AE383" s="2025"/>
      <c r="AF383" s="2025"/>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25"/>
      <c r="G384" s="2025"/>
      <c r="H384" s="2025"/>
      <c r="I384" s="2025"/>
      <c r="J384" s="2025"/>
      <c r="K384" s="2025"/>
      <c r="L384" s="2025"/>
      <c r="M384" s="2025"/>
      <c r="N384" s="2025"/>
      <c r="O384" s="2025"/>
      <c r="P384" s="2025"/>
      <c r="Q384" s="2025"/>
      <c r="R384" s="2025"/>
      <c r="S384" s="2025"/>
      <c r="T384" s="2025"/>
      <c r="U384" s="2025"/>
      <c r="V384" s="2025"/>
      <c r="W384" s="2025"/>
      <c r="X384" s="2025"/>
      <c r="Y384" s="2025"/>
      <c r="Z384" s="2025"/>
      <c r="AA384" s="2025"/>
      <c r="AB384" s="2025"/>
      <c r="AC384" s="2025"/>
      <c r="AD384" s="2025"/>
      <c r="AE384" s="2025"/>
      <c r="AF384" s="2025"/>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25"/>
      <c r="G385" s="2025"/>
      <c r="H385" s="2025"/>
      <c r="I385" s="2025"/>
      <c r="J385" s="2025"/>
      <c r="K385" s="2025"/>
      <c r="L385" s="2025"/>
      <c r="M385" s="2025"/>
      <c r="N385" s="2025"/>
      <c r="O385" s="2025"/>
      <c r="P385" s="2025"/>
      <c r="Q385" s="2025"/>
      <c r="R385" s="2025"/>
      <c r="S385" s="2025"/>
      <c r="T385" s="2025"/>
      <c r="U385" s="2025"/>
      <c r="V385" s="2025"/>
      <c r="W385" s="2025"/>
      <c r="X385" s="2025"/>
      <c r="Y385" s="2025"/>
      <c r="Z385" s="2025"/>
      <c r="AA385" s="2025"/>
      <c r="AB385" s="2025"/>
      <c r="AC385" s="2025"/>
      <c r="AD385" s="2025"/>
      <c r="AE385" s="2025"/>
      <c r="AF385" s="2025"/>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21" t="s">
        <v>600</v>
      </c>
      <c r="D386" s="1978"/>
      <c r="E386" s="725"/>
      <c r="F386" s="755" t="s">
        <v>1579</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22" t="s">
        <v>1580</v>
      </c>
      <c r="AG386" s="2022"/>
      <c r="AH386" s="2022"/>
      <c r="AI386" s="2022"/>
      <c r="AJ386" s="2022"/>
      <c r="AK386" s="2022"/>
      <c r="AL386" s="2023"/>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21" t="s">
        <v>600</v>
      </c>
      <c r="D388" s="1978"/>
      <c r="E388" s="725"/>
      <c r="F388" s="772" t="s">
        <v>1581</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22" t="s">
        <v>1575</v>
      </c>
      <c r="AG388" s="2022"/>
      <c r="AH388" s="2022"/>
      <c r="AI388" s="2022"/>
      <c r="AJ388" s="2022"/>
      <c r="AK388" s="2022"/>
      <c r="AL388" s="2023"/>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1582</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1583</v>
      </c>
      <c r="F392" s="2024" t="s">
        <v>1584</v>
      </c>
      <c r="G392" s="2024"/>
      <c r="H392" s="2024"/>
      <c r="I392" s="2024"/>
      <c r="J392" s="2024"/>
      <c r="K392" s="2024"/>
      <c r="L392" s="2024"/>
      <c r="M392" s="2024"/>
      <c r="N392" s="2024"/>
      <c r="O392" s="2024"/>
      <c r="P392" s="2024"/>
      <c r="Q392" s="2024"/>
      <c r="R392" s="2024"/>
      <c r="S392" s="2024"/>
      <c r="T392" s="2024"/>
      <c r="U392" s="2024"/>
      <c r="V392" s="2024"/>
      <c r="W392" s="2024"/>
      <c r="X392" s="2024"/>
      <c r="Y392" s="2024"/>
      <c r="Z392" s="2024"/>
      <c r="AA392" s="2024"/>
      <c r="AB392" s="2024"/>
      <c r="AC392" s="2024"/>
      <c r="AD392" s="2024"/>
      <c r="AE392" s="2024"/>
      <c r="AF392" s="2024"/>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25"/>
      <c r="G393" s="2025"/>
      <c r="H393" s="2025"/>
      <c r="I393" s="2025"/>
      <c r="J393" s="2025"/>
      <c r="K393" s="2025"/>
      <c r="L393" s="2025"/>
      <c r="M393" s="2025"/>
      <c r="N393" s="2025"/>
      <c r="O393" s="2025"/>
      <c r="P393" s="2025"/>
      <c r="Q393" s="2025"/>
      <c r="R393" s="2025"/>
      <c r="S393" s="2025"/>
      <c r="T393" s="2025"/>
      <c r="U393" s="2025"/>
      <c r="V393" s="2025"/>
      <c r="W393" s="2025"/>
      <c r="X393" s="2025"/>
      <c r="Y393" s="2025"/>
      <c r="Z393" s="2025"/>
      <c r="AA393" s="2025"/>
      <c r="AB393" s="2025"/>
      <c r="AC393" s="2025"/>
      <c r="AD393" s="2025"/>
      <c r="AE393" s="2025"/>
      <c r="AF393" s="2025"/>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25"/>
      <c r="G394" s="2025"/>
      <c r="H394" s="2025"/>
      <c r="I394" s="2025"/>
      <c r="J394" s="2025"/>
      <c r="K394" s="2025"/>
      <c r="L394" s="2025"/>
      <c r="M394" s="2025"/>
      <c r="N394" s="2025"/>
      <c r="O394" s="2025"/>
      <c r="P394" s="2025"/>
      <c r="Q394" s="2025"/>
      <c r="R394" s="2025"/>
      <c r="S394" s="2025"/>
      <c r="T394" s="2025"/>
      <c r="U394" s="2025"/>
      <c r="V394" s="2025"/>
      <c r="W394" s="2025"/>
      <c r="X394" s="2025"/>
      <c r="Y394" s="2025"/>
      <c r="Z394" s="2025"/>
      <c r="AA394" s="2025"/>
      <c r="AB394" s="2025"/>
      <c r="AC394" s="2025"/>
      <c r="AD394" s="2025"/>
      <c r="AE394" s="2025"/>
      <c r="AF394" s="2025"/>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25"/>
      <c r="G395" s="2025"/>
      <c r="H395" s="2025"/>
      <c r="I395" s="2025"/>
      <c r="J395" s="2025"/>
      <c r="K395" s="2025"/>
      <c r="L395" s="2025"/>
      <c r="M395" s="2025"/>
      <c r="N395" s="2025"/>
      <c r="O395" s="2025"/>
      <c r="P395" s="2025"/>
      <c r="Q395" s="2025"/>
      <c r="R395" s="2025"/>
      <c r="S395" s="2025"/>
      <c r="T395" s="2025"/>
      <c r="U395" s="2025"/>
      <c r="V395" s="2025"/>
      <c r="W395" s="2025"/>
      <c r="X395" s="2025"/>
      <c r="Y395" s="2025"/>
      <c r="Z395" s="2025"/>
      <c r="AA395" s="2025"/>
      <c r="AB395" s="2025"/>
      <c r="AC395" s="2025"/>
      <c r="AD395" s="2025"/>
      <c r="AE395" s="2025"/>
      <c r="AF395" s="2025"/>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21" t="s">
        <v>600</v>
      </c>
      <c r="D396" s="1978"/>
      <c r="E396" s="725"/>
      <c r="F396" s="755" t="s">
        <v>1585</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22" t="s">
        <v>1575</v>
      </c>
      <c r="AG396" s="2022"/>
      <c r="AH396" s="2022"/>
      <c r="AI396" s="2022"/>
      <c r="AJ396" s="2022"/>
      <c r="AK396" s="2022"/>
      <c r="AL396" s="2023"/>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21" t="s">
        <v>600</v>
      </c>
      <c r="D398" s="1978"/>
      <c r="E398" s="753"/>
      <c r="F398" s="755" t="s">
        <v>1586</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22" t="s">
        <v>1587</v>
      </c>
      <c r="AG398" s="2022"/>
      <c r="AH398" s="2022"/>
      <c r="AI398" s="2022"/>
      <c r="AJ398" s="2022"/>
      <c r="AK398" s="2022"/>
      <c r="AL398" s="2023"/>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21" t="s">
        <v>600</v>
      </c>
      <c r="D401" s="1978"/>
      <c r="E401" s="749" t="s">
        <v>1588</v>
      </c>
      <c r="F401" s="2024" t="s">
        <v>1589</v>
      </c>
      <c r="G401" s="2024"/>
      <c r="H401" s="2024"/>
      <c r="I401" s="2024"/>
      <c r="J401" s="2024"/>
      <c r="K401" s="2024"/>
      <c r="L401" s="2024"/>
      <c r="M401" s="2024"/>
      <c r="N401" s="2024"/>
      <c r="O401" s="2024"/>
      <c r="P401" s="2024"/>
      <c r="Q401" s="2024"/>
      <c r="R401" s="2024"/>
      <c r="S401" s="2024"/>
      <c r="T401" s="2024"/>
      <c r="U401" s="2024"/>
      <c r="V401" s="2024"/>
      <c r="W401" s="2024"/>
      <c r="X401" s="2024"/>
      <c r="Y401" s="2024"/>
      <c r="Z401" s="2024"/>
      <c r="AA401" s="2024"/>
      <c r="AB401" s="2024"/>
      <c r="AC401" s="2024"/>
      <c r="AD401" s="2024"/>
      <c r="AE401" s="2024"/>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25"/>
      <c r="G402" s="2025"/>
      <c r="H402" s="2025"/>
      <c r="I402" s="2025"/>
      <c r="J402" s="2025"/>
      <c r="K402" s="2025"/>
      <c r="L402" s="2025"/>
      <c r="M402" s="2025"/>
      <c r="N402" s="2025"/>
      <c r="O402" s="2025"/>
      <c r="P402" s="2025"/>
      <c r="Q402" s="2025"/>
      <c r="R402" s="2025"/>
      <c r="S402" s="2025"/>
      <c r="T402" s="2025"/>
      <c r="U402" s="2025"/>
      <c r="V402" s="2025"/>
      <c r="W402" s="2025"/>
      <c r="X402" s="2025"/>
      <c r="Y402" s="2025"/>
      <c r="Z402" s="2025"/>
      <c r="AA402" s="2025"/>
      <c r="AB402" s="2025"/>
      <c r="AC402" s="2025"/>
      <c r="AD402" s="2025"/>
      <c r="AE402" s="2025"/>
      <c r="AF402" s="1948" t="s">
        <v>1575</v>
      </c>
      <c r="AG402" s="1948"/>
      <c r="AH402" s="1948"/>
      <c r="AI402" s="1948"/>
      <c r="AJ402" s="1948"/>
      <c r="AK402" s="1948"/>
      <c r="AL402" s="2026"/>
      <c r="AM402" s="604"/>
      <c r="AN402" s="631"/>
      <c r="BS402" s="604"/>
      <c r="BT402" s="604"/>
      <c r="BY402" s="604"/>
      <c r="BZ402" s="604"/>
      <c r="CA402" s="604"/>
      <c r="CB402" s="604"/>
      <c r="CC402" s="604"/>
    </row>
    <row r="403" spans="1:81" s="584" customFormat="1" ht="12.75" customHeight="1">
      <c r="A403" s="570"/>
      <c r="B403" s="14"/>
      <c r="C403" s="765"/>
      <c r="D403" s="14"/>
      <c r="E403" s="725"/>
      <c r="F403" s="2025"/>
      <c r="G403" s="2025"/>
      <c r="H403" s="2025"/>
      <c r="I403" s="2025"/>
      <c r="J403" s="2025"/>
      <c r="K403" s="2025"/>
      <c r="L403" s="2025"/>
      <c r="M403" s="2025"/>
      <c r="N403" s="2025"/>
      <c r="O403" s="2025"/>
      <c r="P403" s="2025"/>
      <c r="Q403" s="2025"/>
      <c r="R403" s="2025"/>
      <c r="S403" s="2025"/>
      <c r="T403" s="2025"/>
      <c r="U403" s="2025"/>
      <c r="V403" s="2025"/>
      <c r="W403" s="2025"/>
      <c r="X403" s="2025"/>
      <c r="Y403" s="2025"/>
      <c r="Z403" s="2025"/>
      <c r="AA403" s="2025"/>
      <c r="AB403" s="2025"/>
      <c r="AC403" s="2025"/>
      <c r="AD403" s="2025"/>
      <c r="AE403" s="2025"/>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44"/>
      <c r="G404" s="2044"/>
      <c r="H404" s="2044"/>
      <c r="I404" s="2044"/>
      <c r="J404" s="2044"/>
      <c r="K404" s="2044"/>
      <c r="L404" s="2044"/>
      <c r="M404" s="2044"/>
      <c r="N404" s="2044"/>
      <c r="O404" s="2044"/>
      <c r="P404" s="2044"/>
      <c r="Q404" s="2044"/>
      <c r="R404" s="2044"/>
      <c r="S404" s="2044"/>
      <c r="T404" s="2044"/>
      <c r="U404" s="2044"/>
      <c r="V404" s="2044"/>
      <c r="W404" s="2044"/>
      <c r="X404" s="2044"/>
      <c r="Y404" s="2044"/>
      <c r="Z404" s="2044"/>
      <c r="AA404" s="2044"/>
      <c r="AB404" s="2044"/>
      <c r="AC404" s="2044"/>
      <c r="AD404" s="2044"/>
      <c r="AE404" s="2044"/>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1590</v>
      </c>
      <c r="F406" s="2024" t="s">
        <v>1591</v>
      </c>
      <c r="G406" s="2024"/>
      <c r="H406" s="2024"/>
      <c r="I406" s="2024"/>
      <c r="J406" s="2024"/>
      <c r="K406" s="2024"/>
      <c r="L406" s="2024"/>
      <c r="M406" s="2024"/>
      <c r="N406" s="2024"/>
      <c r="O406" s="2024"/>
      <c r="P406" s="2024"/>
      <c r="Q406" s="2024"/>
      <c r="R406" s="2024"/>
      <c r="S406" s="2024"/>
      <c r="T406" s="2024"/>
      <c r="U406" s="2024"/>
      <c r="V406" s="2024"/>
      <c r="W406" s="2024"/>
      <c r="X406" s="2024"/>
      <c r="Y406" s="2024"/>
      <c r="Z406" s="2024"/>
      <c r="AA406" s="2024"/>
      <c r="AB406" s="2024"/>
      <c r="AC406" s="2024"/>
      <c r="AD406" s="2024"/>
      <c r="AE406" s="2024"/>
      <c r="AF406" s="781"/>
      <c r="AG406" s="781"/>
      <c r="AH406" s="781"/>
      <c r="AI406" s="781"/>
      <c r="AJ406" s="781"/>
      <c r="AK406" s="781"/>
      <c r="AL406" s="782"/>
      <c r="AM406" s="604"/>
    </row>
    <row r="407" spans="1:81">
      <c r="A407" s="570"/>
      <c r="C407" s="765"/>
      <c r="E407" s="725"/>
      <c r="F407" s="2025"/>
      <c r="G407" s="2025"/>
      <c r="H407" s="2025"/>
      <c r="I407" s="2025"/>
      <c r="J407" s="2025"/>
      <c r="K407" s="2025"/>
      <c r="L407" s="2025"/>
      <c r="M407" s="2025"/>
      <c r="N407" s="2025"/>
      <c r="O407" s="2025"/>
      <c r="P407" s="2025"/>
      <c r="Q407" s="2025"/>
      <c r="R407" s="2025"/>
      <c r="S407" s="2025"/>
      <c r="T407" s="2025"/>
      <c r="U407" s="2025"/>
      <c r="V407" s="2025"/>
      <c r="W407" s="2025"/>
      <c r="X407" s="2025"/>
      <c r="Y407" s="2025"/>
      <c r="Z407" s="2025"/>
      <c r="AA407" s="2025"/>
      <c r="AB407" s="2025"/>
      <c r="AC407" s="2025"/>
      <c r="AD407" s="2025"/>
      <c r="AE407" s="2025"/>
      <c r="AF407" s="573"/>
      <c r="AG407" s="570"/>
      <c r="AH407" s="584"/>
      <c r="AI407" s="584"/>
      <c r="AJ407" s="584"/>
      <c r="AK407" s="584"/>
      <c r="AL407" s="766"/>
      <c r="AM407" s="604"/>
    </row>
    <row r="408" spans="1:81" s="584" customFormat="1" ht="12.75" customHeight="1">
      <c r="A408" s="570"/>
      <c r="B408" s="14"/>
      <c r="C408" s="765"/>
      <c r="D408" s="14"/>
      <c r="E408" s="725"/>
      <c r="F408" s="2025"/>
      <c r="G408" s="2025"/>
      <c r="H408" s="2025"/>
      <c r="I408" s="2025"/>
      <c r="J408" s="2025"/>
      <c r="K408" s="2025"/>
      <c r="L408" s="2025"/>
      <c r="M408" s="2025"/>
      <c r="N408" s="2025"/>
      <c r="O408" s="2025"/>
      <c r="P408" s="2025"/>
      <c r="Q408" s="2025"/>
      <c r="R408" s="2025"/>
      <c r="S408" s="2025"/>
      <c r="T408" s="2025"/>
      <c r="U408" s="2025"/>
      <c r="V408" s="2025"/>
      <c r="W408" s="2025"/>
      <c r="X408" s="2025"/>
      <c r="Y408" s="2025"/>
      <c r="Z408" s="2025"/>
      <c r="AA408" s="2025"/>
      <c r="AB408" s="2025"/>
      <c r="AC408" s="2025"/>
      <c r="AD408" s="2025"/>
      <c r="AE408" s="2025"/>
      <c r="AL408" s="766"/>
      <c r="AM408" s="604"/>
      <c r="AN408" s="631"/>
    </row>
    <row r="409" spans="1:81" s="584" customFormat="1" ht="12.75" customHeight="1">
      <c r="A409" s="570"/>
      <c r="B409" s="14"/>
      <c r="C409" s="773"/>
      <c r="F409" s="2025"/>
      <c r="G409" s="2025"/>
      <c r="H409" s="2025"/>
      <c r="I409" s="2025"/>
      <c r="J409" s="2025"/>
      <c r="K409" s="2025"/>
      <c r="L409" s="2025"/>
      <c r="M409" s="2025"/>
      <c r="N409" s="2025"/>
      <c r="O409" s="2025"/>
      <c r="P409" s="2025"/>
      <c r="Q409" s="2025"/>
      <c r="R409" s="2025"/>
      <c r="S409" s="2025"/>
      <c r="T409" s="2025"/>
      <c r="U409" s="2025"/>
      <c r="V409" s="2025"/>
      <c r="W409" s="2025"/>
      <c r="X409" s="2025"/>
      <c r="Y409" s="2025"/>
      <c r="Z409" s="2025"/>
      <c r="AA409" s="2025"/>
      <c r="AB409" s="2025"/>
      <c r="AC409" s="2025"/>
      <c r="AD409" s="2025"/>
      <c r="AE409" s="2025"/>
      <c r="AL409" s="766"/>
      <c r="AM409" s="604"/>
      <c r="AN409" s="631"/>
    </row>
    <row r="410" spans="1:81" s="584" customFormat="1" ht="12.75" customHeight="1">
      <c r="A410" s="570"/>
      <c r="B410" s="14"/>
      <c r="C410" s="2021" t="s">
        <v>600</v>
      </c>
      <c r="D410" s="1978"/>
      <c r="E410" s="725"/>
      <c r="F410" s="755" t="s">
        <v>1592</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48" t="s">
        <v>1575</v>
      </c>
      <c r="AG410" s="1948"/>
      <c r="AH410" s="1948"/>
      <c r="AI410" s="1948"/>
      <c r="AJ410" s="1948"/>
      <c r="AK410" s="1948"/>
      <c r="AL410" s="2026"/>
      <c r="AM410" s="604"/>
      <c r="AN410" s="631"/>
    </row>
    <row r="411" spans="1:81" s="584" customFormat="1" ht="12.75" customHeight="1">
      <c r="A411" s="570"/>
      <c r="B411" s="14"/>
      <c r="C411" s="773"/>
      <c r="AL411" s="766"/>
      <c r="AM411" s="604"/>
      <c r="AN411" s="631"/>
    </row>
    <row r="412" spans="1:81" s="584" customFormat="1" ht="12.75" customHeight="1">
      <c r="A412" s="570"/>
      <c r="B412" s="14"/>
      <c r="C412" s="2021" t="s">
        <v>600</v>
      </c>
      <c r="D412" s="1978"/>
      <c r="E412" s="753"/>
      <c r="F412" s="755" t="s">
        <v>1593</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48" t="s">
        <v>1587</v>
      </c>
      <c r="AG412" s="1948"/>
      <c r="AH412" s="1948"/>
      <c r="AI412" s="1948"/>
      <c r="AJ412" s="1948"/>
      <c r="AK412" s="1948"/>
      <c r="AL412" s="2026"/>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2576</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1594</v>
      </c>
      <c r="F416" s="2024" t="s">
        <v>1595</v>
      </c>
      <c r="G416" s="2024"/>
      <c r="H416" s="2024"/>
      <c r="I416" s="2024"/>
      <c r="J416" s="2024"/>
      <c r="K416" s="2024"/>
      <c r="L416" s="2024"/>
      <c r="M416" s="2024"/>
      <c r="N416" s="2024"/>
      <c r="O416" s="2024"/>
      <c r="P416" s="2024"/>
      <c r="Q416" s="2024"/>
      <c r="R416" s="2024"/>
      <c r="S416" s="2024"/>
      <c r="T416" s="2024"/>
      <c r="U416" s="2024"/>
      <c r="V416" s="2024"/>
      <c r="W416" s="2024"/>
      <c r="X416" s="2024"/>
      <c r="Y416" s="2024"/>
      <c r="Z416" s="2024"/>
      <c r="AA416" s="2024"/>
      <c r="AB416" s="2024"/>
      <c r="AC416" s="2024"/>
      <c r="AD416" s="2024"/>
      <c r="AE416" s="2024"/>
      <c r="AF416" s="748"/>
      <c r="AG416" s="748"/>
      <c r="AH416" s="748"/>
      <c r="AI416" s="748"/>
      <c r="AJ416" s="748"/>
      <c r="AK416" s="748"/>
      <c r="AL416" s="779"/>
      <c r="AM416" s="604"/>
      <c r="AN416" s="631"/>
    </row>
    <row r="417" spans="1:60" s="584" customFormat="1" ht="12.75" customHeight="1">
      <c r="A417" s="570"/>
      <c r="B417" s="14"/>
      <c r="C417" s="765"/>
      <c r="D417" s="14"/>
      <c r="E417" s="725"/>
      <c r="F417" s="2025"/>
      <c r="G417" s="2025"/>
      <c r="H417" s="2025"/>
      <c r="I417" s="2025"/>
      <c r="J417" s="2025"/>
      <c r="K417" s="2025"/>
      <c r="L417" s="2025"/>
      <c r="M417" s="2025"/>
      <c r="N417" s="2025"/>
      <c r="O417" s="2025"/>
      <c r="P417" s="2025"/>
      <c r="Q417" s="2025"/>
      <c r="R417" s="2025"/>
      <c r="S417" s="2025"/>
      <c r="T417" s="2025"/>
      <c r="U417" s="2025"/>
      <c r="V417" s="2025"/>
      <c r="W417" s="2025"/>
      <c r="X417" s="2025"/>
      <c r="Y417" s="2025"/>
      <c r="Z417" s="2025"/>
      <c r="AA417" s="2025"/>
      <c r="AB417" s="2025"/>
      <c r="AC417" s="2025"/>
      <c r="AD417" s="2025"/>
      <c r="AE417" s="2025"/>
      <c r="AF417" s="573"/>
      <c r="AG417" s="570"/>
      <c r="AL417" s="766"/>
      <c r="AM417" s="604"/>
      <c r="AN417" s="631"/>
    </row>
    <row r="418" spans="1:60" s="584" customFormat="1" ht="12.4" customHeight="1">
      <c r="A418" s="570"/>
      <c r="B418" s="14"/>
      <c r="C418" s="765"/>
      <c r="D418" s="14"/>
      <c r="E418" s="725"/>
      <c r="F418" s="2025"/>
      <c r="G418" s="2025"/>
      <c r="H418" s="2025"/>
      <c r="I418" s="2025"/>
      <c r="J418" s="2025"/>
      <c r="K418" s="2025"/>
      <c r="L418" s="2025"/>
      <c r="M418" s="2025"/>
      <c r="N418" s="2025"/>
      <c r="O418" s="2025"/>
      <c r="P418" s="2025"/>
      <c r="Q418" s="2025"/>
      <c r="R418" s="2025"/>
      <c r="S418" s="2025"/>
      <c r="T418" s="2025"/>
      <c r="U418" s="2025"/>
      <c r="V418" s="2025"/>
      <c r="W418" s="2025"/>
      <c r="X418" s="2025"/>
      <c r="Y418" s="2025"/>
      <c r="Z418" s="2025"/>
      <c r="AA418" s="2025"/>
      <c r="AB418" s="2025"/>
      <c r="AC418" s="2025"/>
      <c r="AD418" s="2025"/>
      <c r="AE418" s="2025"/>
      <c r="AL418" s="766"/>
      <c r="AM418" s="604"/>
      <c r="AN418" s="631"/>
    </row>
    <row r="419" spans="1:60" s="584" customFormat="1" ht="12.75" customHeight="1">
      <c r="A419" s="570"/>
      <c r="B419" s="14"/>
      <c r="C419" s="2021" t="s">
        <v>554</v>
      </c>
      <c r="D419" s="1978"/>
      <c r="E419" s="725"/>
      <c r="F419" s="755" t="s">
        <v>1596</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48" t="s">
        <v>1575</v>
      </c>
      <c r="AG419" s="1948"/>
      <c r="AH419" s="1948"/>
      <c r="AI419" s="1948"/>
      <c r="AJ419" s="1948"/>
      <c r="AK419" s="1948"/>
      <c r="AL419" s="2026"/>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1597</v>
      </c>
      <c r="F422" s="2024" t="s">
        <v>1598</v>
      </c>
      <c r="G422" s="2024"/>
      <c r="H422" s="2024"/>
      <c r="I422" s="2024"/>
      <c r="J422" s="2024"/>
      <c r="K422" s="2024"/>
      <c r="L422" s="2024"/>
      <c r="M422" s="2024"/>
      <c r="N422" s="2024"/>
      <c r="O422" s="2024"/>
      <c r="P422" s="2024"/>
      <c r="Q422" s="2024"/>
      <c r="R422" s="2024"/>
      <c r="S422" s="2024"/>
      <c r="T422" s="2024"/>
      <c r="U422" s="2024"/>
      <c r="V422" s="2024"/>
      <c r="W422" s="2024"/>
      <c r="X422" s="2024"/>
      <c r="Y422" s="2024"/>
      <c r="Z422" s="2024"/>
      <c r="AA422" s="2024"/>
      <c r="AB422" s="2024"/>
      <c r="AC422" s="2024"/>
      <c r="AD422" s="2024"/>
      <c r="AE422" s="2024"/>
      <c r="AF422" s="781"/>
      <c r="AG422" s="781"/>
      <c r="AH422" s="781"/>
      <c r="AI422" s="781"/>
      <c r="AJ422" s="781"/>
      <c r="AK422" s="781"/>
      <c r="AL422" s="782"/>
      <c r="AM422" s="604"/>
      <c r="AO422" s="584"/>
      <c r="AP422" s="584"/>
      <c r="BD422" s="14"/>
      <c r="BE422" s="14"/>
      <c r="BF422" s="14"/>
      <c r="BG422" s="14"/>
      <c r="BH422" s="14"/>
    </row>
    <row r="423" spans="1:60">
      <c r="A423" s="570"/>
      <c r="C423" s="765"/>
      <c r="E423" s="725"/>
      <c r="F423" s="2025"/>
      <c r="G423" s="2025"/>
      <c r="H423" s="2025"/>
      <c r="I423" s="2025"/>
      <c r="J423" s="2025"/>
      <c r="K423" s="2025"/>
      <c r="L423" s="2025"/>
      <c r="M423" s="2025"/>
      <c r="N423" s="2025"/>
      <c r="O423" s="2025"/>
      <c r="P423" s="2025"/>
      <c r="Q423" s="2025"/>
      <c r="R423" s="2025"/>
      <c r="S423" s="2025"/>
      <c r="T423" s="2025"/>
      <c r="U423" s="2025"/>
      <c r="V423" s="2025"/>
      <c r="W423" s="2025"/>
      <c r="X423" s="2025"/>
      <c r="Y423" s="2025"/>
      <c r="Z423" s="2025"/>
      <c r="AA423" s="2025"/>
      <c r="AB423" s="2025"/>
      <c r="AC423" s="2025"/>
      <c r="AD423" s="2025"/>
      <c r="AE423" s="2025"/>
      <c r="AF423" s="628"/>
      <c r="AG423" s="628"/>
      <c r="AH423" s="628"/>
      <c r="AI423" s="628"/>
      <c r="AJ423" s="628"/>
      <c r="AK423" s="628"/>
      <c r="AL423" s="784"/>
      <c r="AM423" s="604"/>
      <c r="AO423" s="584"/>
      <c r="AP423" s="584"/>
    </row>
    <row r="424" spans="1:60" s="584" customFormat="1" ht="12.75" customHeight="1">
      <c r="A424" s="570"/>
      <c r="B424" s="14"/>
      <c r="C424" s="765"/>
      <c r="D424" s="14"/>
      <c r="E424" s="725"/>
      <c r="F424" s="2025"/>
      <c r="G424" s="2025"/>
      <c r="H424" s="2025"/>
      <c r="I424" s="2025"/>
      <c r="J424" s="2025"/>
      <c r="K424" s="2025"/>
      <c r="L424" s="2025"/>
      <c r="M424" s="2025"/>
      <c r="N424" s="2025"/>
      <c r="O424" s="2025"/>
      <c r="P424" s="2025"/>
      <c r="Q424" s="2025"/>
      <c r="R424" s="2025"/>
      <c r="S424" s="2025"/>
      <c r="T424" s="2025"/>
      <c r="U424" s="2025"/>
      <c r="V424" s="2025"/>
      <c r="W424" s="2025"/>
      <c r="X424" s="2025"/>
      <c r="Y424" s="2025"/>
      <c r="Z424" s="2025"/>
      <c r="AA424" s="2025"/>
      <c r="AB424" s="2025"/>
      <c r="AC424" s="2025"/>
      <c r="AD424" s="2025"/>
      <c r="AE424" s="2025"/>
      <c r="AF424" s="628"/>
      <c r="AG424" s="628"/>
      <c r="AH424" s="628"/>
      <c r="AI424" s="628"/>
      <c r="AJ424" s="628"/>
      <c r="AK424" s="628"/>
      <c r="AL424" s="784"/>
      <c r="AM424" s="604"/>
      <c r="AN424" s="631"/>
    </row>
    <row r="425" spans="1:60" s="584" customFormat="1" ht="12.75" customHeight="1">
      <c r="A425" s="570"/>
      <c r="B425" s="14"/>
      <c r="C425" s="785"/>
      <c r="D425" s="764"/>
      <c r="E425" s="753"/>
      <c r="F425" s="2025"/>
      <c r="G425" s="2025"/>
      <c r="H425" s="2025"/>
      <c r="I425" s="2025"/>
      <c r="J425" s="2025"/>
      <c r="K425" s="2025"/>
      <c r="L425" s="2025"/>
      <c r="M425" s="2025"/>
      <c r="N425" s="2025"/>
      <c r="O425" s="2025"/>
      <c r="P425" s="2025"/>
      <c r="Q425" s="2025"/>
      <c r="R425" s="2025"/>
      <c r="S425" s="2025"/>
      <c r="T425" s="2025"/>
      <c r="U425" s="2025"/>
      <c r="V425" s="2025"/>
      <c r="W425" s="2025"/>
      <c r="X425" s="2025"/>
      <c r="Y425" s="2025"/>
      <c r="Z425" s="2025"/>
      <c r="AA425" s="2025"/>
      <c r="AB425" s="2025"/>
      <c r="AC425" s="2025"/>
      <c r="AD425" s="2025"/>
      <c r="AE425" s="2025"/>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25"/>
      <c r="G426" s="2025"/>
      <c r="H426" s="2025"/>
      <c r="I426" s="2025"/>
      <c r="J426" s="2025"/>
      <c r="K426" s="2025"/>
      <c r="L426" s="2025"/>
      <c r="M426" s="2025"/>
      <c r="N426" s="2025"/>
      <c r="O426" s="2025"/>
      <c r="P426" s="2025"/>
      <c r="Q426" s="2025"/>
      <c r="R426" s="2025"/>
      <c r="S426" s="2025"/>
      <c r="T426" s="2025"/>
      <c r="U426" s="2025"/>
      <c r="V426" s="2025"/>
      <c r="W426" s="2025"/>
      <c r="X426" s="2025"/>
      <c r="Y426" s="2025"/>
      <c r="Z426" s="2025"/>
      <c r="AA426" s="2025"/>
      <c r="AB426" s="2025"/>
      <c r="AC426" s="2025"/>
      <c r="AD426" s="2025"/>
      <c r="AE426" s="2025"/>
      <c r="AF426" s="628"/>
      <c r="AG426" s="628"/>
      <c r="AH426" s="628"/>
      <c r="AI426" s="628"/>
      <c r="AJ426" s="628"/>
      <c r="AK426" s="628"/>
      <c r="AL426" s="784"/>
      <c r="AM426" s="604"/>
      <c r="AN426" s="631"/>
    </row>
    <row r="427" spans="1:60" s="584" customFormat="1" ht="12.75" customHeight="1">
      <c r="A427" s="570"/>
      <c r="B427" s="14"/>
      <c r="C427" s="785"/>
      <c r="D427" s="764"/>
      <c r="E427" s="753"/>
      <c r="F427" s="2025"/>
      <c r="G427" s="2025"/>
      <c r="H427" s="2025"/>
      <c r="I427" s="2025"/>
      <c r="J427" s="2025"/>
      <c r="K427" s="2025"/>
      <c r="L427" s="2025"/>
      <c r="M427" s="2025"/>
      <c r="N427" s="2025"/>
      <c r="O427" s="2025"/>
      <c r="P427" s="2025"/>
      <c r="Q427" s="2025"/>
      <c r="R427" s="2025"/>
      <c r="S427" s="2025"/>
      <c r="T427" s="2025"/>
      <c r="U427" s="2025"/>
      <c r="V427" s="2025"/>
      <c r="W427" s="2025"/>
      <c r="X427" s="2025"/>
      <c r="Y427" s="2025"/>
      <c r="Z427" s="2025"/>
      <c r="AA427" s="2025"/>
      <c r="AB427" s="2025"/>
      <c r="AC427" s="2025"/>
      <c r="AD427" s="2025"/>
      <c r="AE427" s="2025"/>
      <c r="AF427" s="628"/>
      <c r="AG427" s="628"/>
      <c r="AH427" s="628"/>
      <c r="AI427" s="628"/>
      <c r="AJ427" s="628"/>
      <c r="AK427" s="628"/>
      <c r="AL427" s="784"/>
      <c r="AM427" s="604"/>
      <c r="AN427" s="631"/>
    </row>
    <row r="428" spans="1:60" s="584" customFormat="1" ht="12.75" customHeight="1">
      <c r="A428" s="570"/>
      <c r="B428" s="14"/>
      <c r="C428" s="785"/>
      <c r="D428" s="764"/>
      <c r="E428" s="753"/>
      <c r="F428" s="2025"/>
      <c r="G428" s="2025"/>
      <c r="H428" s="2025"/>
      <c r="I428" s="2025"/>
      <c r="J428" s="2025"/>
      <c r="K428" s="2025"/>
      <c r="L428" s="2025"/>
      <c r="M428" s="2025"/>
      <c r="N428" s="2025"/>
      <c r="O428" s="2025"/>
      <c r="P428" s="2025"/>
      <c r="Q428" s="2025"/>
      <c r="R428" s="2025"/>
      <c r="S428" s="2025"/>
      <c r="T428" s="2025"/>
      <c r="U428" s="2025"/>
      <c r="V428" s="2025"/>
      <c r="W428" s="2025"/>
      <c r="X428" s="2025"/>
      <c r="Y428" s="2025"/>
      <c r="Z428" s="2025"/>
      <c r="AA428" s="2025"/>
      <c r="AB428" s="2025"/>
      <c r="AC428" s="2025"/>
      <c r="AD428" s="2025"/>
      <c r="AE428" s="2025"/>
      <c r="AF428" s="628"/>
      <c r="AG428" s="628"/>
      <c r="AH428" s="628"/>
      <c r="AI428" s="628"/>
      <c r="AJ428" s="628"/>
      <c r="AK428" s="628"/>
      <c r="AL428" s="784"/>
      <c r="AM428" s="604"/>
      <c r="AN428" s="631"/>
    </row>
    <row r="429" spans="1:60" s="584" customFormat="1" ht="12.75" customHeight="1">
      <c r="A429" s="570"/>
      <c r="B429" s="14"/>
      <c r="C429" s="785"/>
      <c r="D429" s="764"/>
      <c r="E429" s="753"/>
      <c r="F429" s="2025"/>
      <c r="G429" s="2025"/>
      <c r="H429" s="2025"/>
      <c r="I429" s="2025"/>
      <c r="J429" s="2025"/>
      <c r="K429" s="2025"/>
      <c r="L429" s="2025"/>
      <c r="M429" s="2025"/>
      <c r="N429" s="2025"/>
      <c r="O429" s="2025"/>
      <c r="P429" s="2025"/>
      <c r="Q429" s="2025"/>
      <c r="R429" s="2025"/>
      <c r="S429" s="2025"/>
      <c r="T429" s="2025"/>
      <c r="U429" s="2025"/>
      <c r="V429" s="2025"/>
      <c r="W429" s="2025"/>
      <c r="X429" s="2025"/>
      <c r="Y429" s="2025"/>
      <c r="Z429" s="2025"/>
      <c r="AA429" s="2025"/>
      <c r="AB429" s="2025"/>
      <c r="AC429" s="2025"/>
      <c r="AD429" s="2025"/>
      <c r="AE429" s="2025"/>
      <c r="AF429" s="628"/>
      <c r="AG429" s="628"/>
      <c r="AH429" s="628"/>
      <c r="AI429" s="628"/>
      <c r="AJ429" s="628"/>
      <c r="AK429" s="628"/>
      <c r="AL429" s="784"/>
      <c r="AM429" s="604"/>
      <c r="AN429" s="631"/>
    </row>
    <row r="430" spans="1:60" s="584" customFormat="1" ht="17.25" customHeight="1">
      <c r="A430" s="570"/>
      <c r="B430" s="14"/>
      <c r="C430" s="785"/>
      <c r="D430" s="764"/>
      <c r="E430" s="753"/>
      <c r="F430" s="2025"/>
      <c r="G430" s="2025"/>
      <c r="H430" s="2025"/>
      <c r="I430" s="2025"/>
      <c r="J430" s="2025"/>
      <c r="K430" s="2025"/>
      <c r="L430" s="2025"/>
      <c r="M430" s="2025"/>
      <c r="N430" s="2025"/>
      <c r="O430" s="2025"/>
      <c r="P430" s="2025"/>
      <c r="Q430" s="2025"/>
      <c r="R430" s="2025"/>
      <c r="S430" s="2025"/>
      <c r="T430" s="2025"/>
      <c r="U430" s="2025"/>
      <c r="V430" s="2025"/>
      <c r="W430" s="2025"/>
      <c r="X430" s="2025"/>
      <c r="Y430" s="2025"/>
      <c r="Z430" s="2025"/>
      <c r="AA430" s="2025"/>
      <c r="AB430" s="2025"/>
      <c r="AC430" s="2025"/>
      <c r="AD430" s="2025"/>
      <c r="AE430" s="2025"/>
      <c r="AL430" s="766"/>
      <c r="AM430" s="604"/>
      <c r="AN430" s="631"/>
    </row>
    <row r="431" spans="1:60" s="584" customFormat="1" ht="12.75" customHeight="1">
      <c r="A431" s="570"/>
      <c r="B431" s="14"/>
      <c r="C431" s="2021" t="s">
        <v>554</v>
      </c>
      <c r="D431" s="1978"/>
      <c r="E431" s="753"/>
      <c r="F431" s="630" t="s">
        <v>1599</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48" t="s">
        <v>1575</v>
      </c>
      <c r="AG431" s="1948"/>
      <c r="AH431" s="1948"/>
      <c r="AI431" s="1948"/>
      <c r="AJ431" s="1948"/>
      <c r="AK431" s="1948"/>
      <c r="AL431" s="2026"/>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1600</v>
      </c>
      <c r="F434" s="2024" t="s">
        <v>1601</v>
      </c>
      <c r="G434" s="2024"/>
      <c r="H434" s="2024"/>
      <c r="I434" s="2024"/>
      <c r="J434" s="2024"/>
      <c r="K434" s="2024"/>
      <c r="L434" s="2024"/>
      <c r="M434" s="2024"/>
      <c r="N434" s="2024"/>
      <c r="O434" s="2024"/>
      <c r="P434" s="2024"/>
      <c r="Q434" s="2024"/>
      <c r="R434" s="2024"/>
      <c r="S434" s="2024"/>
      <c r="T434" s="2024"/>
      <c r="U434" s="2024"/>
      <c r="V434" s="2024"/>
      <c r="W434" s="2024"/>
      <c r="X434" s="2024"/>
      <c r="Y434" s="2024"/>
      <c r="Z434" s="2024"/>
      <c r="AA434" s="2024"/>
      <c r="AB434" s="2024"/>
      <c r="AC434" s="2024"/>
      <c r="AD434" s="2024"/>
      <c r="AE434" s="2024"/>
      <c r="AF434" s="748"/>
      <c r="AG434" s="748"/>
      <c r="AH434" s="748"/>
      <c r="AI434" s="748"/>
      <c r="AJ434" s="748"/>
      <c r="AK434" s="748"/>
      <c r="AL434" s="779"/>
      <c r="AM434" s="604"/>
      <c r="AN434" s="631"/>
    </row>
    <row r="435" spans="1:40" s="584" customFormat="1" ht="12.75" customHeight="1">
      <c r="A435" s="570"/>
      <c r="B435" s="14"/>
      <c r="C435" s="785"/>
      <c r="D435" s="764"/>
      <c r="E435" s="753"/>
      <c r="F435" s="2025"/>
      <c r="G435" s="2025"/>
      <c r="H435" s="2025"/>
      <c r="I435" s="2025"/>
      <c r="J435" s="2025"/>
      <c r="K435" s="2025"/>
      <c r="L435" s="2025"/>
      <c r="M435" s="2025"/>
      <c r="N435" s="2025"/>
      <c r="O435" s="2025"/>
      <c r="P435" s="2025"/>
      <c r="Q435" s="2025"/>
      <c r="R435" s="2025"/>
      <c r="S435" s="2025"/>
      <c r="T435" s="2025"/>
      <c r="U435" s="2025"/>
      <c r="V435" s="2025"/>
      <c r="W435" s="2025"/>
      <c r="X435" s="2025"/>
      <c r="Y435" s="2025"/>
      <c r="Z435" s="2025"/>
      <c r="AA435" s="2025"/>
      <c r="AB435" s="2025"/>
      <c r="AC435" s="2025"/>
      <c r="AD435" s="2025"/>
      <c r="AE435" s="2025"/>
      <c r="AF435" s="625"/>
      <c r="AG435" s="625"/>
      <c r="AH435" s="625"/>
      <c r="AI435" s="625"/>
      <c r="AJ435" s="625"/>
      <c r="AK435" s="625"/>
      <c r="AL435" s="754"/>
      <c r="AM435" s="604"/>
      <c r="AN435" s="631"/>
    </row>
    <row r="436" spans="1:40" s="584" customFormat="1" ht="12.75" customHeight="1">
      <c r="A436" s="570"/>
      <c r="B436" s="14"/>
      <c r="C436" s="785"/>
      <c r="D436" s="764"/>
      <c r="E436" s="753"/>
      <c r="F436" s="2025"/>
      <c r="G436" s="2025"/>
      <c r="H436" s="2025"/>
      <c r="I436" s="2025"/>
      <c r="J436" s="2025"/>
      <c r="K436" s="2025"/>
      <c r="L436" s="2025"/>
      <c r="M436" s="2025"/>
      <c r="N436" s="2025"/>
      <c r="O436" s="2025"/>
      <c r="P436" s="2025"/>
      <c r="Q436" s="2025"/>
      <c r="R436" s="2025"/>
      <c r="S436" s="2025"/>
      <c r="T436" s="2025"/>
      <c r="U436" s="2025"/>
      <c r="V436" s="2025"/>
      <c r="W436" s="2025"/>
      <c r="X436" s="2025"/>
      <c r="Y436" s="2025"/>
      <c r="Z436" s="2025"/>
      <c r="AA436" s="2025"/>
      <c r="AB436" s="2025"/>
      <c r="AC436" s="2025"/>
      <c r="AD436" s="2025"/>
      <c r="AE436" s="2025"/>
      <c r="AF436" s="625"/>
      <c r="AG436" s="625"/>
      <c r="AH436" s="625"/>
      <c r="AI436" s="625"/>
      <c r="AJ436" s="625"/>
      <c r="AK436" s="625"/>
      <c r="AL436" s="754"/>
      <c r="AM436" s="604"/>
      <c r="AN436" s="631"/>
    </row>
    <row r="437" spans="1:40" s="584" customFormat="1" ht="12.75" customHeight="1">
      <c r="A437" s="570"/>
      <c r="B437" s="14"/>
      <c r="C437" s="785"/>
      <c r="D437" s="764"/>
      <c r="E437" s="753"/>
      <c r="F437" s="2025"/>
      <c r="G437" s="2025"/>
      <c r="H437" s="2025"/>
      <c r="I437" s="2025"/>
      <c r="J437" s="2025"/>
      <c r="K437" s="2025"/>
      <c r="L437" s="2025"/>
      <c r="M437" s="2025"/>
      <c r="N437" s="2025"/>
      <c r="O437" s="2025"/>
      <c r="P437" s="2025"/>
      <c r="Q437" s="2025"/>
      <c r="R437" s="2025"/>
      <c r="S437" s="2025"/>
      <c r="T437" s="2025"/>
      <c r="U437" s="2025"/>
      <c r="V437" s="2025"/>
      <c r="W437" s="2025"/>
      <c r="X437" s="2025"/>
      <c r="Y437" s="2025"/>
      <c r="Z437" s="2025"/>
      <c r="AA437" s="2025"/>
      <c r="AB437" s="2025"/>
      <c r="AC437" s="2025"/>
      <c r="AD437" s="2025"/>
      <c r="AE437" s="2025"/>
      <c r="AL437" s="766"/>
      <c r="AM437" s="604"/>
      <c r="AN437" s="631"/>
    </row>
    <row r="438" spans="1:40" s="584" customFormat="1" ht="12.75" customHeight="1">
      <c r="A438" s="570"/>
      <c r="B438" s="14"/>
      <c r="C438" s="2021" t="s">
        <v>600</v>
      </c>
      <c r="D438" s="1978"/>
      <c r="E438" s="753"/>
      <c r="F438" s="755" t="s">
        <v>1605</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48" t="s">
        <v>1575</v>
      </c>
      <c r="AG438" s="1948"/>
      <c r="AH438" s="1948"/>
      <c r="AI438" s="1948"/>
      <c r="AJ438" s="1948"/>
      <c r="AK438" s="1948"/>
      <c r="AL438" s="2026"/>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1582</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27" t="s">
        <v>600</v>
      </c>
      <c r="D442" s="2028"/>
      <c r="E442" s="749" t="s">
        <v>1610</v>
      </c>
      <c r="F442" s="2024" t="s">
        <v>1611</v>
      </c>
      <c r="G442" s="2024"/>
      <c r="H442" s="2024"/>
      <c r="I442" s="2024"/>
      <c r="J442" s="2024"/>
      <c r="K442" s="2024"/>
      <c r="L442" s="2024"/>
      <c r="M442" s="2024"/>
      <c r="N442" s="2024"/>
      <c r="O442" s="2024"/>
      <c r="P442" s="2024"/>
      <c r="Q442" s="2024"/>
      <c r="R442" s="2024"/>
      <c r="S442" s="2024"/>
      <c r="T442" s="2024"/>
      <c r="U442" s="2024"/>
      <c r="V442" s="2024"/>
      <c r="W442" s="2024"/>
      <c r="X442" s="2024"/>
      <c r="Y442" s="2024"/>
      <c r="Z442" s="2024"/>
      <c r="AA442" s="2024"/>
      <c r="AB442" s="2024"/>
      <c r="AC442" s="2024"/>
      <c r="AD442" s="2024"/>
      <c r="AE442" s="2024"/>
      <c r="AF442" s="2045" t="s">
        <v>1575</v>
      </c>
      <c r="AG442" s="2045"/>
      <c r="AH442" s="2045"/>
      <c r="AI442" s="2045"/>
      <c r="AJ442" s="2045"/>
      <c r="AK442" s="2045"/>
      <c r="AL442" s="2046"/>
      <c r="AM442" s="604"/>
      <c r="AN442" s="787"/>
    </row>
    <row r="443" spans="1:40" s="584" customFormat="1" ht="12.75" customHeight="1">
      <c r="A443" s="570"/>
      <c r="B443" s="14"/>
      <c r="C443" s="785"/>
      <c r="D443" s="764"/>
      <c r="E443" s="753"/>
      <c r="F443" s="2025"/>
      <c r="G443" s="2025"/>
      <c r="H443" s="2025"/>
      <c r="I443" s="2025"/>
      <c r="J443" s="2025"/>
      <c r="K443" s="2025"/>
      <c r="L443" s="2025"/>
      <c r="M443" s="2025"/>
      <c r="N443" s="2025"/>
      <c r="O443" s="2025"/>
      <c r="P443" s="2025"/>
      <c r="Q443" s="2025"/>
      <c r="R443" s="2025"/>
      <c r="S443" s="2025"/>
      <c r="T443" s="2025"/>
      <c r="U443" s="2025"/>
      <c r="V443" s="2025"/>
      <c r="W443" s="2025"/>
      <c r="X443" s="2025"/>
      <c r="Y443" s="2025"/>
      <c r="Z443" s="2025"/>
      <c r="AA443" s="2025"/>
      <c r="AB443" s="2025"/>
      <c r="AC443" s="2025"/>
      <c r="AD443" s="2025"/>
      <c r="AE443" s="2025"/>
      <c r="AF443" s="625"/>
      <c r="AG443" s="625"/>
      <c r="AH443" s="625"/>
      <c r="AI443" s="625"/>
      <c r="AJ443" s="625"/>
      <c r="AK443" s="625"/>
      <c r="AL443" s="754"/>
      <c r="AM443" s="604"/>
      <c r="AN443" s="788"/>
    </row>
    <row r="444" spans="1:40" s="584" customFormat="1" ht="17.649999999999999" customHeight="1">
      <c r="A444" s="570"/>
      <c r="B444" s="14"/>
      <c r="C444" s="790"/>
      <c r="D444" s="757"/>
      <c r="E444" s="758"/>
      <c r="F444" s="2044"/>
      <c r="G444" s="2044"/>
      <c r="H444" s="2044"/>
      <c r="I444" s="2044"/>
      <c r="J444" s="2044"/>
      <c r="K444" s="2044"/>
      <c r="L444" s="2044"/>
      <c r="M444" s="2044"/>
      <c r="N444" s="2044"/>
      <c r="O444" s="2044"/>
      <c r="P444" s="2044"/>
      <c r="Q444" s="2044"/>
      <c r="R444" s="2044"/>
      <c r="S444" s="2044"/>
      <c r="T444" s="2044"/>
      <c r="U444" s="2044"/>
      <c r="V444" s="2044"/>
      <c r="W444" s="2044"/>
      <c r="X444" s="2044"/>
      <c r="Y444" s="2044"/>
      <c r="Z444" s="2044"/>
      <c r="AA444" s="2044"/>
      <c r="AB444" s="2044"/>
      <c r="AC444" s="2044"/>
      <c r="AD444" s="2044"/>
      <c r="AE444" s="2044"/>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21" t="s">
        <v>600</v>
      </c>
      <c r="D446" s="1978"/>
      <c r="E446" s="749" t="s">
        <v>1616</v>
      </c>
      <c r="F446" s="2024" t="s">
        <v>1617</v>
      </c>
      <c r="G446" s="2024"/>
      <c r="H446" s="2024"/>
      <c r="I446" s="2024"/>
      <c r="J446" s="2024"/>
      <c r="K446" s="2024"/>
      <c r="L446" s="2024"/>
      <c r="M446" s="2024"/>
      <c r="N446" s="2024"/>
      <c r="O446" s="2024"/>
      <c r="P446" s="2024"/>
      <c r="Q446" s="2024"/>
      <c r="R446" s="2024"/>
      <c r="S446" s="2024"/>
      <c r="T446" s="2024"/>
      <c r="U446" s="2024"/>
      <c r="V446" s="2024"/>
      <c r="W446" s="2024"/>
      <c r="X446" s="2024"/>
      <c r="Y446" s="2024"/>
      <c r="Z446" s="2024"/>
      <c r="AA446" s="2024"/>
      <c r="AB446" s="2024"/>
      <c r="AC446" s="2024"/>
      <c r="AD446" s="2024"/>
      <c r="AE446" s="2024"/>
      <c r="AF446" s="2045" t="s">
        <v>1575</v>
      </c>
      <c r="AG446" s="2045"/>
      <c r="AH446" s="2045"/>
      <c r="AI446" s="2045"/>
      <c r="AJ446" s="2045"/>
      <c r="AK446" s="2045"/>
      <c r="AL446" s="2046"/>
      <c r="AM446" s="604"/>
      <c r="AN446" s="569"/>
    </row>
    <row r="447" spans="1:40" s="584" customFormat="1" ht="12.75" customHeight="1">
      <c r="A447" s="570"/>
      <c r="B447" s="14"/>
      <c r="C447" s="765"/>
      <c r="D447" s="14"/>
      <c r="E447" s="725"/>
      <c r="F447" s="2025"/>
      <c r="G447" s="2025"/>
      <c r="H447" s="2025"/>
      <c r="I447" s="2025"/>
      <c r="J447" s="2025"/>
      <c r="K447" s="2025"/>
      <c r="L447" s="2025"/>
      <c r="M447" s="2025"/>
      <c r="N447" s="2025"/>
      <c r="O447" s="2025"/>
      <c r="P447" s="2025"/>
      <c r="Q447" s="2025"/>
      <c r="R447" s="2025"/>
      <c r="S447" s="2025"/>
      <c r="T447" s="2025"/>
      <c r="U447" s="2025"/>
      <c r="V447" s="2025"/>
      <c r="W447" s="2025"/>
      <c r="X447" s="2025"/>
      <c r="Y447" s="2025"/>
      <c r="Z447" s="2025"/>
      <c r="AA447" s="2025"/>
      <c r="AB447" s="2025"/>
      <c r="AC447" s="2025"/>
      <c r="AD447" s="2025"/>
      <c r="AE447" s="2025"/>
      <c r="AF447" s="573"/>
      <c r="AG447" s="570"/>
      <c r="AL447" s="766"/>
      <c r="AM447" s="604"/>
      <c r="AN447" s="569"/>
    </row>
    <row r="448" spans="1:40" s="584" customFormat="1" ht="12.75" customHeight="1">
      <c r="A448" s="570"/>
      <c r="B448" s="14"/>
      <c r="C448" s="765"/>
      <c r="D448" s="14"/>
      <c r="E448" s="725"/>
      <c r="F448" s="2025"/>
      <c r="G448" s="2025"/>
      <c r="H448" s="2025"/>
      <c r="I448" s="2025"/>
      <c r="J448" s="2025"/>
      <c r="K448" s="2025"/>
      <c r="L448" s="2025"/>
      <c r="M448" s="2025"/>
      <c r="N448" s="2025"/>
      <c r="O448" s="2025"/>
      <c r="P448" s="2025"/>
      <c r="Q448" s="2025"/>
      <c r="R448" s="2025"/>
      <c r="S448" s="2025"/>
      <c r="T448" s="2025"/>
      <c r="U448" s="2025"/>
      <c r="V448" s="2025"/>
      <c r="W448" s="2025"/>
      <c r="X448" s="2025"/>
      <c r="Y448" s="2025"/>
      <c r="Z448" s="2025"/>
      <c r="AA448" s="2025"/>
      <c r="AB448" s="2025"/>
      <c r="AC448" s="2025"/>
      <c r="AD448" s="2025"/>
      <c r="AE448" s="2025"/>
      <c r="AF448" s="573"/>
      <c r="AG448" s="570"/>
      <c r="AL448" s="766"/>
      <c r="AM448" s="604"/>
      <c r="AN448" s="569"/>
    </row>
    <row r="449" spans="1:48" s="584" customFormat="1" ht="12.75" customHeight="1">
      <c r="A449" s="570"/>
      <c r="B449" s="14"/>
      <c r="C449" s="790"/>
      <c r="D449" s="757"/>
      <c r="E449" s="758"/>
      <c r="F449" s="2044"/>
      <c r="G449" s="2044"/>
      <c r="H449" s="2044"/>
      <c r="I449" s="2044"/>
      <c r="J449" s="2044"/>
      <c r="K449" s="2044"/>
      <c r="L449" s="2044"/>
      <c r="M449" s="2044"/>
      <c r="N449" s="2044"/>
      <c r="O449" s="2044"/>
      <c r="P449" s="2044"/>
      <c r="Q449" s="2044"/>
      <c r="R449" s="2044"/>
      <c r="S449" s="2044"/>
      <c r="T449" s="2044"/>
      <c r="U449" s="2044"/>
      <c r="V449" s="2044"/>
      <c r="W449" s="2044"/>
      <c r="X449" s="2044"/>
      <c r="Y449" s="2044"/>
      <c r="Z449" s="2044"/>
      <c r="AA449" s="2044"/>
      <c r="AB449" s="2044"/>
      <c r="AC449" s="2044"/>
      <c r="AD449" s="2044"/>
      <c r="AE449" s="2044"/>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1619</v>
      </c>
      <c r="F451" s="2024" t="s">
        <v>1620</v>
      </c>
      <c r="G451" s="2024"/>
      <c r="H451" s="2024"/>
      <c r="I451" s="2024"/>
      <c r="J451" s="2024"/>
      <c r="K451" s="2024"/>
      <c r="L451" s="2024"/>
      <c r="M451" s="2024"/>
      <c r="N451" s="2024"/>
      <c r="O451" s="2024"/>
      <c r="P451" s="2024"/>
      <c r="Q451" s="2024"/>
      <c r="R451" s="2024"/>
      <c r="S451" s="2024"/>
      <c r="T451" s="2024"/>
      <c r="U451" s="2024"/>
      <c r="V451" s="2024"/>
      <c r="W451" s="2024"/>
      <c r="X451" s="2024"/>
      <c r="Y451" s="2024"/>
      <c r="Z451" s="2024"/>
      <c r="AA451" s="2024"/>
      <c r="AB451" s="2024"/>
      <c r="AC451" s="2024"/>
      <c r="AD451" s="2024"/>
      <c r="AE451" s="2024"/>
      <c r="AF451" s="2024"/>
      <c r="AG451" s="778"/>
      <c r="AH451" s="748"/>
      <c r="AI451" s="748"/>
      <c r="AJ451" s="748"/>
      <c r="AK451" s="748"/>
      <c r="AL451" s="779"/>
      <c r="AM451" s="604"/>
      <c r="AN451" s="631"/>
    </row>
    <row r="452" spans="1:48" s="584" customFormat="1" ht="12.75" customHeight="1">
      <c r="A452" s="570"/>
      <c r="B452" s="14"/>
      <c r="C452" s="765"/>
      <c r="D452" s="14"/>
      <c r="E452" s="725"/>
      <c r="F452" s="2025"/>
      <c r="G452" s="2025"/>
      <c r="H452" s="2025"/>
      <c r="I452" s="2025"/>
      <c r="J452" s="2025"/>
      <c r="K452" s="2025"/>
      <c r="L452" s="2025"/>
      <c r="M452" s="2025"/>
      <c r="N452" s="2025"/>
      <c r="O452" s="2025"/>
      <c r="P452" s="2025"/>
      <c r="Q452" s="2025"/>
      <c r="R452" s="2025"/>
      <c r="S452" s="2025"/>
      <c r="T452" s="2025"/>
      <c r="U452" s="2025"/>
      <c r="V452" s="2025"/>
      <c r="W452" s="2025"/>
      <c r="X452" s="2025"/>
      <c r="Y452" s="2025"/>
      <c r="Z452" s="2025"/>
      <c r="AA452" s="2025"/>
      <c r="AB452" s="2025"/>
      <c r="AC452" s="2025"/>
      <c r="AD452" s="2025"/>
      <c r="AE452" s="2025"/>
      <c r="AF452" s="2025"/>
      <c r="AL452" s="766"/>
      <c r="AM452" s="604"/>
      <c r="AN452" s="631"/>
    </row>
    <row r="453" spans="1:48" s="584" customFormat="1" ht="12.75" customHeight="1">
      <c r="A453" s="570"/>
      <c r="B453" s="14"/>
      <c r="C453" s="773"/>
      <c r="F453" s="2025"/>
      <c r="G453" s="2025"/>
      <c r="H453" s="2025"/>
      <c r="I453" s="2025"/>
      <c r="J453" s="2025"/>
      <c r="K453" s="2025"/>
      <c r="L453" s="2025"/>
      <c r="M453" s="2025"/>
      <c r="N453" s="2025"/>
      <c r="O453" s="2025"/>
      <c r="P453" s="2025"/>
      <c r="Q453" s="2025"/>
      <c r="R453" s="2025"/>
      <c r="S453" s="2025"/>
      <c r="T453" s="2025"/>
      <c r="U453" s="2025"/>
      <c r="V453" s="2025"/>
      <c r="W453" s="2025"/>
      <c r="X453" s="2025"/>
      <c r="Y453" s="2025"/>
      <c r="Z453" s="2025"/>
      <c r="AA453" s="2025"/>
      <c r="AB453" s="2025"/>
      <c r="AC453" s="2025"/>
      <c r="AD453" s="2025"/>
      <c r="AE453" s="2025"/>
      <c r="AF453" s="2025"/>
      <c r="AL453" s="766"/>
      <c r="AM453" s="604"/>
      <c r="AN453" s="631"/>
    </row>
    <row r="454" spans="1:48" s="584" customFormat="1" ht="12.75" customHeight="1">
      <c r="A454" s="570"/>
      <c r="B454" s="14"/>
      <c r="C454" s="773"/>
      <c r="F454" s="2025"/>
      <c r="G454" s="2025"/>
      <c r="H454" s="2025"/>
      <c r="I454" s="2025"/>
      <c r="J454" s="2025"/>
      <c r="K454" s="2025"/>
      <c r="L454" s="2025"/>
      <c r="M454" s="2025"/>
      <c r="N454" s="2025"/>
      <c r="O454" s="2025"/>
      <c r="P454" s="2025"/>
      <c r="Q454" s="2025"/>
      <c r="R454" s="2025"/>
      <c r="S454" s="2025"/>
      <c r="T454" s="2025"/>
      <c r="U454" s="2025"/>
      <c r="V454" s="2025"/>
      <c r="W454" s="2025"/>
      <c r="X454" s="2025"/>
      <c r="Y454" s="2025"/>
      <c r="Z454" s="2025"/>
      <c r="AA454" s="2025"/>
      <c r="AB454" s="2025"/>
      <c r="AC454" s="2025"/>
      <c r="AD454" s="2025"/>
      <c r="AE454" s="2025"/>
      <c r="AF454" s="2025"/>
      <c r="AL454" s="766"/>
      <c r="AM454" s="604"/>
      <c r="AN454" s="631"/>
    </row>
    <row r="455" spans="1:48" s="584" customFormat="1" ht="12.75" customHeight="1">
      <c r="A455" s="570"/>
      <c r="B455" s="14"/>
      <c r="C455" s="2021" t="s">
        <v>600</v>
      </c>
      <c r="D455" s="1978"/>
      <c r="E455" s="753"/>
      <c r="F455" s="755" t="s">
        <v>1592</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22" t="s">
        <v>1575</v>
      </c>
      <c r="AG455" s="2022"/>
      <c r="AH455" s="2022"/>
      <c r="AI455" s="2022"/>
      <c r="AJ455" s="2022"/>
      <c r="AK455" s="2022"/>
      <c r="AL455" s="2023"/>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1621</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1622</v>
      </c>
      <c r="AK458" s="1981">
        <f>IF(Application!D214="N/A",AS347,AS349)</f>
        <v>10</v>
      </c>
      <c r="AL458" s="1982"/>
      <c r="AM458" s="1983"/>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600</v>
      </c>
      <c r="AP460" s="584">
        <v>0</v>
      </c>
      <c r="AT460" s="584" t="s">
        <v>600</v>
      </c>
      <c r="AU460" s="584">
        <v>0</v>
      </c>
      <c r="AV460" s="786"/>
    </row>
    <row r="461" spans="1:48" s="584" customFormat="1" ht="12.75" hidden="1" customHeight="1">
      <c r="A461" s="573" t="s">
        <v>1623</v>
      </c>
      <c r="C461" s="573"/>
      <c r="E461" s="630"/>
      <c r="AE461" s="2022" t="s">
        <v>1624</v>
      </c>
      <c r="AF461" s="2022"/>
      <c r="AG461" s="2022"/>
      <c r="AH461" s="2022"/>
      <c r="AI461" s="2022"/>
      <c r="AJ461" s="2022"/>
      <c r="AK461" s="2022"/>
      <c r="AL461" s="625"/>
      <c r="AN461" s="631"/>
      <c r="AO461" s="584" t="s">
        <v>1602</v>
      </c>
      <c r="AP461" s="584">
        <v>5</v>
      </c>
      <c r="AT461" s="584" t="s">
        <v>1602</v>
      </c>
      <c r="AU461" s="584">
        <v>5</v>
      </c>
      <c r="AV461" s="786"/>
    </row>
    <row r="462" spans="1:48" s="584" customFormat="1" ht="12.75" hidden="1" customHeight="1">
      <c r="A462" s="573"/>
      <c r="B462" s="570" t="s">
        <v>1625</v>
      </c>
      <c r="C462" s="573"/>
      <c r="E462" s="630"/>
      <c r="AE462" s="625"/>
      <c r="AF462" s="625"/>
      <c r="AG462" s="625"/>
      <c r="AH462" s="625"/>
      <c r="AI462" s="625"/>
      <c r="AJ462" s="625"/>
      <c r="AK462" s="625"/>
      <c r="AL462" s="625"/>
      <c r="AN462" s="631"/>
      <c r="AO462" s="584" t="s">
        <v>1626</v>
      </c>
      <c r="AP462" s="584">
        <v>5</v>
      </c>
      <c r="AT462" s="584" t="s">
        <v>1603</v>
      </c>
      <c r="AU462" s="584">
        <v>5</v>
      </c>
      <c r="AV462" s="786"/>
    </row>
    <row r="463" spans="1:48" s="584" customFormat="1" ht="12.75" hidden="1" customHeight="1">
      <c r="A463" s="573"/>
      <c r="B463" s="573" t="s">
        <v>1627</v>
      </c>
      <c r="C463" s="573"/>
      <c r="E463" s="630"/>
      <c r="AE463" s="625"/>
      <c r="AF463" s="625"/>
      <c r="AG463" s="625"/>
      <c r="AH463" s="625"/>
      <c r="AI463" s="625"/>
      <c r="AJ463" s="625"/>
      <c r="AK463" s="625"/>
      <c r="AL463" s="625"/>
      <c r="AN463" s="631"/>
      <c r="AO463" s="584" t="s">
        <v>1604</v>
      </c>
      <c r="AP463" s="584">
        <v>5</v>
      </c>
      <c r="AQ463" s="573"/>
      <c r="AR463" s="573"/>
      <c r="AS463" s="789"/>
      <c r="AT463" s="584" t="s">
        <v>1604</v>
      </c>
      <c r="AU463" s="584">
        <v>5</v>
      </c>
      <c r="AV463" s="570"/>
    </row>
    <row r="464" spans="1:48" s="584" customFormat="1" ht="12.75" hidden="1" customHeight="1">
      <c r="A464" s="573"/>
      <c r="B464" s="573" t="s">
        <v>1628</v>
      </c>
      <c r="C464" s="573"/>
      <c r="E464" s="630"/>
      <c r="AE464" s="625"/>
      <c r="AF464" s="625"/>
      <c r="AG464" s="625"/>
      <c r="AH464" s="625"/>
      <c r="AI464" s="625"/>
      <c r="AJ464" s="625"/>
      <c r="AK464" s="625"/>
      <c r="AL464" s="625"/>
      <c r="AN464" s="631"/>
      <c r="AO464" s="584" t="s">
        <v>1606</v>
      </c>
      <c r="AP464" s="584">
        <v>5</v>
      </c>
      <c r="AQ464" s="573"/>
      <c r="AR464" s="573"/>
      <c r="AT464" s="584" t="s">
        <v>1606</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1607</v>
      </c>
      <c r="AP465" s="584">
        <v>5</v>
      </c>
      <c r="AQ465" s="573"/>
      <c r="AR465" s="573"/>
      <c r="AT465" s="584" t="s">
        <v>1607</v>
      </c>
      <c r="AU465" s="584">
        <v>5</v>
      </c>
    </row>
    <row r="466" spans="1:59" s="584" customFormat="1" ht="12.75" hidden="1" customHeight="1">
      <c r="A466" s="573"/>
      <c r="C466" s="746" t="s">
        <v>1629</v>
      </c>
      <c r="D466" s="604"/>
      <c r="AE466" s="625"/>
      <c r="AF466" s="625"/>
      <c r="AG466" s="630"/>
      <c r="AH466" s="630"/>
      <c r="AI466" s="630"/>
      <c r="AJ466" s="630"/>
      <c r="AK466" s="630"/>
      <c r="AL466" s="630"/>
      <c r="AN466" s="631"/>
      <c r="AO466" s="584" t="s">
        <v>1608</v>
      </c>
      <c r="AP466" s="584">
        <v>5</v>
      </c>
      <c r="AT466" s="584" t="s">
        <v>1608</v>
      </c>
      <c r="AU466" s="584">
        <v>5</v>
      </c>
    </row>
    <row r="467" spans="1:59" s="584" customFormat="1" ht="12.75" hidden="1" customHeight="1">
      <c r="A467" s="573"/>
      <c r="C467" s="2047" t="s">
        <v>600</v>
      </c>
      <c r="D467" s="2048"/>
      <c r="E467" s="795" t="s">
        <v>516</v>
      </c>
      <c r="F467" s="2049" t="s">
        <v>1630</v>
      </c>
      <c r="G467" s="2049"/>
      <c r="H467" s="2049"/>
      <c r="I467" s="2049"/>
      <c r="J467" s="2049"/>
      <c r="K467" s="2049"/>
      <c r="L467" s="2049"/>
      <c r="M467" s="2049"/>
      <c r="N467" s="2049"/>
      <c r="O467" s="2049"/>
      <c r="P467" s="2049"/>
      <c r="Q467" s="2049"/>
      <c r="R467" s="2049"/>
      <c r="S467" s="2049"/>
      <c r="T467" s="2049"/>
      <c r="U467" s="2049"/>
      <c r="V467" s="2049"/>
      <c r="W467" s="2049"/>
      <c r="X467" s="2049"/>
      <c r="Y467" s="2049"/>
      <c r="Z467" s="2049"/>
      <c r="AA467" s="2049"/>
      <c r="AB467" s="2049"/>
      <c r="AC467" s="2049"/>
      <c r="AD467" s="2049"/>
      <c r="AE467" s="2049"/>
      <c r="AF467" s="748"/>
      <c r="AG467" s="748"/>
      <c r="AH467" s="748"/>
      <c r="AI467" s="748"/>
      <c r="AJ467" s="748"/>
      <c r="AK467" s="779"/>
      <c r="AN467" s="631"/>
      <c r="AO467" s="584" t="s">
        <v>1631</v>
      </c>
      <c r="AP467" s="584">
        <v>5</v>
      </c>
      <c r="AS467" s="792"/>
      <c r="AT467" s="584" t="s">
        <v>1609</v>
      </c>
      <c r="AU467" s="584">
        <v>5</v>
      </c>
    </row>
    <row r="468" spans="1:59" s="584" customFormat="1" ht="12.75" hidden="1" customHeight="1">
      <c r="C468" s="796"/>
      <c r="E468" s="797"/>
      <c r="F468" s="2050"/>
      <c r="G468" s="2050"/>
      <c r="H468" s="2050"/>
      <c r="I468" s="2050"/>
      <c r="J468" s="2050"/>
      <c r="K468" s="2050"/>
      <c r="L468" s="2050"/>
      <c r="M468" s="2050"/>
      <c r="N468" s="2050"/>
      <c r="O468" s="2050"/>
      <c r="P468" s="2050"/>
      <c r="Q468" s="2050"/>
      <c r="R468" s="2050"/>
      <c r="S468" s="2050"/>
      <c r="T468" s="2050"/>
      <c r="U468" s="2050"/>
      <c r="V468" s="2050"/>
      <c r="W468" s="2050"/>
      <c r="X468" s="2050"/>
      <c r="Y468" s="2050"/>
      <c r="Z468" s="2050"/>
      <c r="AA468" s="2050"/>
      <c r="AB468" s="2050"/>
      <c r="AC468" s="2050"/>
      <c r="AD468" s="2050"/>
      <c r="AE468" s="2050"/>
      <c r="AG468" s="585"/>
      <c r="AH468" s="585"/>
      <c r="AI468" s="585"/>
      <c r="AJ468" s="585"/>
      <c r="AK468" s="766"/>
      <c r="AN468" s="631"/>
      <c r="AO468" s="584" t="s">
        <v>1612</v>
      </c>
      <c r="AP468" s="584">
        <v>1</v>
      </c>
      <c r="AT468" s="584" t="s">
        <v>1612</v>
      </c>
      <c r="AU468" s="584">
        <v>1</v>
      </c>
    </row>
    <row r="469" spans="1:59" s="584" customFormat="1" ht="12.75" hidden="1" customHeight="1">
      <c r="C469" s="798"/>
      <c r="D469" s="761"/>
      <c r="E469" s="799"/>
      <c r="F469" s="2051" t="s">
        <v>600</v>
      </c>
      <c r="G469" s="2051"/>
      <c r="H469" s="2051"/>
      <c r="I469" s="2051"/>
      <c r="J469" s="2051"/>
      <c r="K469" s="2051"/>
      <c r="L469" s="2051"/>
      <c r="M469" s="2051"/>
      <c r="N469" s="2051"/>
      <c r="O469" s="2051"/>
      <c r="P469" s="2051"/>
      <c r="Q469" s="2051"/>
      <c r="R469" s="2051"/>
      <c r="S469" s="2051"/>
      <c r="T469" s="2051"/>
      <c r="U469" s="2051"/>
      <c r="V469" s="2051"/>
      <c r="W469" s="2051"/>
      <c r="X469" s="2051"/>
      <c r="Y469" s="2051"/>
      <c r="Z469" s="2051"/>
      <c r="AA469" s="800"/>
      <c r="AB469" s="692"/>
      <c r="AC469" s="692"/>
      <c r="AD469" s="761"/>
      <c r="AE469" s="761"/>
      <c r="AF469" s="761"/>
      <c r="AG469" s="801">
        <f>IF($C$467="Yes",(VLOOKUP($F$469,$AT$460:$AU$468,2,FALSE)),0)</f>
        <v>0</v>
      </c>
      <c r="AH469" s="802" t="s">
        <v>1440</v>
      </c>
      <c r="AI469" s="801"/>
      <c r="AJ469" s="801"/>
      <c r="AK469" s="776"/>
      <c r="AN469" s="631"/>
      <c r="AS469" s="789"/>
      <c r="AX469" s="789"/>
      <c r="BB469" s="789" t="s">
        <v>1613</v>
      </c>
      <c r="BF469" s="789" t="s">
        <v>1614</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600</v>
      </c>
      <c r="AP470" s="671">
        <v>0</v>
      </c>
      <c r="AT470" s="584" t="s">
        <v>600</v>
      </c>
      <c r="AU470" s="671">
        <v>0</v>
      </c>
      <c r="AW470" s="584" t="s">
        <v>600</v>
      </c>
      <c r="AX470" s="671">
        <v>0</v>
      </c>
      <c r="AY470" s="627"/>
      <c r="BB470" s="584" t="s">
        <v>600</v>
      </c>
      <c r="BC470" s="627">
        <v>0</v>
      </c>
      <c r="BF470" s="584" t="s">
        <v>600</v>
      </c>
      <c r="BG470" s="627">
        <v>0</v>
      </c>
    </row>
    <row r="471" spans="1:59" s="584" customFormat="1" ht="12.75" hidden="1" customHeight="1">
      <c r="C471" s="2052" t="s">
        <v>554</v>
      </c>
      <c r="D471" s="2053"/>
      <c r="E471" s="795" t="s">
        <v>767</v>
      </c>
      <c r="F471" s="803" t="s">
        <v>1632</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1615</v>
      </c>
      <c r="AX471" s="671">
        <v>3</v>
      </c>
      <c r="AY471" s="627"/>
      <c r="BB471" s="792">
        <v>0.4</v>
      </c>
      <c r="BC471" s="627">
        <v>3</v>
      </c>
      <c r="BF471" s="792">
        <v>0.4</v>
      </c>
      <c r="BG471" s="627">
        <v>4</v>
      </c>
    </row>
    <row r="472" spans="1:59" s="584" customFormat="1" ht="12.75" hidden="1" customHeight="1">
      <c r="C472" s="804" t="s">
        <v>1633</v>
      </c>
      <c r="F472" s="805" t="s">
        <v>1634</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1618</v>
      </c>
      <c r="AX472" s="671">
        <v>5</v>
      </c>
      <c r="AY472" s="627"/>
      <c r="BB472" s="792">
        <v>0.6</v>
      </c>
      <c r="BC472" s="627">
        <v>4</v>
      </c>
      <c r="BF472" s="792">
        <v>0.6</v>
      </c>
      <c r="BG472" s="627">
        <v>5</v>
      </c>
    </row>
    <row r="473" spans="1:59" s="584" customFormat="1" ht="12.75" hidden="1" customHeight="1">
      <c r="C473" s="785"/>
      <c r="D473" s="764"/>
      <c r="E473" s="806"/>
      <c r="F473" s="805" t="s">
        <v>1635</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1636</v>
      </c>
      <c r="G474" s="584"/>
      <c r="H474" s="584"/>
      <c r="I474" s="805"/>
      <c r="J474" s="805"/>
      <c r="K474" s="805"/>
      <c r="L474" s="805"/>
      <c r="M474" s="805"/>
      <c r="N474" s="805"/>
      <c r="O474" s="805"/>
      <c r="P474" s="805"/>
      <c r="Q474" s="805"/>
      <c r="R474" s="805"/>
      <c r="S474" s="805"/>
      <c r="T474" s="805"/>
      <c r="U474" s="805"/>
      <c r="V474" s="2059" t="s">
        <v>600</v>
      </c>
      <c r="W474" s="2059"/>
      <c r="X474" s="2059"/>
      <c r="Y474" s="805"/>
      <c r="Z474" s="805"/>
      <c r="AA474" s="805"/>
      <c r="AB474" s="805"/>
      <c r="AC474" s="805"/>
      <c r="AD474" s="643"/>
      <c r="AE474" s="643"/>
      <c r="AF474" s="643"/>
      <c r="AG474" s="647">
        <f>IF(AND($C$471="Yes",$V$476="N/A",$V$481="N/A",$V$485="N/A",$V$487="N/A"),(VLOOKUP(V474,$AW$470:$AX$472,2,FALSE)),0)</f>
        <v>0</v>
      </c>
      <c r="AH474" s="674" t="s">
        <v>1440</v>
      </c>
      <c r="AI474" s="585"/>
      <c r="AJ474" s="585"/>
      <c r="AK474" s="766"/>
      <c r="AL474" s="584"/>
      <c r="AM474" s="584"/>
      <c r="AN474" s="631"/>
      <c r="AT474" s="584" t="s">
        <v>600</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1637</v>
      </c>
      <c r="G476" s="584"/>
      <c r="H476" s="584"/>
      <c r="I476" s="805"/>
      <c r="J476" s="805"/>
      <c r="K476" s="805"/>
      <c r="L476" s="805"/>
      <c r="M476" s="805"/>
      <c r="N476" s="805"/>
      <c r="O476" s="805"/>
      <c r="P476" s="805"/>
      <c r="Q476" s="805"/>
      <c r="R476" s="805"/>
      <c r="S476" s="805"/>
      <c r="T476" s="805"/>
      <c r="U476" s="805"/>
      <c r="V476" s="2059" t="s">
        <v>600</v>
      </c>
      <c r="W476" s="2059"/>
      <c r="X476" s="2059"/>
      <c r="Y476" s="805"/>
      <c r="Z476" s="805"/>
      <c r="AA476" s="805"/>
      <c r="AB476" s="805"/>
      <c r="AC476" s="805"/>
      <c r="AD476" s="643"/>
      <c r="AE476" s="643"/>
      <c r="AF476" s="643"/>
      <c r="AG476" s="647">
        <f>IF(AND($C$471="Yes",$V$474="N/A", $V$481="N/A",$V$485="N/A",$V$487="N/A"),(VLOOKUP(V476,$AT$470:$AU$472,2,FALSE)),0)</f>
        <v>0</v>
      </c>
      <c r="AH476" s="674" t="s">
        <v>1440</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600</v>
      </c>
      <c r="AP477" s="584">
        <v>0</v>
      </c>
    </row>
    <row r="478" spans="1:59" s="584" customFormat="1" ht="12.75" hidden="1" customHeight="1">
      <c r="C478" s="796"/>
      <c r="E478" s="797"/>
      <c r="F478" s="810" t="s">
        <v>1638</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1639</v>
      </c>
      <c r="AP478" s="671">
        <v>2</v>
      </c>
    </row>
    <row r="479" spans="1:59" s="584" customFormat="1" ht="12.75" hidden="1" customHeight="1">
      <c r="C479" s="796"/>
      <c r="F479" s="643" t="s">
        <v>1640</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1641</v>
      </c>
      <c r="AP479" s="584">
        <v>2</v>
      </c>
    </row>
    <row r="480" spans="1:59" s="630" customFormat="1" ht="12.75" hidden="1" customHeight="1">
      <c r="A480" s="584"/>
      <c r="B480" s="584"/>
      <c r="C480" s="773"/>
      <c r="D480" s="604"/>
      <c r="E480" s="604"/>
      <c r="F480" s="643" t="s">
        <v>1642</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1643</v>
      </c>
      <c r="AP480" s="584">
        <v>2</v>
      </c>
    </row>
    <row r="481" spans="1:81" s="584" customFormat="1" ht="12.75" hidden="1" customHeight="1">
      <c r="C481" s="811"/>
      <c r="F481" s="809" t="s">
        <v>1644</v>
      </c>
      <c r="M481" s="797"/>
      <c r="N481" s="797"/>
      <c r="O481" s="797"/>
      <c r="P481" s="797"/>
      <c r="Q481" s="585"/>
      <c r="R481" s="585"/>
      <c r="S481" s="585"/>
      <c r="T481" s="585"/>
      <c r="U481" s="585"/>
      <c r="V481" s="2059" t="s">
        <v>600</v>
      </c>
      <c r="W481" s="2059"/>
      <c r="X481" s="2059"/>
      <c r="Y481" s="585"/>
      <c r="Z481" s="585"/>
      <c r="AA481" s="585"/>
      <c r="AB481" s="585"/>
      <c r="AC481" s="585"/>
      <c r="AG481" s="647">
        <f>IF(AND($C$471="Yes",$V$474="N/A",$V$476="N/A", $V$485="N/A",$V$487="N/A"),(VLOOKUP($V$481,$AT$474:$AU$476,2,FALSE)),0)</f>
        <v>0</v>
      </c>
      <c r="AH481" s="674" t="s">
        <v>1440</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1645</v>
      </c>
      <c r="D483" s="748"/>
      <c r="E483" s="748"/>
      <c r="F483" s="814" t="s">
        <v>1646</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600</v>
      </c>
      <c r="AP483" s="584">
        <v>0</v>
      </c>
      <c r="AQ483" s="573"/>
    </row>
    <row r="484" spans="1:81" s="630" customFormat="1" ht="12.75" hidden="1" customHeight="1">
      <c r="A484" s="584"/>
      <c r="B484" s="584"/>
      <c r="C484" s="815"/>
      <c r="D484" s="2058"/>
      <c r="E484" s="2058"/>
      <c r="F484" s="805" t="s">
        <v>1647</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1648</v>
      </c>
      <c r="AP484" s="671">
        <v>5</v>
      </c>
      <c r="AQ484" s="573"/>
    </row>
    <row r="485" spans="1:81" s="604" customFormat="1" ht="12.75" hidden="1" customHeight="1">
      <c r="A485" s="713"/>
      <c r="B485" s="584"/>
      <c r="C485" s="796"/>
      <c r="D485" s="584"/>
      <c r="E485" s="584"/>
      <c r="F485" s="816" t="s">
        <v>1636</v>
      </c>
      <c r="G485" s="584"/>
      <c r="H485" s="584"/>
      <c r="I485" s="584"/>
      <c r="J485" s="584"/>
      <c r="K485" s="584"/>
      <c r="L485" s="584"/>
      <c r="M485" s="584"/>
      <c r="N485" s="584"/>
      <c r="O485" s="584"/>
      <c r="P485" s="584"/>
      <c r="Q485" s="584"/>
      <c r="R485" s="584"/>
      <c r="S485" s="584"/>
      <c r="T485" s="584"/>
      <c r="U485" s="584"/>
      <c r="V485" s="2059" t="s">
        <v>600</v>
      </c>
      <c r="W485" s="2059"/>
      <c r="X485" s="2059"/>
      <c r="Y485" s="584"/>
      <c r="Z485" s="584"/>
      <c r="AA485" s="584"/>
      <c r="AB485" s="584"/>
      <c r="AC485" s="584"/>
      <c r="AD485" s="584"/>
      <c r="AE485" s="584"/>
      <c r="AF485" s="584"/>
      <c r="AG485" s="647">
        <f>IF(AND($C$471="Yes",$V$474="N/A",V476="N/A",$V$481="N/A",$V$487="N/A"),(VLOOKUP($V$485,$BB$470:$BC$473,2,FALSE)),0)</f>
        <v>0</v>
      </c>
      <c r="AH485" s="674" t="s">
        <v>1440</v>
      </c>
      <c r="AI485" s="585"/>
      <c r="AJ485" s="584"/>
      <c r="AK485" s="766"/>
      <c r="AL485" s="584"/>
      <c r="AM485" s="584"/>
      <c r="AN485" s="718"/>
      <c r="AO485" s="584" t="s">
        <v>1649</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1650</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1637</v>
      </c>
      <c r="G487" s="800"/>
      <c r="H487" s="800"/>
      <c r="I487" s="761"/>
      <c r="J487" s="761"/>
      <c r="K487" s="761"/>
      <c r="L487" s="761"/>
      <c r="M487" s="761"/>
      <c r="N487" s="761"/>
      <c r="O487" s="761"/>
      <c r="P487" s="761"/>
      <c r="Q487" s="761"/>
      <c r="R487" s="761"/>
      <c r="S487" s="761"/>
      <c r="T487" s="761"/>
      <c r="U487" s="761"/>
      <c r="V487" s="2059" t="s">
        <v>600</v>
      </c>
      <c r="W487" s="2059"/>
      <c r="X487" s="2059"/>
      <c r="Y487" s="761"/>
      <c r="Z487" s="761"/>
      <c r="AA487" s="761"/>
      <c r="AB487" s="761"/>
      <c r="AC487" s="761"/>
      <c r="AD487" s="761"/>
      <c r="AE487" s="761"/>
      <c r="AF487" s="761"/>
      <c r="AG487" s="817">
        <f>IF(AND($C$471="Yes",$V$474="N/A",$V$476="N/A",$V$481="N/A",$V$485="N/A"),(VLOOKUP($V$487,$BF$470:$BG$472,2,FALSE)),0)</f>
        <v>0</v>
      </c>
      <c r="AH487" s="802" t="s">
        <v>1440</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1651</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47" t="s">
        <v>600</v>
      </c>
      <c r="D490" s="2048"/>
      <c r="E490" s="795" t="s">
        <v>516</v>
      </c>
      <c r="F490" s="2049" t="s">
        <v>1630</v>
      </c>
      <c r="G490" s="2049"/>
      <c r="H490" s="2049"/>
      <c r="I490" s="2049"/>
      <c r="J490" s="2049"/>
      <c r="K490" s="2049"/>
      <c r="L490" s="2049"/>
      <c r="M490" s="2049"/>
      <c r="N490" s="2049"/>
      <c r="O490" s="2049"/>
      <c r="P490" s="2049"/>
      <c r="Q490" s="2049"/>
      <c r="R490" s="2049"/>
      <c r="S490" s="2049"/>
      <c r="T490" s="2049"/>
      <c r="U490" s="2049"/>
      <c r="V490" s="2049"/>
      <c r="W490" s="2049"/>
      <c r="X490" s="2049"/>
      <c r="Y490" s="2049"/>
      <c r="Z490" s="2049"/>
      <c r="AA490" s="2049"/>
      <c r="AB490" s="2049"/>
      <c r="AC490" s="2049"/>
      <c r="AD490" s="2049"/>
      <c r="AE490" s="2049"/>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50"/>
      <c r="G491" s="2050"/>
      <c r="H491" s="2050"/>
      <c r="I491" s="2050"/>
      <c r="J491" s="2050"/>
      <c r="K491" s="2050"/>
      <c r="L491" s="2050"/>
      <c r="M491" s="2050"/>
      <c r="N491" s="2050"/>
      <c r="O491" s="2050"/>
      <c r="P491" s="2050"/>
      <c r="Q491" s="2050"/>
      <c r="R491" s="2050"/>
      <c r="S491" s="2050"/>
      <c r="T491" s="2050"/>
      <c r="U491" s="2050"/>
      <c r="V491" s="2050"/>
      <c r="W491" s="2050"/>
      <c r="X491" s="2050"/>
      <c r="Y491" s="2050"/>
      <c r="Z491" s="2050"/>
      <c r="AA491" s="2050"/>
      <c r="AB491" s="2050"/>
      <c r="AC491" s="2050"/>
      <c r="AD491" s="2050"/>
      <c r="AE491" s="2050"/>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54" t="s">
        <v>600</v>
      </c>
      <c r="G492" s="2054"/>
      <c r="H492" s="2054"/>
      <c r="I492" s="2054"/>
      <c r="J492" s="2054"/>
      <c r="K492" s="2054"/>
      <c r="L492" s="2054"/>
      <c r="M492" s="2054"/>
      <c r="N492" s="2054"/>
      <c r="O492" s="2054"/>
      <c r="P492" s="2054"/>
      <c r="Q492" s="2054"/>
      <c r="R492" s="2054"/>
      <c r="S492" s="2054"/>
      <c r="T492" s="2054"/>
      <c r="U492" s="2054"/>
      <c r="V492" s="2054"/>
      <c r="W492" s="2054"/>
      <c r="X492" s="2054"/>
      <c r="Y492" s="2054"/>
      <c r="Z492" s="2054"/>
      <c r="AA492" s="800"/>
      <c r="AB492" s="692"/>
      <c r="AC492" s="692"/>
      <c r="AD492" s="761"/>
      <c r="AE492" s="761"/>
      <c r="AF492" s="761"/>
      <c r="AG492" s="801">
        <f>IF($C$490="Yes",(VLOOKUP($F$492,$AO$460:$AP$468,2,FALSE)),0)</f>
        <v>0</v>
      </c>
      <c r="AH492" s="802" t="s">
        <v>1440</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47" t="s">
        <v>600</v>
      </c>
      <c r="D494" s="2048"/>
      <c r="E494" s="795" t="s">
        <v>767</v>
      </c>
      <c r="F494" s="2055" t="s">
        <v>1652</v>
      </c>
      <c r="G494" s="2055"/>
      <c r="H494" s="2055"/>
      <c r="I494" s="2055"/>
      <c r="J494" s="2055"/>
      <c r="K494" s="2055"/>
      <c r="L494" s="2055"/>
      <c r="M494" s="2055"/>
      <c r="N494" s="2055"/>
      <c r="O494" s="2055"/>
      <c r="P494" s="2055"/>
      <c r="Q494" s="2055"/>
      <c r="R494" s="2055"/>
      <c r="S494" s="2055"/>
      <c r="T494" s="2055"/>
      <c r="U494" s="2055"/>
      <c r="V494" s="2055"/>
      <c r="W494" s="2055"/>
      <c r="X494" s="2055"/>
      <c r="Y494" s="2055"/>
      <c r="Z494" s="2055"/>
      <c r="AA494" s="2055"/>
      <c r="AB494" s="2055"/>
      <c r="AC494" s="2055"/>
      <c r="AD494" s="2055"/>
      <c r="AE494" s="2055"/>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56"/>
      <c r="G495" s="2056"/>
      <c r="H495" s="2056"/>
      <c r="I495" s="2056"/>
      <c r="J495" s="2056"/>
      <c r="K495" s="2056"/>
      <c r="L495" s="2056"/>
      <c r="M495" s="2056"/>
      <c r="N495" s="2056"/>
      <c r="O495" s="2056"/>
      <c r="P495" s="2056"/>
      <c r="Q495" s="2056"/>
      <c r="R495" s="2056"/>
      <c r="S495" s="2056"/>
      <c r="T495" s="2056"/>
      <c r="U495" s="2056"/>
      <c r="V495" s="2056"/>
      <c r="W495" s="2056"/>
      <c r="X495" s="2056"/>
      <c r="Y495" s="2056"/>
      <c r="Z495" s="2056"/>
      <c r="AA495" s="2056"/>
      <c r="AB495" s="2056"/>
      <c r="AC495" s="2056"/>
      <c r="AD495" s="2056"/>
      <c r="AE495" s="2056"/>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1653</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57" t="s">
        <v>600</v>
      </c>
      <c r="G497" s="2057"/>
      <c r="H497" s="2057"/>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1440</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47" t="s">
        <v>600</v>
      </c>
      <c r="D499" s="2048"/>
      <c r="E499" s="795" t="s">
        <v>1654</v>
      </c>
      <c r="F499" s="814" t="s">
        <v>1655</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70"/>
      <c r="D501" s="2058"/>
      <c r="E501" s="806"/>
      <c r="F501" s="585" t="s">
        <v>1656</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1440</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71" t="s">
        <v>600</v>
      </c>
      <c r="H502" s="2071"/>
      <c r="I502" s="2071"/>
      <c r="J502" s="2071"/>
      <c r="K502" s="2071"/>
      <c r="L502" s="2071"/>
      <c r="M502" s="2071"/>
      <c r="N502" s="2071"/>
      <c r="O502" s="2071"/>
      <c r="P502" s="2071"/>
      <c r="Q502" s="2071"/>
      <c r="R502" s="2071"/>
      <c r="S502" s="2071"/>
      <c r="T502" s="2071"/>
      <c r="U502" s="2071"/>
      <c r="V502" s="2071"/>
      <c r="W502" s="2071"/>
      <c r="X502" s="2071"/>
      <c r="Y502" s="2071"/>
      <c r="Z502" s="2071"/>
      <c r="AA502" s="2071"/>
      <c r="AB502" s="2071"/>
      <c r="AC502" s="2071"/>
      <c r="AD502" s="2071"/>
      <c r="AE502" s="2071"/>
      <c r="AF502" s="2071"/>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72" t="s">
        <v>600</v>
      </c>
      <c r="D504" s="2073"/>
      <c r="F504" s="585" t="s">
        <v>1657</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1440</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1658</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1659</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72" t="s">
        <v>600</v>
      </c>
      <c r="D508" s="2073"/>
      <c r="F508" s="829" t="s">
        <v>1660</v>
      </c>
      <c r="G508" s="2025" t="s">
        <v>1661</v>
      </c>
      <c r="H508" s="2025"/>
      <c r="I508" s="2025"/>
      <c r="J508" s="2025"/>
      <c r="K508" s="2025"/>
      <c r="L508" s="2025"/>
      <c r="M508" s="2025"/>
      <c r="N508" s="2025"/>
      <c r="O508" s="2025"/>
      <c r="P508" s="2025"/>
      <c r="Q508" s="2025"/>
      <c r="R508" s="2025"/>
      <c r="S508" s="2025"/>
      <c r="T508" s="2025"/>
      <c r="U508" s="2025"/>
      <c r="V508" s="2025"/>
      <c r="W508" s="2025"/>
      <c r="X508" s="2025"/>
      <c r="Y508" s="2025"/>
      <c r="Z508" s="2025"/>
      <c r="AA508" s="2025"/>
      <c r="AB508" s="2025"/>
      <c r="AC508" s="2025"/>
      <c r="AD508" s="2025"/>
      <c r="AE508" s="2025"/>
      <c r="AF508" s="2025"/>
      <c r="AG508" s="647">
        <f>IF(AND($C$508="Yes",$C$499="Yes"),2,0)</f>
        <v>0</v>
      </c>
      <c r="AH508" s="674" t="s">
        <v>1440</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44"/>
      <c r="H509" s="2044"/>
      <c r="I509" s="2044"/>
      <c r="J509" s="2044"/>
      <c r="K509" s="2044"/>
      <c r="L509" s="2044"/>
      <c r="M509" s="2044"/>
      <c r="N509" s="2044"/>
      <c r="O509" s="2044"/>
      <c r="P509" s="2044"/>
      <c r="Q509" s="2044"/>
      <c r="R509" s="2044"/>
      <c r="S509" s="2044"/>
      <c r="T509" s="2044"/>
      <c r="U509" s="2044"/>
      <c r="V509" s="2044"/>
      <c r="W509" s="2044"/>
      <c r="X509" s="2044"/>
      <c r="Y509" s="2044"/>
      <c r="Z509" s="2044"/>
      <c r="AA509" s="2044"/>
      <c r="AB509" s="2044"/>
      <c r="AC509" s="2044"/>
      <c r="AD509" s="2044"/>
      <c r="AE509" s="2044"/>
      <c r="AF509" s="2044"/>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1662</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60" t="s">
        <v>600</v>
      </c>
      <c r="D512" s="2061"/>
      <c r="E512" s="836" t="s">
        <v>1663</v>
      </c>
      <c r="F512" s="805" t="s">
        <v>1664</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1440</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62" t="s">
        <v>600</v>
      </c>
      <c r="G513" s="2062"/>
      <c r="H513" s="2062"/>
      <c r="I513" s="2062"/>
      <c r="J513" s="2062"/>
      <c r="K513" s="2062"/>
      <c r="L513" s="2062"/>
      <c r="M513" s="2062"/>
      <c r="N513" s="2062"/>
      <c r="O513" s="2062"/>
      <c r="P513" s="2062"/>
      <c r="Q513" s="2062"/>
      <c r="R513" s="2062"/>
      <c r="S513" s="2062"/>
      <c r="T513" s="2062"/>
      <c r="U513" s="2062"/>
      <c r="V513" s="2062"/>
      <c r="W513" s="2062"/>
      <c r="X513" s="2062"/>
      <c r="Y513" s="2062"/>
      <c r="Z513" s="2062"/>
      <c r="AA513" s="2062"/>
      <c r="AB513" s="2062"/>
      <c r="AC513" s="2062"/>
      <c r="AD513" s="2062"/>
      <c r="AE513" s="2062"/>
      <c r="AF513" s="2062"/>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63"/>
      <c r="G514" s="2063"/>
      <c r="H514" s="2063"/>
      <c r="I514" s="2063"/>
      <c r="J514" s="2063"/>
      <c r="K514" s="2063"/>
      <c r="L514" s="2063"/>
      <c r="M514" s="2063"/>
      <c r="N514" s="2063"/>
      <c r="O514" s="2063"/>
      <c r="P514" s="2063"/>
      <c r="Q514" s="2063"/>
      <c r="R514" s="2063"/>
      <c r="S514" s="2063"/>
      <c r="T514" s="2063"/>
      <c r="U514" s="2063"/>
      <c r="V514" s="2063"/>
      <c r="W514" s="2063"/>
      <c r="X514" s="2063"/>
      <c r="Y514" s="2063"/>
      <c r="Z514" s="2063"/>
      <c r="AA514" s="2063"/>
      <c r="AB514" s="2063"/>
      <c r="AC514" s="2063"/>
      <c r="AD514" s="2063"/>
      <c r="AE514" s="2063"/>
      <c r="AF514" s="2063"/>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1665</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1666</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2344</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1667</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2345</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1668</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1669</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1670</v>
      </c>
      <c r="AK524" s="1981">
        <f>SUM(AG468:AG513)</f>
        <v>0</v>
      </c>
      <c r="AL524" s="1982"/>
      <c r="AM524" s="1983"/>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75" thickTop="1"/>
    <row r="527" spans="1:81" s="584" customFormat="1" ht="12.75" customHeight="1">
      <c r="A527" s="573" t="s">
        <v>1671</v>
      </c>
      <c r="B527" s="573" t="s">
        <v>1672</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16" t="s">
        <v>1673</v>
      </c>
      <c r="AF527" s="1916"/>
      <c r="AG527" s="1916"/>
      <c r="AH527" s="1916"/>
      <c r="AI527" s="1916"/>
      <c r="AJ527" s="1916"/>
      <c r="AK527" s="1916"/>
      <c r="AL527" s="629"/>
      <c r="AM527" s="629"/>
      <c r="AN527" s="631"/>
    </row>
    <row r="528" spans="1:81" s="584" customFormat="1" ht="12.75" customHeight="1">
      <c r="A528" s="573"/>
      <c r="B528" s="573" t="s">
        <v>1436</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78" t="s">
        <v>600</v>
      </c>
      <c r="D530" s="1978"/>
      <c r="E530" s="585"/>
      <c r="F530" s="2064" t="s">
        <v>1674</v>
      </c>
      <c r="G530" s="2065"/>
      <c r="H530" s="2065"/>
      <c r="I530" s="2065"/>
      <c r="J530" s="2065"/>
      <c r="K530" s="2065"/>
      <c r="L530" s="2065"/>
      <c r="M530" s="2065"/>
      <c r="N530" s="2065"/>
      <c r="O530" s="2065"/>
      <c r="P530" s="2065"/>
      <c r="Q530" s="2065"/>
      <c r="R530" s="2065"/>
      <c r="S530" s="2065"/>
      <c r="T530" s="2065"/>
      <c r="U530" s="2065"/>
      <c r="V530" s="2065"/>
      <c r="W530" s="2065"/>
      <c r="X530" s="2065"/>
      <c r="Y530" s="2065"/>
      <c r="Z530" s="2065"/>
      <c r="AA530" s="2065"/>
      <c r="AB530" s="2065"/>
      <c r="AC530" s="2065"/>
      <c r="AD530" s="2065"/>
      <c r="AE530" s="2065"/>
      <c r="AF530" s="2065"/>
      <c r="AG530" s="2065"/>
      <c r="AH530" s="2065"/>
      <c r="AI530" s="2065"/>
      <c r="AJ530" s="2065"/>
      <c r="AK530" s="2065"/>
      <c r="AL530" s="2066"/>
      <c r="AM530" s="629"/>
      <c r="AN530" s="631"/>
    </row>
    <row r="531" spans="1:49" s="584" customFormat="1" ht="12.75" customHeight="1">
      <c r="A531" s="573"/>
      <c r="B531" s="573"/>
      <c r="C531" s="585"/>
      <c r="D531" s="585"/>
      <c r="E531" s="585"/>
      <c r="F531" s="2067"/>
      <c r="G531" s="2068"/>
      <c r="H531" s="2068"/>
      <c r="I531" s="2068"/>
      <c r="J531" s="2068"/>
      <c r="K531" s="2068"/>
      <c r="L531" s="2068"/>
      <c r="M531" s="2068"/>
      <c r="N531" s="2068"/>
      <c r="O531" s="2068"/>
      <c r="P531" s="2068"/>
      <c r="Q531" s="2068"/>
      <c r="R531" s="2068"/>
      <c r="S531" s="2068"/>
      <c r="T531" s="2068"/>
      <c r="U531" s="2068"/>
      <c r="V531" s="2068"/>
      <c r="W531" s="2068"/>
      <c r="X531" s="2068"/>
      <c r="Y531" s="2068"/>
      <c r="Z531" s="2068"/>
      <c r="AA531" s="2068"/>
      <c r="AB531" s="2068"/>
      <c r="AC531" s="2068"/>
      <c r="AD531" s="2068"/>
      <c r="AE531" s="2068"/>
      <c r="AF531" s="2068"/>
      <c r="AG531" s="2068"/>
      <c r="AH531" s="2068"/>
      <c r="AI531" s="2068"/>
      <c r="AJ531" s="2068"/>
      <c r="AK531" s="2068"/>
      <c r="AL531" s="2069"/>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78" t="s">
        <v>554</v>
      </c>
      <c r="D533" s="1978"/>
      <c r="E533" s="840"/>
      <c r="F533" s="678" t="s">
        <v>1675</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2000" t="s">
        <v>1676</v>
      </c>
      <c r="G534" s="2001"/>
      <c r="H534" s="2001"/>
      <c r="I534" s="2001"/>
      <c r="J534" s="2001"/>
      <c r="K534" s="2001"/>
      <c r="L534" s="2001"/>
      <c r="M534" s="2001"/>
      <c r="N534" s="2001"/>
      <c r="O534" s="2001"/>
      <c r="P534" s="2001"/>
      <c r="Q534" s="2001"/>
      <c r="R534" s="2001"/>
      <c r="S534" s="2001"/>
      <c r="T534" s="2001"/>
      <c r="U534" s="2001"/>
      <c r="V534" s="2001"/>
      <c r="W534" s="2001"/>
      <c r="X534" s="2001"/>
      <c r="Y534" s="2001"/>
      <c r="Z534" s="2001"/>
      <c r="AA534" s="2001"/>
      <c r="AB534" s="2001"/>
      <c r="AC534" s="2001"/>
      <c r="AD534" s="2001"/>
      <c r="AE534" s="2001"/>
      <c r="AF534" s="2001"/>
      <c r="AG534" s="2001"/>
      <c r="AH534" s="2001"/>
      <c r="AI534" s="2001"/>
      <c r="AJ534" s="2001"/>
      <c r="AK534" s="2001"/>
      <c r="AL534" s="2002"/>
      <c r="AM534" s="629"/>
      <c r="AN534" s="631"/>
      <c r="AS534" s="904"/>
      <c r="AT534" s="904"/>
      <c r="AU534" s="904"/>
      <c r="AV534" s="904"/>
      <c r="AW534" s="904"/>
    </row>
    <row r="535" spans="1:49" s="584" customFormat="1" ht="12.75" customHeight="1">
      <c r="B535" s="840"/>
      <c r="C535" s="840"/>
      <c r="D535" s="840"/>
      <c r="E535" s="840"/>
      <c r="F535" s="2000"/>
      <c r="G535" s="2001"/>
      <c r="H535" s="2001"/>
      <c r="I535" s="2001"/>
      <c r="J535" s="2001"/>
      <c r="K535" s="2001"/>
      <c r="L535" s="2001"/>
      <c r="M535" s="2001"/>
      <c r="N535" s="2001"/>
      <c r="O535" s="2001"/>
      <c r="P535" s="2001"/>
      <c r="Q535" s="2001"/>
      <c r="R535" s="2001"/>
      <c r="S535" s="2001"/>
      <c r="T535" s="2001"/>
      <c r="U535" s="2001"/>
      <c r="V535" s="2001"/>
      <c r="W535" s="2001"/>
      <c r="X535" s="2001"/>
      <c r="Y535" s="2001"/>
      <c r="Z535" s="2001"/>
      <c r="AA535" s="2001"/>
      <c r="AB535" s="2001"/>
      <c r="AC535" s="2001"/>
      <c r="AD535" s="2001"/>
      <c r="AE535" s="2001"/>
      <c r="AF535" s="2001"/>
      <c r="AG535" s="2001"/>
      <c r="AH535" s="2001"/>
      <c r="AI535" s="2001"/>
      <c r="AJ535" s="2001"/>
      <c r="AK535" s="2001"/>
      <c r="AL535" s="2002"/>
      <c r="AM535" s="629"/>
      <c r="AN535" s="631"/>
    </row>
    <row r="536" spans="1:49" s="584" customFormat="1" ht="12.75" customHeight="1">
      <c r="B536" s="840"/>
      <c r="C536" s="840"/>
      <c r="D536" s="840"/>
      <c r="E536" s="840"/>
      <c r="F536" s="845" t="s">
        <v>2346</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2000" t="s">
        <v>1677</v>
      </c>
      <c r="G537" s="2001"/>
      <c r="H537" s="2001"/>
      <c r="I537" s="2001"/>
      <c r="J537" s="2001"/>
      <c r="K537" s="2001"/>
      <c r="L537" s="2001"/>
      <c r="M537" s="2001"/>
      <c r="N537" s="2001"/>
      <c r="O537" s="2001"/>
      <c r="P537" s="2001"/>
      <c r="Q537" s="2001"/>
      <c r="R537" s="2001"/>
      <c r="S537" s="2001"/>
      <c r="T537" s="2001"/>
      <c r="U537" s="2001"/>
      <c r="V537" s="2001"/>
      <c r="W537" s="2001"/>
      <c r="X537" s="2001"/>
      <c r="Y537" s="2001"/>
      <c r="Z537" s="2001"/>
      <c r="AA537" s="2001"/>
      <c r="AB537" s="2001"/>
      <c r="AC537" s="2001"/>
      <c r="AD537" s="2001"/>
      <c r="AE537" s="2001"/>
      <c r="AF537" s="2001"/>
      <c r="AG537" s="2001"/>
      <c r="AH537" s="2001"/>
      <c r="AI537" s="2001"/>
      <c r="AJ537" s="2001"/>
      <c r="AK537" s="2001"/>
      <c r="AL537" s="847"/>
      <c r="AM537" s="629"/>
      <c r="AN537" s="631"/>
    </row>
    <row r="538" spans="1:49" s="584" customFormat="1" ht="12.75" customHeight="1">
      <c r="B538" s="840"/>
      <c r="C538" s="840"/>
      <c r="D538" s="840"/>
      <c r="E538" s="840"/>
      <c r="F538" s="2003"/>
      <c r="G538" s="2004"/>
      <c r="H538" s="2004"/>
      <c r="I538" s="2004"/>
      <c r="J538" s="2004"/>
      <c r="K538" s="2004"/>
      <c r="L538" s="2004"/>
      <c r="M538" s="2004"/>
      <c r="N538" s="2004"/>
      <c r="O538" s="2004"/>
      <c r="P538" s="2004"/>
      <c r="Q538" s="2004"/>
      <c r="R538" s="2004"/>
      <c r="S538" s="2004"/>
      <c r="T538" s="2004"/>
      <c r="U538" s="2004"/>
      <c r="V538" s="2004"/>
      <c r="W538" s="2004"/>
      <c r="X538" s="2004"/>
      <c r="Y538" s="2004"/>
      <c r="Z538" s="2004"/>
      <c r="AA538" s="2004"/>
      <c r="AB538" s="2004"/>
      <c r="AC538" s="2004"/>
      <c r="AD538" s="2004"/>
      <c r="AE538" s="2004"/>
      <c r="AF538" s="2004"/>
      <c r="AG538" s="2004"/>
      <c r="AH538" s="2004"/>
      <c r="AI538" s="2004"/>
      <c r="AJ538" s="2004"/>
      <c r="AK538" s="2004"/>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28">
        <f>Application!AJ991</f>
        <v>27316850</v>
      </c>
      <c r="AQ539" s="2128"/>
      <c r="AR539" s="2128"/>
      <c r="AS539" s="584" t="s">
        <v>2535</v>
      </c>
    </row>
    <row r="540" spans="1:49" s="584" customFormat="1" ht="12.75" customHeight="1">
      <c r="A540" s="532"/>
      <c r="B540" s="481" t="s">
        <v>1678</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84">
        <f>'Sources and Uses Budget'!S107+'Sources and Uses Budget'!T107</f>
        <v>35710107</v>
      </c>
      <c r="AG540" s="1984"/>
      <c r="AH540" s="1984"/>
      <c r="AI540" s="1984"/>
      <c r="AJ540" s="1984"/>
      <c r="AK540" s="629"/>
      <c r="AL540" s="629"/>
      <c r="AM540" s="629"/>
      <c r="AN540" s="631"/>
    </row>
    <row r="541" spans="1:49" s="584" customFormat="1" ht="12.75" customHeight="1">
      <c r="A541" s="659"/>
      <c r="B541" s="659" t="s">
        <v>1679</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33">
        <f>IFERROR(AP548,0)</f>
        <v>63042673</v>
      </c>
      <c r="AG541" s="2133"/>
      <c r="AH541" s="2133"/>
      <c r="AI541" s="2133"/>
      <c r="AJ541" s="2133"/>
      <c r="AK541" s="629"/>
      <c r="AL541" s="629"/>
      <c r="AM541" s="629"/>
      <c r="AN541" s="631"/>
      <c r="AP541" s="2128">
        <f>Application!AJ1044</f>
        <v>7648718.0000000009</v>
      </c>
      <c r="AQ541" s="2128"/>
      <c r="AR541" s="2128"/>
      <c r="AS541" s="584" t="s">
        <v>2057</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34">
        <f>IFERROR(ROUNDDOWN(IF(C533="YES",((1-(AF540/AF541))*2),(1-(AF540/AF541))),2),0)</f>
        <v>0.86</v>
      </c>
      <c r="AG542" s="2134"/>
      <c r="AH542" s="2134"/>
      <c r="AI542" s="2134"/>
      <c r="AJ542" s="2134"/>
      <c r="AK542" s="629"/>
      <c r="AL542" s="629"/>
      <c r="AM542" s="629"/>
      <c r="AN542" s="631"/>
      <c r="AP542" s="2131">
        <f>Application!AJ1048</f>
        <v>38789927</v>
      </c>
      <c r="AQ542" s="2131"/>
      <c r="AR542" s="2131"/>
      <c r="AS542" s="584" t="s">
        <v>2536</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27">
        <f>IF(((AP541+AP542)/AP539)&gt;0.8,0.8,((AP541+AP542)/AP539))</f>
        <v>0.8</v>
      </c>
      <c r="AQ543" s="2127"/>
      <c r="AR543" s="2127"/>
      <c r="AS543" s="584" t="s">
        <v>2537</v>
      </c>
    </row>
    <row r="544" spans="1:49" s="584" customFormat="1" ht="12.75" customHeight="1">
      <c r="A544" s="658"/>
      <c r="B544" s="2080" t="s">
        <v>2347</v>
      </c>
      <c r="C544" s="2081"/>
      <c r="D544" s="2081"/>
      <c r="E544" s="2081"/>
      <c r="F544" s="2081"/>
      <c r="G544" s="2081"/>
      <c r="H544" s="2081"/>
      <c r="I544" s="2081"/>
      <c r="J544" s="2081"/>
      <c r="K544" s="2081"/>
      <c r="L544" s="2081"/>
      <c r="M544" s="2081"/>
      <c r="N544" s="2081"/>
      <c r="O544" s="2081"/>
      <c r="P544" s="2081"/>
      <c r="Q544" s="2081"/>
      <c r="R544" s="2081"/>
      <c r="S544" s="2081"/>
      <c r="T544" s="2081"/>
      <c r="U544" s="2081"/>
      <c r="V544" s="2081"/>
      <c r="W544" s="2081"/>
      <c r="X544" s="2081"/>
      <c r="Y544" s="2081"/>
      <c r="Z544" s="2081"/>
      <c r="AA544" s="2081"/>
      <c r="AB544" s="2081"/>
      <c r="AC544" s="2081"/>
      <c r="AD544" s="2081"/>
      <c r="AE544" s="2081"/>
      <c r="AF544" s="2081"/>
      <c r="AG544" s="2081"/>
      <c r="AH544" s="2081"/>
      <c r="AI544" s="2081"/>
      <c r="AJ544" s="2082"/>
      <c r="AK544" s="629"/>
      <c r="AL544" s="629"/>
      <c r="AM544" s="629"/>
      <c r="AN544" s="631"/>
    </row>
    <row r="545" spans="1:45" s="584" customFormat="1" ht="12.75" customHeight="1">
      <c r="A545" s="658"/>
      <c r="B545" s="2083"/>
      <c r="C545" s="2084"/>
      <c r="D545" s="2084"/>
      <c r="E545" s="2084"/>
      <c r="F545" s="2084"/>
      <c r="G545" s="2084"/>
      <c r="H545" s="2084"/>
      <c r="I545" s="2084"/>
      <c r="J545" s="2084"/>
      <c r="K545" s="2084"/>
      <c r="L545" s="2084"/>
      <c r="M545" s="2084"/>
      <c r="N545" s="2084"/>
      <c r="O545" s="2084"/>
      <c r="P545" s="2084"/>
      <c r="Q545" s="2084"/>
      <c r="R545" s="2084"/>
      <c r="S545" s="2084"/>
      <c r="T545" s="2084"/>
      <c r="U545" s="2084"/>
      <c r="V545" s="2084"/>
      <c r="W545" s="2084"/>
      <c r="X545" s="2084"/>
      <c r="Y545" s="2084"/>
      <c r="Z545" s="2084"/>
      <c r="AA545" s="2084"/>
      <c r="AB545" s="2084"/>
      <c r="AC545" s="2084"/>
      <c r="AD545" s="2084"/>
      <c r="AE545" s="2084"/>
      <c r="AF545" s="2084"/>
      <c r="AG545" s="2084"/>
      <c r="AH545" s="2084"/>
      <c r="AI545" s="2084"/>
      <c r="AJ545" s="2085"/>
      <c r="AK545" s="629"/>
      <c r="AL545" s="629"/>
      <c r="AM545" s="629"/>
      <c r="AN545" s="631"/>
      <c r="AP545" s="2128">
        <f>AP546-AP541-AP542</f>
        <v>41189193</v>
      </c>
      <c r="AQ545" s="2036"/>
      <c r="AR545" s="2036"/>
      <c r="AS545" s="584" t="s">
        <v>2539</v>
      </c>
    </row>
    <row r="546" spans="1:45" s="584" customFormat="1" ht="12.75" customHeight="1">
      <c r="A546" s="658"/>
      <c r="B546" s="2086"/>
      <c r="C546" s="2087"/>
      <c r="D546" s="2087"/>
      <c r="E546" s="2087"/>
      <c r="F546" s="2087"/>
      <c r="G546" s="2087"/>
      <c r="H546" s="2087"/>
      <c r="I546" s="2087"/>
      <c r="J546" s="2087"/>
      <c r="K546" s="2087"/>
      <c r="L546" s="2087"/>
      <c r="M546" s="2087"/>
      <c r="N546" s="2087"/>
      <c r="O546" s="2087"/>
      <c r="P546" s="2087"/>
      <c r="Q546" s="2087"/>
      <c r="R546" s="2087"/>
      <c r="S546" s="2087"/>
      <c r="T546" s="2087"/>
      <c r="U546" s="2087"/>
      <c r="V546" s="2087"/>
      <c r="W546" s="2087"/>
      <c r="X546" s="2087"/>
      <c r="Y546" s="2087"/>
      <c r="Z546" s="2087"/>
      <c r="AA546" s="2087"/>
      <c r="AB546" s="2087"/>
      <c r="AC546" s="2087"/>
      <c r="AD546" s="2087"/>
      <c r="AE546" s="2087"/>
      <c r="AF546" s="2087"/>
      <c r="AG546" s="2087"/>
      <c r="AH546" s="2087"/>
      <c r="AI546" s="2087"/>
      <c r="AJ546" s="2088"/>
      <c r="AK546" s="629"/>
      <c r="AL546" s="629"/>
      <c r="AM546" s="629"/>
      <c r="AN546" s="631"/>
      <c r="AP546" s="2128">
        <f>Application!AJ1052</f>
        <v>87627838</v>
      </c>
      <c r="AQ546" s="2128"/>
      <c r="AR546" s="2128"/>
      <c r="AS546" s="584" t="s">
        <v>2538</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1680</v>
      </c>
      <c r="AK548" s="2089">
        <f>IFERROR(IF(AND(C530="N/A",C533="N/A"),0,IF(AF542=0,0,IF((AF542*100)&gt;12,12,(AF542*100)))),0)</f>
        <v>12</v>
      </c>
      <c r="AL548" s="2089"/>
      <c r="AM548" s="2090"/>
      <c r="AN548" s="631"/>
      <c r="AP548" s="2144">
        <f>AP545+(AP539*AP543)</f>
        <v>63042673</v>
      </c>
      <c r="AQ548" s="2145"/>
      <c r="AR548" s="2146"/>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2337</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16" t="s">
        <v>1426</v>
      </c>
      <c r="AF551" s="1916"/>
      <c r="AG551" s="1916"/>
      <c r="AH551" s="1916"/>
      <c r="AI551" s="1916"/>
      <c r="AJ551" s="1916"/>
      <c r="AK551" s="1916"/>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2001" t="s">
        <v>2338</v>
      </c>
      <c r="C553" s="2001"/>
      <c r="D553" s="2001"/>
      <c r="E553" s="2001"/>
      <c r="F553" s="2001"/>
      <c r="G553" s="2001"/>
      <c r="H553" s="2001"/>
      <c r="I553" s="2001"/>
      <c r="J553" s="2001"/>
      <c r="K553" s="2001"/>
      <c r="L553" s="2001"/>
      <c r="M553" s="2001"/>
      <c r="N553" s="2001"/>
      <c r="O553" s="2001"/>
      <c r="P553" s="2001"/>
      <c r="Q553" s="2001"/>
      <c r="R553" s="2001"/>
      <c r="S553" s="2001"/>
      <c r="T553" s="2001"/>
      <c r="U553" s="2001"/>
      <c r="V553" s="2001"/>
      <c r="W553" s="2001"/>
      <c r="X553" s="2001"/>
      <c r="Y553" s="2001"/>
      <c r="Z553" s="2001"/>
      <c r="AA553" s="2001"/>
      <c r="AB553" s="2001"/>
      <c r="AC553" s="2001"/>
      <c r="AD553" s="2001"/>
      <c r="AE553" s="2001"/>
      <c r="AF553" s="2001"/>
      <c r="AG553" s="2001"/>
      <c r="AH553" s="2001"/>
      <c r="AI553" s="2001"/>
      <c r="AJ553" s="2001"/>
      <c r="AK553" s="676"/>
      <c r="AL553" s="607"/>
      <c r="AM553" s="637"/>
      <c r="AN553" s="631"/>
    </row>
    <row r="554" spans="1:45" s="584" customFormat="1" ht="12.75" customHeight="1">
      <c r="A554" s="637"/>
      <c r="B554" s="2001"/>
      <c r="C554" s="2001"/>
      <c r="D554" s="2001"/>
      <c r="E554" s="2001"/>
      <c r="F554" s="2001"/>
      <c r="G554" s="2001"/>
      <c r="H554" s="2001"/>
      <c r="I554" s="2001"/>
      <c r="J554" s="2001"/>
      <c r="K554" s="2001"/>
      <c r="L554" s="2001"/>
      <c r="M554" s="2001"/>
      <c r="N554" s="2001"/>
      <c r="O554" s="2001"/>
      <c r="P554" s="2001"/>
      <c r="Q554" s="2001"/>
      <c r="R554" s="2001"/>
      <c r="S554" s="2001"/>
      <c r="T554" s="2001"/>
      <c r="U554" s="2001"/>
      <c r="V554" s="2001"/>
      <c r="W554" s="2001"/>
      <c r="X554" s="2001"/>
      <c r="Y554" s="2001"/>
      <c r="Z554" s="2001"/>
      <c r="AA554" s="2001"/>
      <c r="AB554" s="2001"/>
      <c r="AC554" s="2001"/>
      <c r="AD554" s="2001"/>
      <c r="AE554" s="2001"/>
      <c r="AF554" s="2001"/>
      <c r="AG554" s="2001"/>
      <c r="AH554" s="2001"/>
      <c r="AI554" s="2001"/>
      <c r="AJ554" s="2001"/>
      <c r="AK554" s="676"/>
      <c r="AL554" s="607"/>
      <c r="AM554" s="637"/>
      <c r="AN554" s="631"/>
    </row>
    <row r="555" spans="1:45" s="584" customFormat="1" ht="12.75" customHeight="1">
      <c r="A555" s="637"/>
      <c r="B555" s="2001"/>
      <c r="C555" s="2001"/>
      <c r="D555" s="2001"/>
      <c r="E555" s="2001"/>
      <c r="F555" s="2001"/>
      <c r="G555" s="2001"/>
      <c r="H555" s="2001"/>
      <c r="I555" s="2001"/>
      <c r="J555" s="2001"/>
      <c r="K555" s="2001"/>
      <c r="L555" s="2001"/>
      <c r="M555" s="2001"/>
      <c r="N555" s="2001"/>
      <c r="O555" s="2001"/>
      <c r="P555" s="2001"/>
      <c r="Q555" s="2001"/>
      <c r="R555" s="2001"/>
      <c r="S555" s="2001"/>
      <c r="T555" s="2001"/>
      <c r="U555" s="2001"/>
      <c r="V555" s="2001"/>
      <c r="W555" s="2001"/>
      <c r="X555" s="2001"/>
      <c r="Y555" s="2001"/>
      <c r="Z555" s="2001"/>
      <c r="AA555" s="2001"/>
      <c r="AB555" s="2001"/>
      <c r="AC555" s="2001"/>
      <c r="AD555" s="2001"/>
      <c r="AE555" s="2001"/>
      <c r="AF555" s="2001"/>
      <c r="AG555" s="2001"/>
      <c r="AH555" s="2001"/>
      <c r="AI555" s="2001"/>
      <c r="AJ555" s="2001"/>
      <c r="AK555" s="676"/>
      <c r="AL555" s="607"/>
      <c r="AM555" s="637"/>
      <c r="AN555" s="631"/>
    </row>
    <row r="556" spans="1:45" s="584" customFormat="1" ht="12.75" customHeight="1">
      <c r="A556" s="637"/>
      <c r="B556" s="2001"/>
      <c r="C556" s="2001"/>
      <c r="D556" s="2001"/>
      <c r="E556" s="2001"/>
      <c r="F556" s="2001"/>
      <c r="G556" s="2001"/>
      <c r="H556" s="2001"/>
      <c r="I556" s="2001"/>
      <c r="J556" s="2001"/>
      <c r="K556" s="2001"/>
      <c r="L556" s="2001"/>
      <c r="M556" s="2001"/>
      <c r="N556" s="2001"/>
      <c r="O556" s="2001"/>
      <c r="P556" s="2001"/>
      <c r="Q556" s="2001"/>
      <c r="R556" s="2001"/>
      <c r="S556" s="2001"/>
      <c r="T556" s="2001"/>
      <c r="U556" s="2001"/>
      <c r="V556" s="2001"/>
      <c r="W556" s="2001"/>
      <c r="X556" s="2001"/>
      <c r="Y556" s="2001"/>
      <c r="Z556" s="2001"/>
      <c r="AA556" s="2001"/>
      <c r="AB556" s="2001"/>
      <c r="AC556" s="2001"/>
      <c r="AD556" s="2001"/>
      <c r="AE556" s="2001"/>
      <c r="AF556" s="2001"/>
      <c r="AG556" s="2001"/>
      <c r="AH556" s="2001"/>
      <c r="AI556" s="2001"/>
      <c r="AJ556" s="2001"/>
      <c r="AK556" s="676"/>
      <c r="AL556" s="607"/>
      <c r="AM556" s="637"/>
      <c r="AN556" s="631"/>
    </row>
    <row r="557" spans="1:45" s="584" customFormat="1" ht="12.75" customHeight="1">
      <c r="A557" s="637"/>
      <c r="B557" s="2001"/>
      <c r="C557" s="2001"/>
      <c r="D557" s="2001"/>
      <c r="E557" s="2001"/>
      <c r="F557" s="2001"/>
      <c r="G557" s="2001"/>
      <c r="H557" s="2001"/>
      <c r="I557" s="2001"/>
      <c r="J557" s="2001"/>
      <c r="K557" s="2001"/>
      <c r="L557" s="2001"/>
      <c r="M557" s="2001"/>
      <c r="N557" s="2001"/>
      <c r="O557" s="2001"/>
      <c r="P557" s="2001"/>
      <c r="Q557" s="2001"/>
      <c r="R557" s="2001"/>
      <c r="S557" s="2001"/>
      <c r="T557" s="2001"/>
      <c r="U557" s="2001"/>
      <c r="V557" s="2001"/>
      <c r="W557" s="2001"/>
      <c r="X557" s="2001"/>
      <c r="Y557" s="2001"/>
      <c r="Z557" s="2001"/>
      <c r="AA557" s="2001"/>
      <c r="AB557" s="2001"/>
      <c r="AC557" s="2001"/>
      <c r="AD557" s="2001"/>
      <c r="AE557" s="2001"/>
      <c r="AF557" s="2001"/>
      <c r="AG557" s="2001"/>
      <c r="AH557" s="2001"/>
      <c r="AI557" s="2001"/>
      <c r="AJ557" s="2001"/>
      <c r="AK557" s="676"/>
      <c r="AL557" s="607"/>
      <c r="AM557" s="637"/>
      <c r="AN557" s="631"/>
    </row>
    <row r="558" spans="1:45" s="584" customFormat="1" ht="12.75" customHeight="1">
      <c r="A558" s="637"/>
      <c r="B558" s="2001"/>
      <c r="C558" s="2001"/>
      <c r="D558" s="2001"/>
      <c r="E558" s="2001"/>
      <c r="F558" s="2001"/>
      <c r="G558" s="2001"/>
      <c r="H558" s="2001"/>
      <c r="I558" s="2001"/>
      <c r="J558" s="2001"/>
      <c r="K558" s="2001"/>
      <c r="L558" s="2001"/>
      <c r="M558" s="2001"/>
      <c r="N558" s="2001"/>
      <c r="O558" s="2001"/>
      <c r="P558" s="2001"/>
      <c r="Q558" s="2001"/>
      <c r="R558" s="2001"/>
      <c r="S558" s="2001"/>
      <c r="T558" s="2001"/>
      <c r="U558" s="2001"/>
      <c r="V558" s="2001"/>
      <c r="W558" s="2001"/>
      <c r="X558" s="2001"/>
      <c r="Y558" s="2001"/>
      <c r="Z558" s="2001"/>
      <c r="AA558" s="2001"/>
      <c r="AB558" s="2001"/>
      <c r="AC558" s="2001"/>
      <c r="AD558" s="2001"/>
      <c r="AE558" s="2001"/>
      <c r="AF558" s="2001"/>
      <c r="AG558" s="2001"/>
      <c r="AH558" s="2001"/>
      <c r="AI558" s="2001"/>
      <c r="AJ558" s="2001"/>
      <c r="AK558" s="676"/>
      <c r="AL558" s="607"/>
      <c r="AM558" s="637"/>
      <c r="AN558" s="631"/>
    </row>
    <row r="559" spans="1:45" s="584" customFormat="1" ht="12.75" customHeight="1">
      <c r="A559" s="637"/>
      <c r="B559" s="2001"/>
      <c r="C559" s="2001"/>
      <c r="D559" s="2001"/>
      <c r="E559" s="2001"/>
      <c r="F559" s="2001"/>
      <c r="G559" s="2001"/>
      <c r="H559" s="2001"/>
      <c r="I559" s="2001"/>
      <c r="J559" s="2001"/>
      <c r="K559" s="2001"/>
      <c r="L559" s="2001"/>
      <c r="M559" s="2001"/>
      <c r="N559" s="2001"/>
      <c r="O559" s="2001"/>
      <c r="P559" s="2001"/>
      <c r="Q559" s="2001"/>
      <c r="R559" s="2001"/>
      <c r="S559" s="2001"/>
      <c r="T559" s="2001"/>
      <c r="U559" s="2001"/>
      <c r="V559" s="2001"/>
      <c r="W559" s="2001"/>
      <c r="X559" s="2001"/>
      <c r="Y559" s="2001"/>
      <c r="Z559" s="2001"/>
      <c r="AA559" s="2001"/>
      <c r="AB559" s="2001"/>
      <c r="AC559" s="2001"/>
      <c r="AD559" s="2001"/>
      <c r="AE559" s="2001"/>
      <c r="AF559" s="2001"/>
      <c r="AG559" s="2001"/>
      <c r="AH559" s="2001"/>
      <c r="AI559" s="2001"/>
      <c r="AJ559" s="2001"/>
      <c r="AK559" s="676"/>
      <c r="AL559" s="607"/>
      <c r="AM559" s="637"/>
      <c r="AN559" s="631"/>
    </row>
    <row r="560" spans="1:45" ht="12.75" customHeight="1">
      <c r="A560" s="637"/>
      <c r="B560" s="2001"/>
      <c r="C560" s="2001"/>
      <c r="D560" s="2001"/>
      <c r="E560" s="2001"/>
      <c r="F560" s="2001"/>
      <c r="G560" s="2001"/>
      <c r="H560" s="2001"/>
      <c r="I560" s="2001"/>
      <c r="J560" s="2001"/>
      <c r="K560" s="2001"/>
      <c r="L560" s="2001"/>
      <c r="M560" s="2001"/>
      <c r="N560" s="2001"/>
      <c r="O560" s="2001"/>
      <c r="P560" s="2001"/>
      <c r="Q560" s="2001"/>
      <c r="R560" s="2001"/>
      <c r="S560" s="2001"/>
      <c r="T560" s="2001"/>
      <c r="U560" s="2001"/>
      <c r="V560" s="2001"/>
      <c r="W560" s="2001"/>
      <c r="X560" s="2001"/>
      <c r="Y560" s="2001"/>
      <c r="Z560" s="2001"/>
      <c r="AA560" s="2001"/>
      <c r="AB560" s="2001"/>
      <c r="AC560" s="2001"/>
      <c r="AD560" s="2001"/>
      <c r="AE560" s="2001"/>
      <c r="AF560" s="2001"/>
      <c r="AG560" s="2001"/>
      <c r="AH560" s="2001"/>
      <c r="AI560" s="2001"/>
      <c r="AJ560" s="2001"/>
      <c r="AK560" s="676"/>
      <c r="AL560" s="607"/>
      <c r="AM560" s="637"/>
    </row>
    <row r="561" spans="1:42" s="584" customFormat="1" ht="12.75" customHeight="1">
      <c r="B561" s="2001"/>
      <c r="C561" s="2001"/>
      <c r="D561" s="2001"/>
      <c r="E561" s="2001"/>
      <c r="F561" s="2001"/>
      <c r="G561" s="2001"/>
      <c r="H561" s="2001"/>
      <c r="I561" s="2001"/>
      <c r="J561" s="2001"/>
      <c r="K561" s="2001"/>
      <c r="L561" s="2001"/>
      <c r="M561" s="2001"/>
      <c r="N561" s="2001"/>
      <c r="O561" s="2001"/>
      <c r="P561" s="2001"/>
      <c r="Q561" s="2001"/>
      <c r="R561" s="2001"/>
      <c r="S561" s="2001"/>
      <c r="T561" s="2001"/>
      <c r="U561" s="2001"/>
      <c r="V561" s="2001"/>
      <c r="W561" s="2001"/>
      <c r="X561" s="2001"/>
      <c r="Y561" s="2001"/>
      <c r="Z561" s="2001"/>
      <c r="AA561" s="2001"/>
      <c r="AB561" s="2001"/>
      <c r="AC561" s="2001"/>
      <c r="AD561" s="2001"/>
      <c r="AE561" s="2001"/>
      <c r="AF561" s="2001"/>
      <c r="AG561" s="2001"/>
      <c r="AH561" s="2001"/>
      <c r="AI561" s="2001"/>
      <c r="AJ561" s="2001"/>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1506</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600</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554</v>
      </c>
    </row>
    <row r="565" spans="1:42" s="584" customFormat="1" ht="12.75" customHeight="1">
      <c r="C565" s="573" t="s">
        <v>1507</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697</v>
      </c>
      <c r="E567" s="872" t="s">
        <v>1889</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48" t="s">
        <v>1450</v>
      </c>
      <c r="AG567" s="1948"/>
      <c r="AH567" s="1948"/>
      <c r="AI567" s="1948"/>
      <c r="AJ567" s="1948"/>
      <c r="AK567" s="1948"/>
      <c r="AL567" s="1948"/>
      <c r="AN567" s="631"/>
    </row>
    <row r="568" spans="1:42" s="584" customFormat="1" ht="12.75" customHeight="1">
      <c r="B568" s="570"/>
      <c r="C568" s="650"/>
      <c r="D568" s="697"/>
      <c r="E568" s="872" t="s">
        <v>1890</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1891</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1892</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1893</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2540</v>
      </c>
      <c r="AP571" s="584" t="b">
        <f>IF(Application!AF418&gt;=25,TRUE,FALSE)</f>
        <v>1</v>
      </c>
    </row>
    <row r="572" spans="1:42" s="584" customFormat="1" ht="12.75" customHeight="1">
      <c r="B572" s="570"/>
      <c r="C572" s="650"/>
      <c r="D572" s="697"/>
      <c r="E572" s="872" t="s">
        <v>1894</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2541</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518</v>
      </c>
      <c r="E574" s="872" t="s">
        <v>1895</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48" t="s">
        <v>1508</v>
      </c>
      <c r="AG574" s="1948"/>
      <c r="AH574" s="1948"/>
      <c r="AI574" s="1948"/>
      <c r="AJ574" s="1948"/>
      <c r="AK574" s="1948"/>
      <c r="AL574" s="1948"/>
      <c r="AN574" s="631"/>
    </row>
    <row r="575" spans="1:42" s="584" customFormat="1" ht="12.75" customHeight="1">
      <c r="B575" s="570"/>
      <c r="C575" s="968"/>
      <c r="D575" s="697"/>
      <c r="E575" s="872" t="s">
        <v>1896</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600</v>
      </c>
      <c r="AP575" s="707">
        <v>0</v>
      </c>
    </row>
    <row r="576" spans="1:42" s="584" customFormat="1" ht="12.75" customHeight="1">
      <c r="B576" s="644"/>
      <c r="C576" s="966"/>
      <c r="D576" s="697"/>
      <c r="E576" s="872" t="s">
        <v>1897</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697</v>
      </c>
      <c r="AP576" s="584">
        <f>7*AP571</f>
        <v>7</v>
      </c>
    </row>
    <row r="577" spans="1:53" s="584" customFormat="1" ht="12.75" customHeight="1">
      <c r="B577" s="644"/>
      <c r="C577" s="966"/>
      <c r="D577" s="697"/>
      <c r="E577" s="872" t="s">
        <v>1899</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518</v>
      </c>
      <c r="AP577" s="584">
        <v>6</v>
      </c>
    </row>
    <row r="578" spans="1:53" s="584" customFormat="1" ht="12.75" customHeight="1">
      <c r="B578" s="644"/>
      <c r="C578" s="966"/>
      <c r="D578" s="697"/>
      <c r="E578" s="872" t="s">
        <v>1898</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1509</v>
      </c>
      <c r="AP579" s="584">
        <v>4</v>
      </c>
    </row>
    <row r="580" spans="1:53" s="584" customFormat="1" ht="12.75" customHeight="1">
      <c r="B580" s="570"/>
      <c r="C580" s="966"/>
      <c r="D580" s="697" t="s">
        <v>279</v>
      </c>
      <c r="E580" s="872" t="s">
        <v>1900</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48" t="s">
        <v>1490</v>
      </c>
      <c r="AG580" s="1948"/>
      <c r="AH580" s="1948"/>
      <c r="AI580" s="1948"/>
      <c r="AJ580" s="1948"/>
      <c r="AK580" s="1948"/>
      <c r="AL580" s="1948"/>
      <c r="AN580" s="631"/>
      <c r="AO580" s="645" t="s">
        <v>1510</v>
      </c>
      <c r="AP580" s="584">
        <v>3</v>
      </c>
    </row>
    <row r="581" spans="1:53" s="584" customFormat="1" ht="12.75" customHeight="1">
      <c r="B581" s="570"/>
      <c r="C581" s="968"/>
      <c r="D581" s="697"/>
      <c r="E581" s="872" t="s">
        <v>1896</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1897</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2543</v>
      </c>
    </row>
    <row r="583" spans="1:53" s="584" customFormat="1" ht="12.75" customHeight="1">
      <c r="B583" s="570"/>
      <c r="C583" s="968"/>
      <c r="D583" s="697"/>
      <c r="E583" s="872" t="s">
        <v>1899</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2544</v>
      </c>
    </row>
    <row r="584" spans="1:53" s="584" customFormat="1" ht="12.75" customHeight="1">
      <c r="B584" s="570"/>
      <c r="C584" s="968"/>
      <c r="D584" s="697"/>
      <c r="E584" s="872" t="s">
        <v>1898</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2545</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1509</v>
      </c>
      <c r="E586" s="872" t="s">
        <v>1901</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48" t="s">
        <v>1511</v>
      </c>
      <c r="AG586" s="1948"/>
      <c r="AH586" s="1948"/>
      <c r="AI586" s="1948"/>
      <c r="AJ586" s="1948"/>
      <c r="AK586" s="1948"/>
      <c r="AL586" s="1948"/>
      <c r="AN586" s="631"/>
      <c r="AO586" s="584" t="str">
        <f>X623</f>
        <v>N/A</v>
      </c>
    </row>
    <row r="587" spans="1:53" s="584" customFormat="1" ht="12.75" customHeight="1">
      <c r="B587" s="570"/>
      <c r="C587" s="968"/>
      <c r="D587" s="697"/>
      <c r="E587" s="872" t="s">
        <v>1902</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1903</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2546</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2547</v>
      </c>
    </row>
    <row r="590" spans="1:53" s="584" customFormat="1" ht="12.75" customHeight="1">
      <c r="B590" s="644"/>
      <c r="C590" s="966"/>
      <c r="D590" s="697"/>
      <c r="E590" s="570" t="s">
        <v>2058</v>
      </c>
      <c r="O590" s="2032" t="s">
        <v>1291</v>
      </c>
      <c r="P590" s="2032"/>
      <c r="Q590" s="2032"/>
      <c r="R590" s="2032"/>
      <c r="S590" s="2032"/>
      <c r="T590" s="2032"/>
      <c r="U590" s="2032"/>
      <c r="V590" s="2032"/>
      <c r="W590" s="2032"/>
      <c r="X590" s="2032"/>
      <c r="Y590" s="2032"/>
      <c r="Z590" s="2032"/>
      <c r="AA590" s="2032"/>
      <c r="AB590" s="2032"/>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1510</v>
      </c>
      <c r="E592" s="872" t="s">
        <v>1905</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48" t="s">
        <v>1464</v>
      </c>
      <c r="AG592" s="1948"/>
      <c r="AH592" s="1948"/>
      <c r="AI592" s="1948"/>
      <c r="AJ592" s="1948"/>
      <c r="AK592" s="1948"/>
      <c r="AL592" s="1948"/>
      <c r="AN592" s="631"/>
    </row>
    <row r="593" spans="2:47" s="584" customFormat="1" ht="12.75" customHeight="1">
      <c r="B593" s="570"/>
      <c r="C593" s="966"/>
      <c r="D593" s="697"/>
      <c r="E593" s="872" t="s">
        <v>1904</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600</v>
      </c>
      <c r="AP594" s="707">
        <v>0</v>
      </c>
      <c r="AT594" s="584" t="s">
        <v>600</v>
      </c>
      <c r="AU594" s="707">
        <v>0</v>
      </c>
    </row>
    <row r="595" spans="2:47" s="584" customFormat="1" ht="12.75" customHeight="1">
      <c r="B595" s="570"/>
      <c r="C595" s="968"/>
      <c r="D595" s="570" t="s">
        <v>1512</v>
      </c>
      <c r="E595" s="971"/>
      <c r="F595" s="971"/>
      <c r="G595" s="971"/>
      <c r="H595" s="2030" t="s">
        <v>697</v>
      </c>
      <c r="I595" s="2030"/>
      <c r="J595" s="971"/>
      <c r="K595" s="971"/>
      <c r="L595" s="971"/>
      <c r="N595" s="22"/>
      <c r="O595" s="22"/>
      <c r="P595" s="22"/>
      <c r="Q595" s="1195" t="s">
        <v>2542</v>
      </c>
      <c r="R595" s="2033"/>
      <c r="S595" s="2033"/>
      <c r="T595" s="2033"/>
      <c r="U595" s="2033"/>
      <c r="V595" s="2033"/>
      <c r="W595" s="2033"/>
      <c r="X595" s="570"/>
      <c r="Y595" s="570"/>
      <c r="Z595" s="570"/>
      <c r="AA595" s="570"/>
      <c r="AB595" s="570"/>
      <c r="AC595" s="570"/>
      <c r="AD595" s="570"/>
      <c r="AE595" s="570"/>
      <c r="AF595" s="570"/>
      <c r="AG595" s="570"/>
      <c r="AH595" s="570"/>
      <c r="AI595" s="570"/>
      <c r="AJ595" s="570"/>
      <c r="AK595" s="570"/>
      <c r="AL595" s="570"/>
      <c r="AN595" s="631"/>
      <c r="AO595" s="645" t="s">
        <v>697</v>
      </c>
      <c r="AP595" s="584">
        <v>3</v>
      </c>
      <c r="AT595" s="645" t="s">
        <v>697</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34" t="str">
        <f>IF(AND(H595="(i)",NOT(AP571)),AO588,IF(AND(H595="(iv)",OR(R595=AO584,R595=AO583),NOT(AP572)),AO589,""))</f>
        <v/>
      </c>
      <c r="Z596" s="2034"/>
      <c r="AA596" s="2034"/>
      <c r="AB596" s="2034"/>
      <c r="AC596" s="2034"/>
      <c r="AD596" s="2034"/>
      <c r="AE596" s="2034"/>
      <c r="AF596" s="2034"/>
      <c r="AG596" s="2034"/>
      <c r="AH596" s="2034"/>
      <c r="AI596" s="2034"/>
      <c r="AJ596" s="2034"/>
      <c r="AK596" s="2034"/>
      <c r="AL596" s="2034"/>
      <c r="AM596" s="2035"/>
      <c r="AN596" s="631"/>
      <c r="AO596" s="645" t="s">
        <v>518</v>
      </c>
      <c r="AP596" s="584">
        <v>2</v>
      </c>
      <c r="AT596" s="645" t="s">
        <v>518</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34"/>
      <c r="Z597" s="2034"/>
      <c r="AA597" s="2034"/>
      <c r="AB597" s="2034"/>
      <c r="AC597" s="2034"/>
      <c r="AD597" s="2034"/>
      <c r="AE597" s="2034"/>
      <c r="AF597" s="2034"/>
      <c r="AG597" s="2034"/>
      <c r="AH597" s="2034"/>
      <c r="AI597" s="2034"/>
      <c r="AJ597" s="2034"/>
      <c r="AK597" s="2034"/>
      <c r="AL597" s="2034"/>
      <c r="AM597" s="2035"/>
      <c r="AN597" s="631"/>
      <c r="AO597" s="645"/>
      <c r="AT597" s="645"/>
    </row>
    <row r="598" spans="2:47" s="584" customFormat="1" ht="12.75" customHeight="1">
      <c r="B598" s="570"/>
      <c r="C598" s="968"/>
      <c r="D598" s="570" t="s">
        <v>1906</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1907</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1908</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1909</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600</v>
      </c>
      <c r="AP602" s="707">
        <v>0</v>
      </c>
    </row>
    <row r="603" spans="2:47" s="584" customFormat="1" ht="12.75" customHeight="1">
      <c r="B603" s="570"/>
      <c r="C603" s="968"/>
      <c r="D603" s="570"/>
      <c r="E603" s="570" t="s">
        <v>1512</v>
      </c>
      <c r="F603" s="971"/>
      <c r="G603" s="971"/>
      <c r="I603" s="2031" t="s">
        <v>600</v>
      </c>
      <c r="J603" s="2031"/>
      <c r="K603" s="2031"/>
      <c r="L603" s="2031"/>
      <c r="M603" s="2031"/>
      <c r="N603" s="2031"/>
      <c r="O603" s="2031"/>
      <c r="P603" s="2031"/>
      <c r="Q603" s="2031"/>
      <c r="R603" s="2031"/>
      <c r="S603" s="2031"/>
      <c r="T603" s="2031"/>
      <c r="U603" s="2031"/>
      <c r="V603" s="2031"/>
      <c r="W603" s="2031"/>
      <c r="X603" s="2031"/>
      <c r="Y603" s="2031"/>
      <c r="Z603" s="2031"/>
      <c r="AA603" s="2031"/>
      <c r="AB603" s="2031"/>
      <c r="AC603" s="2031"/>
      <c r="AD603" s="2031"/>
      <c r="AE603" s="2031"/>
      <c r="AF603" s="570"/>
      <c r="AG603" s="570"/>
      <c r="AH603" s="570"/>
      <c r="AI603" s="570"/>
      <c r="AJ603" s="570"/>
      <c r="AK603" s="570"/>
      <c r="AL603" s="570"/>
      <c r="AN603" s="631"/>
      <c r="AO603" s="584" t="s">
        <v>1513</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1514</v>
      </c>
      <c r="AP604" s="584">
        <v>2</v>
      </c>
    </row>
    <row r="605" spans="2:47" s="584" customFormat="1" ht="12.75" customHeight="1">
      <c r="B605" s="1975" t="s">
        <v>600</v>
      </c>
      <c r="C605" s="1975"/>
      <c r="D605" s="676"/>
      <c r="E605" s="2001" t="s">
        <v>1515</v>
      </c>
      <c r="F605" s="2001"/>
      <c r="G605" s="2001"/>
      <c r="H605" s="2001"/>
      <c r="I605" s="2001"/>
      <c r="J605" s="2001"/>
      <c r="K605" s="2001"/>
      <c r="L605" s="2001"/>
      <c r="M605" s="2001"/>
      <c r="N605" s="2001"/>
      <c r="O605" s="2001"/>
      <c r="P605" s="2001"/>
      <c r="Q605" s="2001"/>
      <c r="R605" s="2001"/>
      <c r="S605" s="2001"/>
      <c r="T605" s="2001"/>
      <c r="U605" s="2001"/>
      <c r="V605" s="2001"/>
      <c r="W605" s="2001"/>
      <c r="X605" s="2001"/>
      <c r="Y605" s="2001"/>
      <c r="Z605" s="2001"/>
      <c r="AA605" s="2001"/>
      <c r="AB605" s="2001"/>
      <c r="AC605" s="2001"/>
      <c r="AD605" s="2001"/>
      <c r="AE605" s="2001"/>
      <c r="AF605" s="2001"/>
      <c r="AG605" s="2001"/>
      <c r="AH605" s="676"/>
      <c r="AI605" s="676"/>
      <c r="AJ605" s="676"/>
      <c r="AK605" s="676"/>
      <c r="AL605" s="676"/>
      <c r="AN605" s="631"/>
    </row>
    <row r="606" spans="2:47" s="584" customFormat="1" ht="12.75" customHeight="1">
      <c r="B606" s="570"/>
      <c r="C606" s="968"/>
      <c r="D606" s="676"/>
      <c r="E606" s="2001"/>
      <c r="F606" s="2001"/>
      <c r="G606" s="2001"/>
      <c r="H606" s="2001"/>
      <c r="I606" s="2001"/>
      <c r="J606" s="2001"/>
      <c r="K606" s="2001"/>
      <c r="L606" s="2001"/>
      <c r="M606" s="2001"/>
      <c r="N606" s="2001"/>
      <c r="O606" s="2001"/>
      <c r="P606" s="2001"/>
      <c r="Q606" s="2001"/>
      <c r="R606" s="2001"/>
      <c r="S606" s="2001"/>
      <c r="T606" s="2001"/>
      <c r="U606" s="2001"/>
      <c r="V606" s="2001"/>
      <c r="W606" s="2001"/>
      <c r="X606" s="2001"/>
      <c r="Y606" s="2001"/>
      <c r="Z606" s="2001"/>
      <c r="AA606" s="2001"/>
      <c r="AB606" s="2001"/>
      <c r="AC606" s="2001"/>
      <c r="AD606" s="2001"/>
      <c r="AE606" s="2001"/>
      <c r="AF606" s="2001"/>
      <c r="AG606" s="2001"/>
      <c r="AH606" s="676"/>
      <c r="AI606" s="676"/>
      <c r="AJ606" s="676"/>
      <c r="AK606" s="676"/>
      <c r="AL606" s="676"/>
      <c r="AN606" s="631"/>
    </row>
    <row r="607" spans="2:47" s="584" customFormat="1" ht="12.75" customHeight="1">
      <c r="B607" s="570"/>
      <c r="C607" s="968"/>
      <c r="D607" s="676"/>
      <c r="E607" s="2001"/>
      <c r="F607" s="2001"/>
      <c r="G607" s="2001"/>
      <c r="H607" s="2001"/>
      <c r="I607" s="2001"/>
      <c r="J607" s="2001"/>
      <c r="K607" s="2001"/>
      <c r="L607" s="2001"/>
      <c r="M607" s="2001"/>
      <c r="N607" s="2001"/>
      <c r="O607" s="2001"/>
      <c r="P607" s="2001"/>
      <c r="Q607" s="2001"/>
      <c r="R607" s="2001"/>
      <c r="S607" s="2001"/>
      <c r="T607" s="2001"/>
      <c r="U607" s="2001"/>
      <c r="V607" s="2001"/>
      <c r="W607" s="2001"/>
      <c r="X607" s="2001"/>
      <c r="Y607" s="2001"/>
      <c r="Z607" s="2001"/>
      <c r="AA607" s="2001"/>
      <c r="AB607" s="2001"/>
      <c r="AC607" s="2001"/>
      <c r="AD607" s="2001"/>
      <c r="AE607" s="2001"/>
      <c r="AF607" s="2001"/>
      <c r="AG607" s="2001"/>
      <c r="AH607" s="676"/>
      <c r="AI607" s="676"/>
      <c r="AJ607" s="676"/>
      <c r="AK607" s="676"/>
      <c r="AL607" s="676"/>
      <c r="AN607" s="631"/>
    </row>
    <row r="608" spans="2:47" s="584" customFormat="1" ht="12.75" customHeight="1">
      <c r="B608" s="570"/>
      <c r="C608" s="968"/>
      <c r="D608" s="676"/>
      <c r="E608" s="2001"/>
      <c r="F608" s="2001"/>
      <c r="G608" s="2001"/>
      <c r="H608" s="2001"/>
      <c r="I608" s="2001"/>
      <c r="J608" s="2001"/>
      <c r="K608" s="2001"/>
      <c r="L608" s="2001"/>
      <c r="M608" s="2001"/>
      <c r="N608" s="2001"/>
      <c r="O608" s="2001"/>
      <c r="P608" s="2001"/>
      <c r="Q608" s="2001"/>
      <c r="R608" s="2001"/>
      <c r="S608" s="2001"/>
      <c r="T608" s="2001"/>
      <c r="U608" s="2001"/>
      <c r="V608" s="2001"/>
      <c r="W608" s="2001"/>
      <c r="X608" s="2001"/>
      <c r="Y608" s="2001"/>
      <c r="Z608" s="2001"/>
      <c r="AA608" s="2001"/>
      <c r="AB608" s="2001"/>
      <c r="AC608" s="2001"/>
      <c r="AD608" s="2001"/>
      <c r="AE608" s="2001"/>
      <c r="AF608" s="2001"/>
      <c r="AG608" s="2001"/>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1516</v>
      </c>
      <c r="AJ610" s="1981">
        <f>VLOOKUP($H$595,$AO$575:$AP$580,2,FALSE)+IF(R595=AO583,0,VLOOKUP($I$603,$AO$602:$AP$604,2,FALSE))</f>
        <v>7</v>
      </c>
      <c r="AK610" s="1983"/>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1517</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697</v>
      </c>
      <c r="E614" s="2029" t="s">
        <v>1885</v>
      </c>
      <c r="F614" s="2029"/>
      <c r="G614" s="2029"/>
      <c r="H614" s="2029"/>
      <c r="I614" s="2029"/>
      <c r="J614" s="2029"/>
      <c r="K614" s="2029"/>
      <c r="L614" s="2029"/>
      <c r="M614" s="2029"/>
      <c r="N614" s="2029"/>
      <c r="O614" s="2029"/>
      <c r="P614" s="2029"/>
      <c r="Q614" s="2029"/>
      <c r="R614" s="2029"/>
      <c r="S614" s="2029"/>
      <c r="T614" s="2029"/>
      <c r="U614" s="2029"/>
      <c r="V614" s="2029"/>
      <c r="W614" s="2029"/>
      <c r="X614" s="2029"/>
      <c r="Y614" s="2029"/>
      <c r="Z614" s="2029"/>
      <c r="AA614" s="2029"/>
      <c r="AB614" s="2029"/>
      <c r="AC614" s="2029"/>
      <c r="AD614" s="2029"/>
      <c r="AE614" s="573"/>
      <c r="AF614" s="1948" t="s">
        <v>1464</v>
      </c>
      <c r="AG614" s="1948"/>
      <c r="AH614" s="1948"/>
      <c r="AI614" s="1948"/>
      <c r="AJ614" s="1948"/>
      <c r="AK614" s="1948"/>
      <c r="AL614" s="1948"/>
      <c r="AM614" s="584"/>
      <c r="AN614" s="712"/>
    </row>
    <row r="615" spans="1:42" s="584" customFormat="1" ht="12.75" customHeight="1">
      <c r="A615" s="713"/>
      <c r="B615" s="570"/>
      <c r="C615" s="968"/>
      <c r="D615" s="697"/>
      <c r="E615" s="2029"/>
      <c r="F615" s="2029"/>
      <c r="G615" s="2029"/>
      <c r="H615" s="2029"/>
      <c r="I615" s="2029"/>
      <c r="J615" s="2029"/>
      <c r="K615" s="2029"/>
      <c r="L615" s="2029"/>
      <c r="M615" s="2029"/>
      <c r="N615" s="2029"/>
      <c r="O615" s="2029"/>
      <c r="P615" s="2029"/>
      <c r="Q615" s="2029"/>
      <c r="R615" s="2029"/>
      <c r="S615" s="2029"/>
      <c r="T615" s="2029"/>
      <c r="U615" s="2029"/>
      <c r="V615" s="2029"/>
      <c r="W615" s="2029"/>
      <c r="X615" s="2029"/>
      <c r="Y615" s="2029"/>
      <c r="Z615" s="2029"/>
      <c r="AA615" s="2029"/>
      <c r="AB615" s="2029"/>
      <c r="AC615" s="2029"/>
      <c r="AD615" s="2029"/>
      <c r="AE615" s="570"/>
      <c r="AF615" s="570"/>
      <c r="AG615" s="570"/>
      <c r="AH615" s="570"/>
      <c r="AI615" s="570"/>
      <c r="AJ615" s="570"/>
      <c r="AK615" s="570"/>
      <c r="AL615" s="570"/>
      <c r="AN615" s="631"/>
    </row>
    <row r="616" spans="1:42" s="584" customFormat="1" ht="12.75" customHeight="1">
      <c r="B616" s="570"/>
      <c r="C616" s="966"/>
      <c r="D616" s="697"/>
      <c r="E616" s="2029"/>
      <c r="F616" s="2029"/>
      <c r="G616" s="2029"/>
      <c r="H616" s="2029"/>
      <c r="I616" s="2029"/>
      <c r="J616" s="2029"/>
      <c r="K616" s="2029"/>
      <c r="L616" s="2029"/>
      <c r="M616" s="2029"/>
      <c r="N616" s="2029"/>
      <c r="O616" s="2029"/>
      <c r="P616" s="2029"/>
      <c r="Q616" s="2029"/>
      <c r="R616" s="2029"/>
      <c r="S616" s="2029"/>
      <c r="T616" s="2029"/>
      <c r="U616" s="2029"/>
      <c r="V616" s="2029"/>
      <c r="W616" s="2029"/>
      <c r="X616" s="2029"/>
      <c r="Y616" s="2029"/>
      <c r="Z616" s="2029"/>
      <c r="AA616" s="2029"/>
      <c r="AB616" s="2029"/>
      <c r="AC616" s="2029"/>
      <c r="AD616" s="2029"/>
      <c r="AE616" s="570"/>
      <c r="AF616" s="570"/>
      <c r="AG616" s="570"/>
      <c r="AH616" s="570"/>
      <c r="AI616" s="570"/>
      <c r="AJ616" s="570"/>
      <c r="AK616" s="570"/>
      <c r="AL616" s="570"/>
      <c r="AN616" s="631"/>
    </row>
    <row r="617" spans="1:42" s="584" customFormat="1" ht="12.75" customHeight="1">
      <c r="B617" s="570"/>
      <c r="C617" s="966"/>
      <c r="D617" s="697"/>
      <c r="E617" s="2029"/>
      <c r="F617" s="2029"/>
      <c r="G617" s="2029"/>
      <c r="H617" s="2029"/>
      <c r="I617" s="2029"/>
      <c r="J617" s="2029"/>
      <c r="K617" s="2029"/>
      <c r="L617" s="2029"/>
      <c r="M617" s="2029"/>
      <c r="N617" s="2029"/>
      <c r="O617" s="2029"/>
      <c r="P617" s="2029"/>
      <c r="Q617" s="2029"/>
      <c r="R617" s="2029"/>
      <c r="S617" s="2029"/>
      <c r="T617" s="2029"/>
      <c r="U617" s="2029"/>
      <c r="V617" s="2029"/>
      <c r="W617" s="2029"/>
      <c r="X617" s="2029"/>
      <c r="Y617" s="2029"/>
      <c r="Z617" s="2029"/>
      <c r="AA617" s="2029"/>
      <c r="AB617" s="2029"/>
      <c r="AC617" s="2029"/>
      <c r="AD617" s="2029"/>
      <c r="AE617" s="570"/>
      <c r="AF617" s="570"/>
      <c r="AG617" s="570"/>
      <c r="AH617" s="570"/>
      <c r="AI617" s="570"/>
      <c r="AJ617" s="570"/>
      <c r="AK617" s="570"/>
      <c r="AL617" s="570"/>
      <c r="AN617" s="631"/>
    </row>
    <row r="618" spans="1:42" s="584" customFormat="1" ht="12.75" customHeight="1">
      <c r="B618" s="570"/>
      <c r="C618" s="966"/>
      <c r="D618" s="697"/>
      <c r="E618" s="2029"/>
      <c r="F618" s="2029"/>
      <c r="G618" s="2029"/>
      <c r="H618" s="2029"/>
      <c r="I618" s="2029"/>
      <c r="J618" s="2029"/>
      <c r="K618" s="2029"/>
      <c r="L618" s="2029"/>
      <c r="M618" s="2029"/>
      <c r="N618" s="2029"/>
      <c r="O618" s="2029"/>
      <c r="P618" s="2029"/>
      <c r="Q618" s="2029"/>
      <c r="R618" s="2029"/>
      <c r="S618" s="2029"/>
      <c r="T618" s="2029"/>
      <c r="U618" s="2029"/>
      <c r="V618" s="2029"/>
      <c r="W618" s="2029"/>
      <c r="X618" s="2029"/>
      <c r="Y618" s="2029"/>
      <c r="Z618" s="2029"/>
      <c r="AA618" s="2029"/>
      <c r="AB618" s="2029"/>
      <c r="AC618" s="2029"/>
      <c r="AD618" s="2029"/>
      <c r="AE618" s="570"/>
      <c r="AF618" s="570"/>
      <c r="AG618" s="570"/>
      <c r="AH618" s="570"/>
      <c r="AI618" s="570"/>
      <c r="AJ618" s="570"/>
      <c r="AK618" s="570"/>
      <c r="AL618" s="570"/>
      <c r="AN618" s="631"/>
    </row>
    <row r="619" spans="1:42" s="584" customFormat="1" ht="12.75" customHeight="1">
      <c r="B619" s="570"/>
      <c r="C619" s="966"/>
      <c r="D619" s="697"/>
      <c r="E619" s="2029"/>
      <c r="F619" s="2029"/>
      <c r="G619" s="2029"/>
      <c r="H619" s="2029"/>
      <c r="I619" s="2029"/>
      <c r="J619" s="2029"/>
      <c r="K619" s="2029"/>
      <c r="L619" s="2029"/>
      <c r="M619" s="2029"/>
      <c r="N619" s="2029"/>
      <c r="O619" s="2029"/>
      <c r="P619" s="2029"/>
      <c r="Q619" s="2029"/>
      <c r="R619" s="2029"/>
      <c r="S619" s="2029"/>
      <c r="T619" s="2029"/>
      <c r="U619" s="2029"/>
      <c r="V619" s="2029"/>
      <c r="W619" s="2029"/>
      <c r="X619" s="2029"/>
      <c r="Y619" s="2029"/>
      <c r="Z619" s="2029"/>
      <c r="AA619" s="2029"/>
      <c r="AB619" s="2029"/>
      <c r="AC619" s="2029"/>
      <c r="AD619" s="2029"/>
      <c r="AE619" s="570"/>
      <c r="AF619" s="570"/>
      <c r="AG619" s="570"/>
      <c r="AH619" s="570"/>
      <c r="AI619" s="570"/>
      <c r="AJ619" s="570"/>
      <c r="AK619" s="570"/>
      <c r="AL619" s="570"/>
      <c r="AN619" s="631"/>
    </row>
    <row r="620" spans="1:42" s="584" customFormat="1" ht="12.75" customHeight="1">
      <c r="A620" s="671"/>
      <c r="B620" s="650"/>
      <c r="C620" s="975"/>
      <c r="D620" s="697"/>
      <c r="E620" s="2029"/>
      <c r="F620" s="2029"/>
      <c r="G620" s="2029"/>
      <c r="H620" s="2029"/>
      <c r="I620" s="2029"/>
      <c r="J620" s="2029"/>
      <c r="K620" s="2029"/>
      <c r="L620" s="2029"/>
      <c r="M620" s="2029"/>
      <c r="N620" s="2029"/>
      <c r="O620" s="2029"/>
      <c r="P620" s="2029"/>
      <c r="Q620" s="2029"/>
      <c r="R620" s="2029"/>
      <c r="S620" s="2029"/>
      <c r="T620" s="2029"/>
      <c r="U620" s="2029"/>
      <c r="V620" s="2029"/>
      <c r="W620" s="2029"/>
      <c r="X620" s="2029"/>
      <c r="Y620" s="2029"/>
      <c r="Z620" s="2029"/>
      <c r="AA620" s="2029"/>
      <c r="AB620" s="2029"/>
      <c r="AC620" s="2029"/>
      <c r="AD620" s="2029"/>
      <c r="AE620" s="650"/>
      <c r="AF620" s="650"/>
      <c r="AG620" s="650"/>
      <c r="AH620" s="650"/>
      <c r="AI620" s="650"/>
      <c r="AJ620" s="650"/>
      <c r="AK620" s="570"/>
      <c r="AL620" s="570"/>
      <c r="AN620" s="631"/>
    </row>
    <row r="621" spans="1:42" s="584" customFormat="1" ht="12.75" customHeight="1">
      <c r="B621" s="650"/>
      <c r="C621" s="975"/>
      <c r="D621" s="697"/>
      <c r="E621" s="2029"/>
      <c r="F621" s="2029"/>
      <c r="G621" s="2029"/>
      <c r="H621" s="2029"/>
      <c r="I621" s="2029"/>
      <c r="J621" s="2029"/>
      <c r="K621" s="2029"/>
      <c r="L621" s="2029"/>
      <c r="M621" s="2029"/>
      <c r="N621" s="2029"/>
      <c r="O621" s="2029"/>
      <c r="P621" s="2029"/>
      <c r="Q621" s="2029"/>
      <c r="R621" s="2029"/>
      <c r="S621" s="2029"/>
      <c r="T621" s="2029"/>
      <c r="U621" s="2029"/>
      <c r="V621" s="2029"/>
      <c r="W621" s="2029"/>
      <c r="X621" s="2029"/>
      <c r="Y621" s="2029"/>
      <c r="Z621" s="2029"/>
      <c r="AA621" s="2029"/>
      <c r="AB621" s="2029"/>
      <c r="AC621" s="2029"/>
      <c r="AD621" s="2029"/>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600</v>
      </c>
      <c r="AP622" s="707">
        <v>0</v>
      </c>
    </row>
    <row r="623" spans="1:42" s="584" customFormat="1" ht="12.75" customHeight="1">
      <c r="B623" s="650"/>
      <c r="C623" s="966"/>
      <c r="D623" s="697"/>
      <c r="E623" s="650" t="s">
        <v>1518</v>
      </c>
      <c r="F623" s="976"/>
      <c r="G623" s="976"/>
      <c r="H623" s="976"/>
      <c r="I623" s="976"/>
      <c r="J623" s="976"/>
      <c r="K623" s="976"/>
      <c r="L623" s="976"/>
      <c r="M623" s="976"/>
      <c r="N623" s="976"/>
      <c r="O623" s="976"/>
      <c r="P623" s="976"/>
      <c r="Q623" s="976"/>
      <c r="R623" s="976"/>
      <c r="U623" s="976"/>
      <c r="V623" s="976"/>
      <c r="W623" s="976"/>
      <c r="X623" s="1975" t="s">
        <v>600</v>
      </c>
      <c r="Y623" s="1975"/>
      <c r="Z623" s="976"/>
      <c r="AA623" s="976"/>
      <c r="AB623" s="976"/>
      <c r="AC623" s="976"/>
      <c r="AD623" s="976"/>
      <c r="AE623" s="570"/>
      <c r="AF623" s="650"/>
      <c r="AG623" s="650"/>
      <c r="AH623" s="650"/>
      <c r="AI623" s="650"/>
      <c r="AJ623" s="650"/>
      <c r="AK623" s="570"/>
      <c r="AL623" s="570"/>
      <c r="AN623" s="631"/>
      <c r="AO623" s="645" t="s">
        <v>697</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518</v>
      </c>
      <c r="AP624" s="714">
        <v>4</v>
      </c>
    </row>
    <row r="625" spans="1:42" s="584" customFormat="1" ht="12.75" customHeight="1">
      <c r="B625" s="570"/>
      <c r="C625" s="966"/>
      <c r="D625" s="697" t="s">
        <v>518</v>
      </c>
      <c r="E625" s="589" t="s">
        <v>1519</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48" t="s">
        <v>1520</v>
      </c>
      <c r="AG625" s="1948"/>
      <c r="AH625" s="1948"/>
      <c r="AI625" s="1948"/>
      <c r="AJ625" s="1948"/>
      <c r="AK625" s="1948"/>
      <c r="AL625" s="1948"/>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1509</v>
      </c>
      <c r="AP626" s="714">
        <v>4</v>
      </c>
    </row>
    <row r="627" spans="1:42" s="584" customFormat="1" ht="12.75" customHeight="1">
      <c r="B627" s="570"/>
      <c r="C627" s="966"/>
      <c r="D627" s="570" t="s">
        <v>1512</v>
      </c>
      <c r="E627" s="971"/>
      <c r="F627" s="971"/>
      <c r="G627" s="971"/>
      <c r="H627" s="2030" t="s">
        <v>697</v>
      </c>
      <c r="I627" s="2030"/>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1510</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1521</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1522</v>
      </c>
      <c r="AJ629" s="1981">
        <f>VLOOKUP($H$627,$AO$594:$AP$596,2,FALSE)</f>
        <v>3</v>
      </c>
      <c r="AK629" s="1983"/>
      <c r="AL629" s="629"/>
      <c r="AN629" s="631"/>
      <c r="AO629" s="645" t="s">
        <v>1523</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1524</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697</v>
      </c>
      <c r="E633" s="2001" t="s">
        <v>2417</v>
      </c>
      <c r="F633" s="2001"/>
      <c r="G633" s="2001"/>
      <c r="H633" s="2001"/>
      <c r="I633" s="2001"/>
      <c r="J633" s="2001"/>
      <c r="K633" s="2001"/>
      <c r="L633" s="2001"/>
      <c r="M633" s="2001"/>
      <c r="N633" s="2001"/>
      <c r="O633" s="2001"/>
      <c r="P633" s="2001"/>
      <c r="Q633" s="2001"/>
      <c r="R633" s="2001"/>
      <c r="S633" s="2001"/>
      <c r="T633" s="2001"/>
      <c r="U633" s="2001"/>
      <c r="V633" s="2001"/>
      <c r="W633" s="2001"/>
      <c r="X633" s="2001"/>
      <c r="Y633" s="2001"/>
      <c r="Z633" s="2001"/>
      <c r="AA633" s="2001"/>
      <c r="AB633" s="2001"/>
      <c r="AC633" s="2001"/>
      <c r="AD633" s="2001"/>
      <c r="AE633" s="570"/>
      <c r="AF633" s="1948" t="s">
        <v>1464</v>
      </c>
      <c r="AG633" s="1948"/>
      <c r="AH633" s="1948"/>
      <c r="AI633" s="1948"/>
      <c r="AJ633" s="1948"/>
      <c r="AK633" s="1948"/>
      <c r="AL633" s="1948"/>
      <c r="AN633" s="631"/>
    </row>
    <row r="634" spans="1:42" s="584" customFormat="1" ht="12.75" customHeight="1">
      <c r="B634" s="570"/>
      <c r="C634" s="570"/>
      <c r="D634" s="697"/>
      <c r="E634" s="2001"/>
      <c r="F634" s="2001"/>
      <c r="G634" s="2001"/>
      <c r="H634" s="2001"/>
      <c r="I634" s="2001"/>
      <c r="J634" s="2001"/>
      <c r="K634" s="2001"/>
      <c r="L634" s="2001"/>
      <c r="M634" s="2001"/>
      <c r="N634" s="2001"/>
      <c r="O634" s="2001"/>
      <c r="P634" s="2001"/>
      <c r="Q634" s="2001"/>
      <c r="R634" s="2001"/>
      <c r="S634" s="2001"/>
      <c r="T634" s="2001"/>
      <c r="U634" s="2001"/>
      <c r="V634" s="2001"/>
      <c r="W634" s="2001"/>
      <c r="X634" s="2001"/>
      <c r="Y634" s="2001"/>
      <c r="Z634" s="2001"/>
      <c r="AA634" s="2001"/>
      <c r="AB634" s="2001"/>
      <c r="AC634" s="2001"/>
      <c r="AD634" s="2001"/>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518</v>
      </c>
      <c r="E636" s="650" t="s">
        <v>1525</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48" t="s">
        <v>1520</v>
      </c>
      <c r="AG636" s="1948"/>
      <c r="AH636" s="1948"/>
      <c r="AI636" s="1948"/>
      <c r="AJ636" s="1948"/>
      <c r="AK636" s="1948"/>
      <c r="AL636" s="1948"/>
      <c r="AN636" s="631"/>
    </row>
    <row r="637" spans="1:42" s="584" customFormat="1" ht="12.75" customHeight="1">
      <c r="B637" s="570"/>
      <c r="C637" s="966"/>
      <c r="D637" s="697"/>
      <c r="E637" s="650" t="s">
        <v>1526</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1512</v>
      </c>
      <c r="E639" s="971"/>
      <c r="F639" s="971"/>
      <c r="G639" s="971"/>
      <c r="H639" s="2030" t="s">
        <v>697</v>
      </c>
      <c r="I639" s="2030"/>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1527</v>
      </c>
      <c r="AJ641" s="1981">
        <f>VLOOKUP(H639,AT594:AU596,2,FALSE)</f>
        <v>3</v>
      </c>
      <c r="AK641" s="1983"/>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1528</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1529</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697</v>
      </c>
      <c r="E646" s="2001" t="s">
        <v>1530</v>
      </c>
      <c r="F646" s="2001"/>
      <c r="G646" s="2001"/>
      <c r="H646" s="2001"/>
      <c r="I646" s="2001"/>
      <c r="J646" s="2001"/>
      <c r="K646" s="2001"/>
      <c r="L646" s="2001"/>
      <c r="M646" s="2001"/>
      <c r="N646" s="2001"/>
      <c r="O646" s="2001"/>
      <c r="P646" s="2001"/>
      <c r="Q646" s="2001"/>
      <c r="R646" s="2001"/>
      <c r="S646" s="2001"/>
      <c r="T646" s="2001"/>
      <c r="U646" s="2001"/>
      <c r="V646" s="2001"/>
      <c r="W646" s="2001"/>
      <c r="X646" s="2001"/>
      <c r="Y646" s="2001"/>
      <c r="Z646" s="2001"/>
      <c r="AA646" s="2001"/>
      <c r="AB646" s="2001"/>
      <c r="AC646" s="2001"/>
      <c r="AD646" s="570"/>
      <c r="AE646" s="570"/>
      <c r="AF646" s="1948" t="s">
        <v>1490</v>
      </c>
      <c r="AG646" s="1948"/>
      <c r="AH646" s="1948"/>
      <c r="AI646" s="1948"/>
      <c r="AJ646" s="1948"/>
      <c r="AK646" s="1948"/>
      <c r="AL646" s="1948"/>
      <c r="AN646" s="631"/>
    </row>
    <row r="647" spans="1:42" s="584" customFormat="1" ht="12.75" customHeight="1">
      <c r="B647" s="570"/>
      <c r="C647" s="573"/>
      <c r="D647" s="570"/>
      <c r="E647" s="2001"/>
      <c r="F647" s="2001"/>
      <c r="G647" s="2001"/>
      <c r="H647" s="2001"/>
      <c r="I647" s="2001"/>
      <c r="J647" s="2001"/>
      <c r="K647" s="2001"/>
      <c r="L647" s="2001"/>
      <c r="M647" s="2001"/>
      <c r="N647" s="2001"/>
      <c r="O647" s="2001"/>
      <c r="P647" s="2001"/>
      <c r="Q647" s="2001"/>
      <c r="R647" s="2001"/>
      <c r="S647" s="2001"/>
      <c r="T647" s="2001"/>
      <c r="U647" s="2001"/>
      <c r="V647" s="2001"/>
      <c r="W647" s="2001"/>
      <c r="X647" s="2001"/>
      <c r="Y647" s="2001"/>
      <c r="Z647" s="2001"/>
      <c r="AA647" s="2001"/>
      <c r="AB647" s="2001"/>
      <c r="AC647" s="2001"/>
      <c r="AD647" s="570"/>
      <c r="AE647" s="570"/>
      <c r="AF647" s="570"/>
      <c r="AG647" s="570"/>
      <c r="AH647" s="570"/>
      <c r="AI647" s="570"/>
      <c r="AJ647" s="570"/>
      <c r="AK647" s="570"/>
      <c r="AL647" s="570"/>
      <c r="AN647" s="631"/>
    </row>
    <row r="648" spans="1:42" s="584" customFormat="1" ht="12.75" customHeight="1">
      <c r="B648" s="570"/>
      <c r="C648" s="573"/>
      <c r="D648" s="697"/>
      <c r="E648" s="2001"/>
      <c r="F648" s="2001"/>
      <c r="G648" s="2001"/>
      <c r="H648" s="2001"/>
      <c r="I648" s="2001"/>
      <c r="J648" s="2001"/>
      <c r="K648" s="2001"/>
      <c r="L648" s="2001"/>
      <c r="M648" s="2001"/>
      <c r="N648" s="2001"/>
      <c r="O648" s="2001"/>
      <c r="P648" s="2001"/>
      <c r="Q648" s="2001"/>
      <c r="R648" s="2001"/>
      <c r="S648" s="2001"/>
      <c r="T648" s="2001"/>
      <c r="U648" s="2001"/>
      <c r="V648" s="2001"/>
      <c r="W648" s="2001"/>
      <c r="X648" s="2001"/>
      <c r="Y648" s="2001"/>
      <c r="Z648" s="2001"/>
      <c r="AA648" s="2001"/>
      <c r="AB648" s="2001"/>
      <c r="AC648" s="2001"/>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518</v>
      </c>
      <c r="E650" s="2001" t="s">
        <v>1531</v>
      </c>
      <c r="F650" s="2001"/>
      <c r="G650" s="2001"/>
      <c r="H650" s="2001"/>
      <c r="I650" s="2001"/>
      <c r="J650" s="2001"/>
      <c r="K650" s="2001"/>
      <c r="L650" s="2001"/>
      <c r="M650" s="2001"/>
      <c r="N650" s="2001"/>
      <c r="O650" s="2001"/>
      <c r="P650" s="2001"/>
      <c r="Q650" s="2001"/>
      <c r="R650" s="2001"/>
      <c r="S650" s="2001"/>
      <c r="T650" s="2001"/>
      <c r="U650" s="2001"/>
      <c r="V650" s="2001"/>
      <c r="W650" s="2001"/>
      <c r="X650" s="2001"/>
      <c r="Y650" s="2001"/>
      <c r="Z650" s="2001"/>
      <c r="AA650" s="2001"/>
      <c r="AB650" s="2001"/>
      <c r="AC650" s="2001"/>
      <c r="AD650" s="570"/>
      <c r="AE650" s="570"/>
      <c r="AF650" s="1948" t="s">
        <v>1511</v>
      </c>
      <c r="AG650" s="1948"/>
      <c r="AH650" s="1948"/>
      <c r="AI650" s="1948"/>
      <c r="AJ650" s="1948"/>
      <c r="AK650" s="1948"/>
      <c r="AL650" s="1948"/>
      <c r="AN650" s="631"/>
    </row>
    <row r="651" spans="1:42" s="584" customFormat="1" ht="12.75" customHeight="1">
      <c r="B651" s="570"/>
      <c r="C651" s="573"/>
      <c r="D651" s="570"/>
      <c r="E651" s="2001"/>
      <c r="F651" s="2001"/>
      <c r="G651" s="2001"/>
      <c r="H651" s="2001"/>
      <c r="I651" s="2001"/>
      <c r="J651" s="2001"/>
      <c r="K651" s="2001"/>
      <c r="L651" s="2001"/>
      <c r="M651" s="2001"/>
      <c r="N651" s="2001"/>
      <c r="O651" s="2001"/>
      <c r="P651" s="2001"/>
      <c r="Q651" s="2001"/>
      <c r="R651" s="2001"/>
      <c r="S651" s="2001"/>
      <c r="T651" s="2001"/>
      <c r="U651" s="2001"/>
      <c r="V651" s="2001"/>
      <c r="W651" s="2001"/>
      <c r="X651" s="2001"/>
      <c r="Y651" s="2001"/>
      <c r="Z651" s="2001"/>
      <c r="AA651" s="2001"/>
      <c r="AB651" s="2001"/>
      <c r="AC651" s="2001"/>
      <c r="AD651" s="570"/>
      <c r="AE651" s="570"/>
      <c r="AF651" s="570"/>
      <c r="AG651" s="570"/>
      <c r="AH651" s="570"/>
      <c r="AI651" s="570"/>
      <c r="AJ651" s="570"/>
      <c r="AK651" s="570"/>
      <c r="AL651" s="570"/>
      <c r="AN651" s="631"/>
    </row>
    <row r="652" spans="1:42" s="584" customFormat="1" ht="15" customHeight="1">
      <c r="B652" s="570"/>
      <c r="C652" s="573"/>
      <c r="D652" s="697"/>
      <c r="E652" s="2001"/>
      <c r="F652" s="2001"/>
      <c r="G652" s="2001"/>
      <c r="H652" s="2001"/>
      <c r="I652" s="2001"/>
      <c r="J652" s="2001"/>
      <c r="K652" s="2001"/>
      <c r="L652" s="2001"/>
      <c r="M652" s="2001"/>
      <c r="N652" s="2001"/>
      <c r="O652" s="2001"/>
      <c r="P652" s="2001"/>
      <c r="Q652" s="2001"/>
      <c r="R652" s="2001"/>
      <c r="S652" s="2001"/>
      <c r="T652" s="2001"/>
      <c r="U652" s="2001"/>
      <c r="V652" s="2001"/>
      <c r="W652" s="2001"/>
      <c r="X652" s="2001"/>
      <c r="Y652" s="2001"/>
      <c r="Z652" s="2001"/>
      <c r="AA652" s="2001"/>
      <c r="AB652" s="2001"/>
      <c r="AC652" s="2001"/>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2001" t="s">
        <v>1532</v>
      </c>
      <c r="F654" s="2001"/>
      <c r="G654" s="2001"/>
      <c r="H654" s="2001"/>
      <c r="I654" s="2001"/>
      <c r="J654" s="2001"/>
      <c r="K654" s="2001"/>
      <c r="L654" s="2001"/>
      <c r="M654" s="2001"/>
      <c r="N654" s="2001"/>
      <c r="O654" s="2001"/>
      <c r="P654" s="2001"/>
      <c r="Q654" s="2001"/>
      <c r="R654" s="2001"/>
      <c r="S654" s="2001"/>
      <c r="T654" s="2001"/>
      <c r="U654" s="2001"/>
      <c r="V654" s="2001"/>
      <c r="W654" s="2001"/>
      <c r="X654" s="2001"/>
      <c r="Y654" s="2001"/>
      <c r="Z654" s="2001"/>
      <c r="AA654" s="2001"/>
      <c r="AB654" s="2001"/>
      <c r="AC654" s="2001"/>
      <c r="AD654" s="570"/>
      <c r="AE654" s="570"/>
      <c r="AF654" s="1948" t="s">
        <v>1464</v>
      </c>
      <c r="AG654" s="1948"/>
      <c r="AH654" s="1948"/>
      <c r="AI654" s="1948"/>
      <c r="AJ654" s="1948"/>
      <c r="AK654" s="1948"/>
      <c r="AL654" s="1948"/>
      <c r="AN654" s="631"/>
    </row>
    <row r="655" spans="1:42" s="584" customFormat="1" ht="12.75" customHeight="1">
      <c r="B655" s="570"/>
      <c r="C655" s="966"/>
      <c r="D655" s="570"/>
      <c r="E655" s="2001"/>
      <c r="F655" s="2001"/>
      <c r="G655" s="2001"/>
      <c r="H655" s="2001"/>
      <c r="I655" s="2001"/>
      <c r="J655" s="2001"/>
      <c r="K655" s="2001"/>
      <c r="L655" s="2001"/>
      <c r="M655" s="2001"/>
      <c r="N655" s="2001"/>
      <c r="O655" s="2001"/>
      <c r="P655" s="2001"/>
      <c r="Q655" s="2001"/>
      <c r="R655" s="2001"/>
      <c r="S655" s="2001"/>
      <c r="T655" s="2001"/>
      <c r="U655" s="2001"/>
      <c r="V655" s="2001"/>
      <c r="W655" s="2001"/>
      <c r="X655" s="2001"/>
      <c r="Y655" s="2001"/>
      <c r="Z655" s="2001"/>
      <c r="AA655" s="2001"/>
      <c r="AB655" s="2001"/>
      <c r="AC655" s="2001"/>
      <c r="AD655" s="570"/>
      <c r="AE655" s="1948"/>
      <c r="AF655" s="1948"/>
      <c r="AG655" s="1948"/>
      <c r="AH655" s="1948"/>
      <c r="AI655" s="1948"/>
      <c r="AJ655" s="1948"/>
      <c r="AK655" s="1948"/>
      <c r="AL655" s="628"/>
      <c r="AN655" s="631"/>
      <c r="AO655" s="584" t="s">
        <v>600</v>
      </c>
      <c r="AP655" s="707">
        <v>0</v>
      </c>
    </row>
    <row r="656" spans="1:42" s="584" customFormat="1" ht="12.75" customHeight="1">
      <c r="A656" s="713"/>
      <c r="B656" s="570"/>
      <c r="C656" s="570"/>
      <c r="D656" s="697"/>
      <c r="E656" s="2001"/>
      <c r="F656" s="2001"/>
      <c r="G656" s="2001"/>
      <c r="H656" s="2001"/>
      <c r="I656" s="2001"/>
      <c r="J656" s="2001"/>
      <c r="K656" s="2001"/>
      <c r="L656" s="2001"/>
      <c r="M656" s="2001"/>
      <c r="N656" s="2001"/>
      <c r="O656" s="2001"/>
      <c r="P656" s="2001"/>
      <c r="Q656" s="2001"/>
      <c r="R656" s="2001"/>
      <c r="S656" s="2001"/>
      <c r="T656" s="2001"/>
      <c r="U656" s="2001"/>
      <c r="V656" s="2001"/>
      <c r="W656" s="2001"/>
      <c r="X656" s="2001"/>
      <c r="Y656" s="2001"/>
      <c r="Z656" s="2001"/>
      <c r="AA656" s="2001"/>
      <c r="AB656" s="2001"/>
      <c r="AC656" s="2001"/>
      <c r="AD656" s="570"/>
      <c r="AE656" s="570"/>
      <c r="AF656" s="570"/>
      <c r="AG656" s="570"/>
      <c r="AH656" s="570"/>
      <c r="AI656" s="570"/>
      <c r="AJ656" s="570"/>
      <c r="AK656" s="570"/>
      <c r="AL656" s="570"/>
      <c r="AN656" s="631"/>
      <c r="AO656" s="645" t="s">
        <v>697</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518</v>
      </c>
      <c r="AP657" s="584">
        <v>2</v>
      </c>
    </row>
    <row r="658" spans="1:42" s="584" customFormat="1" ht="12.75" customHeight="1">
      <c r="A658" s="704"/>
      <c r="B658" s="570"/>
      <c r="C658" s="982"/>
      <c r="D658" s="697" t="s">
        <v>1509</v>
      </c>
      <c r="E658" s="2001" t="s">
        <v>1533</v>
      </c>
      <c r="F658" s="2001"/>
      <c r="G658" s="2001"/>
      <c r="H658" s="2001"/>
      <c r="I658" s="2001"/>
      <c r="J658" s="2001"/>
      <c r="K658" s="2001"/>
      <c r="L658" s="2001"/>
      <c r="M658" s="2001"/>
      <c r="N658" s="2001"/>
      <c r="O658" s="2001"/>
      <c r="P658" s="2001"/>
      <c r="Q658" s="2001"/>
      <c r="R658" s="2001"/>
      <c r="S658" s="2001"/>
      <c r="T658" s="2001"/>
      <c r="U658" s="2001"/>
      <c r="V658" s="2001"/>
      <c r="W658" s="2001"/>
      <c r="X658" s="2001"/>
      <c r="Y658" s="2001"/>
      <c r="Z658" s="2001"/>
      <c r="AA658" s="2001"/>
      <c r="AB658" s="2001"/>
      <c r="AC658" s="2001"/>
      <c r="AD658" s="570"/>
      <c r="AE658" s="570"/>
      <c r="AF658" s="1948" t="s">
        <v>1511</v>
      </c>
      <c r="AG658" s="1948"/>
      <c r="AH658" s="1948"/>
      <c r="AI658" s="1948"/>
      <c r="AJ658" s="1948"/>
      <c r="AK658" s="1948"/>
      <c r="AL658" s="1948"/>
      <c r="AN658" s="631"/>
    </row>
    <row r="659" spans="1:42" s="584" customFormat="1" ht="12.75" customHeight="1">
      <c r="A659" s="704"/>
      <c r="B659" s="570"/>
      <c r="C659" s="982"/>
      <c r="D659" s="697"/>
      <c r="E659" s="2001"/>
      <c r="F659" s="2001"/>
      <c r="G659" s="2001"/>
      <c r="H659" s="2001"/>
      <c r="I659" s="2001"/>
      <c r="J659" s="2001"/>
      <c r="K659" s="2001"/>
      <c r="L659" s="2001"/>
      <c r="M659" s="2001"/>
      <c r="N659" s="2001"/>
      <c r="O659" s="2001"/>
      <c r="P659" s="2001"/>
      <c r="Q659" s="2001"/>
      <c r="R659" s="2001"/>
      <c r="S659" s="2001"/>
      <c r="T659" s="2001"/>
      <c r="U659" s="2001"/>
      <c r="V659" s="2001"/>
      <c r="W659" s="2001"/>
      <c r="X659" s="2001"/>
      <c r="Y659" s="2001"/>
      <c r="Z659" s="2001"/>
      <c r="AA659" s="2001"/>
      <c r="AB659" s="2001"/>
      <c r="AC659" s="2001"/>
      <c r="AD659" s="570"/>
      <c r="AE659" s="628"/>
      <c r="AF659" s="628"/>
      <c r="AG659" s="628"/>
      <c r="AH659" s="628"/>
      <c r="AI659" s="628"/>
      <c r="AJ659" s="628"/>
      <c r="AK659" s="628"/>
      <c r="AL659" s="628"/>
      <c r="AM659" s="630"/>
      <c r="AN659" s="631"/>
    </row>
    <row r="660" spans="1:42" s="584" customFormat="1" ht="12.75" customHeight="1">
      <c r="A660" s="704"/>
      <c r="B660" s="570"/>
      <c r="C660" s="982"/>
      <c r="D660" s="697"/>
      <c r="E660" s="2001"/>
      <c r="F660" s="2001"/>
      <c r="G660" s="2001"/>
      <c r="H660" s="2001"/>
      <c r="I660" s="2001"/>
      <c r="J660" s="2001"/>
      <c r="K660" s="2001"/>
      <c r="L660" s="2001"/>
      <c r="M660" s="2001"/>
      <c r="N660" s="2001"/>
      <c r="O660" s="2001"/>
      <c r="P660" s="2001"/>
      <c r="Q660" s="2001"/>
      <c r="R660" s="2001"/>
      <c r="S660" s="2001"/>
      <c r="T660" s="2001"/>
      <c r="U660" s="2001"/>
      <c r="V660" s="2001"/>
      <c r="W660" s="2001"/>
      <c r="X660" s="2001"/>
      <c r="Y660" s="2001"/>
      <c r="Z660" s="2001"/>
      <c r="AA660" s="2001"/>
      <c r="AB660" s="2001"/>
      <c r="AC660" s="2001"/>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1510</v>
      </c>
      <c r="E662" s="2001" t="s">
        <v>1534</v>
      </c>
      <c r="F662" s="2001"/>
      <c r="G662" s="2001"/>
      <c r="H662" s="2001"/>
      <c r="I662" s="2001"/>
      <c r="J662" s="2001"/>
      <c r="K662" s="2001"/>
      <c r="L662" s="2001"/>
      <c r="M662" s="2001"/>
      <c r="N662" s="2001"/>
      <c r="O662" s="2001"/>
      <c r="P662" s="2001"/>
      <c r="Q662" s="2001"/>
      <c r="R662" s="2001"/>
      <c r="S662" s="2001"/>
      <c r="T662" s="2001"/>
      <c r="U662" s="2001"/>
      <c r="V662" s="2001"/>
      <c r="W662" s="2001"/>
      <c r="X662" s="2001"/>
      <c r="Y662" s="2001"/>
      <c r="Z662" s="2001"/>
      <c r="AA662" s="2001"/>
      <c r="AB662" s="2001"/>
      <c r="AC662" s="2001"/>
      <c r="AD662" s="570"/>
      <c r="AE662" s="570"/>
      <c r="AF662" s="1948" t="s">
        <v>1464</v>
      </c>
      <c r="AG662" s="1948"/>
      <c r="AH662" s="1948"/>
      <c r="AI662" s="1948"/>
      <c r="AJ662" s="1948"/>
      <c r="AK662" s="1948"/>
      <c r="AL662" s="1948"/>
      <c r="AM662" s="630"/>
      <c r="AN662" s="631"/>
    </row>
    <row r="663" spans="1:42" s="584" customFormat="1" ht="12.75" customHeight="1">
      <c r="B663" s="570"/>
      <c r="C663" s="966"/>
      <c r="D663" s="697"/>
      <c r="E663" s="2001"/>
      <c r="F663" s="2001"/>
      <c r="G663" s="2001"/>
      <c r="H663" s="2001"/>
      <c r="I663" s="2001"/>
      <c r="J663" s="2001"/>
      <c r="K663" s="2001"/>
      <c r="L663" s="2001"/>
      <c r="M663" s="2001"/>
      <c r="N663" s="2001"/>
      <c r="O663" s="2001"/>
      <c r="P663" s="2001"/>
      <c r="Q663" s="2001"/>
      <c r="R663" s="2001"/>
      <c r="S663" s="2001"/>
      <c r="T663" s="2001"/>
      <c r="U663" s="2001"/>
      <c r="V663" s="2001"/>
      <c r="W663" s="2001"/>
      <c r="X663" s="2001"/>
      <c r="Y663" s="2001"/>
      <c r="Z663" s="2001"/>
      <c r="AA663" s="2001"/>
      <c r="AB663" s="2001"/>
      <c r="AC663" s="2001"/>
      <c r="AD663" s="570"/>
      <c r="AE663" s="570"/>
      <c r="AF663" s="570"/>
      <c r="AG663" s="570"/>
      <c r="AH663" s="570"/>
      <c r="AI663" s="570"/>
      <c r="AJ663" s="570"/>
      <c r="AK663" s="570"/>
      <c r="AL663" s="570"/>
      <c r="AM663" s="630"/>
      <c r="AN663" s="631"/>
    </row>
    <row r="664" spans="1:42" s="584" customFormat="1" ht="12.75" customHeight="1">
      <c r="B664" s="570"/>
      <c r="C664" s="966"/>
      <c r="D664" s="697"/>
      <c r="E664" s="2001"/>
      <c r="F664" s="2001"/>
      <c r="G664" s="2001"/>
      <c r="H664" s="2001"/>
      <c r="I664" s="2001"/>
      <c r="J664" s="2001"/>
      <c r="K664" s="2001"/>
      <c r="L664" s="2001"/>
      <c r="M664" s="2001"/>
      <c r="N664" s="2001"/>
      <c r="O664" s="2001"/>
      <c r="P664" s="2001"/>
      <c r="Q664" s="2001"/>
      <c r="R664" s="2001"/>
      <c r="S664" s="2001"/>
      <c r="T664" s="2001"/>
      <c r="U664" s="2001"/>
      <c r="V664" s="2001"/>
      <c r="W664" s="2001"/>
      <c r="X664" s="2001"/>
      <c r="Y664" s="2001"/>
      <c r="Z664" s="2001"/>
      <c r="AA664" s="2001"/>
      <c r="AB664" s="2001"/>
      <c r="AC664" s="2001"/>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1521</v>
      </c>
      <c r="E666" s="2001" t="s">
        <v>1535</v>
      </c>
      <c r="F666" s="2001"/>
      <c r="G666" s="2001"/>
      <c r="H666" s="2001"/>
      <c r="I666" s="2001"/>
      <c r="J666" s="2001"/>
      <c r="K666" s="2001"/>
      <c r="L666" s="2001"/>
      <c r="M666" s="2001"/>
      <c r="N666" s="2001"/>
      <c r="O666" s="2001"/>
      <c r="P666" s="2001"/>
      <c r="Q666" s="2001"/>
      <c r="R666" s="2001"/>
      <c r="S666" s="2001"/>
      <c r="T666" s="2001"/>
      <c r="U666" s="2001"/>
      <c r="V666" s="2001"/>
      <c r="W666" s="2001"/>
      <c r="X666" s="2001"/>
      <c r="Y666" s="2001"/>
      <c r="Z666" s="2001"/>
      <c r="AA666" s="2001"/>
      <c r="AB666" s="2001"/>
      <c r="AC666" s="2001"/>
      <c r="AD666" s="570"/>
      <c r="AE666" s="570"/>
      <c r="AF666" s="1948" t="s">
        <v>1520</v>
      </c>
      <c r="AG666" s="1948"/>
      <c r="AH666" s="1948"/>
      <c r="AI666" s="1948"/>
      <c r="AJ666" s="1948"/>
      <c r="AK666" s="1948"/>
      <c r="AL666" s="1948"/>
      <c r="AM666" s="630"/>
      <c r="AN666" s="631"/>
    </row>
    <row r="667" spans="1:42" s="584" customFormat="1" ht="12.75" customHeight="1">
      <c r="A667" s="713"/>
      <c r="B667" s="570"/>
      <c r="C667" s="966"/>
      <c r="D667" s="697"/>
      <c r="E667" s="2001"/>
      <c r="F667" s="2001"/>
      <c r="G667" s="2001"/>
      <c r="H667" s="2001"/>
      <c r="I667" s="2001"/>
      <c r="J667" s="2001"/>
      <c r="K667" s="2001"/>
      <c r="L667" s="2001"/>
      <c r="M667" s="2001"/>
      <c r="N667" s="2001"/>
      <c r="O667" s="2001"/>
      <c r="P667" s="2001"/>
      <c r="Q667" s="2001"/>
      <c r="R667" s="2001"/>
      <c r="S667" s="2001"/>
      <c r="T667" s="2001"/>
      <c r="U667" s="2001"/>
      <c r="V667" s="2001"/>
      <c r="W667" s="2001"/>
      <c r="X667" s="2001"/>
      <c r="Y667" s="2001"/>
      <c r="Z667" s="2001"/>
      <c r="AA667" s="2001"/>
      <c r="AB667" s="2001"/>
      <c r="AC667" s="2001"/>
      <c r="AD667" s="570"/>
      <c r="AE667" s="570"/>
      <c r="AF667" s="628"/>
      <c r="AG667" s="628"/>
      <c r="AH667" s="628"/>
      <c r="AI667" s="628"/>
      <c r="AJ667" s="628"/>
      <c r="AK667" s="628"/>
      <c r="AL667" s="628"/>
      <c r="AM667" s="630"/>
      <c r="AN667" s="631"/>
    </row>
    <row r="668" spans="1:42" s="584" customFormat="1" ht="12.75" customHeight="1">
      <c r="A668" s="713"/>
      <c r="B668" s="570"/>
      <c r="C668" s="966"/>
      <c r="D668" s="697"/>
      <c r="E668" s="2001"/>
      <c r="F668" s="2001"/>
      <c r="G668" s="2001"/>
      <c r="H668" s="2001"/>
      <c r="I668" s="2001"/>
      <c r="J668" s="2001"/>
      <c r="K668" s="2001"/>
      <c r="L668" s="2001"/>
      <c r="M668" s="2001"/>
      <c r="N668" s="2001"/>
      <c r="O668" s="2001"/>
      <c r="P668" s="2001"/>
      <c r="Q668" s="2001"/>
      <c r="R668" s="2001"/>
      <c r="S668" s="2001"/>
      <c r="T668" s="2001"/>
      <c r="U668" s="2001"/>
      <c r="V668" s="2001"/>
      <c r="W668" s="2001"/>
      <c r="X668" s="2001"/>
      <c r="Y668" s="2001"/>
      <c r="Z668" s="2001"/>
      <c r="AA668" s="2001"/>
      <c r="AB668" s="2001"/>
      <c r="AC668" s="2001"/>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600</v>
      </c>
      <c r="AP669" s="671">
        <v>0</v>
      </c>
    </row>
    <row r="670" spans="1:42" s="584" customFormat="1" ht="12.75" customHeight="1">
      <c r="A670" s="713"/>
      <c r="B670" s="570"/>
      <c r="C670" s="966"/>
      <c r="D670" s="697" t="s">
        <v>1523</v>
      </c>
      <c r="E670" s="2001" t="s">
        <v>1536</v>
      </c>
      <c r="F670" s="2001"/>
      <c r="G670" s="2001"/>
      <c r="H670" s="2001"/>
      <c r="I670" s="2001"/>
      <c r="J670" s="2001"/>
      <c r="K670" s="2001"/>
      <c r="L670" s="2001"/>
      <c r="M670" s="2001"/>
      <c r="N670" s="2001"/>
      <c r="O670" s="2001"/>
      <c r="P670" s="2001"/>
      <c r="Q670" s="2001"/>
      <c r="R670" s="2001"/>
      <c r="S670" s="2001"/>
      <c r="T670" s="2001"/>
      <c r="U670" s="2001"/>
      <c r="V670" s="2001"/>
      <c r="W670" s="2001"/>
      <c r="X670" s="2001"/>
      <c r="Y670" s="2001"/>
      <c r="Z670" s="2001"/>
      <c r="AA670" s="2001"/>
      <c r="AB670" s="2001"/>
      <c r="AC670" s="2001"/>
      <c r="AD670" s="570"/>
      <c r="AE670" s="570"/>
      <c r="AF670" s="1948" t="s">
        <v>1537</v>
      </c>
      <c r="AG670" s="1948"/>
      <c r="AH670" s="1948"/>
      <c r="AI670" s="1948"/>
      <c r="AJ670" s="1948"/>
      <c r="AK670" s="1948"/>
      <c r="AL670" s="1948"/>
      <c r="AM670" s="630"/>
      <c r="AN670" s="631"/>
      <c r="AO670" s="645" t="s">
        <v>697</v>
      </c>
      <c r="AP670" s="584">
        <v>3</v>
      </c>
    </row>
    <row r="671" spans="1:42" s="584" customFormat="1" ht="12.75" customHeight="1">
      <c r="A671" s="713"/>
      <c r="B671" s="570"/>
      <c r="C671" s="966"/>
      <c r="D671" s="697"/>
      <c r="E671" s="2001"/>
      <c r="F671" s="2001"/>
      <c r="G671" s="2001"/>
      <c r="H671" s="2001"/>
      <c r="I671" s="2001"/>
      <c r="J671" s="2001"/>
      <c r="K671" s="2001"/>
      <c r="L671" s="2001"/>
      <c r="M671" s="2001"/>
      <c r="N671" s="2001"/>
      <c r="O671" s="2001"/>
      <c r="P671" s="2001"/>
      <c r="Q671" s="2001"/>
      <c r="R671" s="2001"/>
      <c r="S671" s="2001"/>
      <c r="T671" s="2001"/>
      <c r="U671" s="2001"/>
      <c r="V671" s="2001"/>
      <c r="W671" s="2001"/>
      <c r="X671" s="2001"/>
      <c r="Y671" s="2001"/>
      <c r="Z671" s="2001"/>
      <c r="AA671" s="2001"/>
      <c r="AB671" s="2001"/>
      <c r="AC671" s="2001"/>
      <c r="AD671" s="570"/>
      <c r="AE671" s="570"/>
      <c r="AF671" s="628"/>
      <c r="AG671" s="628"/>
      <c r="AH671" s="628"/>
      <c r="AI671" s="628"/>
      <c r="AJ671" s="628"/>
      <c r="AK671" s="628"/>
      <c r="AL671" s="628"/>
      <c r="AM671" s="630"/>
      <c r="AN671" s="631"/>
      <c r="AO671" s="645" t="s">
        <v>518</v>
      </c>
      <c r="AP671" s="584">
        <v>2</v>
      </c>
    </row>
    <row r="672" spans="1:42" s="584" customFormat="1" ht="12.75" customHeight="1">
      <c r="A672" s="713"/>
      <c r="B672" s="570"/>
      <c r="C672" s="966"/>
      <c r="D672" s="697"/>
      <c r="E672" s="2001"/>
      <c r="F672" s="2001"/>
      <c r="G672" s="2001"/>
      <c r="H672" s="2001"/>
      <c r="I672" s="2001"/>
      <c r="J672" s="2001"/>
      <c r="K672" s="2001"/>
      <c r="L672" s="2001"/>
      <c r="M672" s="2001"/>
      <c r="N672" s="2001"/>
      <c r="O672" s="2001"/>
      <c r="P672" s="2001"/>
      <c r="Q672" s="2001"/>
      <c r="R672" s="2001"/>
      <c r="S672" s="2001"/>
      <c r="T672" s="2001"/>
      <c r="U672" s="2001"/>
      <c r="V672" s="2001"/>
      <c r="W672" s="2001"/>
      <c r="X672" s="2001"/>
      <c r="Y672" s="2001"/>
      <c r="Z672" s="2001"/>
      <c r="AA672" s="2001"/>
      <c r="AB672" s="2001"/>
      <c r="AC672" s="2001"/>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1512</v>
      </c>
      <c r="E674" s="971"/>
      <c r="F674" s="971"/>
      <c r="G674" s="971"/>
      <c r="H674" s="2030" t="s">
        <v>697</v>
      </c>
      <c r="I674" s="2030"/>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1538</v>
      </c>
      <c r="AJ676" s="1981">
        <f>VLOOKUP($H$674,$AO$622:$AP$629,2,FALSE)</f>
        <v>5</v>
      </c>
      <c r="AK676" s="1983"/>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2456</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2548</v>
      </c>
      <c r="AX678" s="584">
        <f>Application!Y212</f>
        <v>35</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2549</v>
      </c>
      <c r="AX679" s="1196">
        <f>Application!G753</f>
        <v>49</v>
      </c>
    </row>
    <row r="680" spans="1:51" s="584" customFormat="1" ht="12.75" customHeight="1">
      <c r="A680" s="713"/>
      <c r="B680" s="570"/>
      <c r="C680" s="983"/>
      <c r="D680" s="697" t="s">
        <v>697</v>
      </c>
      <c r="E680" s="2037" t="s">
        <v>2555</v>
      </c>
      <c r="F680" s="2037"/>
      <c r="G680" s="2037"/>
      <c r="H680" s="2037"/>
      <c r="I680" s="2037"/>
      <c r="J680" s="2037"/>
      <c r="K680" s="2037"/>
      <c r="L680" s="2037"/>
      <c r="M680" s="2037"/>
      <c r="N680" s="2037"/>
      <c r="O680" s="2037"/>
      <c r="P680" s="2037"/>
      <c r="Q680" s="2037"/>
      <c r="R680" s="2037"/>
      <c r="S680" s="2037"/>
      <c r="T680" s="2037"/>
      <c r="U680" s="2037"/>
      <c r="V680" s="2037"/>
      <c r="W680" s="2037"/>
      <c r="X680" s="2037"/>
      <c r="Y680" s="2037"/>
      <c r="Z680" s="2037"/>
      <c r="AA680" s="2037"/>
      <c r="AB680" s="2037"/>
      <c r="AC680" s="570"/>
      <c r="AD680" s="570"/>
      <c r="AE680" s="570"/>
      <c r="AF680" s="1948" t="s">
        <v>1464</v>
      </c>
      <c r="AG680" s="1948"/>
      <c r="AH680" s="1948"/>
      <c r="AI680" s="1948"/>
      <c r="AJ680" s="1948"/>
      <c r="AK680" s="1948"/>
      <c r="AL680" s="1948"/>
      <c r="AN680" s="631"/>
      <c r="AW680" s="22" t="s">
        <v>2550</v>
      </c>
      <c r="AX680" s="584">
        <f>Application!CC632</f>
        <v>0</v>
      </c>
    </row>
    <row r="681" spans="1:51" s="584" customFormat="1" ht="12.75" customHeight="1">
      <c r="A681" s="713"/>
      <c r="B681" s="570"/>
      <c r="C681" s="983"/>
      <c r="D681" s="697"/>
      <c r="E681" s="2037"/>
      <c r="F681" s="2037"/>
      <c r="G681" s="2037"/>
      <c r="H681" s="2037"/>
      <c r="I681" s="2037"/>
      <c r="J681" s="2037"/>
      <c r="K681" s="2037"/>
      <c r="L681" s="2037"/>
      <c r="M681" s="2037"/>
      <c r="N681" s="2037"/>
      <c r="O681" s="2037"/>
      <c r="P681" s="2037"/>
      <c r="Q681" s="2037"/>
      <c r="R681" s="2037"/>
      <c r="S681" s="2037"/>
      <c r="T681" s="2037"/>
      <c r="U681" s="2037"/>
      <c r="V681" s="2037"/>
      <c r="W681" s="2037"/>
      <c r="X681" s="2037"/>
      <c r="Y681" s="2037"/>
      <c r="Z681" s="2037"/>
      <c r="AA681" s="2037"/>
      <c r="AB681" s="2037"/>
      <c r="AC681" s="570"/>
      <c r="AD681" s="570"/>
      <c r="AE681" s="570"/>
      <c r="AF681" s="570"/>
      <c r="AG681" s="570"/>
      <c r="AH681" s="570"/>
      <c r="AI681" s="570"/>
      <c r="AJ681" s="570"/>
      <c r="AK681" s="570"/>
      <c r="AL681" s="570"/>
      <c r="AN681" s="631"/>
      <c r="AW681" s="22" t="s">
        <v>2551</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2552</v>
      </c>
      <c r="AX682" s="584">
        <f>Application!CM632</f>
        <v>0</v>
      </c>
    </row>
    <row r="683" spans="1:51" s="584" customFormat="1" ht="12.75" customHeight="1">
      <c r="B683" s="570"/>
      <c r="C683" s="966"/>
      <c r="D683" s="697" t="s">
        <v>518</v>
      </c>
      <c r="E683" s="2001" t="s">
        <v>2454</v>
      </c>
      <c r="F683" s="2001"/>
      <c r="G683" s="2001"/>
      <c r="H683" s="2001"/>
      <c r="I683" s="2001"/>
      <c r="J683" s="2001"/>
      <c r="K683" s="2001"/>
      <c r="L683" s="2001"/>
      <c r="M683" s="2001"/>
      <c r="N683" s="2001"/>
      <c r="O683" s="2001"/>
      <c r="P683" s="2001"/>
      <c r="Q683" s="2001"/>
      <c r="R683" s="2001"/>
      <c r="S683" s="2001"/>
      <c r="T683" s="2001"/>
      <c r="U683" s="2001"/>
      <c r="V683" s="2001"/>
      <c r="W683" s="2001"/>
      <c r="X683" s="2001"/>
      <c r="Y683" s="2001"/>
      <c r="Z683" s="2001"/>
      <c r="AA683" s="2001"/>
      <c r="AB683" s="2001"/>
      <c r="AC683" s="570"/>
      <c r="AD683" s="570"/>
      <c r="AE683" s="570"/>
      <c r="AF683" s="1948" t="s">
        <v>1464</v>
      </c>
      <c r="AG683" s="1948"/>
      <c r="AH683" s="1948"/>
      <c r="AI683" s="1948"/>
      <c r="AJ683" s="1948"/>
      <c r="AK683" s="1948"/>
      <c r="AL683" s="1948"/>
      <c r="AN683" s="631"/>
      <c r="AW683" s="22" t="s">
        <v>2553</v>
      </c>
      <c r="AX683" s="584">
        <f>AX680+AX681+AX682</f>
        <v>0</v>
      </c>
    </row>
    <row r="684" spans="1:51" s="584" customFormat="1" ht="12.75" customHeight="1">
      <c r="B684" s="570"/>
      <c r="C684" s="975"/>
      <c r="D684" s="697"/>
      <c r="E684" s="2001"/>
      <c r="F684" s="2001"/>
      <c r="G684" s="2001"/>
      <c r="H684" s="2001"/>
      <c r="I684" s="2001"/>
      <c r="J684" s="2001"/>
      <c r="K684" s="2001"/>
      <c r="L684" s="2001"/>
      <c r="M684" s="2001"/>
      <c r="N684" s="2001"/>
      <c r="O684" s="2001"/>
      <c r="P684" s="2001"/>
      <c r="Q684" s="2001"/>
      <c r="R684" s="2001"/>
      <c r="S684" s="2001"/>
      <c r="T684" s="2001"/>
      <c r="U684" s="2001"/>
      <c r="V684" s="2001"/>
      <c r="W684" s="2001"/>
      <c r="X684" s="2001"/>
      <c r="Y684" s="2001"/>
      <c r="Z684" s="2001"/>
      <c r="AA684" s="2001"/>
      <c r="AB684" s="2001"/>
      <c r="AC684" s="570"/>
      <c r="AD684" s="570"/>
      <c r="AE684" s="650"/>
      <c r="AF684" s="570"/>
      <c r="AG684" s="570"/>
      <c r="AH684" s="570"/>
      <c r="AI684" s="570"/>
      <c r="AJ684" s="570"/>
      <c r="AK684" s="570"/>
      <c r="AL684" s="570"/>
      <c r="AN684" s="631"/>
      <c r="AO684" s="2036" t="b">
        <f>IF(Application!D211="Special Needs",IF(AY684&gt;=0.25,TRUE,FALSE),IF(AX684&gt;=0.25,TRUE,FALSE))</f>
        <v>0</v>
      </c>
      <c r="AP684" s="2036"/>
      <c r="AW684" s="22" t="s">
        <v>2554</v>
      </c>
      <c r="AX684" s="584">
        <f>IFERROR(AX683/AX679,0)</f>
        <v>0</v>
      </c>
      <c r="AY684" s="584">
        <f>IFERROR(AX683/(AX679-AX678),0)</f>
        <v>0</v>
      </c>
    </row>
    <row r="685" spans="1:51" s="584" customFormat="1" ht="12.75" customHeight="1">
      <c r="B685" s="570"/>
      <c r="C685" s="975"/>
      <c r="E685" s="2001"/>
      <c r="F685" s="2001"/>
      <c r="G685" s="2001"/>
      <c r="H685" s="2001"/>
      <c r="I685" s="2001"/>
      <c r="J685" s="2001"/>
      <c r="K685" s="2001"/>
      <c r="L685" s="2001"/>
      <c r="M685" s="2001"/>
      <c r="N685" s="2001"/>
      <c r="O685" s="2001"/>
      <c r="P685" s="2001"/>
      <c r="Q685" s="2001"/>
      <c r="R685" s="2001"/>
      <c r="S685" s="2001"/>
      <c r="T685" s="2001"/>
      <c r="U685" s="2001"/>
      <c r="V685" s="2001"/>
      <c r="W685" s="2001"/>
      <c r="X685" s="2001"/>
      <c r="Y685" s="2001"/>
      <c r="Z685" s="2001"/>
      <c r="AA685" s="2001"/>
      <c r="AB685" s="2001"/>
      <c r="AC685" s="570"/>
      <c r="AD685" s="570"/>
      <c r="AE685" s="650"/>
      <c r="AF685" s="650"/>
      <c r="AG685" s="650"/>
      <c r="AH685" s="650"/>
      <c r="AI685" s="650"/>
      <c r="AJ685" s="650"/>
      <c r="AK685" s="650"/>
      <c r="AL685" s="650"/>
      <c r="AN685" s="631"/>
      <c r="AW685" s="14"/>
    </row>
    <row r="686" spans="1:51" s="584" customFormat="1" ht="28.5" customHeight="1">
      <c r="B686" s="570"/>
      <c r="C686" s="975"/>
      <c r="D686" s="570"/>
      <c r="E686" s="2001"/>
      <c r="F686" s="2001"/>
      <c r="G686" s="2001"/>
      <c r="H686" s="2001"/>
      <c r="I686" s="2001"/>
      <c r="J686" s="2001"/>
      <c r="K686" s="2001"/>
      <c r="L686" s="2001"/>
      <c r="M686" s="2001"/>
      <c r="N686" s="2001"/>
      <c r="O686" s="2001"/>
      <c r="P686" s="2001"/>
      <c r="Q686" s="2001"/>
      <c r="R686" s="2001"/>
      <c r="S686" s="2001"/>
      <c r="T686" s="2001"/>
      <c r="U686" s="2001"/>
      <c r="V686" s="2001"/>
      <c r="W686" s="2001"/>
      <c r="X686" s="2001"/>
      <c r="Y686" s="2001"/>
      <c r="Z686" s="2001"/>
      <c r="AA686" s="2001"/>
      <c r="AB686" s="2001"/>
      <c r="AC686" s="570"/>
      <c r="AD686" s="570"/>
      <c r="AE686" s="650"/>
      <c r="AF686" s="650"/>
      <c r="AG686" s="650"/>
      <c r="AH686" s="650"/>
      <c r="AI686" s="650"/>
      <c r="AJ686" s="650"/>
      <c r="AK686" s="650"/>
      <c r="AL686" s="650"/>
      <c r="AN686" s="631"/>
      <c r="AO686" s="584" t="s">
        <v>600</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697</v>
      </c>
      <c r="AP687" s="584">
        <v>2</v>
      </c>
    </row>
    <row r="688" spans="1:51" s="584" customFormat="1" ht="12.75" customHeight="1">
      <c r="B688" s="570"/>
      <c r="C688" s="966"/>
      <c r="D688" s="697" t="s">
        <v>279</v>
      </c>
      <c r="E688" s="2001" t="s">
        <v>2455</v>
      </c>
      <c r="F688" s="2001"/>
      <c r="G688" s="2001"/>
      <c r="H688" s="2001"/>
      <c r="I688" s="2001"/>
      <c r="J688" s="2001"/>
      <c r="K688" s="2001"/>
      <c r="L688" s="2001"/>
      <c r="M688" s="2001"/>
      <c r="N688" s="2001"/>
      <c r="O688" s="2001"/>
      <c r="P688" s="2001"/>
      <c r="Q688" s="2001"/>
      <c r="R688" s="2001"/>
      <c r="S688" s="2001"/>
      <c r="T688" s="2001"/>
      <c r="U688" s="2001"/>
      <c r="V688" s="2001"/>
      <c r="W688" s="2001"/>
      <c r="X688" s="2001"/>
      <c r="Y688" s="2001"/>
      <c r="Z688" s="2001"/>
      <c r="AA688" s="2001"/>
      <c r="AB688" s="2001"/>
      <c r="AC688" s="570"/>
      <c r="AD688" s="570"/>
      <c r="AE688" s="570"/>
      <c r="AF688" s="1948" t="s">
        <v>1520</v>
      </c>
      <c r="AG688" s="1948"/>
      <c r="AH688" s="1948"/>
      <c r="AI688" s="1948"/>
      <c r="AJ688" s="1948"/>
      <c r="AK688" s="1948"/>
      <c r="AL688" s="1948"/>
      <c r="AN688" s="631"/>
      <c r="AO688" s="645" t="s">
        <v>518</v>
      </c>
      <c r="AP688" s="584">
        <v>1</v>
      </c>
    </row>
    <row r="689" spans="1:42" s="584" customFormat="1" ht="12" customHeight="1">
      <c r="B689" s="570"/>
      <c r="C689" s="966"/>
      <c r="E689" s="2001"/>
      <c r="F689" s="2001"/>
      <c r="G689" s="2001"/>
      <c r="H689" s="2001"/>
      <c r="I689" s="2001"/>
      <c r="J689" s="2001"/>
      <c r="K689" s="2001"/>
      <c r="L689" s="2001"/>
      <c r="M689" s="2001"/>
      <c r="N689" s="2001"/>
      <c r="O689" s="2001"/>
      <c r="P689" s="2001"/>
      <c r="Q689" s="2001"/>
      <c r="R689" s="2001"/>
      <c r="S689" s="2001"/>
      <c r="T689" s="2001"/>
      <c r="U689" s="2001"/>
      <c r="V689" s="2001"/>
      <c r="W689" s="2001"/>
      <c r="X689" s="2001"/>
      <c r="Y689" s="2001"/>
      <c r="Z689" s="2001"/>
      <c r="AA689" s="2001"/>
      <c r="AB689" s="2001"/>
      <c r="AC689" s="570"/>
      <c r="AD689" s="570"/>
      <c r="AE689" s="650"/>
      <c r="AF689" s="570"/>
      <c r="AG689" s="570"/>
      <c r="AH689" s="570"/>
      <c r="AI689" s="570"/>
      <c r="AJ689" s="570"/>
      <c r="AK689" s="570"/>
      <c r="AL689" s="570"/>
      <c r="AN689" s="631"/>
    </row>
    <row r="690" spans="1:42" s="584" customFormat="1" ht="12" customHeight="1">
      <c r="B690" s="570"/>
      <c r="C690" s="966"/>
      <c r="D690" s="570"/>
      <c r="E690" s="2001"/>
      <c r="F690" s="2001"/>
      <c r="G690" s="2001"/>
      <c r="H690" s="2001"/>
      <c r="I690" s="2001"/>
      <c r="J690" s="2001"/>
      <c r="K690" s="2001"/>
      <c r="L690" s="2001"/>
      <c r="M690" s="2001"/>
      <c r="N690" s="2001"/>
      <c r="O690" s="2001"/>
      <c r="P690" s="2001"/>
      <c r="Q690" s="2001"/>
      <c r="R690" s="2001"/>
      <c r="S690" s="2001"/>
      <c r="T690" s="2001"/>
      <c r="U690" s="2001"/>
      <c r="V690" s="2001"/>
      <c r="W690" s="2001"/>
      <c r="X690" s="2001"/>
      <c r="Y690" s="2001"/>
      <c r="Z690" s="2001"/>
      <c r="AA690" s="2001"/>
      <c r="AB690" s="2001"/>
      <c r="AC690" s="570"/>
      <c r="AD690" s="570"/>
      <c r="AE690" s="650"/>
      <c r="AF690" s="570"/>
      <c r="AG690" s="570"/>
      <c r="AH690" s="570"/>
      <c r="AI690" s="570"/>
      <c r="AJ690" s="570"/>
      <c r="AK690" s="570"/>
      <c r="AL690" s="570"/>
      <c r="AN690" s="631"/>
    </row>
    <row r="691" spans="1:42" s="584" customFormat="1" ht="12" customHeight="1">
      <c r="B691" s="570"/>
      <c r="C691" s="966"/>
      <c r="D691" s="570"/>
      <c r="E691" s="2001"/>
      <c r="F691" s="2001"/>
      <c r="G691" s="2001"/>
      <c r="H691" s="2001"/>
      <c r="I691" s="2001"/>
      <c r="J691" s="2001"/>
      <c r="K691" s="2001"/>
      <c r="L691" s="2001"/>
      <c r="M691" s="2001"/>
      <c r="N691" s="2001"/>
      <c r="O691" s="2001"/>
      <c r="P691" s="2001"/>
      <c r="Q691" s="2001"/>
      <c r="R691" s="2001"/>
      <c r="S691" s="2001"/>
      <c r="T691" s="2001"/>
      <c r="U691" s="2001"/>
      <c r="V691" s="2001"/>
      <c r="W691" s="2001"/>
      <c r="X691" s="2001"/>
      <c r="Y691" s="2001"/>
      <c r="Z691" s="2001"/>
      <c r="AA691" s="2001"/>
      <c r="AB691" s="2001"/>
      <c r="AC691" s="570"/>
      <c r="AD691" s="570"/>
      <c r="AE691" s="650"/>
      <c r="AF691" s="570"/>
      <c r="AG691" s="570"/>
      <c r="AH691" s="570"/>
      <c r="AI691" s="570"/>
      <c r="AJ691" s="570"/>
      <c r="AK691" s="570"/>
      <c r="AL691" s="570"/>
      <c r="AN691" s="631"/>
    </row>
    <row r="692" spans="1:42" s="604" customFormat="1" ht="12.95" customHeight="1">
      <c r="A692" s="584"/>
      <c r="B692" s="570"/>
      <c r="C692" s="966"/>
      <c r="D692" s="570"/>
      <c r="E692" s="2001"/>
      <c r="F692" s="2001"/>
      <c r="G692" s="2001"/>
      <c r="H692" s="2001"/>
      <c r="I692" s="2001"/>
      <c r="J692" s="2001"/>
      <c r="K692" s="2001"/>
      <c r="L692" s="2001"/>
      <c r="M692" s="2001"/>
      <c r="N692" s="2001"/>
      <c r="O692" s="2001"/>
      <c r="P692" s="2001"/>
      <c r="Q692" s="2001"/>
      <c r="R692" s="2001"/>
      <c r="S692" s="2001"/>
      <c r="T692" s="2001"/>
      <c r="U692" s="2001"/>
      <c r="V692" s="2001"/>
      <c r="W692" s="2001"/>
      <c r="X692" s="2001"/>
      <c r="Y692" s="2001"/>
      <c r="Z692" s="2001"/>
      <c r="AA692" s="2001"/>
      <c r="AB692" s="2001"/>
      <c r="AC692" s="570"/>
      <c r="AD692" s="570"/>
      <c r="AE692" s="650"/>
      <c r="AF692" s="650"/>
      <c r="AG692" s="650"/>
      <c r="AH692" s="650"/>
      <c r="AI692" s="650"/>
      <c r="AJ692" s="570"/>
      <c r="AK692" s="570"/>
      <c r="AL692" s="570"/>
      <c r="AM692" s="584"/>
      <c r="AN692" s="718"/>
      <c r="AO692" s="584" t="s">
        <v>600</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697</v>
      </c>
      <c r="AP693" s="584">
        <v>3</v>
      </c>
    </row>
    <row r="694" spans="1:42" s="604" customFormat="1" ht="12.75" customHeight="1">
      <c r="A694" s="584"/>
      <c r="B694" s="570"/>
      <c r="C694" s="966"/>
      <c r="D694" s="570"/>
      <c r="E694" s="2001" t="s">
        <v>1884</v>
      </c>
      <c r="F694" s="2001"/>
      <c r="G694" s="2001"/>
      <c r="H694" s="2001"/>
      <c r="I694" s="2001"/>
      <c r="J694" s="2001"/>
      <c r="K694" s="2001"/>
      <c r="L694" s="2001"/>
      <c r="M694" s="2001"/>
      <c r="N694" s="2001"/>
      <c r="O694" s="2001"/>
      <c r="P694" s="2001"/>
      <c r="Q694" s="2001"/>
      <c r="R694" s="2001"/>
      <c r="S694" s="2001"/>
      <c r="T694" s="2001"/>
      <c r="U694" s="2001"/>
      <c r="V694" s="2001"/>
      <c r="W694" s="2001"/>
      <c r="X694" s="2001"/>
      <c r="Y694" s="2001"/>
      <c r="Z694" s="2001"/>
      <c r="AA694" s="2001"/>
      <c r="AB694" s="2001"/>
      <c r="AC694" s="570"/>
      <c r="AD694" s="570"/>
      <c r="AE694" s="650"/>
      <c r="AF694" s="650"/>
      <c r="AG694" s="650"/>
      <c r="AH694" s="650"/>
      <c r="AI694" s="650"/>
      <c r="AJ694" s="570"/>
      <c r="AK694" s="570"/>
      <c r="AL694" s="570"/>
      <c r="AM694" s="584"/>
      <c r="AN694" s="718"/>
      <c r="AO694" s="645" t="s">
        <v>518</v>
      </c>
      <c r="AP694" s="584">
        <f>3*$AO$684</f>
        <v>0</v>
      </c>
    </row>
    <row r="695" spans="1:42" s="604" customFormat="1" ht="12.75" customHeight="1">
      <c r="A695" s="584"/>
      <c r="B695" s="570"/>
      <c r="C695" s="966"/>
      <c r="D695" s="570"/>
      <c r="E695" s="2001"/>
      <c r="F695" s="2001"/>
      <c r="G695" s="2001"/>
      <c r="H695" s="2001"/>
      <c r="I695" s="2001"/>
      <c r="J695" s="2001"/>
      <c r="K695" s="2001"/>
      <c r="L695" s="2001"/>
      <c r="M695" s="2001"/>
      <c r="N695" s="2001"/>
      <c r="O695" s="2001"/>
      <c r="P695" s="2001"/>
      <c r="Q695" s="2001"/>
      <c r="R695" s="2001"/>
      <c r="S695" s="2001"/>
      <c r="T695" s="2001"/>
      <c r="U695" s="2001"/>
      <c r="V695" s="2001"/>
      <c r="W695" s="2001"/>
      <c r="X695" s="2001"/>
      <c r="Y695" s="2001"/>
      <c r="Z695" s="2001"/>
      <c r="AA695" s="2001"/>
      <c r="AB695" s="2001"/>
      <c r="AC695" s="570"/>
      <c r="AD695" s="570"/>
      <c r="AE695" s="650"/>
      <c r="AF695" s="650"/>
      <c r="AG695" s="650"/>
      <c r="AH695" s="650"/>
      <c r="AI695" s="650"/>
      <c r="AJ695" s="570"/>
      <c r="AK695" s="570"/>
      <c r="AL695" s="570"/>
      <c r="AM695" s="584"/>
      <c r="AN695" s="718"/>
      <c r="AO695" s="645" t="s">
        <v>279</v>
      </c>
      <c r="AP695" s="584">
        <f>2*$AO$684</f>
        <v>0</v>
      </c>
    </row>
    <row r="696" spans="1:42" s="604" customFormat="1" ht="12.75" customHeight="1">
      <c r="A696" s="584"/>
      <c r="B696" s="570"/>
      <c r="C696" s="966"/>
      <c r="D696" s="570"/>
      <c r="E696" s="2001"/>
      <c r="F696" s="2001"/>
      <c r="G696" s="2001"/>
      <c r="H696" s="2001"/>
      <c r="I696" s="2001"/>
      <c r="J696" s="2001"/>
      <c r="K696" s="2001"/>
      <c r="L696" s="2001"/>
      <c r="M696" s="2001"/>
      <c r="N696" s="2001"/>
      <c r="O696" s="2001"/>
      <c r="P696" s="2001"/>
      <c r="Q696" s="2001"/>
      <c r="R696" s="2001"/>
      <c r="S696" s="2001"/>
      <c r="T696" s="2001"/>
      <c r="U696" s="2001"/>
      <c r="V696" s="2001"/>
      <c r="W696" s="2001"/>
      <c r="X696" s="2001"/>
      <c r="Y696" s="2001"/>
      <c r="Z696" s="2001"/>
      <c r="AA696" s="2001"/>
      <c r="AB696" s="2001"/>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1512</v>
      </c>
      <c r="E698" s="971"/>
      <c r="F698" s="971"/>
      <c r="G698" s="971"/>
      <c r="H698" s="2030" t="s">
        <v>600</v>
      </c>
      <c r="I698" s="2030"/>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1539</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1517</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2457</v>
      </c>
      <c r="AJ700" s="1981">
        <f>VLOOKUP($H$698,$AO$692:$AP$694,2,FALSE)</f>
        <v>0</v>
      </c>
      <c r="AK700" s="1983"/>
      <c r="AL700" s="629"/>
      <c r="AM700" s="584"/>
      <c r="AN700" s="718"/>
      <c r="AP700" s="604" t="s">
        <v>1524</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1540</v>
      </c>
    </row>
    <row r="702" spans="1:42" s="604" customFormat="1" ht="12.75" customHeight="1">
      <c r="A702" s="584"/>
      <c r="B702" s="570"/>
      <c r="C702" s="573" t="s">
        <v>1541</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1542</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1543</v>
      </c>
    </row>
    <row r="704" spans="1:42" s="604" customFormat="1" ht="12.75" customHeight="1">
      <c r="A704" s="671"/>
      <c r="B704" s="570"/>
      <c r="C704" s="966"/>
      <c r="D704" s="697" t="s">
        <v>697</v>
      </c>
      <c r="E704" s="2038" t="s">
        <v>1886</v>
      </c>
      <c r="F704" s="2038"/>
      <c r="G704" s="2038"/>
      <c r="H704" s="2038"/>
      <c r="I704" s="2038"/>
      <c r="J704" s="2038"/>
      <c r="K704" s="2038"/>
      <c r="L704" s="2038"/>
      <c r="M704" s="2038"/>
      <c r="N704" s="2038"/>
      <c r="O704" s="2038"/>
      <c r="P704" s="2038"/>
      <c r="Q704" s="2038"/>
      <c r="R704" s="2038"/>
      <c r="S704" s="2038"/>
      <c r="T704" s="2038"/>
      <c r="U704" s="2038"/>
      <c r="V704" s="2038"/>
      <c r="W704" s="2038"/>
      <c r="X704" s="2038"/>
      <c r="Y704" s="2038"/>
      <c r="Z704" s="2038"/>
      <c r="AA704" s="2038"/>
      <c r="AB704" s="2038"/>
      <c r="AC704" s="570"/>
      <c r="AD704" s="570"/>
      <c r="AE704" s="570"/>
      <c r="AF704" s="1948" t="s">
        <v>1464</v>
      </c>
      <c r="AG704" s="1948"/>
      <c r="AH704" s="1948"/>
      <c r="AI704" s="1948"/>
      <c r="AJ704" s="1948"/>
      <c r="AK704" s="1948"/>
      <c r="AL704" s="1948"/>
      <c r="AM704" s="584"/>
      <c r="AN704" s="718"/>
      <c r="AP704" s="604" t="s">
        <v>1544</v>
      </c>
    </row>
    <row r="705" spans="1:52" s="604" customFormat="1" ht="11.9" customHeight="1">
      <c r="A705" s="584"/>
      <c r="B705" s="570"/>
      <c r="C705" s="968"/>
      <c r="D705" s="697"/>
      <c r="E705" s="2038"/>
      <c r="F705" s="2038"/>
      <c r="G705" s="2038"/>
      <c r="H705" s="2038"/>
      <c r="I705" s="2038"/>
      <c r="J705" s="2038"/>
      <c r="K705" s="2038"/>
      <c r="L705" s="2038"/>
      <c r="M705" s="2038"/>
      <c r="N705" s="2038"/>
      <c r="O705" s="2038"/>
      <c r="P705" s="2038"/>
      <c r="Q705" s="2038"/>
      <c r="R705" s="2038"/>
      <c r="S705" s="2038"/>
      <c r="T705" s="2038"/>
      <c r="U705" s="2038"/>
      <c r="V705" s="2038"/>
      <c r="W705" s="2038"/>
      <c r="X705" s="2038"/>
      <c r="Y705" s="2038"/>
      <c r="Z705" s="2038"/>
      <c r="AA705" s="2038"/>
      <c r="AB705" s="2038"/>
      <c r="AC705" s="570"/>
      <c r="AD705" s="570"/>
      <c r="AE705" s="570"/>
      <c r="AF705" s="570"/>
      <c r="AG705" s="570"/>
      <c r="AH705" s="570"/>
      <c r="AI705" s="570"/>
      <c r="AJ705" s="570"/>
      <c r="AK705" s="570"/>
      <c r="AL705" s="570"/>
      <c r="AM705" s="584"/>
      <c r="AN705" s="718"/>
      <c r="AP705" s="604" t="s">
        <v>1545</v>
      </c>
    </row>
    <row r="706" spans="1:52" s="604" customFormat="1" ht="13.9" customHeight="1">
      <c r="A706" s="584"/>
      <c r="B706" s="644"/>
      <c r="C706" s="966"/>
      <c r="D706" s="697"/>
      <c r="E706" s="2038"/>
      <c r="F706" s="2038"/>
      <c r="G706" s="2038"/>
      <c r="H706" s="2038"/>
      <c r="I706" s="2038"/>
      <c r="J706" s="2038"/>
      <c r="K706" s="2038"/>
      <c r="L706" s="2038"/>
      <c r="M706" s="2038"/>
      <c r="N706" s="2038"/>
      <c r="O706" s="2038"/>
      <c r="P706" s="2038"/>
      <c r="Q706" s="2038"/>
      <c r="R706" s="2038"/>
      <c r="S706" s="2038"/>
      <c r="T706" s="2038"/>
      <c r="U706" s="2038"/>
      <c r="V706" s="2038"/>
      <c r="W706" s="2038"/>
      <c r="X706" s="2038"/>
      <c r="Y706" s="2038"/>
      <c r="Z706" s="2038"/>
      <c r="AA706" s="2038"/>
      <c r="AB706" s="2038"/>
      <c r="AC706" s="570"/>
      <c r="AD706" s="570"/>
      <c r="AE706" s="650"/>
      <c r="AF706" s="570"/>
      <c r="AG706" s="570"/>
      <c r="AH706" s="570"/>
      <c r="AI706" s="570"/>
      <c r="AJ706" s="570"/>
      <c r="AK706" s="570"/>
      <c r="AL706" s="570"/>
      <c r="AM706" s="584"/>
      <c r="AN706" s="718"/>
      <c r="AP706" s="604" t="s">
        <v>1546</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1548</v>
      </c>
    </row>
    <row r="708" spans="1:52" s="604" customFormat="1" ht="13.9" customHeight="1">
      <c r="A708" s="584"/>
      <c r="B708" s="570"/>
      <c r="C708" s="966"/>
      <c r="D708" s="697" t="s">
        <v>518</v>
      </c>
      <c r="E708" s="2039" t="s">
        <v>1547</v>
      </c>
      <c r="F708" s="2039"/>
      <c r="G708" s="2039"/>
      <c r="H708" s="2039"/>
      <c r="I708" s="2039"/>
      <c r="J708" s="2039"/>
      <c r="K708" s="2039"/>
      <c r="L708" s="2039"/>
      <c r="M708" s="2039"/>
      <c r="N708" s="2039"/>
      <c r="O708" s="2039"/>
      <c r="P708" s="2039"/>
      <c r="Q708" s="2039"/>
      <c r="R708" s="2039"/>
      <c r="S708" s="2039"/>
      <c r="T708" s="2039"/>
      <c r="U708" s="2039"/>
      <c r="V708" s="2039"/>
      <c r="W708" s="2039"/>
      <c r="X708" s="2039"/>
      <c r="Y708" s="2039"/>
      <c r="Z708" s="2039"/>
      <c r="AA708" s="2039"/>
      <c r="AB708" s="2039"/>
      <c r="AC708" s="570"/>
      <c r="AD708" s="570"/>
      <c r="AE708" s="570"/>
      <c r="AF708" s="1948" t="s">
        <v>1520</v>
      </c>
      <c r="AG708" s="1948"/>
      <c r="AH708" s="1948"/>
      <c r="AI708" s="1948"/>
      <c r="AJ708" s="1948"/>
      <c r="AK708" s="1948"/>
      <c r="AL708" s="1948"/>
      <c r="AM708" s="584"/>
      <c r="AN708" s="719"/>
    </row>
    <row r="709" spans="1:52" s="604" customFormat="1" ht="12.75" customHeight="1">
      <c r="A709" s="584"/>
      <c r="B709" s="570"/>
      <c r="C709" s="968"/>
      <c r="D709" s="570"/>
      <c r="E709" s="2039"/>
      <c r="F709" s="2039"/>
      <c r="G709" s="2039"/>
      <c r="H709" s="2039"/>
      <c r="I709" s="2039"/>
      <c r="J709" s="2039"/>
      <c r="K709" s="2039"/>
      <c r="L709" s="2039"/>
      <c r="M709" s="2039"/>
      <c r="N709" s="2039"/>
      <c r="O709" s="2039"/>
      <c r="P709" s="2039"/>
      <c r="Q709" s="2039"/>
      <c r="R709" s="2039"/>
      <c r="S709" s="2039"/>
      <c r="T709" s="2039"/>
      <c r="U709" s="2039"/>
      <c r="V709" s="2039"/>
      <c r="W709" s="2039"/>
      <c r="X709" s="2039"/>
      <c r="Y709" s="2039"/>
      <c r="Z709" s="2039"/>
      <c r="AA709" s="2039"/>
      <c r="AB709" s="2039"/>
      <c r="AC709" s="570"/>
      <c r="AD709" s="570"/>
      <c r="AE709" s="570"/>
      <c r="AF709" s="570"/>
      <c r="AG709" s="570"/>
      <c r="AH709" s="570"/>
      <c r="AI709" s="570"/>
      <c r="AJ709" s="570"/>
      <c r="AK709" s="570"/>
      <c r="AL709" s="570"/>
      <c r="AM709" s="584"/>
      <c r="AN709" s="718"/>
      <c r="AP709" s="584" t="s">
        <v>600</v>
      </c>
      <c r="AQ709" s="707">
        <v>0</v>
      </c>
    </row>
    <row r="710" spans="1:52" s="604" customFormat="1" ht="13.9" customHeight="1">
      <c r="A710" s="584"/>
      <c r="B710" s="570"/>
      <c r="C710" s="968"/>
      <c r="D710" s="570"/>
      <c r="E710" s="2039"/>
      <c r="F710" s="2039"/>
      <c r="G710" s="2039"/>
      <c r="H710" s="2039"/>
      <c r="I710" s="2039"/>
      <c r="J710" s="2039"/>
      <c r="K710" s="2039"/>
      <c r="L710" s="2039"/>
      <c r="M710" s="2039"/>
      <c r="N710" s="2039"/>
      <c r="O710" s="2039"/>
      <c r="P710" s="2039"/>
      <c r="Q710" s="2039"/>
      <c r="R710" s="2039"/>
      <c r="S710" s="2039"/>
      <c r="T710" s="2039"/>
      <c r="U710" s="2039"/>
      <c r="V710" s="2039"/>
      <c r="W710" s="2039"/>
      <c r="X710" s="2039"/>
      <c r="Y710" s="2039"/>
      <c r="Z710" s="2039"/>
      <c r="AA710" s="2039"/>
      <c r="AB710" s="2039"/>
      <c r="AC710" s="570"/>
      <c r="AD710" s="570"/>
      <c r="AE710" s="570"/>
      <c r="AF710" s="570"/>
      <c r="AG710" s="570"/>
      <c r="AH710" s="570"/>
      <c r="AI710" s="570"/>
      <c r="AJ710" s="570"/>
      <c r="AK710" s="570"/>
      <c r="AL710" s="570"/>
      <c r="AM710" s="584"/>
      <c r="AN710" s="718"/>
      <c r="AP710" s="645" t="s">
        <v>697</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518</v>
      </c>
      <c r="AQ711" s="584">
        <v>2</v>
      </c>
    </row>
    <row r="712" spans="1:52" s="604" customFormat="1" ht="13.9" customHeight="1">
      <c r="A712" s="584"/>
      <c r="B712" s="570"/>
      <c r="C712" s="968"/>
      <c r="D712" s="570" t="s">
        <v>1512</v>
      </c>
      <c r="E712" s="971"/>
      <c r="F712" s="971"/>
      <c r="G712" s="971"/>
      <c r="H712" s="2030" t="s">
        <v>600</v>
      </c>
      <c r="I712" s="2030"/>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1549</v>
      </c>
      <c r="AJ714" s="1981">
        <f>VLOOKUP($H$712,$AP$709:$AQ$711,2,FALSE)</f>
        <v>0</v>
      </c>
      <c r="AK714" s="1983"/>
      <c r="AL714" s="629"/>
      <c r="AM714" s="584"/>
      <c r="AN714" s="718"/>
      <c r="AP714" s="1981"/>
      <c r="AQ714" s="1983"/>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1550</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697</v>
      </c>
      <c r="E718" s="2001" t="s">
        <v>1887</v>
      </c>
      <c r="F718" s="2001"/>
      <c r="G718" s="2001"/>
      <c r="H718" s="2001"/>
      <c r="I718" s="2001"/>
      <c r="J718" s="2001"/>
      <c r="K718" s="2001"/>
      <c r="L718" s="2001"/>
      <c r="M718" s="2001"/>
      <c r="N718" s="2001"/>
      <c r="O718" s="2001"/>
      <c r="P718" s="2001"/>
      <c r="Q718" s="2001"/>
      <c r="R718" s="2001"/>
      <c r="S718" s="2001"/>
      <c r="T718" s="2001"/>
      <c r="U718" s="2001"/>
      <c r="V718" s="2001"/>
      <c r="W718" s="2001"/>
      <c r="X718" s="2001"/>
      <c r="Y718" s="2001"/>
      <c r="Z718" s="2001"/>
      <c r="AA718" s="2001"/>
      <c r="AB718" s="2001"/>
      <c r="AC718" s="570"/>
      <c r="AD718" s="570"/>
      <c r="AE718" s="570"/>
      <c r="AF718" s="1948" t="s">
        <v>1464</v>
      </c>
      <c r="AG718" s="1948"/>
      <c r="AH718" s="1948"/>
      <c r="AI718" s="1948"/>
      <c r="AJ718" s="1948"/>
      <c r="AK718" s="1948"/>
      <c r="AL718" s="1948"/>
      <c r="AM718" s="584"/>
      <c r="AN718" s="718"/>
      <c r="AT718" s="14"/>
      <c r="AU718" s="14"/>
      <c r="AV718" s="14"/>
      <c r="AW718" s="14"/>
      <c r="AX718" s="14"/>
      <c r="AY718" s="14"/>
      <c r="AZ718" s="14"/>
    </row>
    <row r="719" spans="1:52" s="604" customFormat="1">
      <c r="A719" s="584"/>
      <c r="B719" s="570"/>
      <c r="C719" s="968"/>
      <c r="D719" s="697"/>
      <c r="E719" s="2001"/>
      <c r="F719" s="2001"/>
      <c r="G719" s="2001"/>
      <c r="H719" s="2001"/>
      <c r="I719" s="2001"/>
      <c r="J719" s="2001"/>
      <c r="K719" s="2001"/>
      <c r="L719" s="2001"/>
      <c r="M719" s="2001"/>
      <c r="N719" s="2001"/>
      <c r="O719" s="2001"/>
      <c r="P719" s="2001"/>
      <c r="Q719" s="2001"/>
      <c r="R719" s="2001"/>
      <c r="S719" s="2001"/>
      <c r="T719" s="2001"/>
      <c r="U719" s="2001"/>
      <c r="V719" s="2001"/>
      <c r="W719" s="2001"/>
      <c r="X719" s="2001"/>
      <c r="Y719" s="2001"/>
      <c r="Z719" s="2001"/>
      <c r="AA719" s="2001"/>
      <c r="AB719" s="2001"/>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518</v>
      </c>
      <c r="E721" s="2001" t="s">
        <v>1551</v>
      </c>
      <c r="F721" s="2001"/>
      <c r="G721" s="2001"/>
      <c r="H721" s="2001"/>
      <c r="I721" s="2001"/>
      <c r="J721" s="2001"/>
      <c r="K721" s="2001"/>
      <c r="L721" s="2001"/>
      <c r="M721" s="2001"/>
      <c r="N721" s="2001"/>
      <c r="O721" s="2001"/>
      <c r="P721" s="2001"/>
      <c r="Q721" s="2001"/>
      <c r="R721" s="2001"/>
      <c r="S721" s="2001"/>
      <c r="T721" s="2001"/>
      <c r="U721" s="2001"/>
      <c r="V721" s="2001"/>
      <c r="W721" s="2001"/>
      <c r="X721" s="2001"/>
      <c r="Y721" s="2001"/>
      <c r="Z721" s="2001"/>
      <c r="AA721" s="2001"/>
      <c r="AB721" s="2001"/>
      <c r="AC721" s="570"/>
      <c r="AD721" s="570"/>
      <c r="AE721" s="570"/>
      <c r="AF721" s="1948" t="s">
        <v>1520</v>
      </c>
      <c r="AG721" s="1948"/>
      <c r="AH721" s="1948"/>
      <c r="AI721" s="1948"/>
      <c r="AJ721" s="1948"/>
      <c r="AK721" s="1948"/>
      <c r="AL721" s="1948"/>
      <c r="AM721" s="584"/>
      <c r="AN721" s="718"/>
      <c r="AT721" s="14"/>
      <c r="AU721" s="14"/>
      <c r="AV721" s="14"/>
      <c r="AW721" s="14"/>
      <c r="AX721" s="14"/>
      <c r="AY721" s="14"/>
      <c r="AZ721" s="14"/>
    </row>
    <row r="722" spans="1:81" s="604" customFormat="1">
      <c r="A722" s="584"/>
      <c r="B722" s="570"/>
      <c r="C722" s="968"/>
      <c r="D722" s="570"/>
      <c r="E722" s="2001"/>
      <c r="F722" s="2001"/>
      <c r="G722" s="2001"/>
      <c r="H722" s="2001"/>
      <c r="I722" s="2001"/>
      <c r="J722" s="2001"/>
      <c r="K722" s="2001"/>
      <c r="L722" s="2001"/>
      <c r="M722" s="2001"/>
      <c r="N722" s="2001"/>
      <c r="O722" s="2001"/>
      <c r="P722" s="2001"/>
      <c r="Q722" s="2001"/>
      <c r="R722" s="2001"/>
      <c r="S722" s="2001"/>
      <c r="T722" s="2001"/>
      <c r="U722" s="2001"/>
      <c r="V722" s="2001"/>
      <c r="W722" s="2001"/>
      <c r="X722" s="2001"/>
      <c r="Y722" s="2001"/>
      <c r="Z722" s="2001"/>
      <c r="AA722" s="2001"/>
      <c r="AB722" s="2001"/>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1512</v>
      </c>
      <c r="E724" s="971"/>
      <c r="F724" s="971"/>
      <c r="G724" s="971"/>
      <c r="H724" s="2030" t="s">
        <v>600</v>
      </c>
      <c r="I724" s="2030"/>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1552</v>
      </c>
      <c r="AJ726" s="1981">
        <f>VLOOKUP($H$724,$AO$655:$AP$657,2,FALSE)</f>
        <v>0</v>
      </c>
      <c r="AK726" s="1983"/>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1553</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697</v>
      </c>
      <c r="E730" s="2001" t="s">
        <v>1554</v>
      </c>
      <c r="F730" s="2001"/>
      <c r="G730" s="2001"/>
      <c r="H730" s="2001"/>
      <c r="I730" s="2001"/>
      <c r="J730" s="2001"/>
      <c r="K730" s="2001"/>
      <c r="L730" s="2001"/>
      <c r="M730" s="2001"/>
      <c r="N730" s="2001"/>
      <c r="O730" s="2001"/>
      <c r="P730" s="2001"/>
      <c r="Q730" s="2001"/>
      <c r="R730" s="2001"/>
      <c r="S730" s="2001"/>
      <c r="T730" s="2001"/>
      <c r="U730" s="2001"/>
      <c r="V730" s="2001"/>
      <c r="W730" s="2001"/>
      <c r="X730" s="2001"/>
      <c r="Y730" s="2001"/>
      <c r="Z730" s="2001"/>
      <c r="AA730" s="2001"/>
      <c r="AB730" s="2001"/>
      <c r="AC730" s="570"/>
      <c r="AD730" s="570"/>
      <c r="AE730" s="570"/>
      <c r="AF730" s="1948" t="s">
        <v>1464</v>
      </c>
      <c r="AG730" s="1948"/>
      <c r="AH730" s="1948"/>
      <c r="AI730" s="1948"/>
      <c r="AJ730" s="1948"/>
      <c r="AK730" s="1948"/>
      <c r="AL730" s="1948"/>
      <c r="AM730" s="584"/>
      <c r="AN730" s="718"/>
      <c r="AT730" s="14"/>
      <c r="AU730" s="14"/>
      <c r="AV730" s="14"/>
      <c r="AW730" s="14"/>
      <c r="AX730" s="14"/>
      <c r="AY730" s="14"/>
      <c r="AZ730" s="14"/>
    </row>
    <row r="731" spans="1:81" s="604" customFormat="1">
      <c r="A731" s="584"/>
      <c r="B731" s="570"/>
      <c r="C731" s="966"/>
      <c r="D731" s="697"/>
      <c r="E731" s="2001"/>
      <c r="F731" s="2001"/>
      <c r="G731" s="2001"/>
      <c r="H731" s="2001"/>
      <c r="I731" s="2001"/>
      <c r="J731" s="2001"/>
      <c r="K731" s="2001"/>
      <c r="L731" s="2001"/>
      <c r="M731" s="2001"/>
      <c r="N731" s="2001"/>
      <c r="O731" s="2001"/>
      <c r="P731" s="2001"/>
      <c r="Q731" s="2001"/>
      <c r="R731" s="2001"/>
      <c r="S731" s="2001"/>
      <c r="T731" s="2001"/>
      <c r="U731" s="2001"/>
      <c r="V731" s="2001"/>
      <c r="W731" s="2001"/>
      <c r="X731" s="2001"/>
      <c r="Y731" s="2001"/>
      <c r="Z731" s="2001"/>
      <c r="AA731" s="2001"/>
      <c r="AB731" s="2001"/>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2001"/>
      <c r="F732" s="2001"/>
      <c r="G732" s="2001"/>
      <c r="H732" s="2001"/>
      <c r="I732" s="2001"/>
      <c r="J732" s="2001"/>
      <c r="K732" s="2001"/>
      <c r="L732" s="2001"/>
      <c r="M732" s="2001"/>
      <c r="N732" s="2001"/>
      <c r="O732" s="2001"/>
      <c r="P732" s="2001"/>
      <c r="Q732" s="2001"/>
      <c r="R732" s="2001"/>
      <c r="S732" s="2001"/>
      <c r="T732" s="2001"/>
      <c r="U732" s="2001"/>
      <c r="V732" s="2001"/>
      <c r="W732" s="2001"/>
      <c r="X732" s="2001"/>
      <c r="Y732" s="2001"/>
      <c r="Z732" s="2001"/>
      <c r="AA732" s="2001"/>
      <c r="AB732" s="2001"/>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2001"/>
      <c r="F733" s="2001"/>
      <c r="G733" s="2001"/>
      <c r="H733" s="2001"/>
      <c r="I733" s="2001"/>
      <c r="J733" s="2001"/>
      <c r="K733" s="2001"/>
      <c r="L733" s="2001"/>
      <c r="M733" s="2001"/>
      <c r="N733" s="2001"/>
      <c r="O733" s="2001"/>
      <c r="P733" s="2001"/>
      <c r="Q733" s="2001"/>
      <c r="R733" s="2001"/>
      <c r="S733" s="2001"/>
      <c r="T733" s="2001"/>
      <c r="U733" s="2001"/>
      <c r="V733" s="2001"/>
      <c r="W733" s="2001"/>
      <c r="X733" s="2001"/>
      <c r="Y733" s="2001"/>
      <c r="Z733" s="2001"/>
      <c r="AA733" s="2001"/>
      <c r="AB733" s="2001"/>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518</v>
      </c>
      <c r="E735" s="2001" t="s">
        <v>1555</v>
      </c>
      <c r="F735" s="2001"/>
      <c r="G735" s="2001"/>
      <c r="H735" s="2001"/>
      <c r="I735" s="2001"/>
      <c r="J735" s="2001"/>
      <c r="K735" s="2001"/>
      <c r="L735" s="2001"/>
      <c r="M735" s="2001"/>
      <c r="N735" s="2001"/>
      <c r="O735" s="2001"/>
      <c r="P735" s="2001"/>
      <c r="Q735" s="2001"/>
      <c r="R735" s="2001"/>
      <c r="S735" s="2001"/>
      <c r="T735" s="2001"/>
      <c r="U735" s="2001"/>
      <c r="V735" s="2001"/>
      <c r="W735" s="2001"/>
      <c r="X735" s="2001"/>
      <c r="Y735" s="2001"/>
      <c r="Z735" s="2001"/>
      <c r="AA735" s="2001"/>
      <c r="AB735" s="609"/>
      <c r="AC735" s="570"/>
      <c r="AD735" s="570"/>
      <c r="AE735" s="570"/>
      <c r="AF735" s="1948" t="s">
        <v>1520</v>
      </c>
      <c r="AG735" s="1948"/>
      <c r="AH735" s="1948"/>
      <c r="AI735" s="1948"/>
      <c r="AJ735" s="1948"/>
      <c r="AK735" s="1948"/>
      <c r="AL735" s="1948"/>
      <c r="AM735" s="584"/>
      <c r="AN735" s="718"/>
      <c r="AO735" s="30"/>
      <c r="AP735" s="14"/>
    </row>
    <row r="736" spans="1:81" s="604" customFormat="1">
      <c r="A736" s="584"/>
      <c r="B736" s="570"/>
      <c r="C736" s="966"/>
      <c r="D736" s="697"/>
      <c r="E736" s="2001"/>
      <c r="F736" s="2001"/>
      <c r="G736" s="2001"/>
      <c r="H736" s="2001"/>
      <c r="I736" s="2001"/>
      <c r="J736" s="2001"/>
      <c r="K736" s="2001"/>
      <c r="L736" s="2001"/>
      <c r="M736" s="2001"/>
      <c r="N736" s="2001"/>
      <c r="O736" s="2001"/>
      <c r="P736" s="2001"/>
      <c r="Q736" s="2001"/>
      <c r="R736" s="2001"/>
      <c r="S736" s="2001"/>
      <c r="T736" s="2001"/>
      <c r="U736" s="2001"/>
      <c r="V736" s="2001"/>
      <c r="W736" s="2001"/>
      <c r="X736" s="2001"/>
      <c r="Y736" s="2001"/>
      <c r="Z736" s="2001"/>
      <c r="AA736" s="2001"/>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2001"/>
      <c r="F737" s="2001"/>
      <c r="G737" s="2001"/>
      <c r="H737" s="2001"/>
      <c r="I737" s="2001"/>
      <c r="J737" s="2001"/>
      <c r="K737" s="2001"/>
      <c r="L737" s="2001"/>
      <c r="M737" s="2001"/>
      <c r="N737" s="2001"/>
      <c r="O737" s="2001"/>
      <c r="P737" s="2001"/>
      <c r="Q737" s="2001"/>
      <c r="R737" s="2001"/>
      <c r="S737" s="2001"/>
      <c r="T737" s="2001"/>
      <c r="U737" s="2001"/>
      <c r="V737" s="2001"/>
      <c r="W737" s="2001"/>
      <c r="X737" s="2001"/>
      <c r="Y737" s="2001"/>
      <c r="Z737" s="2001"/>
      <c r="AA737" s="2001"/>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2001"/>
      <c r="F738" s="2001"/>
      <c r="G738" s="2001"/>
      <c r="H738" s="2001"/>
      <c r="I738" s="2001"/>
      <c r="J738" s="2001"/>
      <c r="K738" s="2001"/>
      <c r="L738" s="2001"/>
      <c r="M738" s="2001"/>
      <c r="N738" s="2001"/>
      <c r="O738" s="2001"/>
      <c r="P738" s="2001"/>
      <c r="Q738" s="2001"/>
      <c r="R738" s="2001"/>
      <c r="S738" s="2001"/>
      <c r="T738" s="2001"/>
      <c r="U738" s="2001"/>
      <c r="V738" s="2001"/>
      <c r="W738" s="2001"/>
      <c r="X738" s="2001"/>
      <c r="Y738" s="2001"/>
      <c r="Z738" s="2001"/>
      <c r="AA738" s="2001"/>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1512</v>
      </c>
      <c r="E740" s="971"/>
      <c r="F740" s="971"/>
      <c r="G740" s="971"/>
      <c r="H740" s="2030" t="s">
        <v>697</v>
      </c>
      <c r="I740" s="2030"/>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1556</v>
      </c>
      <c r="AJ742" s="1981">
        <f>VLOOKUP($H$740,$AO$669:$AP$671,2,FALSE)</f>
        <v>3</v>
      </c>
      <c r="AK742" s="1983"/>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1546</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697</v>
      </c>
      <c r="E746" s="2001" t="s">
        <v>1557</v>
      </c>
      <c r="F746" s="2001"/>
      <c r="G746" s="2001"/>
      <c r="H746" s="2001"/>
      <c r="I746" s="2001"/>
      <c r="J746" s="2001"/>
      <c r="K746" s="2001"/>
      <c r="L746" s="2001"/>
      <c r="M746" s="2001"/>
      <c r="N746" s="2001"/>
      <c r="O746" s="2001"/>
      <c r="P746" s="2001"/>
      <c r="Q746" s="2001"/>
      <c r="R746" s="2001"/>
      <c r="S746" s="2001"/>
      <c r="T746" s="2001"/>
      <c r="U746" s="2001"/>
      <c r="V746" s="2001"/>
      <c r="W746" s="2001"/>
      <c r="X746" s="2001"/>
      <c r="Y746" s="2001"/>
      <c r="Z746" s="2001"/>
      <c r="AA746" s="2001"/>
      <c r="AB746" s="2001"/>
      <c r="AC746" s="570"/>
      <c r="AD746" s="570"/>
      <c r="AE746" s="570"/>
      <c r="AF746" s="1948" t="s">
        <v>1520</v>
      </c>
      <c r="AG746" s="1948"/>
      <c r="AH746" s="1948"/>
      <c r="AI746" s="1948"/>
      <c r="AJ746" s="1948"/>
      <c r="AK746" s="1948"/>
      <c r="AL746" s="1948"/>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2001"/>
      <c r="F747" s="2001"/>
      <c r="G747" s="2001"/>
      <c r="H747" s="2001"/>
      <c r="I747" s="2001"/>
      <c r="J747" s="2001"/>
      <c r="K747" s="2001"/>
      <c r="L747" s="2001"/>
      <c r="M747" s="2001"/>
      <c r="N747" s="2001"/>
      <c r="O747" s="2001"/>
      <c r="P747" s="2001"/>
      <c r="Q747" s="2001"/>
      <c r="R747" s="2001"/>
      <c r="S747" s="2001"/>
      <c r="T747" s="2001"/>
      <c r="U747" s="2001"/>
      <c r="V747" s="2001"/>
      <c r="W747" s="2001"/>
      <c r="X747" s="2001"/>
      <c r="Y747" s="2001"/>
      <c r="Z747" s="2001"/>
      <c r="AA747" s="2001"/>
      <c r="AB747" s="2001"/>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518</v>
      </c>
      <c r="E749" s="2001" t="s">
        <v>1558</v>
      </c>
      <c r="F749" s="2001"/>
      <c r="G749" s="2001"/>
      <c r="H749" s="2001"/>
      <c r="I749" s="2001"/>
      <c r="J749" s="2001"/>
      <c r="K749" s="2001"/>
      <c r="L749" s="2001"/>
      <c r="M749" s="2001"/>
      <c r="N749" s="2001"/>
      <c r="O749" s="2001"/>
      <c r="P749" s="2001"/>
      <c r="Q749" s="2001"/>
      <c r="R749" s="2001"/>
      <c r="S749" s="2001"/>
      <c r="T749" s="2001"/>
      <c r="U749" s="2001"/>
      <c r="V749" s="2001"/>
      <c r="W749" s="2001"/>
      <c r="X749" s="2001"/>
      <c r="Y749" s="2001"/>
      <c r="Z749" s="2001"/>
      <c r="AA749" s="2001"/>
      <c r="AB749" s="2001"/>
      <c r="AC749" s="570"/>
      <c r="AD749" s="570"/>
      <c r="AE749" s="570"/>
      <c r="AF749" s="1948" t="s">
        <v>1537</v>
      </c>
      <c r="AG749" s="1948"/>
      <c r="AH749" s="1948"/>
      <c r="AI749" s="1948"/>
      <c r="AJ749" s="1948"/>
      <c r="AK749" s="1948"/>
      <c r="AL749" s="1948"/>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2001"/>
      <c r="F750" s="2001"/>
      <c r="G750" s="2001"/>
      <c r="H750" s="2001"/>
      <c r="I750" s="2001"/>
      <c r="J750" s="2001"/>
      <c r="K750" s="2001"/>
      <c r="L750" s="2001"/>
      <c r="M750" s="2001"/>
      <c r="N750" s="2001"/>
      <c r="O750" s="2001"/>
      <c r="P750" s="2001"/>
      <c r="Q750" s="2001"/>
      <c r="R750" s="2001"/>
      <c r="S750" s="2001"/>
      <c r="T750" s="2001"/>
      <c r="U750" s="2001"/>
      <c r="V750" s="2001"/>
      <c r="W750" s="2001"/>
      <c r="X750" s="2001"/>
      <c r="Y750" s="2001"/>
      <c r="Z750" s="2001"/>
      <c r="AA750" s="2001"/>
      <c r="AB750" s="2001"/>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1512</v>
      </c>
      <c r="E752" s="971"/>
      <c r="F752" s="971"/>
      <c r="G752" s="971"/>
      <c r="H752" s="2030" t="s">
        <v>697</v>
      </c>
      <c r="I752" s="2030"/>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1559</v>
      </c>
      <c r="AJ754" s="1981">
        <f>VLOOKUP($H$752,$AO$686:$AP$688,2,FALSE)</f>
        <v>2</v>
      </c>
      <c r="AK754" s="1983"/>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1548</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697</v>
      </c>
      <c r="E758" s="2001" t="s">
        <v>1883</v>
      </c>
      <c r="F758" s="2001"/>
      <c r="G758" s="2001"/>
      <c r="H758" s="2001"/>
      <c r="I758" s="2001"/>
      <c r="J758" s="2001"/>
      <c r="K758" s="2001"/>
      <c r="L758" s="2001"/>
      <c r="M758" s="2001"/>
      <c r="N758" s="2001"/>
      <c r="O758" s="2001"/>
      <c r="P758" s="2001"/>
      <c r="Q758" s="2001"/>
      <c r="R758" s="2001"/>
      <c r="S758" s="2001"/>
      <c r="T758" s="2001"/>
      <c r="U758" s="2001"/>
      <c r="V758" s="2001"/>
      <c r="W758" s="2001"/>
      <c r="X758" s="2001"/>
      <c r="Y758" s="2001"/>
      <c r="Z758" s="2001"/>
      <c r="AA758" s="2001"/>
      <c r="AB758" s="2001"/>
      <c r="AC758" s="2001"/>
      <c r="AD758" s="2001"/>
      <c r="AE758" s="570"/>
      <c r="AF758" s="1948" t="s">
        <v>1520</v>
      </c>
      <c r="AG758" s="1948"/>
      <c r="AH758" s="1948"/>
      <c r="AI758" s="1948"/>
      <c r="AJ758" s="1948"/>
      <c r="AK758" s="1948"/>
      <c r="AL758" s="1948"/>
      <c r="AM758" s="647"/>
      <c r="AN758" s="718"/>
      <c r="AO758" s="584" t="s">
        <v>600</v>
      </c>
      <c r="AP758" s="707">
        <v>0</v>
      </c>
    </row>
    <row r="759" spans="1:74" s="604" customFormat="1" ht="13.7" customHeight="1">
      <c r="A759" s="584"/>
      <c r="B759" s="650"/>
      <c r="C759" s="975"/>
      <c r="D759" s="697"/>
      <c r="E759" s="2001"/>
      <c r="F759" s="2001"/>
      <c r="G759" s="2001"/>
      <c r="H759" s="2001"/>
      <c r="I759" s="2001"/>
      <c r="J759" s="2001"/>
      <c r="K759" s="2001"/>
      <c r="L759" s="2001"/>
      <c r="M759" s="2001"/>
      <c r="N759" s="2001"/>
      <c r="O759" s="2001"/>
      <c r="P759" s="2001"/>
      <c r="Q759" s="2001"/>
      <c r="R759" s="2001"/>
      <c r="S759" s="2001"/>
      <c r="T759" s="2001"/>
      <c r="U759" s="2001"/>
      <c r="V759" s="2001"/>
      <c r="W759" s="2001"/>
      <c r="X759" s="2001"/>
      <c r="Y759" s="2001"/>
      <c r="Z759" s="2001"/>
      <c r="AA759" s="2001"/>
      <c r="AB759" s="2001"/>
      <c r="AC759" s="2001"/>
      <c r="AD759" s="2001"/>
      <c r="AE759" s="570"/>
      <c r="AF759" s="628"/>
      <c r="AG759" s="628"/>
      <c r="AH759" s="628"/>
      <c r="AI759" s="628"/>
      <c r="AJ759" s="628"/>
      <c r="AK759" s="628"/>
      <c r="AL759" s="628"/>
      <c r="AM759" s="647"/>
      <c r="AN759" s="718"/>
      <c r="AO759" s="645" t="s">
        <v>697</v>
      </c>
      <c r="AP759" s="584">
        <v>2</v>
      </c>
    </row>
    <row r="760" spans="1:74" s="604" customFormat="1">
      <c r="A760" s="584"/>
      <c r="B760" s="650"/>
      <c r="C760" s="975"/>
      <c r="D760" s="697"/>
      <c r="E760" s="2001"/>
      <c r="F760" s="2001"/>
      <c r="G760" s="2001"/>
      <c r="H760" s="2001"/>
      <c r="I760" s="2001"/>
      <c r="J760" s="2001"/>
      <c r="K760" s="2001"/>
      <c r="L760" s="2001"/>
      <c r="M760" s="2001"/>
      <c r="N760" s="2001"/>
      <c r="O760" s="2001"/>
      <c r="P760" s="2001"/>
      <c r="Q760" s="2001"/>
      <c r="R760" s="2001"/>
      <c r="S760" s="2001"/>
      <c r="T760" s="2001"/>
      <c r="U760" s="2001"/>
      <c r="V760" s="2001"/>
      <c r="W760" s="2001"/>
      <c r="X760" s="2001"/>
      <c r="Y760" s="2001"/>
      <c r="Z760" s="2001"/>
      <c r="AA760" s="2001"/>
      <c r="AB760" s="2001"/>
      <c r="AC760" s="2001"/>
      <c r="AD760" s="2001"/>
      <c r="AE760" s="570"/>
      <c r="AF760" s="570"/>
      <c r="AG760" s="570"/>
      <c r="AH760" s="570"/>
      <c r="AI760" s="570"/>
      <c r="AJ760" s="570"/>
      <c r="AK760" s="570"/>
      <c r="AL760" s="628"/>
      <c r="AM760" s="647"/>
      <c r="AN760" s="568"/>
      <c r="AO760" s="645" t="s">
        <v>518</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49999999999999" customHeight="1">
      <c r="A761" s="584"/>
      <c r="B761" s="650"/>
      <c r="C761" s="975"/>
      <c r="D761" s="697"/>
      <c r="E761" s="2001"/>
      <c r="F761" s="2001"/>
      <c r="G761" s="2001"/>
      <c r="H761" s="2001"/>
      <c r="I761" s="2001"/>
      <c r="J761" s="2001"/>
      <c r="K761" s="2001"/>
      <c r="L761" s="2001"/>
      <c r="M761" s="2001"/>
      <c r="N761" s="2001"/>
      <c r="O761" s="2001"/>
      <c r="P761" s="2001"/>
      <c r="Q761" s="2001"/>
      <c r="R761" s="2001"/>
      <c r="S761" s="2001"/>
      <c r="T761" s="2001"/>
      <c r="U761" s="2001"/>
      <c r="V761" s="2001"/>
      <c r="W761" s="2001"/>
      <c r="X761" s="2001"/>
      <c r="Y761" s="2001"/>
      <c r="Z761" s="2001"/>
      <c r="AA761" s="2001"/>
      <c r="AB761" s="2001"/>
      <c r="AC761" s="2001"/>
      <c r="AD761" s="2001"/>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518</v>
      </c>
      <c r="E763" s="2040" t="s">
        <v>1888</v>
      </c>
      <c r="F763" s="2040"/>
      <c r="G763" s="2040"/>
      <c r="H763" s="2040"/>
      <c r="I763" s="2040"/>
      <c r="J763" s="2040"/>
      <c r="K763" s="2040"/>
      <c r="L763" s="2040"/>
      <c r="M763" s="2040"/>
      <c r="N763" s="2040"/>
      <c r="O763" s="2040"/>
      <c r="P763" s="2040"/>
      <c r="Q763" s="2040"/>
      <c r="R763" s="2040"/>
      <c r="S763" s="2040"/>
      <c r="T763" s="2040"/>
      <c r="U763" s="2040"/>
      <c r="V763" s="2040"/>
      <c r="W763" s="2040"/>
      <c r="X763" s="2040"/>
      <c r="Y763" s="2040"/>
      <c r="Z763" s="2040"/>
      <c r="AA763" s="2040"/>
      <c r="AB763" s="2040"/>
      <c r="AC763" s="2040"/>
      <c r="AD763" s="2040"/>
      <c r="AE763" s="570"/>
      <c r="AF763" s="1948" t="s">
        <v>1464</v>
      </c>
      <c r="AG763" s="1948"/>
      <c r="AH763" s="1948"/>
      <c r="AI763" s="1948"/>
      <c r="AJ763" s="1948"/>
      <c r="AK763" s="1948"/>
      <c r="AL763" s="1948"/>
      <c r="AM763" s="647"/>
      <c r="AN763" s="631"/>
    </row>
    <row r="764" spans="1:74" s="584" customFormat="1" ht="12.75" customHeight="1">
      <c r="B764" s="650"/>
      <c r="C764" s="975"/>
      <c r="D764" s="697"/>
      <c r="E764" s="2040"/>
      <c r="F764" s="2040"/>
      <c r="G764" s="2040"/>
      <c r="H764" s="2040"/>
      <c r="I764" s="2040"/>
      <c r="J764" s="2040"/>
      <c r="K764" s="2040"/>
      <c r="L764" s="2040"/>
      <c r="M764" s="2040"/>
      <c r="N764" s="2040"/>
      <c r="O764" s="2040"/>
      <c r="P764" s="2040"/>
      <c r="Q764" s="2040"/>
      <c r="R764" s="2040"/>
      <c r="S764" s="2040"/>
      <c r="T764" s="2040"/>
      <c r="U764" s="2040"/>
      <c r="V764" s="2040"/>
      <c r="W764" s="2040"/>
      <c r="X764" s="2040"/>
      <c r="Y764" s="2040"/>
      <c r="Z764" s="2040"/>
      <c r="AA764" s="2040"/>
      <c r="AB764" s="2040"/>
      <c r="AC764" s="2040"/>
      <c r="AD764" s="2040"/>
      <c r="AE764" s="628"/>
      <c r="AF764" s="628"/>
      <c r="AG764" s="628"/>
      <c r="AH764" s="628"/>
      <c r="AI764" s="628"/>
      <c r="AJ764" s="628"/>
      <c r="AK764" s="628"/>
      <c r="AL764" s="628"/>
      <c r="AM764" s="647"/>
      <c r="AN764" s="631"/>
    </row>
    <row r="765" spans="1:74" s="584" customFormat="1" ht="12.75" customHeight="1">
      <c r="B765" s="650"/>
      <c r="C765" s="975"/>
      <c r="D765" s="697"/>
      <c r="E765" s="2040"/>
      <c r="F765" s="2040"/>
      <c r="G765" s="2040"/>
      <c r="H765" s="2040"/>
      <c r="I765" s="2040"/>
      <c r="J765" s="2040"/>
      <c r="K765" s="2040"/>
      <c r="L765" s="2040"/>
      <c r="M765" s="2040"/>
      <c r="N765" s="2040"/>
      <c r="O765" s="2040"/>
      <c r="P765" s="2040"/>
      <c r="Q765" s="2040"/>
      <c r="R765" s="2040"/>
      <c r="S765" s="2040"/>
      <c r="T765" s="2040"/>
      <c r="U765" s="2040"/>
      <c r="V765" s="2040"/>
      <c r="W765" s="2040"/>
      <c r="X765" s="2040"/>
      <c r="Y765" s="2040"/>
      <c r="Z765" s="2040"/>
      <c r="AA765" s="2040"/>
      <c r="AB765" s="2040"/>
      <c r="AC765" s="2040"/>
      <c r="AD765" s="2040"/>
      <c r="AE765" s="628"/>
      <c r="AF765" s="628"/>
      <c r="AG765" s="628"/>
      <c r="AH765" s="628"/>
      <c r="AI765" s="628"/>
      <c r="AJ765" s="628"/>
      <c r="AK765" s="628"/>
      <c r="AL765" s="628"/>
      <c r="AM765" s="647"/>
      <c r="AN765" s="631"/>
    </row>
    <row r="766" spans="1:74" s="584" customFormat="1" ht="12.75" customHeight="1">
      <c r="B766" s="650"/>
      <c r="C766" s="975"/>
      <c r="D766" s="697"/>
      <c r="E766" s="2040"/>
      <c r="F766" s="2040"/>
      <c r="G766" s="2040"/>
      <c r="H766" s="2040"/>
      <c r="I766" s="2040"/>
      <c r="J766" s="2040"/>
      <c r="K766" s="2040"/>
      <c r="L766" s="2040"/>
      <c r="M766" s="2040"/>
      <c r="N766" s="2040"/>
      <c r="O766" s="2040"/>
      <c r="P766" s="2040"/>
      <c r="Q766" s="2040"/>
      <c r="R766" s="2040"/>
      <c r="S766" s="2040"/>
      <c r="T766" s="2040"/>
      <c r="U766" s="2040"/>
      <c r="V766" s="2040"/>
      <c r="W766" s="2040"/>
      <c r="X766" s="2040"/>
      <c r="Y766" s="2040"/>
      <c r="Z766" s="2040"/>
      <c r="AA766" s="2040"/>
      <c r="AB766" s="2040"/>
      <c r="AC766" s="2040"/>
      <c r="AD766" s="2040"/>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1512</v>
      </c>
      <c r="E768" s="971"/>
      <c r="F768" s="971"/>
      <c r="G768" s="971"/>
      <c r="H768" s="2030" t="s">
        <v>600</v>
      </c>
      <c r="I768" s="2030"/>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1560</v>
      </c>
      <c r="AJ770" s="1981">
        <f>VLOOKUP($H$768,$AO$758:$AP$760,2,FALSE)</f>
        <v>0</v>
      </c>
      <c r="AK770" s="1983"/>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1561</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600</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697</v>
      </c>
      <c r="E774" s="2001" t="s">
        <v>2348</v>
      </c>
      <c r="F774" s="2001"/>
      <c r="G774" s="2001"/>
      <c r="H774" s="2001"/>
      <c r="I774" s="2001"/>
      <c r="J774" s="2001"/>
      <c r="K774" s="2001"/>
      <c r="L774" s="2001"/>
      <c r="M774" s="2001"/>
      <c r="N774" s="2001"/>
      <c r="O774" s="2001"/>
      <c r="P774" s="2001"/>
      <c r="Q774" s="2001"/>
      <c r="R774" s="2001"/>
      <c r="S774" s="2001"/>
      <c r="T774" s="2001"/>
      <c r="U774" s="2001"/>
      <c r="V774" s="2001"/>
      <c r="W774" s="2001"/>
      <c r="X774" s="2001"/>
      <c r="Y774" s="2001"/>
      <c r="Z774" s="2001"/>
      <c r="AA774" s="2001"/>
      <c r="AB774" s="2001"/>
      <c r="AC774" s="2001"/>
      <c r="AD774" s="2001"/>
      <c r="AE774" s="570"/>
      <c r="AF774" s="1948" t="s">
        <v>1464</v>
      </c>
      <c r="AG774" s="1948"/>
      <c r="AH774" s="1948"/>
      <c r="AI774" s="1948"/>
      <c r="AJ774" s="1948"/>
      <c r="AK774" s="1948"/>
      <c r="AL774" s="1948"/>
      <c r="AM774" s="647"/>
      <c r="AN774" s="718"/>
      <c r="AO774" s="645" t="s">
        <v>554</v>
      </c>
      <c r="AP774" s="584">
        <v>3</v>
      </c>
      <c r="AT774" s="708"/>
      <c r="AU774" s="708"/>
      <c r="AV774" s="708"/>
      <c r="AW774" s="708"/>
      <c r="AX774" s="708"/>
      <c r="AY774" s="708"/>
      <c r="AZ774" s="708"/>
    </row>
    <row r="775" spans="1:81" s="604" customFormat="1" ht="13.7" customHeight="1">
      <c r="A775" s="584"/>
      <c r="B775" s="650"/>
      <c r="C775" s="975"/>
      <c r="D775" s="697"/>
      <c r="E775" s="2001"/>
      <c r="F775" s="2001"/>
      <c r="G775" s="2001"/>
      <c r="H775" s="2001"/>
      <c r="I775" s="2001"/>
      <c r="J775" s="2001"/>
      <c r="K775" s="2001"/>
      <c r="L775" s="2001"/>
      <c r="M775" s="2001"/>
      <c r="N775" s="2001"/>
      <c r="O775" s="2001"/>
      <c r="P775" s="2001"/>
      <c r="Q775" s="2001"/>
      <c r="R775" s="2001"/>
      <c r="S775" s="2001"/>
      <c r="T775" s="2001"/>
      <c r="U775" s="2001"/>
      <c r="V775" s="2001"/>
      <c r="W775" s="2001"/>
      <c r="X775" s="2001"/>
      <c r="Y775" s="2001"/>
      <c r="Z775" s="2001"/>
      <c r="AA775" s="2001"/>
      <c r="AB775" s="2001"/>
      <c r="AC775" s="2001"/>
      <c r="AD775" s="2001"/>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2001"/>
      <c r="F776" s="2001"/>
      <c r="G776" s="2001"/>
      <c r="H776" s="2001"/>
      <c r="I776" s="2001"/>
      <c r="J776" s="2001"/>
      <c r="K776" s="2001"/>
      <c r="L776" s="2001"/>
      <c r="M776" s="2001"/>
      <c r="N776" s="2001"/>
      <c r="O776" s="2001"/>
      <c r="P776" s="2001"/>
      <c r="Q776" s="2001"/>
      <c r="R776" s="2001"/>
      <c r="S776" s="2001"/>
      <c r="T776" s="2001"/>
      <c r="U776" s="2001"/>
      <c r="V776" s="2001"/>
      <c r="W776" s="2001"/>
      <c r="X776" s="2001"/>
      <c r="Y776" s="2001"/>
      <c r="Z776" s="2001"/>
      <c r="AA776" s="2001"/>
      <c r="AB776" s="2001"/>
      <c r="AC776" s="2001"/>
      <c r="AD776" s="2001"/>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2001"/>
      <c r="F777" s="2001"/>
      <c r="G777" s="2001"/>
      <c r="H777" s="2001"/>
      <c r="I777" s="2001"/>
      <c r="J777" s="2001"/>
      <c r="K777" s="2001"/>
      <c r="L777" s="2001"/>
      <c r="M777" s="2001"/>
      <c r="N777" s="2001"/>
      <c r="O777" s="2001"/>
      <c r="P777" s="2001"/>
      <c r="Q777" s="2001"/>
      <c r="R777" s="2001"/>
      <c r="S777" s="2001"/>
      <c r="T777" s="2001"/>
      <c r="U777" s="2001"/>
      <c r="V777" s="2001"/>
      <c r="W777" s="2001"/>
      <c r="X777" s="2001"/>
      <c r="Y777" s="2001"/>
      <c r="Z777" s="2001"/>
      <c r="AA777" s="2001"/>
      <c r="AB777" s="2001"/>
      <c r="AC777" s="2001"/>
      <c r="AD777" s="2001"/>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1512</v>
      </c>
      <c r="E779" s="971"/>
      <c r="F779" s="971"/>
      <c r="G779" s="971"/>
      <c r="H779" s="2030" t="s">
        <v>554</v>
      </c>
      <c r="I779" s="2030"/>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1562</v>
      </c>
      <c r="AJ781" s="1981">
        <f>VLOOKUP($H$779,$AO$773:$AP$774,2,FALSE)</f>
        <v>3</v>
      </c>
      <c r="AK781" s="1983"/>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1563</v>
      </c>
      <c r="AK783" s="1981">
        <f>IF(($AJ$610+$AJ$629+$AJ$641+$AJ$676+$AJ$700+$AJ$714+$AJ$726+$AJ$742+$AJ$754+$AJ$770+AJ781)&gt;10,10,($AJ$610+$AJ$629+$AJ$641+$AJ$676+$AJ$700+$AJ$714+$AJ$726+$AJ$742+$AJ$754+$AJ$770+AJ781))</f>
        <v>10</v>
      </c>
      <c r="AL783" s="1982"/>
      <c r="AM783" s="1983"/>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91" t="s">
        <v>1681</v>
      </c>
      <c r="B786" s="2092"/>
      <c r="C786" s="2092"/>
      <c r="D786" s="2092"/>
      <c r="E786" s="2092"/>
      <c r="F786" s="2092"/>
      <c r="G786" s="2092"/>
      <c r="H786" s="2092"/>
      <c r="I786" s="2092"/>
      <c r="J786" s="2092"/>
      <c r="K786" s="2092"/>
      <c r="L786" s="2092"/>
      <c r="M786" s="2092"/>
      <c r="N786" s="2092"/>
      <c r="O786" s="2092"/>
      <c r="P786" s="2092"/>
      <c r="Q786" s="2092"/>
      <c r="R786" s="2092"/>
      <c r="S786" s="2092"/>
      <c r="T786" s="2092"/>
      <c r="U786" s="2092"/>
      <c r="V786" s="2092"/>
      <c r="W786" s="2092"/>
      <c r="X786" s="2092"/>
      <c r="Y786" s="2092"/>
      <c r="Z786" s="2092"/>
      <c r="AA786" s="2092"/>
      <c r="AB786" s="2092"/>
      <c r="AC786" s="2092"/>
      <c r="AD786" s="2092"/>
      <c r="AE786" s="2092"/>
      <c r="AF786" s="2092"/>
      <c r="AG786" s="2092"/>
      <c r="AH786" s="2092"/>
      <c r="AI786" s="2092"/>
      <c r="AJ786" s="2092"/>
      <c r="AK786" s="2092"/>
      <c r="AL786" s="2092"/>
      <c r="AM786" s="2092"/>
    </row>
    <row r="787" spans="1:43">
      <c r="A787" s="2093"/>
      <c r="B787" s="2093"/>
      <c r="C787" s="2093"/>
      <c r="D787" s="2093"/>
      <c r="E787" s="2093"/>
      <c r="F787" s="2093"/>
      <c r="G787" s="2093"/>
      <c r="H787" s="2093"/>
      <c r="I787" s="2093"/>
      <c r="J787" s="2093"/>
      <c r="K787" s="2093"/>
      <c r="L787" s="2093"/>
      <c r="M787" s="2093"/>
      <c r="N787" s="2093"/>
      <c r="O787" s="2093"/>
      <c r="P787" s="2093"/>
      <c r="Q787" s="2093"/>
      <c r="R787" s="2093"/>
      <c r="S787" s="2093"/>
      <c r="T787" s="2093"/>
      <c r="U787" s="2093"/>
      <c r="V787" s="2093"/>
      <c r="W787" s="2093"/>
      <c r="X787" s="2093"/>
      <c r="Y787" s="2093"/>
      <c r="Z787" s="2093"/>
      <c r="AA787" s="2093"/>
      <c r="AB787" s="2093"/>
      <c r="AC787" s="2093"/>
      <c r="AD787" s="2093"/>
      <c r="AE787" s="2093"/>
      <c r="AF787" s="2093"/>
      <c r="AG787" s="2093"/>
      <c r="AH787" s="2093"/>
      <c r="AI787" s="2093"/>
      <c r="AJ787" s="2093"/>
      <c r="AK787" s="2093"/>
      <c r="AL787" s="2093"/>
      <c r="AM787" s="2093"/>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22"/>
      <c r="B789" s="2022"/>
      <c r="C789" s="2022"/>
      <c r="D789" s="2022"/>
      <c r="E789" s="2022"/>
      <c r="F789" s="2022"/>
      <c r="G789" s="2022"/>
      <c r="H789" s="2022"/>
      <c r="I789" s="2022"/>
      <c r="J789" s="2022"/>
      <c r="K789" s="2022"/>
      <c r="L789" s="2022"/>
      <c r="M789" s="2022"/>
      <c r="N789" s="2022"/>
      <c r="O789" s="2022"/>
      <c r="P789" s="2022"/>
      <c r="Q789" s="2022"/>
      <c r="R789" s="2022"/>
      <c r="S789" s="2022"/>
      <c r="T789" s="2022"/>
      <c r="U789" s="2022"/>
      <c r="V789" s="2022"/>
      <c r="W789" s="2022"/>
      <c r="X789" s="2022"/>
      <c r="Y789" s="2022"/>
      <c r="Z789" s="2022"/>
      <c r="AA789" s="2022"/>
      <c r="AB789" s="2022"/>
      <c r="AC789" s="2022"/>
      <c r="AD789" s="2022"/>
      <c r="AE789" s="2022"/>
      <c r="AF789" s="2022"/>
      <c r="AG789" s="2022"/>
      <c r="AH789" s="2022"/>
      <c r="AI789" s="2022"/>
      <c r="AJ789" s="2022"/>
      <c r="AK789" s="2022"/>
      <c r="AL789" s="2022"/>
      <c r="AM789" s="2022"/>
      <c r="AP789" s="850"/>
      <c r="AQ789" s="850"/>
    </row>
    <row r="790" spans="1:43">
      <c r="A790" s="2022"/>
      <c r="B790" s="2022"/>
      <c r="C790" s="2022"/>
      <c r="D790" s="2022"/>
      <c r="E790" s="2022"/>
      <c r="F790" s="2022"/>
      <c r="G790" s="2022"/>
      <c r="H790" s="2022"/>
      <c r="I790" s="2022"/>
      <c r="J790" s="2022"/>
      <c r="K790" s="2022"/>
      <c r="L790" s="2022"/>
      <c r="M790" s="2022"/>
      <c r="N790" s="2022"/>
      <c r="O790" s="2022"/>
      <c r="P790" s="2022"/>
      <c r="Q790" s="2022"/>
      <c r="R790" s="2022"/>
      <c r="S790" s="2022"/>
      <c r="T790" s="2022"/>
      <c r="U790" s="2022"/>
      <c r="V790" s="2022"/>
      <c r="W790" s="2022"/>
      <c r="X790" s="2022"/>
      <c r="Y790" s="2022"/>
      <c r="Z790" s="2022"/>
      <c r="AA790" s="2022"/>
      <c r="AB790" s="2022"/>
      <c r="AC790" s="2022"/>
      <c r="AD790" s="2022"/>
      <c r="AE790" s="2022"/>
      <c r="AF790" s="2022"/>
      <c r="AG790" s="2022"/>
      <c r="AH790" s="2022"/>
      <c r="AI790" s="2022"/>
      <c r="AJ790" s="2022"/>
      <c r="AK790" s="2022"/>
      <c r="AL790" s="2022"/>
      <c r="AM790" s="2022"/>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094" t="s">
        <v>1682</v>
      </c>
      <c r="U791" s="2095"/>
      <c r="V791" s="2095"/>
      <c r="W791" s="2095"/>
      <c r="X791" s="2095"/>
      <c r="Y791" s="2096"/>
      <c r="Z791" s="2094" t="s">
        <v>1683</v>
      </c>
      <c r="AA791" s="2095"/>
      <c r="AB791" s="2095"/>
      <c r="AC791" s="2095"/>
      <c r="AD791" s="2095"/>
      <c r="AE791" s="2096"/>
      <c r="AF791" s="2094" t="s">
        <v>1684</v>
      </c>
      <c r="AG791" s="2095"/>
      <c r="AH791" s="2095"/>
      <c r="AI791" s="2095"/>
      <c r="AJ791" s="2095"/>
      <c r="AK791" s="2096"/>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97"/>
      <c r="U792" s="2098"/>
      <c r="V792" s="2098"/>
      <c r="W792" s="2098"/>
      <c r="X792" s="2098"/>
      <c r="Y792" s="2099"/>
      <c r="Z792" s="2097"/>
      <c r="AA792" s="2098"/>
      <c r="AB792" s="2098"/>
      <c r="AC792" s="2098"/>
      <c r="AD792" s="2098"/>
      <c r="AE792" s="2099"/>
      <c r="AF792" s="2097"/>
      <c r="AG792" s="2098"/>
      <c r="AH792" s="2098"/>
      <c r="AI792" s="2098"/>
      <c r="AJ792" s="2098"/>
      <c r="AK792" s="2099"/>
      <c r="AL792" s="852"/>
      <c r="AM792" s="630"/>
      <c r="AO792" s="850"/>
      <c r="AP792" s="850"/>
      <c r="AQ792" s="850"/>
    </row>
    <row r="793" spans="1:43">
      <c r="A793" s="853" t="s">
        <v>767</v>
      </c>
      <c r="B793" s="2074" t="s">
        <v>1416</v>
      </c>
      <c r="C793" s="2074"/>
      <c r="D793" s="2074"/>
      <c r="E793" s="2074"/>
      <c r="F793" s="2074"/>
      <c r="G793" s="2074"/>
      <c r="H793" s="2074"/>
      <c r="I793" s="2074"/>
      <c r="J793" s="2074"/>
      <c r="K793" s="2074"/>
      <c r="L793" s="2074"/>
      <c r="M793" s="2074"/>
      <c r="N793" s="2074"/>
      <c r="O793" s="2074"/>
      <c r="P793" s="2074"/>
      <c r="Q793" s="2074"/>
      <c r="R793" s="2074"/>
      <c r="S793" s="2075"/>
      <c r="T793" s="2076">
        <f>AK56</f>
        <v>0</v>
      </c>
      <c r="U793" s="2077"/>
      <c r="V793" s="2077"/>
      <c r="W793" s="2077"/>
      <c r="X793" s="2077"/>
      <c r="Y793" s="2078"/>
      <c r="Z793" s="2079">
        <v>20</v>
      </c>
      <c r="AA793" s="2077"/>
      <c r="AB793" s="2077"/>
      <c r="AC793" s="2077"/>
      <c r="AD793" s="2077"/>
      <c r="AE793" s="2078"/>
      <c r="AF793" s="2043">
        <f>IF(T793&gt;Z793,Z793,T793)</f>
        <v>0</v>
      </c>
      <c r="AG793" s="2043"/>
      <c r="AH793" s="2043"/>
      <c r="AI793" s="2043"/>
      <c r="AJ793" s="2043"/>
      <c r="AK793" s="2043"/>
      <c r="AL793" s="852"/>
      <c r="AM793" s="630"/>
      <c r="AO793" s="850"/>
      <c r="AP793" s="850"/>
      <c r="AQ793" s="850"/>
    </row>
    <row r="794" spans="1:43">
      <c r="A794" s="853" t="s">
        <v>1654</v>
      </c>
      <c r="B794" s="2074" t="s">
        <v>1425</v>
      </c>
      <c r="C794" s="2074"/>
      <c r="D794" s="2074"/>
      <c r="E794" s="2074"/>
      <c r="F794" s="2074"/>
      <c r="G794" s="2074"/>
      <c r="H794" s="2074"/>
      <c r="I794" s="2074"/>
      <c r="J794" s="2074"/>
      <c r="K794" s="2074"/>
      <c r="L794" s="2074"/>
      <c r="M794" s="2074"/>
      <c r="N794" s="2074"/>
      <c r="O794" s="2074"/>
      <c r="P794" s="2074"/>
      <c r="Q794" s="2074"/>
      <c r="R794" s="2074"/>
      <c r="S794" s="2075"/>
      <c r="T794" s="2076">
        <f>AK78</f>
        <v>10</v>
      </c>
      <c r="U794" s="2077"/>
      <c r="V794" s="2077"/>
      <c r="W794" s="2077"/>
      <c r="X794" s="2077"/>
      <c r="Y794" s="2078"/>
      <c r="Z794" s="2079">
        <v>10</v>
      </c>
      <c r="AA794" s="2077"/>
      <c r="AB794" s="2077"/>
      <c r="AC794" s="2077"/>
      <c r="AD794" s="2077"/>
      <c r="AE794" s="2078"/>
      <c r="AF794" s="2043">
        <f>IF(T794&gt;Z794,Z794,T794)</f>
        <v>10</v>
      </c>
      <c r="AG794" s="2043"/>
      <c r="AH794" s="2043"/>
      <c r="AI794" s="2043"/>
      <c r="AJ794" s="2043"/>
      <c r="AK794" s="2043"/>
      <c r="AL794" s="852"/>
      <c r="AM794" s="630"/>
      <c r="AO794" s="850"/>
      <c r="AP794" s="850"/>
      <c r="AQ794" s="850"/>
    </row>
    <row r="795" spans="1:43">
      <c r="A795" s="853" t="s">
        <v>1663</v>
      </c>
      <c r="B795" s="2074" t="s">
        <v>1435</v>
      </c>
      <c r="C795" s="2074"/>
      <c r="D795" s="2074"/>
      <c r="E795" s="2074"/>
      <c r="F795" s="2074"/>
      <c r="G795" s="2074"/>
      <c r="H795" s="2074"/>
      <c r="I795" s="2074"/>
      <c r="J795" s="2074"/>
      <c r="K795" s="2074"/>
      <c r="L795" s="2074"/>
      <c r="M795" s="2074"/>
      <c r="N795" s="2074"/>
      <c r="O795" s="2074"/>
      <c r="P795" s="2074"/>
      <c r="Q795" s="2074"/>
      <c r="R795" s="2074"/>
      <c r="S795" s="2075"/>
      <c r="T795" s="2076">
        <f ca="1">AK103</f>
        <v>20</v>
      </c>
      <c r="U795" s="2077"/>
      <c r="V795" s="2077"/>
      <c r="W795" s="2077"/>
      <c r="X795" s="2077"/>
      <c r="Y795" s="2078"/>
      <c r="Z795" s="2079">
        <v>20</v>
      </c>
      <c r="AA795" s="2077"/>
      <c r="AB795" s="2077"/>
      <c r="AC795" s="2077"/>
      <c r="AD795" s="2077"/>
      <c r="AE795" s="2078"/>
      <c r="AF795" s="2043">
        <f ca="1">IF(T795&gt;Z795,Z795,T795)</f>
        <v>20</v>
      </c>
      <c r="AG795" s="2043"/>
      <c r="AH795" s="2043"/>
      <c r="AI795" s="2043"/>
      <c r="AJ795" s="2043"/>
      <c r="AK795" s="2043"/>
      <c r="AL795" s="852"/>
      <c r="AM795" s="630"/>
      <c r="AO795" s="850"/>
      <c r="AP795" s="850"/>
      <c r="AQ795" s="850"/>
    </row>
    <row r="796" spans="1:43">
      <c r="A796" s="853" t="s">
        <v>1685</v>
      </c>
      <c r="B796" s="2074" t="s">
        <v>1445</v>
      </c>
      <c r="C796" s="2074"/>
      <c r="D796" s="2074"/>
      <c r="E796" s="2074"/>
      <c r="F796" s="2074"/>
      <c r="G796" s="2074"/>
      <c r="H796" s="2074"/>
      <c r="I796" s="2074"/>
      <c r="J796" s="2074"/>
      <c r="K796" s="2074"/>
      <c r="L796" s="2074"/>
      <c r="M796" s="2074"/>
      <c r="N796" s="2074"/>
      <c r="O796" s="2074"/>
      <c r="P796" s="2074"/>
      <c r="Q796" s="2074"/>
      <c r="R796" s="2074"/>
      <c r="S796" s="2075"/>
      <c r="T796" s="2076">
        <f>AK137</f>
        <v>10</v>
      </c>
      <c r="U796" s="2077"/>
      <c r="V796" s="2077"/>
      <c r="W796" s="2077"/>
      <c r="X796" s="2077"/>
      <c r="Y796" s="2078"/>
      <c r="Z796" s="2079">
        <v>10</v>
      </c>
      <c r="AA796" s="2077"/>
      <c r="AB796" s="2077"/>
      <c r="AC796" s="2077"/>
      <c r="AD796" s="2077"/>
      <c r="AE796" s="2078"/>
      <c r="AF796" s="2043">
        <f>IF(T796&gt;Z796,Z796,T796)</f>
        <v>10</v>
      </c>
      <c r="AG796" s="2043"/>
      <c r="AH796" s="2043"/>
      <c r="AI796" s="2043"/>
      <c r="AJ796" s="2043"/>
      <c r="AK796" s="2043"/>
      <c r="AL796" s="852"/>
      <c r="AM796" s="630"/>
      <c r="AO796" s="850"/>
      <c r="AP796" s="850"/>
      <c r="AQ796" s="850"/>
    </row>
    <row r="797" spans="1:43">
      <c r="A797" s="854" t="s">
        <v>1686</v>
      </c>
      <c r="B797" s="2074" t="s">
        <v>1687</v>
      </c>
      <c r="C797" s="2074"/>
      <c r="D797" s="2074"/>
      <c r="E797" s="2074"/>
      <c r="F797" s="2074"/>
      <c r="G797" s="2074"/>
      <c r="H797" s="2074"/>
      <c r="I797" s="2074"/>
      <c r="J797" s="2074"/>
      <c r="K797" s="2074"/>
      <c r="L797" s="2074"/>
      <c r="M797" s="2074"/>
      <c r="N797" s="2074"/>
      <c r="O797" s="2074"/>
      <c r="P797" s="2074"/>
      <c r="Q797" s="2074"/>
      <c r="R797" s="2074"/>
      <c r="S797" s="2075"/>
      <c r="T797" s="2100">
        <f>SUM(T798:Y799)</f>
        <v>10</v>
      </c>
      <c r="U797" s="2100"/>
      <c r="V797" s="2100"/>
      <c r="W797" s="2100"/>
      <c r="X797" s="2100"/>
      <c r="Y797" s="2100"/>
      <c r="Z797" s="2043">
        <v>10</v>
      </c>
      <c r="AA797" s="2043"/>
      <c r="AB797" s="2043"/>
      <c r="AC797" s="2043"/>
      <c r="AD797" s="2043"/>
      <c r="AE797" s="2043"/>
      <c r="AF797" s="2043">
        <f>IF(T797&gt;Z797,Z797,T797)</f>
        <v>10</v>
      </c>
      <c r="AG797" s="2043"/>
      <c r="AH797" s="2043"/>
      <c r="AI797" s="2043"/>
      <c r="AJ797" s="2043"/>
      <c r="AK797" s="2043"/>
      <c r="AL797" s="852"/>
      <c r="AM797" s="630"/>
    </row>
    <row r="798" spans="1:43">
      <c r="A798" s="569"/>
      <c r="B798" s="635"/>
      <c r="C798" s="2101" t="s">
        <v>1688</v>
      </c>
      <c r="D798" s="2101"/>
      <c r="E798" s="2101"/>
      <c r="F798" s="2101"/>
      <c r="G798" s="2101"/>
      <c r="H798" s="2101"/>
      <c r="I798" s="2101"/>
      <c r="J798" s="2101"/>
      <c r="K798" s="2101"/>
      <c r="L798" s="2101"/>
      <c r="M798" s="2101"/>
      <c r="N798" s="2101"/>
      <c r="O798" s="2101"/>
      <c r="P798" s="2101"/>
      <c r="Q798" s="2101"/>
      <c r="R798" s="2101"/>
      <c r="S798" s="2102"/>
      <c r="T798" s="1976">
        <f>AJ155</f>
        <v>7</v>
      </c>
      <c r="U798" s="1976"/>
      <c r="V798" s="1976"/>
      <c r="W798" s="1976"/>
      <c r="X798" s="1976"/>
      <c r="Y798" s="1976"/>
      <c r="Z798" s="1977">
        <v>7</v>
      </c>
      <c r="AA798" s="1977"/>
      <c r="AB798" s="1977"/>
      <c r="AC798" s="1977"/>
      <c r="AD798" s="1977"/>
      <c r="AE798" s="1977"/>
      <c r="AF798" s="2103"/>
      <c r="AG798" s="2103"/>
      <c r="AH798" s="2103"/>
      <c r="AI798" s="2103"/>
      <c r="AJ798" s="2103"/>
      <c r="AK798" s="2103"/>
      <c r="AL798" s="852"/>
      <c r="AM798" s="630"/>
    </row>
    <row r="799" spans="1:43">
      <c r="A799" s="634"/>
      <c r="B799" s="635"/>
      <c r="C799" s="2101" t="s">
        <v>1689</v>
      </c>
      <c r="D799" s="2101"/>
      <c r="E799" s="2101"/>
      <c r="F799" s="2101"/>
      <c r="G799" s="2101"/>
      <c r="H799" s="2101"/>
      <c r="I799" s="2101"/>
      <c r="J799" s="2101"/>
      <c r="K799" s="2101"/>
      <c r="L799" s="2101"/>
      <c r="M799" s="2101"/>
      <c r="N799" s="2101"/>
      <c r="O799" s="2101"/>
      <c r="P799" s="2101"/>
      <c r="Q799" s="2101"/>
      <c r="R799" s="2101"/>
      <c r="S799" s="2102"/>
      <c r="T799" s="1976">
        <f>AJ169</f>
        <v>3</v>
      </c>
      <c r="U799" s="1976"/>
      <c r="V799" s="1976"/>
      <c r="W799" s="1976"/>
      <c r="X799" s="1976"/>
      <c r="Y799" s="1976"/>
      <c r="Z799" s="1977">
        <v>3</v>
      </c>
      <c r="AA799" s="1977"/>
      <c r="AB799" s="1977"/>
      <c r="AC799" s="1977"/>
      <c r="AD799" s="1977"/>
      <c r="AE799" s="1977"/>
      <c r="AF799" s="2103"/>
      <c r="AG799" s="2103"/>
      <c r="AH799" s="2103"/>
      <c r="AI799" s="2103"/>
      <c r="AJ799" s="2103"/>
      <c r="AK799" s="2103"/>
      <c r="AL799" s="852"/>
      <c r="AM799" s="630"/>
      <c r="AO799" s="584"/>
    </row>
    <row r="800" spans="1:43">
      <c r="A800" s="854" t="s">
        <v>1473</v>
      </c>
      <c r="B800" s="2074" t="s">
        <v>1690</v>
      </c>
      <c r="C800" s="2074"/>
      <c r="D800" s="2074"/>
      <c r="E800" s="2074"/>
      <c r="F800" s="2074"/>
      <c r="G800" s="2074"/>
      <c r="H800" s="2074"/>
      <c r="I800" s="2074"/>
      <c r="J800" s="2074"/>
      <c r="K800" s="2074"/>
      <c r="L800" s="2074"/>
      <c r="M800" s="2074"/>
      <c r="N800" s="2074"/>
      <c r="O800" s="2074"/>
      <c r="P800" s="2074"/>
      <c r="Q800" s="2074"/>
      <c r="R800" s="2074"/>
      <c r="S800" s="2075"/>
      <c r="T800" s="2100">
        <f>AK180</f>
        <v>10</v>
      </c>
      <c r="U800" s="2100"/>
      <c r="V800" s="2100"/>
      <c r="W800" s="2100"/>
      <c r="X800" s="2100"/>
      <c r="Y800" s="2100"/>
      <c r="Z800" s="2043">
        <v>10</v>
      </c>
      <c r="AA800" s="2043"/>
      <c r="AB800" s="2043"/>
      <c r="AC800" s="2043"/>
      <c r="AD800" s="2043"/>
      <c r="AE800" s="2043"/>
      <c r="AF800" s="2043">
        <f>IF(T800&gt;Z800,Z800,T800)</f>
        <v>10</v>
      </c>
      <c r="AG800" s="2043"/>
      <c r="AH800" s="2043"/>
      <c r="AI800" s="2043"/>
      <c r="AJ800" s="2043"/>
      <c r="AK800" s="2043"/>
      <c r="AL800" s="852"/>
      <c r="AM800" s="630"/>
    </row>
    <row r="801" spans="1:81">
      <c r="A801" s="853" t="s">
        <v>1482</v>
      </c>
      <c r="B801" s="2074" t="s">
        <v>1483</v>
      </c>
      <c r="C801" s="2074"/>
      <c r="D801" s="2074"/>
      <c r="E801" s="2074"/>
      <c r="F801" s="2074"/>
      <c r="G801" s="2074"/>
      <c r="H801" s="2074"/>
      <c r="I801" s="2074"/>
      <c r="J801" s="2074"/>
      <c r="K801" s="2074"/>
      <c r="L801" s="2074"/>
      <c r="M801" s="2074"/>
      <c r="N801" s="2074"/>
      <c r="O801" s="2074"/>
      <c r="P801" s="2074"/>
      <c r="Q801" s="2074"/>
      <c r="R801" s="2074"/>
      <c r="S801" s="2075"/>
      <c r="T801" s="2100">
        <f>AK262</f>
        <v>8</v>
      </c>
      <c r="U801" s="2100"/>
      <c r="V801" s="2100"/>
      <c r="W801" s="2100"/>
      <c r="X801" s="2100"/>
      <c r="Y801" s="2100"/>
      <c r="Z801" s="2079">
        <v>8</v>
      </c>
      <c r="AA801" s="2077"/>
      <c r="AB801" s="2077"/>
      <c r="AC801" s="2077"/>
      <c r="AD801" s="2077"/>
      <c r="AE801" s="2078"/>
      <c r="AF801" s="2043">
        <f>IF(T801&gt;Z801,Z801,T801)</f>
        <v>8</v>
      </c>
      <c r="AG801" s="2043"/>
      <c r="AH801" s="2043"/>
      <c r="AI801" s="2043"/>
      <c r="AJ801" s="2043"/>
      <c r="AK801" s="2043"/>
      <c r="AL801" s="852"/>
      <c r="AM801" s="630"/>
    </row>
    <row r="802" spans="1:81" s="568" customFormat="1" hidden="1">
      <c r="A802" s="854" t="s">
        <v>598</v>
      </c>
      <c r="B802" s="2074" t="s">
        <v>1691</v>
      </c>
      <c r="C802" s="2074"/>
      <c r="D802" s="2074"/>
      <c r="E802" s="2074"/>
      <c r="F802" s="2074"/>
      <c r="G802" s="2074"/>
      <c r="H802" s="2074"/>
      <c r="I802" s="2074"/>
      <c r="J802" s="2074"/>
      <c r="K802" s="2074"/>
      <c r="L802" s="2074"/>
      <c r="M802" s="2074"/>
      <c r="N802" s="2074"/>
      <c r="O802" s="2074"/>
      <c r="P802" s="2074"/>
      <c r="Q802" s="2074"/>
      <c r="R802" s="2074"/>
      <c r="S802" s="2075"/>
      <c r="T802" s="2100">
        <f>IF(AK524&gt;5,5,AK524)</f>
        <v>0</v>
      </c>
      <c r="U802" s="2100"/>
      <c r="V802" s="2100"/>
      <c r="W802" s="2100"/>
      <c r="X802" s="2100"/>
      <c r="Y802" s="2100"/>
      <c r="Z802" s="2043">
        <v>5</v>
      </c>
      <c r="AA802" s="2043"/>
      <c r="AB802" s="2043"/>
      <c r="AC802" s="2043"/>
      <c r="AD802" s="2043"/>
      <c r="AE802" s="2043"/>
      <c r="AF802" s="2043">
        <f>IF(T802&gt;Z802,5,T802)</f>
        <v>0</v>
      </c>
      <c r="AG802" s="2043"/>
      <c r="AH802" s="2043"/>
      <c r="AI802" s="2043"/>
      <c r="AJ802" s="2043"/>
      <c r="AK802" s="2043"/>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1488</v>
      </c>
      <c r="B803" s="2074" t="s">
        <v>1692</v>
      </c>
      <c r="C803" s="2074"/>
      <c r="D803" s="2074"/>
      <c r="E803" s="2074"/>
      <c r="F803" s="2074"/>
      <c r="G803" s="2074"/>
      <c r="H803" s="2074"/>
      <c r="I803" s="2074"/>
      <c r="J803" s="2074"/>
      <c r="K803" s="2074"/>
      <c r="L803" s="2074"/>
      <c r="M803" s="2074"/>
      <c r="N803" s="2074"/>
      <c r="O803" s="2074"/>
      <c r="P803" s="2074"/>
      <c r="Q803" s="2074"/>
      <c r="R803" s="2074"/>
      <c r="S803" s="2075"/>
      <c r="T803" s="2100">
        <f>AK274</f>
        <v>10</v>
      </c>
      <c r="U803" s="2100"/>
      <c r="V803" s="2100"/>
      <c r="W803" s="2100"/>
      <c r="X803" s="2100"/>
      <c r="Y803" s="2100"/>
      <c r="Z803" s="2043">
        <v>10</v>
      </c>
      <c r="AA803" s="2043"/>
      <c r="AB803" s="2043"/>
      <c r="AC803" s="2043"/>
      <c r="AD803" s="2043"/>
      <c r="AE803" s="2043"/>
      <c r="AF803" s="2106">
        <f>IF(T803&gt;Z803,Z803,T803)</f>
        <v>10</v>
      </c>
      <c r="AG803" s="2107"/>
      <c r="AH803" s="2107"/>
      <c r="AI803" s="2107"/>
      <c r="AJ803" s="2107"/>
      <c r="AK803" s="2108"/>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1492</v>
      </c>
      <c r="B804" s="2074" t="s">
        <v>1493</v>
      </c>
      <c r="C804" s="2074"/>
      <c r="D804" s="2074"/>
      <c r="E804" s="2074"/>
      <c r="F804" s="2074"/>
      <c r="G804" s="2074"/>
      <c r="H804" s="2074"/>
      <c r="I804" s="2074"/>
      <c r="J804" s="2074"/>
      <c r="K804" s="2074"/>
      <c r="L804" s="2074"/>
      <c r="M804" s="2074"/>
      <c r="N804" s="2074"/>
      <c r="O804" s="2074"/>
      <c r="P804" s="2074"/>
      <c r="Q804" s="2074"/>
      <c r="R804" s="2074"/>
      <c r="S804" s="2075"/>
      <c r="T804" s="2100">
        <f>AK327</f>
        <v>10</v>
      </c>
      <c r="U804" s="2100"/>
      <c r="V804" s="2100"/>
      <c r="W804" s="2100"/>
      <c r="X804" s="2100"/>
      <c r="Y804" s="2100"/>
      <c r="Z804" s="2106">
        <v>10</v>
      </c>
      <c r="AA804" s="2107"/>
      <c r="AB804" s="2107"/>
      <c r="AC804" s="2107"/>
      <c r="AD804" s="2107"/>
      <c r="AE804" s="2108"/>
      <c r="AF804" s="2106">
        <f>IF(T804&gt;Z804,Z804,T804)</f>
        <v>10</v>
      </c>
      <c r="AG804" s="2107"/>
      <c r="AH804" s="2107"/>
      <c r="AI804" s="2107"/>
      <c r="AJ804" s="2107"/>
      <c r="AK804" s="2108"/>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1693</v>
      </c>
      <c r="D805" s="857"/>
      <c r="E805" s="857"/>
      <c r="F805" s="857"/>
      <c r="G805" s="857"/>
      <c r="H805" s="857"/>
      <c r="I805" s="857"/>
      <c r="J805" s="857"/>
      <c r="K805" s="857"/>
      <c r="L805" s="857"/>
      <c r="M805" s="857"/>
      <c r="N805" s="857"/>
      <c r="O805" s="857"/>
      <c r="P805" s="857"/>
      <c r="Q805" s="857"/>
      <c r="R805" s="855"/>
      <c r="S805" s="858"/>
      <c r="T805" s="1976">
        <f>AK327</f>
        <v>10</v>
      </c>
      <c r="U805" s="1976"/>
      <c r="V805" s="1976"/>
      <c r="W805" s="1976"/>
      <c r="X805" s="1976"/>
      <c r="Y805" s="1976"/>
      <c r="Z805" s="1981">
        <v>20</v>
      </c>
      <c r="AA805" s="1982"/>
      <c r="AB805" s="1982"/>
      <c r="AC805" s="1982"/>
      <c r="AD805" s="1982"/>
      <c r="AE805" s="1983"/>
      <c r="AF805" s="2103"/>
      <c r="AG805" s="2103"/>
      <c r="AH805" s="2103"/>
      <c r="AI805" s="2103"/>
      <c r="AJ805" s="2103"/>
      <c r="AK805" s="2103"/>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1565</v>
      </c>
      <c r="B806" s="2074" t="s">
        <v>857</v>
      </c>
      <c r="C806" s="2074"/>
      <c r="D806" s="2074"/>
      <c r="E806" s="2074"/>
      <c r="F806" s="2074"/>
      <c r="G806" s="2074"/>
      <c r="H806" s="2074"/>
      <c r="I806" s="2074"/>
      <c r="J806" s="2074"/>
      <c r="K806" s="2074"/>
      <c r="L806" s="2074"/>
      <c r="M806" s="2074"/>
      <c r="N806" s="2074"/>
      <c r="O806" s="2074"/>
      <c r="P806" s="2074"/>
      <c r="Q806" s="2074"/>
      <c r="R806" s="2074"/>
      <c r="S806" s="2075"/>
      <c r="T806" s="2100">
        <f>AK458</f>
        <v>10</v>
      </c>
      <c r="U806" s="2100"/>
      <c r="V806" s="2100"/>
      <c r="W806" s="2100"/>
      <c r="X806" s="2100"/>
      <c r="Y806" s="2100"/>
      <c r="Z806" s="2106">
        <v>10</v>
      </c>
      <c r="AA806" s="2107"/>
      <c r="AB806" s="2107"/>
      <c r="AC806" s="2107"/>
      <c r="AD806" s="2107"/>
      <c r="AE806" s="2108"/>
      <c r="AF806" s="2043">
        <f>IF(T806&gt;Z806,Z806,T806)</f>
        <v>10</v>
      </c>
      <c r="AG806" s="2043"/>
      <c r="AH806" s="2043"/>
      <c r="AI806" s="2043"/>
      <c r="AJ806" s="2043"/>
      <c r="AK806" s="2043"/>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1671</v>
      </c>
      <c r="B807" s="2074" t="s">
        <v>1672</v>
      </c>
      <c r="C807" s="2074"/>
      <c r="D807" s="2074"/>
      <c r="E807" s="2074"/>
      <c r="F807" s="2074"/>
      <c r="G807" s="2074"/>
      <c r="H807" s="2074"/>
      <c r="I807" s="2074"/>
      <c r="J807" s="2074"/>
      <c r="K807" s="2074"/>
      <c r="L807" s="2074"/>
      <c r="M807" s="2074"/>
      <c r="N807" s="2074"/>
      <c r="O807" s="2074"/>
      <c r="P807" s="2074"/>
      <c r="Q807" s="2074"/>
      <c r="R807" s="2074"/>
      <c r="S807" s="2075"/>
      <c r="T807" s="2100">
        <f>AK548</f>
        <v>12</v>
      </c>
      <c r="U807" s="2100"/>
      <c r="V807" s="2100"/>
      <c r="W807" s="2100"/>
      <c r="X807" s="2100"/>
      <c r="Y807" s="2100"/>
      <c r="Z807" s="2106">
        <v>12</v>
      </c>
      <c r="AA807" s="2107"/>
      <c r="AB807" s="2107"/>
      <c r="AC807" s="2107"/>
      <c r="AD807" s="2107"/>
      <c r="AE807" s="2108"/>
      <c r="AF807" s="2043">
        <f>IF(T807&gt;Z807,Z807,T807)</f>
        <v>12</v>
      </c>
      <c r="AG807" s="2043"/>
      <c r="AH807" s="2043"/>
      <c r="AI807" s="2043"/>
      <c r="AJ807" s="2043"/>
      <c r="AK807" s="2043"/>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2336</v>
      </c>
      <c r="B808" s="2074" t="s">
        <v>1694</v>
      </c>
      <c r="C808" s="2074"/>
      <c r="D808" s="2074"/>
      <c r="E808" s="2074"/>
      <c r="F808" s="2074"/>
      <c r="G808" s="2074"/>
      <c r="H808" s="2074"/>
      <c r="I808" s="2074"/>
      <c r="J808" s="2074"/>
      <c r="K808" s="2074"/>
      <c r="L808" s="2074"/>
      <c r="M808" s="2074"/>
      <c r="N808" s="2074"/>
      <c r="O808" s="2074"/>
      <c r="P808" s="2074"/>
      <c r="Q808" s="2074"/>
      <c r="R808" s="2074"/>
      <c r="S808" s="2075"/>
      <c r="T808" s="2100">
        <f>AK783</f>
        <v>10</v>
      </c>
      <c r="U808" s="2100"/>
      <c r="V808" s="2100"/>
      <c r="W808" s="2100"/>
      <c r="X808" s="2100"/>
      <c r="Y808" s="2100"/>
      <c r="Z808" s="2106">
        <v>10</v>
      </c>
      <c r="AA808" s="2107"/>
      <c r="AB808" s="2107"/>
      <c r="AC808" s="2107"/>
      <c r="AD808" s="2107"/>
      <c r="AE808" s="2108"/>
      <c r="AF808" s="2043">
        <f>IF(T808&gt;Z808,Z808,T808)</f>
        <v>10</v>
      </c>
      <c r="AG808" s="2043"/>
      <c r="AH808" s="2043"/>
      <c r="AI808" s="2043"/>
      <c r="AJ808" s="2043"/>
      <c r="AK808" s="2043"/>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104" t="s">
        <v>1695</v>
      </c>
      <c r="B809" s="2074"/>
      <c r="C809" s="2074"/>
      <c r="D809" s="2074"/>
      <c r="E809" s="2074"/>
      <c r="F809" s="2074"/>
      <c r="G809" s="2074"/>
      <c r="H809" s="2074"/>
      <c r="I809" s="2074"/>
      <c r="J809" s="2074"/>
      <c r="K809" s="2074"/>
      <c r="L809" s="2074"/>
      <c r="M809" s="2074"/>
      <c r="N809" s="2074"/>
      <c r="O809" s="2074"/>
      <c r="P809" s="2074"/>
      <c r="Q809" s="2074"/>
      <c r="R809" s="2074"/>
      <c r="S809" s="2075"/>
      <c r="T809" s="2105"/>
      <c r="U809" s="2105"/>
      <c r="V809" s="2105"/>
      <c r="W809" s="2105"/>
      <c r="X809" s="2105"/>
      <c r="Y809" s="2105"/>
      <c r="Z809" s="1977" t="s">
        <v>1696</v>
      </c>
      <c r="AA809" s="1977"/>
      <c r="AB809" s="1977"/>
      <c r="AC809" s="1977"/>
      <c r="AD809" s="1977"/>
      <c r="AE809" s="1977"/>
      <c r="AF809" s="2106">
        <f>IF(T809&gt;0,T809,0)</f>
        <v>0</v>
      </c>
      <c r="AG809" s="2107"/>
      <c r="AH809" s="2107"/>
      <c r="AI809" s="2107"/>
      <c r="AJ809" s="2107"/>
      <c r="AK809" s="2108"/>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5">
      <c r="A810" s="2109" t="s">
        <v>1697</v>
      </c>
      <c r="B810" s="2110"/>
      <c r="C810" s="2110"/>
      <c r="D810" s="2110"/>
      <c r="E810" s="2110"/>
      <c r="F810" s="2110"/>
      <c r="G810" s="2110"/>
      <c r="H810" s="2110"/>
      <c r="I810" s="2110"/>
      <c r="J810" s="2110"/>
      <c r="K810" s="2110"/>
      <c r="L810" s="2110"/>
      <c r="M810" s="2110"/>
      <c r="N810" s="2110"/>
      <c r="O810" s="2110"/>
      <c r="P810" s="2110"/>
      <c r="Q810" s="2110"/>
      <c r="R810" s="2110"/>
      <c r="S810" s="2110"/>
      <c r="T810" s="2110"/>
      <c r="U810" s="2110"/>
      <c r="V810" s="2110"/>
      <c r="W810" s="2110"/>
      <c r="X810" s="2110"/>
      <c r="Y810" s="2110"/>
      <c r="Z810" s="2110"/>
      <c r="AA810" s="2110"/>
      <c r="AB810" s="2110"/>
      <c r="AC810" s="2110"/>
      <c r="AD810" s="2110"/>
      <c r="AE810" s="2111"/>
      <c r="AF810" s="2115">
        <f ca="1">SUM(AF793:AK808)-AF809</f>
        <v>120</v>
      </c>
      <c r="AG810" s="2116"/>
      <c r="AH810" s="2116"/>
      <c r="AI810" s="2116"/>
      <c r="AJ810" s="2116"/>
      <c r="AK810" s="2117"/>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5">
      <c r="A811" s="2112"/>
      <c r="B811" s="2113"/>
      <c r="C811" s="2113"/>
      <c r="D811" s="2113"/>
      <c r="E811" s="2113"/>
      <c r="F811" s="2113"/>
      <c r="G811" s="2113"/>
      <c r="H811" s="2113"/>
      <c r="I811" s="2113"/>
      <c r="J811" s="2113"/>
      <c r="K811" s="2113"/>
      <c r="L811" s="2113"/>
      <c r="M811" s="2113"/>
      <c r="N811" s="2113"/>
      <c r="O811" s="2113"/>
      <c r="P811" s="2113"/>
      <c r="Q811" s="2113"/>
      <c r="R811" s="2113"/>
      <c r="S811" s="2113"/>
      <c r="T811" s="2113"/>
      <c r="U811" s="2113"/>
      <c r="V811" s="2113"/>
      <c r="W811" s="2113"/>
      <c r="X811" s="2113"/>
      <c r="Y811" s="2113"/>
      <c r="Z811" s="2113"/>
      <c r="AA811" s="2113"/>
      <c r="AB811" s="2113"/>
      <c r="AC811" s="2113"/>
      <c r="AD811" s="2113"/>
      <c r="AE811" s="2114"/>
      <c r="AF811" s="2118"/>
      <c r="AG811" s="2119"/>
      <c r="AH811" s="2119"/>
      <c r="AI811" s="2119"/>
      <c r="AJ811" s="2119"/>
      <c r="AK811" s="2120"/>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C1" workbookViewId="0">
      <selection activeCell="I9" sqref="I9"/>
    </sheetView>
  </sheetViews>
  <sheetFormatPr defaultColWidth="9.1328125" defaultRowHeight="14.25"/>
  <cols>
    <col min="1" max="1" width="2.40625" style="1079" customWidth="1"/>
    <col min="2" max="9" width="14.7265625" style="1079" customWidth="1"/>
    <col min="10" max="10" width="2.26953125" style="1079" customWidth="1"/>
    <col min="11" max="11" width="11.86328125" style="1080" customWidth="1"/>
    <col min="12" max="12" width="10.7265625" style="1079" customWidth="1"/>
    <col min="13" max="13" width="10.40625" style="1079" customWidth="1"/>
    <col min="14" max="14" width="10.86328125" style="1079" customWidth="1"/>
    <col min="15" max="16384" width="9.1328125" style="1079"/>
  </cols>
  <sheetData>
    <row r="1" spans="1:13" ht="30" customHeight="1">
      <c r="A1" s="2165" t="s">
        <v>1698</v>
      </c>
      <c r="B1" s="2165"/>
      <c r="C1" s="2165"/>
      <c r="D1" s="2165"/>
      <c r="E1" s="2165"/>
      <c r="F1" s="2165"/>
      <c r="G1" s="2165"/>
      <c r="H1" s="2165"/>
      <c r="I1" s="2165"/>
      <c r="J1" s="2165"/>
    </row>
    <row r="2" spans="1:13" ht="15" customHeight="1" thickBot="1">
      <c r="A2" s="1081"/>
      <c r="B2" s="1081"/>
      <c r="I2" s="1082"/>
      <c r="K2" s="1083"/>
    </row>
    <row r="3" spans="1:13" s="1086" customFormat="1" ht="20.149999999999999" customHeight="1">
      <c r="A3" s="1140"/>
      <c r="B3" s="1141"/>
      <c r="C3" s="1142"/>
      <c r="D3" s="1147"/>
      <c r="E3" s="1142"/>
      <c r="F3" s="1143" t="s">
        <v>2301</v>
      </c>
      <c r="G3" s="1142"/>
      <c r="H3" s="1144">
        <f>E16</f>
        <v>17440450</v>
      </c>
      <c r="I3" s="1145"/>
    </row>
    <row r="4" spans="1:13" s="1086" customFormat="1" ht="20.149999999999999" customHeight="1">
      <c r="B4" s="1134"/>
      <c r="D4" s="1148"/>
      <c r="F4" s="1132" t="s">
        <v>2303</v>
      </c>
      <c r="G4" s="1131" t="s">
        <v>2302</v>
      </c>
      <c r="H4" s="1133">
        <f>I16</f>
        <v>24399220.17132353</v>
      </c>
      <c r="I4" s="1135"/>
      <c r="K4" s="1090"/>
    </row>
    <row r="5" spans="1:13" s="1086" customFormat="1" ht="20.149999999999999" customHeight="1" thickBot="1">
      <c r="B5" s="1136"/>
      <c r="C5" s="1137"/>
      <c r="D5" s="1149"/>
      <c r="E5" s="1138"/>
      <c r="F5" s="1149" t="s">
        <v>2243</v>
      </c>
      <c r="G5" s="1150"/>
      <c r="H5" s="1146">
        <f>H3/H4</f>
        <v>0.71479538598113923</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67" t="s">
        <v>2241</v>
      </c>
      <c r="C8" s="2168"/>
      <c r="D8" s="2168"/>
      <c r="E8" s="2169"/>
      <c r="G8" s="2170" t="s">
        <v>2242</v>
      </c>
      <c r="H8" s="2171"/>
      <c r="I8" s="2172"/>
      <c r="K8" s="1092"/>
    </row>
    <row r="9" spans="1:13" ht="15" customHeight="1">
      <c r="A9" s="1081"/>
      <c r="B9" s="2166" t="s">
        <v>2280</v>
      </c>
      <c r="C9" s="2166"/>
      <c r="D9" s="2166"/>
      <c r="E9" s="1094">
        <f>G31</f>
        <v>2687500</v>
      </c>
      <c r="G9" s="2175" t="s">
        <v>2278</v>
      </c>
      <c r="H9" s="2175"/>
      <c r="I9" s="1095">
        <f>Application!AM554</f>
        <v>22300000</v>
      </c>
      <c r="K9" s="1096"/>
      <c r="M9" s="1097"/>
    </row>
    <row r="10" spans="1:13" ht="15" customHeight="1" thickBot="1">
      <c r="A10" s="1081"/>
      <c r="B10" s="2166" t="s">
        <v>2281</v>
      </c>
      <c r="C10" s="2166"/>
      <c r="D10" s="2166"/>
      <c r="E10" s="1095">
        <f>G40</f>
        <v>9034200</v>
      </c>
      <c r="G10" s="2175" t="s">
        <v>2244</v>
      </c>
      <c r="H10" s="2175"/>
      <c r="I10" s="1182">
        <f>'Basis &amp; Credits'!AB77</f>
        <v>10710551</v>
      </c>
      <c r="M10" s="1097"/>
    </row>
    <row r="11" spans="1:13" ht="15" customHeight="1">
      <c r="A11" s="1098"/>
      <c r="B11" s="2166" t="s">
        <v>2282</v>
      </c>
      <c r="C11" s="2166"/>
      <c r="D11" s="2166"/>
      <c r="E11" s="1095">
        <f>G49</f>
        <v>240000</v>
      </c>
      <c r="G11" s="2175" t="s">
        <v>2293</v>
      </c>
      <c r="H11" s="2175"/>
      <c r="I11" s="1181">
        <f>I9+I10</f>
        <v>33010551</v>
      </c>
      <c r="M11" s="1097"/>
    </row>
    <row r="12" spans="1:13" ht="15" customHeight="1">
      <c r="A12" s="1084"/>
      <c r="B12" s="2166" t="s">
        <v>2283</v>
      </c>
      <c r="C12" s="2166"/>
      <c r="D12" s="2166"/>
      <c r="E12" s="1095">
        <f>G58</f>
        <v>480000</v>
      </c>
      <c r="G12" s="1183" t="s">
        <v>2318</v>
      </c>
      <c r="H12" s="1184"/>
      <c r="M12" s="1097"/>
    </row>
    <row r="13" spans="1:13" ht="15" customHeight="1">
      <c r="A13" s="1081"/>
      <c r="B13" s="2166" t="s">
        <v>2284</v>
      </c>
      <c r="C13" s="2166"/>
      <c r="D13" s="2166"/>
      <c r="E13" s="1100">
        <f>G83</f>
        <v>3923750</v>
      </c>
      <c r="G13" s="2176" t="s">
        <v>139</v>
      </c>
      <c r="H13" s="2176"/>
      <c r="I13" s="1099">
        <f>15%*(Application!AJ993&gt;0)</f>
        <v>0.15</v>
      </c>
      <c r="M13" s="1097"/>
    </row>
    <row r="14" spans="1:13" ht="15" customHeight="1">
      <c r="A14" s="1081"/>
      <c r="B14" s="2166" t="s">
        <v>2285</v>
      </c>
      <c r="C14" s="2166"/>
      <c r="D14" s="2166"/>
      <c r="E14" s="1095">
        <f>IF(G96&gt;G106,G96,0)</f>
        <v>0</v>
      </c>
      <c r="G14" s="1179" t="s">
        <v>2294</v>
      </c>
      <c r="H14" s="1179"/>
      <c r="I14" s="1099">
        <f>IF(Application!AJ1031&gt;0,10%,IF(Application!AJ1035&gt;0,5%,0))</f>
        <v>0.05</v>
      </c>
      <c r="M14" s="1097"/>
    </row>
    <row r="15" spans="1:13" ht="15" customHeight="1" thickBot="1">
      <c r="A15" s="1081"/>
      <c r="B15" s="2173" t="s">
        <v>2304</v>
      </c>
      <c r="C15" s="2173"/>
      <c r="D15" s="2173"/>
      <c r="E15" s="1151">
        <f>IF(E14&gt;0,0,G106)</f>
        <v>1075000</v>
      </c>
      <c r="G15" s="2179" t="s">
        <v>2295</v>
      </c>
      <c r="H15" s="2180"/>
      <c r="I15" s="1153">
        <f>G114</f>
        <v>6.0866013071895424E-2</v>
      </c>
      <c r="M15" s="1097"/>
    </row>
    <row r="16" spans="1:13" ht="15" customHeight="1">
      <c r="A16" s="1081"/>
      <c r="B16" s="2174" t="s">
        <v>2240</v>
      </c>
      <c r="C16" s="2174"/>
      <c r="D16" s="2174"/>
      <c r="E16" s="1152">
        <f>SUM(E9:E15)</f>
        <v>17440450</v>
      </c>
      <c r="G16" s="1180" t="s">
        <v>2279</v>
      </c>
      <c r="H16" s="1180"/>
      <c r="I16" s="1154">
        <f>I11-((I11*I13)+(I11*I14)+(I11*I15))</f>
        <v>24399220.17132353</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49</v>
      </c>
      <c r="O18" s="1124" t="s">
        <v>591</v>
      </c>
      <c r="P18" s="1079">
        <f>MATCH(Application!T189,Application!BV490:BV547,0)</f>
        <v>19</v>
      </c>
      <c r="S18" s="1101">
        <f>SUM(Cdlac[Population])</f>
        <v>35</v>
      </c>
    </row>
    <row r="19" spans="1:20" ht="15" customHeight="1">
      <c r="A19" s="1081"/>
      <c r="B19" s="1081"/>
      <c r="I19" s="1107"/>
      <c r="L19" s="1079" t="s">
        <v>2236</v>
      </c>
      <c r="M19" s="1079" t="s">
        <v>2235</v>
      </c>
      <c r="N19" s="1079" t="s">
        <v>2249</v>
      </c>
      <c r="O19" s="1079" t="s">
        <v>2250</v>
      </c>
      <c r="P19" s="1079" t="s">
        <v>2237</v>
      </c>
      <c r="Q19" s="1079" t="s">
        <v>2238</v>
      </c>
      <c r="R19" s="1079" t="s">
        <v>2251</v>
      </c>
      <c r="S19" s="1079" t="s">
        <v>2257</v>
      </c>
      <c r="T19" s="1079" t="s">
        <v>386</v>
      </c>
    </row>
    <row r="20" spans="1:20" ht="15" customHeight="1">
      <c r="A20" s="1084"/>
      <c r="C20" s="2177" t="s">
        <v>2297</v>
      </c>
      <c r="D20" s="2177" t="s">
        <v>2298</v>
      </c>
      <c r="E20" s="2177" t="s">
        <v>2299</v>
      </c>
      <c r="F20" s="2177" t="s">
        <v>2300</v>
      </c>
      <c r="G20" s="2177" t="s">
        <v>2296</v>
      </c>
      <c r="H20" s="1108"/>
      <c r="I20" s="1107"/>
      <c r="L20" s="1079">
        <f>IFERROR(MIN(4,MATCH(Application!B718,UnitSizes,0)-1),"")</f>
        <v>1</v>
      </c>
      <c r="M20" s="1101">
        <f>Application!G718</f>
        <v>20</v>
      </c>
      <c r="N20" s="1109">
        <f>Application!AC718</f>
        <v>0.3</v>
      </c>
      <c r="O20" s="1109">
        <f>IF(Cdlac[[#This Row],[Quantity]]&gt;0,IF(Cdlac[[#This Row],[Federal]],30%,IF($G$36,40%,Cdlac[[#This Row],[iAMI]])),"")</f>
        <v>0.3</v>
      </c>
      <c r="P20" s="1101" cm="1">
        <f t="array" ref="P20">IF(Cdlac[[#This Row],[Quantity]]&gt;0,INDEX(TcacRents,$P$18,Cdlac[[#This Row],[Bedrooms]]+1)*Cdlac[[#This Row],[AMI]],"")</f>
        <v>709.19999999999993</v>
      </c>
      <c r="Q20" s="1101" cm="1">
        <f t="array" ref="Q20">IF(Cdlac[[#This Row],[Quantity]]&gt;0,INDEX(HudFmrs,$P$18,Cdlac[[#This Row],[Bedrooms]]+1),"")</f>
        <v>1747</v>
      </c>
      <c r="R20" s="1101">
        <f>IF(Cdlac[[#This Row],[Quantity]]&gt;0,MAX(0,Cdlac[[#This Row],[Fair Market Rent]]-Cdlac[[#This Row],[Restricted Rent]]),"")</f>
        <v>1037.8000000000002</v>
      </c>
      <c r="S20" s="1079">
        <f>IF(Cdlac[[#This Row],[Quantity]]&gt;0,AND(Application!AK718&lt;&gt;"N/A",Application!AK718&lt;&gt;"")*Cdlac[[#This Row],[Quantity]],"")</f>
        <v>20</v>
      </c>
      <c r="T20" s="1079" t="b">
        <f>AND('Subsidy Contract Calculation'!F4&gt;0,'Subsidy Contract Calculation'!C4="Federal",Cdlac[[#This Row],[Quantity]]&gt;0)</f>
        <v>1</v>
      </c>
    </row>
    <row r="21" spans="1:20" ht="15" customHeight="1">
      <c r="A21" s="1084"/>
      <c r="C21" s="2178"/>
      <c r="D21" s="2178"/>
      <c r="E21" s="2178"/>
      <c r="F21" s="2178"/>
      <c r="G21" s="2178"/>
      <c r="H21" s="1108"/>
      <c r="I21" s="1107"/>
      <c r="L21" s="1079">
        <f>IFERROR(MIN(4,MATCH(Application!B719,UnitSizes,0)-1),"")</f>
        <v>2</v>
      </c>
      <c r="M21" s="1101">
        <f>Application!G719</f>
        <v>15</v>
      </c>
      <c r="N21" s="1109">
        <f>Application!AC719</f>
        <v>0.3</v>
      </c>
      <c r="O21" s="1109">
        <f>IF(Cdlac[[#This Row],[Quantity]]&gt;0,IF(Cdlac[[#This Row],[Federal]],30%,IF($G$36,40%,Cdlac[[#This Row],[iAMI]])),"")</f>
        <v>0.3</v>
      </c>
      <c r="P21" s="1101" cm="1">
        <f t="array" ref="P21">IF(Cdlac[[#This Row],[Quantity]]&gt;0,INDEX(TcacRents,$P$18,Cdlac[[#This Row],[Bedrooms]]+1)*Cdlac[[#This Row],[AMI]],"")</f>
        <v>850.8</v>
      </c>
      <c r="Q21" s="1101" cm="1">
        <f t="array" ref="Q21">IF(Cdlac[[#This Row],[Quantity]]&gt;0,INDEX(HudFmrs,$P$18,Cdlac[[#This Row],[Bedrooms]]+1),"")</f>
        <v>2222</v>
      </c>
      <c r="R21" s="1101">
        <f>IF(Cdlac[[#This Row],[Quantity]]&gt;0,MAX(0,Cdlac[[#This Row],[Fair Market Rent]]-Cdlac[[#This Row],[Restricted Rent]]),"")</f>
        <v>1371.2</v>
      </c>
      <c r="S21" s="1079">
        <f>IF(Cdlac[[#This Row],[Quantity]]&gt;0,AND(Application!AK719&lt;&gt;"N/A",Application!AK719&lt;&gt;"")*Cdlac[[#This Row],[Quantity]],"")</f>
        <v>15</v>
      </c>
      <c r="T21" s="1079" t="b">
        <f>AND('Subsidy Contract Calculation'!F5&gt;0,'Subsidy Contract Calculation'!C5="Federal",Cdlac[[#This Row],[Quantity]]&gt;0)</f>
        <v>1</v>
      </c>
    </row>
    <row r="22" spans="1:20" ht="15" customHeight="1">
      <c r="C22" s="1110">
        <v>0</v>
      </c>
      <c r="D22" s="1111">
        <v>0.9</v>
      </c>
      <c r="E22" s="1110">
        <f>SUMIFS(Cdlac[Quantity],Cdlac[Bedrooms],C22)</f>
        <v>0</v>
      </c>
      <c r="F22" s="1110">
        <f>E22</f>
        <v>0</v>
      </c>
      <c r="G22" s="1110">
        <f>D22*F22</f>
        <v>0</v>
      </c>
      <c r="L22" s="1079">
        <f>IFERROR(MIN(4,MATCH(Application!B720,UnitSizes,0)-1),"")</f>
        <v>1</v>
      </c>
      <c r="M22" s="1101">
        <f>Application!G720</f>
        <v>10</v>
      </c>
      <c r="N22" s="1109">
        <f>Application!AC720</f>
        <v>0.5</v>
      </c>
      <c r="O22" s="1109">
        <f>IF(Cdlac[[#This Row],[Quantity]]&gt;0,IF(Cdlac[[#This Row],[Federal]],30%,IF($G$36,40%,Cdlac[[#This Row],[iAMI]])),"")</f>
        <v>0.5</v>
      </c>
      <c r="P22" s="1101" cm="1">
        <f t="array" ref="P22">IF(Cdlac[[#This Row],[Quantity]]&gt;0,INDEX(TcacRents,$P$18,Cdlac[[#This Row],[Bedrooms]]+1)*Cdlac[[#This Row],[AMI]],"")</f>
        <v>1182</v>
      </c>
      <c r="Q22" s="1101" cm="1">
        <f t="array" ref="Q22">IF(Cdlac[[#This Row],[Quantity]]&gt;0,INDEX(HudFmrs,$P$18,Cdlac[[#This Row],[Bedrooms]]+1),"")</f>
        <v>1747</v>
      </c>
      <c r="R22" s="1101">
        <f>IF(Cdlac[[#This Row],[Quantity]]&gt;0,MAX(0,Cdlac[[#This Row],[Fair Market Rent]]-Cdlac[[#This Row],[Restricted Rent]]),"")</f>
        <v>565</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30</v>
      </c>
      <c r="F23" s="1110">
        <f>E23</f>
        <v>30</v>
      </c>
      <c r="G23" s="1110">
        <f>D23*F23</f>
        <v>30</v>
      </c>
      <c r="L23" s="1079">
        <f>IFERROR(MIN(4,MATCH(Application!B721,UnitSizes,0)-1),"")</f>
        <v>2</v>
      </c>
      <c r="M23" s="1101">
        <f>Application!G721</f>
        <v>4</v>
      </c>
      <c r="N23" s="1109">
        <f>Application!AC721</f>
        <v>0.5</v>
      </c>
      <c r="O23" s="1109">
        <f>IF(Cdlac[[#This Row],[Quantity]]&gt;0,IF(Cdlac[[#This Row],[Federal]],30%,IF($G$36,40%,Cdlac[[#This Row],[iAMI]])),"")</f>
        <v>0.5</v>
      </c>
      <c r="P23" s="1101" cm="1">
        <f t="array" ref="P23">IF(Cdlac[[#This Row],[Quantity]]&gt;0,INDEX(TcacRents,$P$18,Cdlac[[#This Row],[Bedrooms]]+1)*Cdlac[[#This Row],[AMI]],"")</f>
        <v>1418</v>
      </c>
      <c r="Q23" s="1101" cm="1">
        <f t="array" ref="Q23">IF(Cdlac[[#This Row],[Quantity]]&gt;0,INDEX(HudFmrs,$P$18,Cdlac[[#This Row],[Bedrooms]]+1),"")</f>
        <v>2222</v>
      </c>
      <c r="R23" s="1101">
        <f>IF(Cdlac[[#This Row],[Quantity]]&gt;0,MAX(0,Cdlac[[#This Row],[Fair Market Rent]]-Cdlac[[#This Row],[Restricted Rent]]),"")</f>
        <v>804</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19</v>
      </c>
      <c r="F24" s="1113">
        <f>SUM(E24:E26)-SUM(F25:F26)</f>
        <v>19</v>
      </c>
      <c r="G24" s="1110">
        <f>D24*F24</f>
        <v>23.75</v>
      </c>
      <c r="H24" s="1112"/>
      <c r="I24" s="1112"/>
      <c r="L24" s="1079" t="str">
        <f>IFERROR(MIN(4,MATCH(Application!B722,UnitSizes,0)-1),"")</f>
        <v/>
      </c>
      <c r="M24" s="1101">
        <f>Application!G722</f>
        <v>0</v>
      </c>
      <c r="N24" s="1109">
        <f>Application!AC722</f>
        <v>0</v>
      </c>
      <c r="O24" s="1109" t="str">
        <f>IF(Cdlac[[#This Row],[Quantity]]&gt;0,IF(Cdlac[[#This Row],[Federal]],30%,IF($G$36,40%,Cdlac[[#This Row],[iAMI]])),"")</f>
        <v/>
      </c>
      <c r="P24" s="1101" t="str" cm="1">
        <f t="array" ref="P24">IF(Cdlac[[#This Row],[Quantity]]&gt;0,INDEX(TcacRents,$P$18,Cdlac[[#This Row],[Bedrooms]]+1)*Cdlac[[#This Row],[AMI]],"")</f>
        <v/>
      </c>
      <c r="Q24" s="1101" t="str" cm="1">
        <f t="array" ref="Q24">IF(Cdlac[[#This Row],[Quantity]]&gt;0,INDEX(HudFmrs,$P$18,Cdlac[[#This Row],[Bedrooms]]+1),"")</f>
        <v/>
      </c>
      <c r="R24" s="1101" t="str">
        <f>IF(Cdlac[[#This Row],[Quantity]]&gt;0,MAX(0,Cdlac[[#This Row],[Fair Market Rent]]-Cdlac[[#This Row],[Restricted Rent]]),"")</f>
        <v/>
      </c>
      <c r="S24" s="1079" t="str">
        <f>IF(Cdlac[[#This Row],[Quantity]]&gt;0,AND(Application!AK722&lt;&gt;"N/A",Application!AK722&lt;&gt;"")*Cdlac[[#This Row],[Quantity]],"")</f>
        <v/>
      </c>
      <c r="T24" s="1079" t="b">
        <f>AND('Subsidy Contract Calculation'!F8&gt;0,'Subsidy Contract Calculation'!C8="Federal",Cdlac[[#This Row],[Quantity]]&gt;0)</f>
        <v>0</v>
      </c>
    </row>
    <row r="25" spans="1:20" ht="15" customHeight="1">
      <c r="A25" s="1112"/>
      <c r="C25" s="1113">
        <v>3</v>
      </c>
      <c r="D25" s="1111">
        <f>1.5+0.25*0</f>
        <v>1.5</v>
      </c>
      <c r="E25" s="1110">
        <f>SUMIFS(Cdlac[Quantity],Cdlac[Bedrooms],C25)</f>
        <v>0</v>
      </c>
      <c r="F25" s="1113">
        <f>MIN(E25,ROUNDDOWN(E27*30%,0))</f>
        <v>0</v>
      </c>
      <c r="G25" s="1110">
        <f>D25*F25</f>
        <v>0</v>
      </c>
      <c r="H25" s="1112"/>
      <c r="I25" s="1112"/>
      <c r="L25" s="1079" t="str">
        <f>IFERROR(MIN(4,MATCH(Application!B723,UnitSizes,0)-1),"")</f>
        <v/>
      </c>
      <c r="M25" s="1101">
        <f>Application!G723</f>
        <v>0</v>
      </c>
      <c r="N25" s="1109">
        <f>Application!AC723</f>
        <v>0</v>
      </c>
      <c r="O25" s="1109" t="str">
        <f>IF(Cdlac[[#This Row],[Quantity]]&gt;0,IF(Cdlac[[#This Row],[Federal]],30%,IF($G$36,40%,Cdlac[[#This Row],[iAMI]])),"")</f>
        <v/>
      </c>
      <c r="P25" s="1101" t="str" cm="1">
        <f t="array" ref="P25">IF(Cdlac[[#This Row],[Quantity]]&gt;0,INDEX(TcacRents,$P$18,Cdlac[[#This Row],[Bedrooms]]+1)*Cdlac[[#This Row],[AMI]],"")</f>
        <v/>
      </c>
      <c r="Q25" s="1101" t="str" cm="1">
        <f t="array" ref="Q25">IF(Cdlac[[#This Row],[Quantity]]&gt;0,INDEX(HudFmrs,$P$18,Cdlac[[#This Row],[Bedrooms]]+1),"")</f>
        <v/>
      </c>
      <c r="R25" s="1101" t="str">
        <f>IF(Cdlac[[#This Row],[Quantity]]&gt;0,MAX(0,Cdlac[[#This Row],[Fair Market Rent]]-Cdlac[[#This Row],[Restricted Rent]]),"")</f>
        <v/>
      </c>
      <c r="S25" s="1079" t="str">
        <f>IF(Cdlac[[#This Row],[Quantity]]&gt;0,AND(Application!AK723&lt;&gt;"N/A",Application!AK723&lt;&gt;"")*Cdlac[[#This Row],[Quantity]],"")</f>
        <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t="str">
        <f>IFERROR(MIN(4,MATCH(Application!B724,UnitSizes,0)-1),"")</f>
        <v/>
      </c>
      <c r="M26" s="1101">
        <f>Application!G724</f>
        <v>0</v>
      </c>
      <c r="N26" s="1109">
        <f>Application!AC724</f>
        <v>0</v>
      </c>
      <c r="O26" s="1109" t="str">
        <f>IF(Cdlac[[#This Row],[Quantity]]&gt;0,IF(Cdlac[[#This Row],[Federal]],30%,IF($G$36,40%,Cdlac[[#This Row],[iAMI]])),"")</f>
        <v/>
      </c>
      <c r="P26" s="1101" t="str" cm="1">
        <f t="array" ref="P26">IF(Cdlac[[#This Row],[Quantity]]&gt;0,INDEX(TcacRents,$P$18,Cdlac[[#This Row],[Bedrooms]]+1)*Cdlac[[#This Row],[AMI]],"")</f>
        <v/>
      </c>
      <c r="Q26" s="1101" t="str" cm="1">
        <f t="array" ref="Q26">IF(Cdlac[[#This Row],[Quantity]]&gt;0,INDEX(HudFmrs,$P$18,Cdlac[[#This Row],[Bedrooms]]+1),"")</f>
        <v/>
      </c>
      <c r="R26" s="1101" t="str">
        <f>IF(Cdlac[[#This Row],[Quantity]]&gt;0,MAX(0,Cdlac[[#This Row],[Fair Market Rent]]-Cdlac[[#This Row],[Restricted Rent]]),"")</f>
        <v/>
      </c>
      <c r="S26" s="1079" t="str">
        <f>IF(Cdlac[[#This Row],[Quantity]]&gt;0,AND(Application!AK724&lt;&gt;"N/A",Application!AK724&lt;&gt;"")*Cdlac[[#This Row],[Quantity]],"")</f>
        <v/>
      </c>
      <c r="T26" s="1079" t="b">
        <f>AND('Subsidy Contract Calculation'!F10&gt;0,'Subsidy Contract Calculation'!C10="Federal",Cdlac[[#This Row],[Quantity]]&gt;0)</f>
        <v>0</v>
      </c>
    </row>
    <row r="27" spans="1:20" ht="15" customHeight="1">
      <c r="A27" s="1112"/>
      <c r="C27" s="2161" t="s">
        <v>1699</v>
      </c>
      <c r="D27" s="2162"/>
      <c r="E27" s="1129">
        <f>SUM(E22:E26)</f>
        <v>49</v>
      </c>
      <c r="F27" s="1129">
        <f>SUM(F22:F26)</f>
        <v>49</v>
      </c>
      <c r="G27" s="1130">
        <f>SUMPRODUCT(D22:D26,F22:F26)</f>
        <v>53.75</v>
      </c>
      <c r="H27" s="1112"/>
      <c r="I27" s="1112"/>
      <c r="L27" s="1079" t="str">
        <f>IFERROR(MIN(4,MATCH(Application!B725,UnitSizes,0)-1),"")</f>
        <v/>
      </c>
      <c r="M27" s="1101">
        <f>Application!G725</f>
        <v>0</v>
      </c>
      <c r="N27" s="1109">
        <f>Application!AC725</f>
        <v>0</v>
      </c>
      <c r="O27" s="1109" t="str">
        <f>IF(Cdlac[[#This Row],[Quantity]]&gt;0,IF(Cdlac[[#This Row],[Federal]],30%,IF($G$36,40%,Cdlac[[#This Row],[iAMI]])),"")</f>
        <v/>
      </c>
      <c r="P27" s="1101" t="str" cm="1">
        <f t="array" ref="P27">IF(Cdlac[[#This Row],[Quantity]]&gt;0,INDEX(TcacRents,$P$18,Cdlac[[#This Row],[Bedrooms]]+1)*Cdlac[[#This Row],[AMI]],"")</f>
        <v/>
      </c>
      <c r="Q27" s="1101" t="str" cm="1">
        <f t="array" ref="Q27">IF(Cdlac[[#This Row],[Quantity]]&gt;0,INDEX(HudFmrs,$P$18,Cdlac[[#This Row],[Bedrooms]]+1),"")</f>
        <v/>
      </c>
      <c r="R27" s="1101" t="str">
        <f>IF(Cdlac[[#This Row],[Quantity]]&gt;0,MAX(0,Cdlac[[#This Row],[Fair Market Rent]]-Cdlac[[#This Row],[Restricted Rent]]),"")</f>
        <v/>
      </c>
      <c r="S27" s="1079" t="str">
        <f>IF(Cdlac[[#This Row],[Quantity]]&gt;0,AND(Application!AK725&lt;&gt;"N/A",Application!AK725&lt;&gt;"")*Cdlac[[#This Row],[Quantity]],"")</f>
        <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 customHeight="1">
      <c r="A29" s="1112"/>
      <c r="E29" s="1159" t="s">
        <v>2296</v>
      </c>
      <c r="G29" s="1156">
        <f>G27</f>
        <v>53.75</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2248</v>
      </c>
      <c r="F30" s="1155" t="s">
        <v>2305</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2289</v>
      </c>
      <c r="F31" s="1081"/>
      <c r="G31" s="1161">
        <f>G30*G29</f>
        <v>2687500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2316</v>
      </c>
      <c r="G35" s="1162" cm="1">
        <f t="array" ref="G35">SUMPRODUCT(Cdlac[Quantity],Cdlac[iAMI],IF(Cdlac[Federal],0,1))/SUMIFS(Cdlac[Quantity],Cdlac[Federal],FALSE)</f>
        <v>0.5</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2311</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2252</v>
      </c>
      <c r="G38" s="1116">
        <f>SUMPRODUCT(Cdlac[Quantity],Cdlac[Delta])</f>
        <v>50190</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2317</v>
      </c>
      <c r="F39" s="1155" t="s">
        <v>2305</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2245</v>
      </c>
      <c r="F40" s="1081"/>
      <c r="G40" s="1165">
        <f>G38*G39</f>
        <v>9034200</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2306</v>
      </c>
      <c r="G44" s="1167">
        <f>S18</f>
        <v>35</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2307</v>
      </c>
      <c r="G45" s="1167">
        <f>ROUNDDOWN(E27*50%,0)</f>
        <v>24</v>
      </c>
    </row>
    <row r="46" spans="2:20" ht="15" customHeight="1">
      <c r="E46" s="1159"/>
      <c r="G46" s="1167"/>
    </row>
    <row r="47" spans="2:20" ht="15" customHeight="1">
      <c r="E47" s="1159" t="s">
        <v>2258</v>
      </c>
      <c r="G47" s="1156">
        <f>MIN(G44:G45)</f>
        <v>24</v>
      </c>
    </row>
    <row r="48" spans="2:20" ht="15" customHeight="1">
      <c r="E48" s="1159" t="s">
        <v>2248</v>
      </c>
      <c r="F48" s="1155" t="s">
        <v>2305</v>
      </c>
      <c r="G48" s="1166">
        <v>10000</v>
      </c>
    </row>
    <row r="49" spans="2:14" ht="15" customHeight="1">
      <c r="E49" s="1160" t="s">
        <v>2288</v>
      </c>
      <c r="F49" s="1081"/>
      <c r="G49" s="1165">
        <f>G47*G48</f>
        <v>240000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2308</v>
      </c>
      <c r="G53" s="1117">
        <f>SUMIFS(Cdlac[Quantity],Cdlac[iAMI],"&lt;=30%")</f>
        <v>35</v>
      </c>
    </row>
    <row r="54" spans="2:14" ht="15" customHeight="1">
      <c r="E54" s="1159" t="s">
        <v>2307</v>
      </c>
      <c r="G54" s="1117">
        <f>ROUNDDOWN(E27*50%,0)</f>
        <v>24</v>
      </c>
    </row>
    <row r="55" spans="2:14" ht="15" customHeight="1">
      <c r="E55" s="1159"/>
      <c r="G55" s="1117"/>
    </row>
    <row r="56" spans="2:14" ht="15" customHeight="1">
      <c r="E56" s="1159" t="s">
        <v>2258</v>
      </c>
      <c r="G56" s="1156">
        <f>MIN(G53:G54)</f>
        <v>24</v>
      </c>
    </row>
    <row r="57" spans="2:14" ht="15" customHeight="1">
      <c r="E57" s="1159" t="s">
        <v>2248</v>
      </c>
      <c r="F57" s="1155" t="s">
        <v>2305</v>
      </c>
      <c r="G57" s="1166">
        <v>20000</v>
      </c>
    </row>
    <row r="58" spans="2:14" ht="15" customHeight="1">
      <c r="E58" s="1160" t="s">
        <v>2287</v>
      </c>
      <c r="F58" s="1081"/>
      <c r="G58" s="1165">
        <f>G56*G57</f>
        <v>480000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2261</v>
      </c>
      <c r="G62" s="1156">
        <f>VLOOKUP('Points System'!$H$595,'Points System'!$AO$575:$AP$580,2,FALSE)</f>
        <v>7</v>
      </c>
      <c r="L62" s="1169" t="str">
        <f>'Points System'!H627</f>
        <v>(i)</v>
      </c>
      <c r="M62" s="2163" t="s">
        <v>1517</v>
      </c>
      <c r="N62" s="2164"/>
    </row>
    <row r="63" spans="2:14" ht="15" customHeight="1">
      <c r="E63" s="1124" t="s">
        <v>2248</v>
      </c>
      <c r="F63" s="1155" t="s">
        <v>2305</v>
      </c>
      <c r="G63" s="1114">
        <v>4000</v>
      </c>
      <c r="L63" s="1170" t="str">
        <f>'Points System'!H639</f>
        <v>(i)</v>
      </c>
      <c r="M63" s="2155" t="s">
        <v>2262</v>
      </c>
      <c r="N63" s="2156"/>
    </row>
    <row r="64" spans="2:14" ht="15" customHeight="1">
      <c r="E64" s="1124" t="s">
        <v>2309</v>
      </c>
      <c r="F64" s="1155" t="s">
        <v>2305</v>
      </c>
      <c r="G64" s="1168">
        <f>G27</f>
        <v>53.75</v>
      </c>
      <c r="L64" s="1170" t="str">
        <f>'Points System'!H674</f>
        <v>(i)</v>
      </c>
      <c r="M64" s="2155" t="s">
        <v>2263</v>
      </c>
      <c r="N64" s="2156"/>
    </row>
    <row r="65" spans="2:14" ht="15" customHeight="1">
      <c r="E65" s="1160" t="s">
        <v>2267</v>
      </c>
      <c r="F65" s="1081"/>
      <c r="G65" s="1165">
        <f>G62*G63*G64</f>
        <v>1505000</v>
      </c>
      <c r="L65" s="1170" t="str">
        <f>IF(OR('Points System'!H698="(ii)",'Points System'!H698="(i)"),"(i)","N/A")</f>
        <v>N/A</v>
      </c>
      <c r="M65" s="2155" t="s">
        <v>2264</v>
      </c>
      <c r="N65" s="2156"/>
    </row>
    <row r="66" spans="2:14" ht="15" customHeight="1">
      <c r="C66" s="1115"/>
      <c r="G66" s="1156"/>
      <c r="L66" s="1171" t="str">
        <f>'Points System'!H712</f>
        <v>N/A</v>
      </c>
      <c r="M66" s="2155" t="s">
        <v>1543</v>
      </c>
      <c r="N66" s="2156"/>
    </row>
    <row r="67" spans="2:14" ht="15" customHeight="1">
      <c r="E67" s="1124" t="s">
        <v>2310</v>
      </c>
      <c r="G67" s="1168">
        <f>COUNTIFS(L62:L69,"(i)")</f>
        <v>5</v>
      </c>
      <c r="L67" s="1170" t="str">
        <f>'Points System'!H724</f>
        <v>N/A</v>
      </c>
      <c r="M67" s="2155" t="s">
        <v>2265</v>
      </c>
      <c r="N67" s="2156"/>
    </row>
    <row r="68" spans="2:14" ht="15" customHeight="1">
      <c r="E68" s="1124" t="s">
        <v>2248</v>
      </c>
      <c r="F68" s="1155" t="s">
        <v>2305</v>
      </c>
      <c r="G68" s="1166">
        <v>4000</v>
      </c>
      <c r="L68" s="1170" t="str">
        <f>'Points System'!H740</f>
        <v>(i)</v>
      </c>
      <c r="M68" s="2155" t="s">
        <v>2266</v>
      </c>
      <c r="N68" s="2156"/>
    </row>
    <row r="69" spans="2:14" ht="15" customHeight="1" thickBot="1">
      <c r="E69" s="1160" t="s">
        <v>2268</v>
      </c>
      <c r="F69" s="1081"/>
      <c r="G69" s="1165">
        <f>G64*G67*G68</f>
        <v>1075000</v>
      </c>
      <c r="L69" s="1172" t="str">
        <f>'Points System'!H752</f>
        <v>(i)</v>
      </c>
      <c r="M69" s="2157" t="s">
        <v>1546</v>
      </c>
      <c r="N69" s="2158"/>
    </row>
    <row r="70" spans="2:14" ht="15" customHeight="1"/>
    <row r="71" spans="2:14" ht="15" customHeight="1">
      <c r="C71" s="1118" t="s">
        <v>2270</v>
      </c>
    </row>
    <row r="72" spans="2:14" ht="15" customHeight="1">
      <c r="C72" s="1115" t="s">
        <v>2271</v>
      </c>
      <c r="G72" s="1078"/>
    </row>
    <row r="73" spans="2:14" ht="15" customHeight="1">
      <c r="C73" s="1115" t="s">
        <v>2272</v>
      </c>
      <c r="G73" s="1078"/>
    </row>
    <row r="74" spans="2:14" ht="15" customHeight="1">
      <c r="C74" s="1115" t="s">
        <v>2500</v>
      </c>
      <c r="G74" s="1078" t="s">
        <v>554</v>
      </c>
    </row>
    <row r="75" spans="2:14" ht="15" customHeight="1">
      <c r="C75" s="1115" t="s">
        <v>2501</v>
      </c>
      <c r="G75" s="1078" t="s">
        <v>554</v>
      </c>
    </row>
    <row r="76" spans="2:14" ht="15" customHeight="1"/>
    <row r="77" spans="2:14" ht="15" customHeight="1">
      <c r="B77" s="1116"/>
      <c r="C77" s="1115"/>
      <c r="E77" s="1124" t="s">
        <v>2312</v>
      </c>
      <c r="G77" s="1117" t="b">
        <f>COUNTIFS(G72:G75,"Yes")&gt;=1</f>
        <v>1</v>
      </c>
    </row>
    <row r="78" spans="2:14" ht="15" customHeight="1">
      <c r="E78" s="1115"/>
    </row>
    <row r="79" spans="2:14" ht="15" customHeight="1">
      <c r="E79" s="1124" t="s">
        <v>2309</v>
      </c>
      <c r="F79" s="1155" t="s">
        <v>2305</v>
      </c>
      <c r="G79" s="1156">
        <f>G27</f>
        <v>53.75</v>
      </c>
    </row>
    <row r="80" spans="2:14" ht="15" customHeight="1">
      <c r="E80" s="1124" t="s">
        <v>2248</v>
      </c>
      <c r="F80" s="1155" t="s">
        <v>2305</v>
      </c>
      <c r="G80" s="1166">
        <v>25000</v>
      </c>
    </row>
    <row r="81" spans="2:14" ht="15" customHeight="1">
      <c r="E81" s="1160" t="s">
        <v>2269</v>
      </c>
      <c r="F81" s="1081"/>
      <c r="G81" s="1165">
        <f>G77*G80*G64</f>
        <v>1343750</v>
      </c>
    </row>
    <row r="82" spans="2:14" ht="15" customHeight="1">
      <c r="C82" s="1115"/>
      <c r="E82" s="1115"/>
    </row>
    <row r="83" spans="2:14" ht="15" customHeight="1">
      <c r="E83" s="1160" t="s">
        <v>2246</v>
      </c>
      <c r="G83" s="1165">
        <f>G81+G69+G65</f>
        <v>3923750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2291</v>
      </c>
      <c r="G87" s="1078" t="s">
        <v>554</v>
      </c>
      <c r="L87" s="2159" t="s">
        <v>2275</v>
      </c>
      <c r="M87" s="2160"/>
      <c r="N87" s="1173">
        <v>30000</v>
      </c>
    </row>
    <row r="88" spans="2:14" ht="15" customHeight="1">
      <c r="C88" s="1115" t="s">
        <v>2292</v>
      </c>
      <c r="G88" s="1119" t="str">
        <f>IF(Application!D211="Large Family","Yes","No")</f>
        <v>No</v>
      </c>
      <c r="L88" s="2151" t="s">
        <v>2239</v>
      </c>
      <c r="M88" s="2152"/>
      <c r="N88" s="1174">
        <v>20000</v>
      </c>
    </row>
    <row r="89" spans="2:14" ht="15" customHeight="1" thickBot="1">
      <c r="C89" s="1115" t="s">
        <v>2273</v>
      </c>
      <c r="G89" s="1078" t="s">
        <v>678</v>
      </c>
      <c r="L89" s="2153" t="s">
        <v>2276</v>
      </c>
      <c r="M89" s="2154"/>
      <c r="N89" s="1175">
        <v>10000</v>
      </c>
    </row>
    <row r="90" spans="2:14" ht="15" customHeight="1">
      <c r="C90" s="1115" t="s">
        <v>2274</v>
      </c>
      <c r="G90" s="1079" t="str">
        <f>Application!T193</f>
        <v>High Resource</v>
      </c>
    </row>
    <row r="91" spans="2:14" ht="15" customHeight="1">
      <c r="C91" s="1115"/>
    </row>
    <row r="92" spans="2:14" ht="15" customHeight="1">
      <c r="E92" s="1124" t="s">
        <v>2312</v>
      </c>
      <c r="G92" s="1117" t="b">
        <f>AND(COUNTIFS(G88:G89,"Yes")&gt;=1,G87="Yes")</f>
        <v>0</v>
      </c>
    </row>
    <row r="93" spans="2:14" ht="15" customHeight="1">
      <c r="E93" s="1124"/>
      <c r="G93" s="1117"/>
    </row>
    <row r="94" spans="2:14" ht="15" customHeight="1">
      <c r="E94" s="1124" t="s">
        <v>2248</v>
      </c>
      <c r="G94" s="1116">
        <f>IFERROR(INDEX(N87:N89,MATCH(LEFT(G90,17),L87:L89,0)),0)</f>
        <v>20000</v>
      </c>
    </row>
    <row r="95" spans="2:14" ht="15" customHeight="1">
      <c r="E95" s="1124" t="str">
        <f>E64</f>
        <v>Bedroom-Adjusted Low-Income Units</v>
      </c>
      <c r="F95" s="1155" t="s">
        <v>2305</v>
      </c>
      <c r="G95" s="1156">
        <f>G27</f>
        <v>53.75</v>
      </c>
    </row>
    <row r="96" spans="2:14" ht="15" customHeight="1">
      <c r="D96" s="1081"/>
      <c r="E96" s="1160" t="s">
        <v>2247</v>
      </c>
      <c r="F96" s="1081"/>
      <c r="G96" s="1165">
        <f>G95*G94*G92</f>
        <v>0</v>
      </c>
    </row>
    <row r="97" spans="2:9" ht="15" customHeight="1"/>
    <row r="98" spans="2:9" ht="15" customHeight="1">
      <c r="B98" s="1104" t="s">
        <v>2260</v>
      </c>
      <c r="C98" s="1105"/>
      <c r="D98" s="1105"/>
      <c r="E98" s="1105"/>
      <c r="F98" s="1105"/>
      <c r="G98" s="1105"/>
      <c r="H98" s="1105"/>
      <c r="I98" s="1106"/>
    </row>
    <row r="99" spans="2:9" ht="15" customHeight="1"/>
    <row r="100" spans="2:9" ht="15" customHeight="1">
      <c r="F100" s="1158" t="s">
        <v>2286</v>
      </c>
      <c r="G100" s="1078" t="s">
        <v>554</v>
      </c>
    </row>
    <row r="101" spans="2:9" ht="15" customHeight="1">
      <c r="F101" s="1158"/>
    </row>
    <row r="102" spans="2:9" ht="15" customHeight="1">
      <c r="E102" s="1124" t="s">
        <v>2312</v>
      </c>
      <c r="G102" s="1117" t="b">
        <f>G100="Yes"</f>
        <v>1</v>
      </c>
    </row>
    <row r="103" spans="2:9" ht="15" customHeight="1"/>
    <row r="104" spans="2:9" ht="15" customHeight="1">
      <c r="E104" s="1124" t="str">
        <f>E64</f>
        <v>Bedroom-Adjusted Low-Income Units</v>
      </c>
      <c r="G104" s="1156">
        <f>G27</f>
        <v>53.75</v>
      </c>
    </row>
    <row r="105" spans="2:9" ht="15" customHeight="1">
      <c r="E105" s="1124" t="s">
        <v>2248</v>
      </c>
      <c r="F105" s="1155" t="s">
        <v>2305</v>
      </c>
      <c r="G105" s="1085">
        <v>20000</v>
      </c>
    </row>
    <row r="106" spans="2:9" ht="15" customHeight="1">
      <c r="E106" s="1160" t="s">
        <v>2277</v>
      </c>
      <c r="F106" s="1081"/>
      <c r="G106" s="1165">
        <f>G102*G105*G104</f>
        <v>1075000</v>
      </c>
    </row>
    <row r="107" spans="2:9" ht="15" customHeight="1"/>
    <row r="108" spans="2:9" ht="15" customHeight="1">
      <c r="B108" s="1104" t="s">
        <v>2314</v>
      </c>
      <c r="C108" s="1105"/>
      <c r="D108" s="1105"/>
      <c r="E108" s="1105"/>
      <c r="F108" s="1105"/>
      <c r="G108" s="1105"/>
      <c r="H108" s="1105"/>
      <c r="I108" s="1106"/>
    </row>
    <row r="109" spans="2:9" ht="15" customHeight="1"/>
    <row r="110" spans="2:9" ht="15" customHeight="1">
      <c r="E110" s="1124" t="s">
        <v>591</v>
      </c>
      <c r="G110" s="1079" t="str">
        <f>IF(Application!T189="","",Application!T189)</f>
        <v>Los Angeles</v>
      </c>
    </row>
    <row r="111" spans="2:9" ht="15" customHeight="1">
      <c r="E111" s="1124"/>
      <c r="G111" s="1116"/>
    </row>
    <row r="112" spans="2:9" ht="15" customHeight="1">
      <c r="E112" s="1124" t="str">
        <f>"2-Bedroom "&amp;G110&amp;" County Basis Limit"</f>
        <v>2-Bedroom Los Angeles County Basis Limit</v>
      </c>
      <c r="G112" s="1116">
        <f>Application!R987</f>
        <v>608800</v>
      </c>
    </row>
    <row r="113" spans="4:9" ht="15" customHeight="1">
      <c r="E113" s="1124" t="s">
        <v>2313</v>
      </c>
      <c r="G113" s="1116">
        <f>MEDIAN((Application!BR806:BR863))</f>
        <v>489600</v>
      </c>
    </row>
    <row r="114" spans="4:9" ht="15" customHeight="1">
      <c r="D114" s="1081"/>
      <c r="E114" s="1160" t="s">
        <v>2315</v>
      </c>
      <c r="F114" s="1176"/>
      <c r="G114" s="1177">
        <f>((G112-G113)/G113)*0.25</f>
        <v>6.0866013071895424E-2</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0B40BFD3C79E942BF4BA5766E4D7B35" ma:contentTypeVersion="15" ma:contentTypeDescription="Create a new document." ma:contentTypeScope="" ma:versionID="76663b1e4052640eb44ac954ecf02829">
  <xsd:schema xmlns:xsd="http://www.w3.org/2001/XMLSchema" xmlns:xs="http://www.w3.org/2001/XMLSchema" xmlns:p="http://schemas.microsoft.com/office/2006/metadata/properties" xmlns:ns2="c7bfde76-0483-4b7a-8e67-a5ec5ffa9146" xmlns:ns3="628aa9ea-af46-4d59-8a5d-3e108fec6639" targetNamespace="http://schemas.microsoft.com/office/2006/metadata/properties" ma:root="true" ma:fieldsID="39abf49be213a94a888b9aacecebae71" ns2:_="" ns3:_="">
    <xsd:import namespace="c7bfde76-0483-4b7a-8e67-a5ec5ffa9146"/>
    <xsd:import namespace="628aa9ea-af46-4d59-8a5d-3e108fec6639"/>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ObjectDetectorVersions" minOccurs="0"/>
                <xsd:element ref="ns3:MediaServiceDateTaken" minOccurs="0"/>
                <xsd:element ref="ns3:MediaServiceGenerationTime" minOccurs="0"/>
                <xsd:element ref="ns3:MediaServiceEventHashCode" minOccurs="0"/>
                <xsd:element ref="ns3:MediaLengthInSeconds" minOccurs="0"/>
                <xsd:element ref="ns3:lcf76f155ced4ddcb4097134ff3c332f" minOccurs="0"/>
                <xsd:element ref="ns2:TaxCatchAll" minOccurs="0"/>
                <xsd:element ref="ns3:MediaServiceOCR" minOccurs="0"/>
                <xsd:element ref="ns3:MediaServiceLocation"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7bfde76-0483-4b7a-8e67-a5ec5ffa9146"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3200bcc1-fabd-4321-ac57-7675b271e33a}" ma:internalName="TaxCatchAll" ma:showField="CatchAllData" ma:web="c7bfde76-0483-4b7a-8e67-a5ec5ffa9146">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628aa9ea-af46-4d59-8a5d-3e108fec6639"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descriptio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1f7fe298-30b5-4cae-8c59-d6a32fa671a6"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628aa9ea-af46-4d59-8a5d-3e108fec6639">
      <Terms xmlns="http://schemas.microsoft.com/office/infopath/2007/PartnerControls"/>
    </lcf76f155ced4ddcb4097134ff3c332f>
    <TaxCatchAll xmlns="c7bfde76-0483-4b7a-8e67-a5ec5ffa9146" xsi:nil="true"/>
  </documentManagement>
</p:properties>
</file>

<file path=customXml/itemProps1.xml><?xml version="1.0" encoding="utf-8"?>
<ds:datastoreItem xmlns:ds="http://schemas.openxmlformats.org/officeDocument/2006/customXml" ds:itemID="{F8F5F51B-497D-4295-9F35-2ACB7545CE4D}">
  <ds:schemaRefs>
    <ds:schemaRef ds:uri="http://schemas.microsoft.com/sharepoint/v3/contenttype/forms"/>
  </ds:schemaRefs>
</ds:datastoreItem>
</file>

<file path=customXml/itemProps2.xml><?xml version="1.0" encoding="utf-8"?>
<ds:datastoreItem xmlns:ds="http://schemas.openxmlformats.org/officeDocument/2006/customXml" ds:itemID="{91AAF988-97AE-40B6-921A-2C85BC0C3F6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7bfde76-0483-4b7a-8e67-a5ec5ffa9146"/>
    <ds:schemaRef ds:uri="628aa9ea-af46-4d59-8a5d-3e108fec663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3BDB42D-2395-44DA-A48F-C02A03507DE1}">
  <ds:schemaRefs>
    <ds:schemaRef ds:uri="http://schemas.openxmlformats.org/package/2006/metadata/core-properties"/>
    <ds:schemaRef ds:uri="http://schemas.microsoft.com/office/2006/metadata/properties"/>
    <ds:schemaRef ds:uri="http://purl.org/dc/dcmitype/"/>
    <ds:schemaRef ds:uri="http://schemas.microsoft.com/office/2006/documentManagement/types"/>
    <ds:schemaRef ds:uri="http://purl.org/dc/elements/1.1/"/>
    <ds:schemaRef ds:uri="c7bfde76-0483-4b7a-8e67-a5ec5ffa9146"/>
    <ds:schemaRef ds:uri="http://www.w3.org/XML/1998/namespace"/>
    <ds:schemaRef ds:uri="628aa9ea-af46-4d59-8a5d-3e108fec6639"/>
    <ds:schemaRef ds:uri="http://schemas.microsoft.com/office/infopath/2007/PartnerControl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Sources and Uses Budget</vt:lpstr>
      <vt:lpstr>Application</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Andi Lau</cp:lastModifiedBy>
  <cp:lastPrinted>2024-04-09T00:50:17Z</cp:lastPrinted>
  <dcterms:created xsi:type="dcterms:W3CDTF">2007-12-27T18:26:28Z</dcterms:created>
  <dcterms:modified xsi:type="dcterms:W3CDTF">2024-04-23T20:17:16Z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0x0101007F19009B3EBE8A49899ED0D9E01CB174</vt:lpwstr>
  </property>
</Properties>
</file>